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0" windowWidth="19230" windowHeight="12060" tabRatio="841" activeTab="2"/>
  </bookViews>
  <sheets>
    <sheet name="Histórico de Revisão" sheetId="16" r:id="rId1"/>
    <sheet name="Capa" sheetId="1" r:id="rId2"/>
    <sheet name="Estimativa" sheetId="18" r:id="rId3"/>
    <sheet name="Relatório da Estimativa" sheetId="19" r:id="rId4"/>
    <sheet name="Funções" sheetId="13" state="hidden" r:id="rId5"/>
    <sheet name="Itens Não Mensuráveis" sheetId="14" r:id="rId6"/>
    <sheet name="Relatório da Medição" sheetId="15" state="hidden" r:id="rId7"/>
    <sheet name="Fator de Ajuste" sheetId="3" state="hidden" r:id="rId8"/>
    <sheet name="Base" sheetId="9" state="hidden" r:id="rId9"/>
    <sheet name="Esforço" sheetId="11" state="hidden" r:id="rId10"/>
    <sheet name="Sumário" sheetId="5" r:id="rId11"/>
    <sheet name="Resumo Geral" sheetId="7" state="hidden" r:id="rId12"/>
    <sheet name="Termo de Aferição" sheetId="17" r:id="rId13"/>
  </sheets>
  <definedNames>
    <definedName name="Afericao_Funcao_01">Funções!$W$11:$W$1607</definedName>
    <definedName name="Afericao_Funcao_02">Funções!$AF$11:$AF$1607</definedName>
    <definedName name="Afericao_Nao_Mensuravel_01">'Itens Não Mensuráveis'!$K$9:$K$220</definedName>
    <definedName name="Afericao_Nao_Mensuravel_02">'Itens Não Mensuráveis'!$P$9:$P$220</definedName>
    <definedName name="Ambiente">Capa!$C$63</definedName>
    <definedName name="_xlnm.Print_Area" localSheetId="1">Capa!$A$3:$I$51</definedName>
    <definedName name="CF">Funções!$K$11:$K$1607</definedName>
    <definedName name="CFP">Sumário!#REF!</definedName>
    <definedName name="DataContagem">Capa!$F$17</definedName>
    <definedName name="DFP">Sumário!$C$103</definedName>
    <definedName name="DftAlt">Capa!$C$21</definedName>
    <definedName name="DftExcl">Capa!$C$22</definedName>
    <definedName name="DftIncl">Capa!$C$20</definedName>
    <definedName name="Documentação">Capa!$B$36</definedName>
    <definedName name="EscopoDaContagem">Capa!$B$30</definedName>
    <definedName name="Excel_BuiltIn__FilterDatabase_1">Capa!$B$13:$C$13</definedName>
    <definedName name="FaseProjeto">Capa!$C$15</definedName>
    <definedName name="Maturidade">Capa!$C$64</definedName>
    <definedName name="Metodo">Capa!$F$13</definedName>
    <definedName name="NivelDetalhe">Capa!$C$14</definedName>
    <definedName name="NomeCliente">Capa!$C$6</definedName>
    <definedName name="NomeDepartamento">Capa!$F$7</definedName>
    <definedName name="NomeProjeto">Capa!$F$6</definedName>
    <definedName name="NomeSolicitante">Capa!$C$7</definedName>
    <definedName name="Observações">Capa!$B$51</definedName>
    <definedName name="PFNA">Sumário!$I$85</definedName>
    <definedName name="PropositoDaContagem">Capa!$B$24</definedName>
    <definedName name="Responsavel">Capa!$C$8</definedName>
    <definedName name="Tipo_de_Contagem">Capa!$C$65</definedName>
    <definedName name="TipoContagem">Capa!$C$13</definedName>
    <definedName name="Total_PF_Deflatores">Funções!#REF!</definedName>
    <definedName name="Total_PF_NMensuraveis">'Itens Não Mensuráveis'!$F$9:$F$409</definedName>
    <definedName name="UFP">Sumário!$I$92:$I$94</definedName>
    <definedName name="VAF">'Fator de Ajuste'!$G$28</definedName>
  </definedNames>
  <calcPr calcId="125725"/>
</workbook>
</file>

<file path=xl/calcChain.xml><?xml version="1.0" encoding="utf-8"?>
<calcChain xmlns="http://schemas.openxmlformats.org/spreadsheetml/2006/main">
  <c r="G34" i="18"/>
  <c r="G35"/>
  <c r="G36"/>
  <c r="M36"/>
  <c r="J36"/>
  <c r="F36"/>
  <c r="M35"/>
  <c r="J35"/>
  <c r="F35"/>
  <c r="M34"/>
  <c r="J34"/>
  <c r="F34"/>
  <c r="M49"/>
  <c r="J49"/>
  <c r="G49"/>
  <c r="F49"/>
  <c r="M46"/>
  <c r="J46"/>
  <c r="G46"/>
  <c r="F46"/>
  <c r="M47"/>
  <c r="J47"/>
  <c r="G47"/>
  <c r="F47"/>
  <c r="M48"/>
  <c r="J48"/>
  <c r="G48"/>
  <c r="F48"/>
  <c r="M19"/>
  <c r="J19"/>
  <c r="G19"/>
  <c r="F19"/>
  <c r="M14"/>
  <c r="J14"/>
  <c r="G14"/>
  <c r="F14"/>
  <c r="M11"/>
  <c r="J11"/>
  <c r="G11"/>
  <c r="F85"/>
  <c r="G85"/>
  <c r="M28"/>
  <c r="J28"/>
  <c r="G28"/>
  <c r="F28"/>
  <c r="C2" i="1"/>
  <c r="C2" i="18" l="1"/>
  <c r="C2" i="11"/>
  <c r="D2" i="17"/>
  <c r="C2" i="7"/>
  <c r="C2" i="5"/>
  <c r="C2" i="3"/>
  <c r="C2" i="15"/>
  <c r="D2" i="14"/>
  <c r="D2" i="13"/>
  <c r="C2" i="19"/>
  <c r="AD127" i="13"/>
  <c r="AF127" s="1"/>
  <c r="AC127"/>
  <c r="AB127" s="1"/>
  <c r="U127"/>
  <c r="W127" s="1"/>
  <c r="T127"/>
  <c r="S127" s="1"/>
  <c r="N127"/>
  <c r="M127"/>
  <c r="I127"/>
  <c r="L127" s="1"/>
  <c r="K127" s="1"/>
  <c r="G127"/>
  <c r="AD121"/>
  <c r="AF121" s="1"/>
  <c r="AC121"/>
  <c r="AB121" s="1"/>
  <c r="U121"/>
  <c r="W121" s="1"/>
  <c r="T121"/>
  <c r="S121" s="1"/>
  <c r="N121"/>
  <c r="M121"/>
  <c r="I121"/>
  <c r="L121" s="1"/>
  <c r="K121" s="1"/>
  <c r="G121"/>
  <c r="AD116"/>
  <c r="AF116" s="1"/>
  <c r="AC116"/>
  <c r="AB116" s="1"/>
  <c r="U116"/>
  <c r="W116" s="1"/>
  <c r="T116"/>
  <c r="S116" s="1"/>
  <c r="N116"/>
  <c r="M116"/>
  <c r="I116"/>
  <c r="L116" s="1"/>
  <c r="K116" s="1"/>
  <c r="G116"/>
  <c r="AD110"/>
  <c r="AF110" s="1"/>
  <c r="AC110"/>
  <c r="AB110" s="1"/>
  <c r="U110"/>
  <c r="W110" s="1"/>
  <c r="T110"/>
  <c r="S110" s="1"/>
  <c r="N110"/>
  <c r="M110"/>
  <c r="I110"/>
  <c r="L110" s="1"/>
  <c r="K110" s="1"/>
  <c r="G110"/>
  <c r="AD104"/>
  <c r="AF104" s="1"/>
  <c r="AC104"/>
  <c r="AB104" s="1"/>
  <c r="U104"/>
  <c r="W104" s="1"/>
  <c r="T104"/>
  <c r="S104" s="1"/>
  <c r="N104"/>
  <c r="M104"/>
  <c r="I104"/>
  <c r="L104" s="1"/>
  <c r="K104" s="1"/>
  <c r="G104"/>
  <c r="AD98"/>
  <c r="AF98" s="1"/>
  <c r="AC98"/>
  <c r="AB98" s="1"/>
  <c r="U98"/>
  <c r="W98" s="1"/>
  <c r="T98"/>
  <c r="S98" s="1"/>
  <c r="N98"/>
  <c r="M98"/>
  <c r="I98"/>
  <c r="L98" s="1"/>
  <c r="K98" s="1"/>
  <c r="G98"/>
  <c r="AD92"/>
  <c r="AF92" s="1"/>
  <c r="AC92"/>
  <c r="AB92" s="1"/>
  <c r="U92"/>
  <c r="W92" s="1"/>
  <c r="T92"/>
  <c r="S92" s="1"/>
  <c r="N92"/>
  <c r="M92"/>
  <c r="I92"/>
  <c r="L92" s="1"/>
  <c r="K92" s="1"/>
  <c r="G92"/>
  <c r="AD87"/>
  <c r="AF87" s="1"/>
  <c r="AC87"/>
  <c r="AB87" s="1"/>
  <c r="W87"/>
  <c r="U87"/>
  <c r="T87"/>
  <c r="S87" s="1"/>
  <c r="N87"/>
  <c r="M87"/>
  <c r="I87"/>
  <c r="L87" s="1"/>
  <c r="K87" s="1"/>
  <c r="G87"/>
  <c r="AD81"/>
  <c r="AF81" s="1"/>
  <c r="AC81"/>
  <c r="AB81" s="1"/>
  <c r="U81"/>
  <c r="W81" s="1"/>
  <c r="T81"/>
  <c r="S81" s="1"/>
  <c r="N81"/>
  <c r="M81"/>
  <c r="I81"/>
  <c r="L81" s="1"/>
  <c r="K81" s="1"/>
  <c r="G81"/>
  <c r="AD75"/>
  <c r="AF75" s="1"/>
  <c r="AC75"/>
  <c r="AB75" s="1"/>
  <c r="U75"/>
  <c r="W75" s="1"/>
  <c r="T75"/>
  <c r="S75" s="1"/>
  <c r="N75"/>
  <c r="M75"/>
  <c r="I75"/>
  <c r="L75" s="1"/>
  <c r="K75" s="1"/>
  <c r="G75"/>
  <c r="AD69"/>
  <c r="AF69" s="1"/>
  <c r="AC69"/>
  <c r="AB69" s="1"/>
  <c r="U69"/>
  <c r="W69" s="1"/>
  <c r="T69"/>
  <c r="S69" s="1"/>
  <c r="N69"/>
  <c r="M69"/>
  <c r="I69"/>
  <c r="L69" s="1"/>
  <c r="K69" s="1"/>
  <c r="G69"/>
  <c r="AD63"/>
  <c r="AF63" s="1"/>
  <c r="AC63"/>
  <c r="AB63" s="1"/>
  <c r="U63"/>
  <c r="W63" s="1"/>
  <c r="T63"/>
  <c r="S63" s="1"/>
  <c r="N63"/>
  <c r="M63"/>
  <c r="I63"/>
  <c r="L63" s="1"/>
  <c r="K63" s="1"/>
  <c r="G63"/>
  <c r="AD58"/>
  <c r="AF58" s="1"/>
  <c r="AC58"/>
  <c r="AB58" s="1"/>
  <c r="U58"/>
  <c r="W58" s="1"/>
  <c r="T58"/>
  <c r="S58" s="1"/>
  <c r="N58"/>
  <c r="M58"/>
  <c r="I58"/>
  <c r="L58" s="1"/>
  <c r="K58" s="1"/>
  <c r="G58"/>
  <c r="AD52"/>
  <c r="AF52" s="1"/>
  <c r="AC52"/>
  <c r="AB52" s="1"/>
  <c r="U52"/>
  <c r="W52" s="1"/>
  <c r="T52"/>
  <c r="S52" s="1"/>
  <c r="N52"/>
  <c r="M52"/>
  <c r="I52"/>
  <c r="L52" s="1"/>
  <c r="K52" s="1"/>
  <c r="G52"/>
  <c r="AD46"/>
  <c r="AF46" s="1"/>
  <c r="AC46"/>
  <c r="AB46" s="1"/>
  <c r="U46"/>
  <c r="W46" s="1"/>
  <c r="T46"/>
  <c r="S46" s="1"/>
  <c r="N46"/>
  <c r="M46"/>
  <c r="I46"/>
  <c r="L46" s="1"/>
  <c r="K46" s="1"/>
  <c r="G46"/>
  <c r="F17" i="1" l="1"/>
  <c r="C10" i="15" l="1"/>
  <c r="G7" i="13"/>
  <c r="C10" i="19"/>
  <c r="F7" i="18"/>
  <c r="C17" i="19" l="1"/>
  <c r="C16"/>
  <c r="C15"/>
  <c r="C14"/>
  <c r="B14"/>
  <c r="C13"/>
  <c r="B13"/>
  <c r="C12"/>
  <c r="B12"/>
  <c r="C11"/>
  <c r="C9"/>
  <c r="C8"/>
  <c r="C7"/>
  <c r="F13" i="18"/>
  <c r="G13"/>
  <c r="J13"/>
  <c r="M13"/>
  <c r="F15"/>
  <c r="G15"/>
  <c r="J15"/>
  <c r="M15"/>
  <c r="F16"/>
  <c r="G16"/>
  <c r="J16"/>
  <c r="M16"/>
  <c r="F17"/>
  <c r="G17"/>
  <c r="J17"/>
  <c r="M17"/>
  <c r="F18"/>
  <c r="G18"/>
  <c r="J18"/>
  <c r="M18"/>
  <c r="F20"/>
  <c r="G20"/>
  <c r="J20"/>
  <c r="M20"/>
  <c r="F21"/>
  <c r="G21"/>
  <c r="J21"/>
  <c r="M21"/>
  <c r="F22"/>
  <c r="G22"/>
  <c r="J22"/>
  <c r="M22"/>
  <c r="F23"/>
  <c r="G23"/>
  <c r="J23"/>
  <c r="M23"/>
  <c r="F24"/>
  <c r="G24"/>
  <c r="J24"/>
  <c r="M24"/>
  <c r="F25"/>
  <c r="G25"/>
  <c r="J25"/>
  <c r="M25"/>
  <c r="F26"/>
  <c r="G26"/>
  <c r="J26"/>
  <c r="M26"/>
  <c r="F27"/>
  <c r="G27"/>
  <c r="J27"/>
  <c r="M27"/>
  <c r="F29"/>
  <c r="G29"/>
  <c r="J29"/>
  <c r="M29"/>
  <c r="F30"/>
  <c r="G30"/>
  <c r="J30"/>
  <c r="M30"/>
  <c r="F31"/>
  <c r="G31"/>
  <c r="J31"/>
  <c r="M31"/>
  <c r="F32"/>
  <c r="G32"/>
  <c r="J32"/>
  <c r="M32"/>
  <c r="F33"/>
  <c r="G33"/>
  <c r="J33"/>
  <c r="M33"/>
  <c r="F37"/>
  <c r="G37"/>
  <c r="J37"/>
  <c r="M37"/>
  <c r="F38"/>
  <c r="G38"/>
  <c r="J38"/>
  <c r="M38"/>
  <c r="F39"/>
  <c r="G39"/>
  <c r="J39"/>
  <c r="M39"/>
  <c r="F40"/>
  <c r="G40"/>
  <c r="J40"/>
  <c r="M40"/>
  <c r="F41"/>
  <c r="G41"/>
  <c r="J41"/>
  <c r="M41"/>
  <c r="F42"/>
  <c r="G42"/>
  <c r="J42"/>
  <c r="M42"/>
  <c r="F43"/>
  <c r="G43"/>
  <c r="J43"/>
  <c r="M43"/>
  <c r="F44"/>
  <c r="G44"/>
  <c r="J44"/>
  <c r="M44"/>
  <c r="F45"/>
  <c r="G45"/>
  <c r="J45"/>
  <c r="M45"/>
  <c r="F50"/>
  <c r="G50"/>
  <c r="J50"/>
  <c r="M50"/>
  <c r="F51"/>
  <c r="G51"/>
  <c r="J51"/>
  <c r="M51"/>
  <c r="F52"/>
  <c r="G52"/>
  <c r="J52"/>
  <c r="M52"/>
  <c r="F53"/>
  <c r="G53"/>
  <c r="J53"/>
  <c r="M53"/>
  <c r="F54"/>
  <c r="G54"/>
  <c r="J54"/>
  <c r="M54"/>
  <c r="F55"/>
  <c r="G55"/>
  <c r="J55"/>
  <c r="M55"/>
  <c r="F56"/>
  <c r="G56"/>
  <c r="J56"/>
  <c r="M56"/>
  <c r="F57"/>
  <c r="G57"/>
  <c r="J57"/>
  <c r="M57"/>
  <c r="F58"/>
  <c r="G58"/>
  <c r="J58"/>
  <c r="M58"/>
  <c r="F59"/>
  <c r="G59"/>
  <c r="J59"/>
  <c r="M59"/>
  <c r="F60"/>
  <c r="G60"/>
  <c r="J60"/>
  <c r="M60"/>
  <c r="F61"/>
  <c r="G61"/>
  <c r="J61"/>
  <c r="M61"/>
  <c r="F62"/>
  <c r="G62"/>
  <c r="J62"/>
  <c r="M62"/>
  <c r="F63"/>
  <c r="G63"/>
  <c r="J63"/>
  <c r="M63"/>
  <c r="F64"/>
  <c r="G64"/>
  <c r="J64"/>
  <c r="M64"/>
  <c r="F65"/>
  <c r="G65"/>
  <c r="J65"/>
  <c r="M65"/>
  <c r="F66"/>
  <c r="G66"/>
  <c r="J66"/>
  <c r="M66"/>
  <c r="F67"/>
  <c r="G67"/>
  <c r="J67"/>
  <c r="M67"/>
  <c r="F68"/>
  <c r="G68"/>
  <c r="J68"/>
  <c r="M68"/>
  <c r="F69"/>
  <c r="G69"/>
  <c r="J69"/>
  <c r="M69"/>
  <c r="F70"/>
  <c r="G70"/>
  <c r="J70"/>
  <c r="M70"/>
  <c r="F71"/>
  <c r="G71"/>
  <c r="J71"/>
  <c r="M71"/>
  <c r="F72"/>
  <c r="G72"/>
  <c r="J72"/>
  <c r="M72"/>
  <c r="F73"/>
  <c r="G73"/>
  <c r="J73"/>
  <c r="M73"/>
  <c r="F74"/>
  <c r="G74"/>
  <c r="J74"/>
  <c r="M74"/>
  <c r="F75"/>
  <c r="G75"/>
  <c r="J75"/>
  <c r="M75"/>
  <c r="F76"/>
  <c r="G76"/>
  <c r="J76"/>
  <c r="M76"/>
  <c r="F77"/>
  <c r="G77"/>
  <c r="J77"/>
  <c r="M77"/>
  <c r="F78"/>
  <c r="G78"/>
  <c r="J78"/>
  <c r="M78"/>
  <c r="F79"/>
  <c r="G79"/>
  <c r="J79"/>
  <c r="M79"/>
  <c r="F80"/>
  <c r="G80"/>
  <c r="J80"/>
  <c r="M80"/>
  <c r="F81"/>
  <c r="G81"/>
  <c r="J81"/>
  <c r="M81"/>
  <c r="F82"/>
  <c r="G82"/>
  <c r="J82"/>
  <c r="M82"/>
  <c r="F83"/>
  <c r="G83"/>
  <c r="J83"/>
  <c r="M83"/>
  <c r="F84"/>
  <c r="G84"/>
  <c r="J84"/>
  <c r="M84"/>
  <c r="J85"/>
  <c r="M85"/>
  <c r="F86"/>
  <c r="G86"/>
  <c r="J86"/>
  <c r="M86"/>
  <c r="F87"/>
  <c r="G87"/>
  <c r="J87"/>
  <c r="M87"/>
  <c r="F88"/>
  <c r="G88"/>
  <c r="J88"/>
  <c r="M88"/>
  <c r="F89"/>
  <c r="G89"/>
  <c r="J89"/>
  <c r="M89"/>
  <c r="F90"/>
  <c r="G90"/>
  <c r="J90"/>
  <c r="M90"/>
  <c r="F91"/>
  <c r="G91"/>
  <c r="J91"/>
  <c r="M91"/>
  <c r="F92"/>
  <c r="G92"/>
  <c r="J92"/>
  <c r="M92"/>
  <c r="F93"/>
  <c r="G93"/>
  <c r="J93"/>
  <c r="M93"/>
  <c r="F94"/>
  <c r="G94"/>
  <c r="J94"/>
  <c r="M94"/>
  <c r="F95"/>
  <c r="G95"/>
  <c r="J95"/>
  <c r="M95"/>
  <c r="F96"/>
  <c r="G96"/>
  <c r="J96"/>
  <c r="M96"/>
  <c r="F97"/>
  <c r="G97"/>
  <c r="J97"/>
  <c r="M97"/>
  <c r="F98"/>
  <c r="G98"/>
  <c r="J98"/>
  <c r="M98"/>
  <c r="F99"/>
  <c r="G99"/>
  <c r="J99"/>
  <c r="M99"/>
  <c r="F100"/>
  <c r="G100"/>
  <c r="J100"/>
  <c r="M100"/>
  <c r="F101"/>
  <c r="G101"/>
  <c r="J101"/>
  <c r="M101"/>
  <c r="F102"/>
  <c r="G102"/>
  <c r="J102"/>
  <c r="M102"/>
  <c r="F103"/>
  <c r="G103"/>
  <c r="J103"/>
  <c r="M103"/>
  <c r="F104"/>
  <c r="G104"/>
  <c r="J104"/>
  <c r="M104"/>
  <c r="F105"/>
  <c r="G105"/>
  <c r="J105"/>
  <c r="M105"/>
  <c r="F106"/>
  <c r="G106"/>
  <c r="J106"/>
  <c r="M106"/>
  <c r="F107"/>
  <c r="G107"/>
  <c r="J107"/>
  <c r="M107"/>
  <c r="F108"/>
  <c r="G108"/>
  <c r="J108"/>
  <c r="M108"/>
  <c r="F109"/>
  <c r="G109"/>
  <c r="J109"/>
  <c r="M109"/>
  <c r="F110"/>
  <c r="G110"/>
  <c r="J110"/>
  <c r="M110"/>
  <c r="F111"/>
  <c r="G111"/>
  <c r="J111"/>
  <c r="M111"/>
  <c r="F112"/>
  <c r="G112"/>
  <c r="J112"/>
  <c r="M112"/>
  <c r="F113"/>
  <c r="G113"/>
  <c r="J113"/>
  <c r="M113"/>
  <c r="F114"/>
  <c r="G114"/>
  <c r="J114"/>
  <c r="M114"/>
  <c r="F115"/>
  <c r="G115"/>
  <c r="J115"/>
  <c r="M115"/>
  <c r="F116"/>
  <c r="G116"/>
  <c r="J116"/>
  <c r="M116"/>
  <c r="F117"/>
  <c r="G117"/>
  <c r="J117"/>
  <c r="M117"/>
  <c r="F118"/>
  <c r="G118"/>
  <c r="J118"/>
  <c r="M118"/>
  <c r="F119"/>
  <c r="G119"/>
  <c r="J119"/>
  <c r="M119"/>
  <c r="F120"/>
  <c r="G120"/>
  <c r="J120"/>
  <c r="M120"/>
  <c r="F121"/>
  <c r="G121"/>
  <c r="J121"/>
  <c r="M121"/>
  <c r="F122"/>
  <c r="G122"/>
  <c r="J122"/>
  <c r="M122"/>
  <c r="F123"/>
  <c r="G123"/>
  <c r="J123"/>
  <c r="M123"/>
  <c r="F124"/>
  <c r="G124"/>
  <c r="J124"/>
  <c r="M124"/>
  <c r="F125"/>
  <c r="G125"/>
  <c r="J125"/>
  <c r="M125"/>
  <c r="F126"/>
  <c r="G126"/>
  <c r="J126"/>
  <c r="M126"/>
  <c r="F127"/>
  <c r="G127"/>
  <c r="J127"/>
  <c r="M127"/>
  <c r="F128"/>
  <c r="G128"/>
  <c r="J128"/>
  <c r="M128"/>
  <c r="F129"/>
  <c r="G129"/>
  <c r="J129"/>
  <c r="M129"/>
  <c r="F130"/>
  <c r="G130"/>
  <c r="J130"/>
  <c r="M130"/>
  <c r="F131"/>
  <c r="G131"/>
  <c r="J131"/>
  <c r="M131"/>
  <c r="F132"/>
  <c r="G132"/>
  <c r="J132"/>
  <c r="M132"/>
  <c r="F133"/>
  <c r="G133"/>
  <c r="J133"/>
  <c r="M133"/>
  <c r="F134"/>
  <c r="G134"/>
  <c r="J134"/>
  <c r="M134"/>
  <c r="F135"/>
  <c r="G135"/>
  <c r="J135"/>
  <c r="M135"/>
  <c r="F136"/>
  <c r="G136"/>
  <c r="J136"/>
  <c r="M136"/>
  <c r="F137"/>
  <c r="G137"/>
  <c r="J137"/>
  <c r="M137"/>
  <c r="F138"/>
  <c r="G138"/>
  <c r="J138"/>
  <c r="M138"/>
  <c r="F139"/>
  <c r="G139"/>
  <c r="J139"/>
  <c r="M139"/>
  <c r="F140"/>
  <c r="G140"/>
  <c r="J140"/>
  <c r="M140"/>
  <c r="F141"/>
  <c r="G141"/>
  <c r="J141"/>
  <c r="M141"/>
  <c r="F142"/>
  <c r="G142"/>
  <c r="J142"/>
  <c r="M142"/>
  <c r="F143"/>
  <c r="G143"/>
  <c r="J143"/>
  <c r="M143"/>
  <c r="F144"/>
  <c r="G144"/>
  <c r="J144"/>
  <c r="M144"/>
  <c r="F145"/>
  <c r="G145"/>
  <c r="J145"/>
  <c r="M145"/>
  <c r="F146"/>
  <c r="G146"/>
  <c r="J146"/>
  <c r="M146"/>
  <c r="F147"/>
  <c r="G147"/>
  <c r="J147"/>
  <c r="M147"/>
  <c r="F148"/>
  <c r="G148"/>
  <c r="J148"/>
  <c r="M148"/>
  <c r="F149"/>
  <c r="G149"/>
  <c r="J149"/>
  <c r="M149"/>
  <c r="F150"/>
  <c r="G150"/>
  <c r="J150"/>
  <c r="M150"/>
  <c r="F151"/>
  <c r="G151"/>
  <c r="J151"/>
  <c r="M151"/>
  <c r="F152"/>
  <c r="G152"/>
  <c r="J152"/>
  <c r="M152"/>
  <c r="F153"/>
  <c r="G153"/>
  <c r="J153"/>
  <c r="M153"/>
  <c r="F154"/>
  <c r="G154"/>
  <c r="J154"/>
  <c r="M154"/>
  <c r="F155"/>
  <c r="G155"/>
  <c r="J155"/>
  <c r="M155"/>
  <c r="F156"/>
  <c r="G156"/>
  <c r="J156"/>
  <c r="M156"/>
  <c r="F157"/>
  <c r="G157"/>
  <c r="J157"/>
  <c r="M157"/>
  <c r="F158"/>
  <c r="G158"/>
  <c r="J158"/>
  <c r="M158"/>
  <c r="F159"/>
  <c r="G159"/>
  <c r="J159"/>
  <c r="M159"/>
  <c r="F160"/>
  <c r="G160"/>
  <c r="J160"/>
  <c r="M160"/>
  <c r="M12"/>
  <c r="F12"/>
  <c r="G12"/>
  <c r="J12"/>
  <c r="B8"/>
  <c r="B7"/>
  <c r="AD139" i="13" l="1"/>
  <c r="AF139" s="1"/>
  <c r="AC139"/>
  <c r="AB139" s="1"/>
  <c r="U139"/>
  <c r="W139" s="1"/>
  <c r="T139"/>
  <c r="S139" s="1"/>
  <c r="N139"/>
  <c r="M139"/>
  <c r="I139"/>
  <c r="L139" s="1"/>
  <c r="K139" s="1"/>
  <c r="G139"/>
  <c r="AD133"/>
  <c r="AF133" s="1"/>
  <c r="AC133"/>
  <c r="AB133" s="1"/>
  <c r="U133"/>
  <c r="W133" s="1"/>
  <c r="T133"/>
  <c r="S133" s="1"/>
  <c r="N133"/>
  <c r="M133"/>
  <c r="I133"/>
  <c r="L133" s="1"/>
  <c r="K133" s="1"/>
  <c r="G133"/>
  <c r="AD40"/>
  <c r="AF40" s="1"/>
  <c r="AC40"/>
  <c r="AB40" s="1"/>
  <c r="U40"/>
  <c r="W40" s="1"/>
  <c r="T40"/>
  <c r="S40" s="1"/>
  <c r="N40"/>
  <c r="M40"/>
  <c r="I40"/>
  <c r="L40" s="1"/>
  <c r="K40" s="1"/>
  <c r="G40"/>
  <c r="AD34"/>
  <c r="AF34" s="1"/>
  <c r="AC34"/>
  <c r="AB34" s="1"/>
  <c r="U34"/>
  <c r="W34" s="1"/>
  <c r="T34"/>
  <c r="S34" s="1"/>
  <c r="N34"/>
  <c r="M34"/>
  <c r="I34"/>
  <c r="L34" s="1"/>
  <c r="K34" s="1"/>
  <c r="G34"/>
  <c r="AD29"/>
  <c r="AF29" s="1"/>
  <c r="AC29"/>
  <c r="AB29" s="1"/>
  <c r="U29"/>
  <c r="W29" s="1"/>
  <c r="T29"/>
  <c r="S29" s="1"/>
  <c r="N29"/>
  <c r="M29"/>
  <c r="I29"/>
  <c r="L29" s="1"/>
  <c r="K29" s="1"/>
  <c r="G29"/>
  <c r="AD23"/>
  <c r="AF23" s="1"/>
  <c r="AC23"/>
  <c r="AB23" s="1"/>
  <c r="U23"/>
  <c r="W23" s="1"/>
  <c r="T23"/>
  <c r="S23" s="1"/>
  <c r="N23"/>
  <c r="M23"/>
  <c r="I23"/>
  <c r="L23" s="1"/>
  <c r="K23" s="1"/>
  <c r="G23"/>
  <c r="AD17"/>
  <c r="AF17" s="1"/>
  <c r="AC17"/>
  <c r="AB17" s="1"/>
  <c r="U17"/>
  <c r="W17" s="1"/>
  <c r="T17"/>
  <c r="S17" s="1"/>
  <c r="N17"/>
  <c r="M17"/>
  <c r="I17"/>
  <c r="L17" s="1"/>
  <c r="K17" s="1"/>
  <c r="G17"/>
  <c r="AD11"/>
  <c r="AF11" s="1"/>
  <c r="AC11"/>
  <c r="AB11" s="1"/>
  <c r="U11"/>
  <c r="W11" s="1"/>
  <c r="T11"/>
  <c r="S11" s="1"/>
  <c r="N11"/>
  <c r="M11"/>
  <c r="I11"/>
  <c r="L11" s="1"/>
  <c r="K11" s="1"/>
  <c r="G11"/>
  <c r="C9" i="17" l="1"/>
  <c r="D9"/>
  <c r="E9"/>
  <c r="C32"/>
  <c r="C25"/>
  <c r="C23"/>
  <c r="C27"/>
  <c r="C6"/>
  <c r="G5"/>
  <c r="C5"/>
  <c r="J12" i="9"/>
  <c r="C24"/>
  <c r="C29" s="1"/>
  <c r="C25"/>
  <c r="C26"/>
  <c r="C27"/>
  <c r="P9" i="14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C8" i="15"/>
  <c r="B8" i="13"/>
  <c r="B7"/>
  <c r="A10" i="14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C17" i="15"/>
  <c r="C16"/>
  <c r="C15"/>
  <c r="C14"/>
  <c r="B14"/>
  <c r="C13"/>
  <c r="B13"/>
  <c r="C12"/>
  <c r="B12"/>
  <c r="C11"/>
  <c r="C9"/>
  <c r="C7"/>
  <c r="G27" i="3"/>
  <c r="G28" s="1"/>
  <c r="C18" i="19" s="1"/>
  <c r="F15" i="11"/>
  <c r="C18" s="1"/>
  <c r="C7"/>
  <c r="C6"/>
  <c r="E76" i="9"/>
  <c r="E75"/>
  <c r="E74"/>
  <c r="F74"/>
  <c r="G74"/>
  <c r="F75"/>
  <c r="G75"/>
  <c r="F76"/>
  <c r="G76"/>
  <c r="C28" i="11"/>
  <c r="C27"/>
  <c r="C26"/>
  <c r="C25"/>
  <c r="C24"/>
  <c r="B7" i="3"/>
  <c r="B8"/>
  <c r="B7" i="7"/>
  <c r="B8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C20" i="19" l="1"/>
  <c r="C21" s="1"/>
  <c r="C31" i="15"/>
  <c r="C32"/>
  <c r="F25" i="7"/>
  <c r="I96" i="5"/>
  <c r="C27" i="7"/>
  <c r="C18" i="15"/>
  <c r="C30" i="9"/>
  <c r="C28" i="15"/>
  <c r="C28" i="9"/>
  <c r="C36" i="15"/>
  <c r="C35"/>
  <c r="C33" l="1"/>
  <c r="C21"/>
  <c r="C31" i="9"/>
  <c r="C37" i="15"/>
  <c r="C10" i="5"/>
  <c r="G10" s="1"/>
  <c r="C66"/>
  <c r="G66" s="1"/>
  <c r="C56"/>
  <c r="G56" s="1"/>
  <c r="C50" l="1"/>
  <c r="G50" s="1"/>
  <c r="C47"/>
  <c r="G47" s="1"/>
  <c r="C17"/>
  <c r="G17" s="1"/>
  <c r="C65"/>
  <c r="G65" s="1"/>
  <c r="C82"/>
  <c r="G82" s="1"/>
  <c r="C15"/>
  <c r="G15" s="1"/>
  <c r="C37"/>
  <c r="G37" s="1"/>
  <c r="C32"/>
  <c r="G32" s="1"/>
  <c r="C26"/>
  <c r="G26" s="1"/>
  <c r="C72"/>
  <c r="G72" s="1"/>
  <c r="C30"/>
  <c r="G30" s="1"/>
  <c r="C16"/>
  <c r="G16" s="1"/>
  <c r="C20"/>
  <c r="G20" s="1"/>
  <c r="C25"/>
  <c r="G25" s="1"/>
  <c r="C51"/>
  <c r="G51" s="1"/>
  <c r="C77"/>
  <c r="G77" s="1"/>
  <c r="C80"/>
  <c r="G80" s="1"/>
  <c r="C22"/>
  <c r="G22" s="1"/>
  <c r="C12"/>
  <c r="G12" s="1"/>
  <c r="C46"/>
  <c r="G46" s="1"/>
  <c r="C55"/>
  <c r="G55" s="1"/>
  <c r="C61"/>
  <c r="G61" s="1"/>
  <c r="C31"/>
  <c r="G31" s="1"/>
  <c r="C27"/>
  <c r="G27" s="1"/>
  <c r="C21"/>
  <c r="G21" s="1"/>
  <c r="C62"/>
  <c r="G62" s="1"/>
  <c r="C40"/>
  <c r="G40" s="1"/>
  <c r="C71"/>
  <c r="G71" s="1"/>
  <c r="C60"/>
  <c r="G60" s="1"/>
  <c r="C35"/>
  <c r="G35" s="1"/>
  <c r="C81"/>
  <c r="G81" s="1"/>
  <c r="C76"/>
  <c r="G76" s="1"/>
  <c r="C42"/>
  <c r="G42" s="1"/>
  <c r="C11"/>
  <c r="G11" s="1"/>
  <c r="C57"/>
  <c r="G57" s="1"/>
  <c r="C52"/>
  <c r="G52" s="1"/>
  <c r="C67"/>
  <c r="G67" s="1"/>
  <c r="C75"/>
  <c r="G75" s="1"/>
  <c r="C45"/>
  <c r="G45" s="1"/>
  <c r="C41"/>
  <c r="G41" s="1"/>
  <c r="C70"/>
  <c r="G70" s="1"/>
  <c r="C36"/>
  <c r="G36" s="1"/>
  <c r="I67" l="1"/>
  <c r="I57"/>
  <c r="I17"/>
  <c r="I27"/>
  <c r="I37"/>
  <c r="I77"/>
  <c r="I47"/>
  <c r="I12"/>
  <c r="I82"/>
  <c r="I32"/>
  <c r="I52"/>
  <c r="C15" i="7"/>
  <c r="I22" i="5"/>
  <c r="I62"/>
  <c r="C13" i="7"/>
  <c r="I72" i="5"/>
  <c r="C20" i="7"/>
  <c r="I42" i="5"/>
  <c r="C11" i="7"/>
  <c r="C14"/>
  <c r="C12"/>
  <c r="C21"/>
  <c r="I92" i="5" l="1"/>
  <c r="I94"/>
  <c r="I85"/>
  <c r="I93"/>
  <c r="C22" i="7"/>
  <c r="C16"/>
  <c r="C103" i="5" l="1"/>
  <c r="C26" i="7" s="1"/>
  <c r="C27" i="15" l="1"/>
  <c r="C20" s="1"/>
  <c r="E9" i="11"/>
  <c r="J67" i="9" s="1"/>
  <c r="C29" i="15" l="1"/>
  <c r="C22" s="1"/>
  <c r="F9" i="17" s="1"/>
  <c r="J68" i="9"/>
  <c r="J69"/>
  <c r="J70" l="1"/>
  <c r="F12" i="11" s="1"/>
  <c r="F13" l="1"/>
  <c r="F14"/>
  <c r="F16"/>
  <c r="B17" i="13" l="1"/>
  <c r="B23" s="1"/>
  <c r="B29" s="1"/>
  <c r="B34" s="1"/>
  <c r="B40" s="1"/>
  <c r="F17" i="11"/>
  <c r="E27" s="1"/>
  <c r="B46" i="13" l="1"/>
  <c r="B52" s="1"/>
  <c r="B58" s="1"/>
  <c r="B63" s="1"/>
  <c r="B69" s="1"/>
  <c r="B75" s="1"/>
  <c r="B81" s="1"/>
  <c r="B87" s="1"/>
  <c r="B92" s="1"/>
  <c r="B98" s="1"/>
  <c r="B104" s="1"/>
  <c r="B110" s="1"/>
  <c r="B116" s="1"/>
  <c r="B121" s="1"/>
  <c r="B127" s="1"/>
  <c r="B133" s="1"/>
  <c r="B139" s="1"/>
  <c r="E20" i="11"/>
  <c r="F27" s="1"/>
  <c r="E24"/>
  <c r="E25"/>
  <c r="E26"/>
  <c r="E28"/>
  <c r="F28" l="1"/>
  <c r="F25"/>
  <c r="F24"/>
  <c r="F26"/>
  <c r="E29"/>
  <c r="F29" l="1"/>
</calcChain>
</file>

<file path=xl/comments1.xml><?xml version="1.0" encoding="utf-8"?>
<comments xmlns="http://schemas.openxmlformats.org/spreadsheetml/2006/main">
  <authors>
    <author>renata.farias</author>
  </authors>
  <commentList>
    <comment ref="D9" authorId="0">
      <text>
        <r>
          <rPr>
            <b/>
            <sz val="8"/>
            <color indexed="81"/>
            <rFont val="Tahoma"/>
            <family val="2"/>
          </rPr>
          <t>Tipo de Manutenção na função:
I -Inclusão  A - Alteração  E - Exclusão</t>
        </r>
      </text>
    </comment>
  </commentList>
</comments>
</file>

<file path=xl/comments2.xml><?xml version="1.0" encoding="utf-8"?>
<comments xmlns="http://schemas.openxmlformats.org/spreadsheetml/2006/main">
  <authors>
    <author>renata.farias</author>
  </authors>
  <commentList>
    <comment ref="E9" authorId="0">
      <text>
        <r>
          <rPr>
            <b/>
            <sz val="8"/>
            <color indexed="81"/>
            <rFont val="Tahoma"/>
            <family val="2"/>
          </rPr>
          <t>Tipo de Manutenção na função:
I -Inclusão  A - Alteração  E - Exclusão</t>
        </r>
      </text>
    </comment>
  </commentList>
</comments>
</file>

<file path=xl/comments3.xml><?xml version="1.0" encoding="utf-8"?>
<comments xmlns="http://schemas.openxmlformats.org/spreadsheetml/2006/main">
  <authors>
    <author>Diogo Matioli Neiva</author>
  </authors>
  <commentList>
    <comment ref="C7" authorId="0">
      <text>
        <r>
          <rPr>
            <sz val="8"/>
            <color indexed="81"/>
            <rFont val="Tahoma"/>
            <family val="2"/>
          </rPr>
          <t>Tipo de item não mensurável: ex.: variáveis, alteração de labels, alteração de posição de campos, alteração de mensagens</t>
        </r>
      </text>
    </comment>
    <comment ref="D7" authorId="0">
      <text>
        <r>
          <rPr>
            <sz val="8"/>
            <color indexed="81"/>
            <rFont val="Tahoma"/>
            <family val="2"/>
          </rPr>
          <t>Quantidade de itens impactados</t>
        </r>
      </text>
    </comment>
    <comment ref="E7" authorId="0">
      <text>
        <r>
          <rPr>
            <sz val="8"/>
            <color indexed="81"/>
            <rFont val="Tahoma"/>
            <family val="2"/>
          </rPr>
          <t>Valor do percentual empregado para este tipo de alteração</t>
        </r>
      </text>
    </comment>
  </commentList>
</comments>
</file>

<file path=xl/sharedStrings.xml><?xml version="1.0" encoding="utf-8"?>
<sst xmlns="http://schemas.openxmlformats.org/spreadsheetml/2006/main" count="708" uniqueCount="376">
  <si>
    <t>Planilha de Pontos de Função</t>
  </si>
  <si>
    <t>Cliente</t>
  </si>
  <si>
    <t>Projeto</t>
  </si>
  <si>
    <t>Solicitante</t>
  </si>
  <si>
    <t>Responsável</t>
  </si>
  <si>
    <t>Experiência (PF)</t>
  </si>
  <si>
    <t>Mais de 15000 PF contados</t>
  </si>
  <si>
    <t>Experiência (anos)</t>
  </si>
  <si>
    <t>Entre 1 e 3 anos</t>
  </si>
  <si>
    <t>Certificado</t>
  </si>
  <si>
    <t>Não</t>
  </si>
  <si>
    <t>Base histórica</t>
  </si>
  <si>
    <t>CTIS</t>
  </si>
  <si>
    <t>Dados da Contagem</t>
  </si>
  <si>
    <t>Tipo da contagem</t>
  </si>
  <si>
    <t>Desenvolvimento</t>
  </si>
  <si>
    <t>Método utilizado</t>
  </si>
  <si>
    <t>IFPUG (PF)</t>
  </si>
  <si>
    <t>Nível de detalhe</t>
  </si>
  <si>
    <t>Detalhada</t>
  </si>
  <si>
    <t>Fase do Projeto</t>
  </si>
  <si>
    <t>Elaboração</t>
  </si>
  <si>
    <t>Estudo (reuniões)</t>
  </si>
  <si>
    <t>Escopo da contagem</t>
  </si>
  <si>
    <t>Documentação Utilizada</t>
  </si>
  <si>
    <t>Observações</t>
  </si>
  <si>
    <t>Data :</t>
  </si>
  <si>
    <t>#</t>
  </si>
  <si>
    <t>Processo Elementar ou Grupo de Dados</t>
  </si>
  <si>
    <t>Tipo</t>
  </si>
  <si>
    <t>AR/TR</t>
  </si>
  <si>
    <t>ctl</t>
  </si>
  <si>
    <t>C</t>
  </si>
  <si>
    <t>Complex.</t>
  </si>
  <si>
    <t>PF</t>
  </si>
  <si>
    <t>SE</t>
  </si>
  <si>
    <t>ALI</t>
  </si>
  <si>
    <t>CE</t>
  </si>
  <si>
    <t>AIE</t>
  </si>
  <si>
    <t>Cálculo do Fator de Ajuste (VAF)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</si>
  <si>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</si>
  <si>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</si>
  <si>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</si>
  <si>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</si>
  <si>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</si>
  <si>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</si>
  <si>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</si>
  <si>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</si>
  <si>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</si>
  <si>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</si>
  <si>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</si>
  <si>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</si>
  <si>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</si>
  <si>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</si>
  <si>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</si>
  <si>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</si>
  <si>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</si>
  <si>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</si>
  <si>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t>COEFICIÊNTE TARIFÁRIO/LINHA - Localizar Coeficiente - Consultar</t>
  </si>
  <si>
    <t>Cliente:</t>
  </si>
  <si>
    <t>Projeto:</t>
  </si>
  <si>
    <t>Fase:</t>
  </si>
  <si>
    <t>Data</t>
  </si>
  <si>
    <t>Tipo da contagem:</t>
  </si>
  <si>
    <t>Documentação utilizada:</t>
  </si>
  <si>
    <t>Observações:</t>
  </si>
  <si>
    <t>Esforço empregado:</t>
  </si>
  <si>
    <t>PF's Ajustados</t>
  </si>
  <si>
    <t>Fator de Ajuste</t>
  </si>
  <si>
    <t>Resumo</t>
  </si>
  <si>
    <t>Funções</t>
  </si>
  <si>
    <t>Arquivo Lógico Interno</t>
  </si>
  <si>
    <t>Arquivo de Interface Externa</t>
  </si>
  <si>
    <t>Entrada Externa</t>
  </si>
  <si>
    <t>Consulta Externa</t>
  </si>
  <si>
    <t>Saída Externa</t>
  </si>
  <si>
    <t>Apuração dos Pontos de Função Não Ajustados</t>
  </si>
  <si>
    <t>Tipo de Função</t>
  </si>
  <si>
    <t>Complexidade Funcional</t>
  </si>
  <si>
    <t>Totais por Complexidade</t>
  </si>
  <si>
    <t>Totais por Tipo de Função</t>
  </si>
  <si>
    <t>Baixa</t>
  </si>
  <si>
    <t>Média</t>
  </si>
  <si>
    <t>Alta</t>
  </si>
  <si>
    <t>Total de Pontos de Função não Ajustados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</si>
  <si>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</si>
  <si>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[UFP]</t>
  </si>
  <si>
    <t>[VAF]</t>
  </si>
  <si>
    <t xml:space="preserve">Valor do Fator de Ajuste </t>
  </si>
  <si>
    <t>Resultados</t>
  </si>
  <si>
    <t>Tamanho do Projeto de Desenvolvimento : DFP = (UFP + CFP) x VAF</t>
  </si>
  <si>
    <t>DFP :</t>
  </si>
  <si>
    <t>Qtd</t>
  </si>
  <si>
    <t>Características Gerais</t>
  </si>
  <si>
    <t>NI</t>
  </si>
  <si>
    <t>Total de funções</t>
  </si>
  <si>
    <t>Contagem Indicativa NESMA</t>
  </si>
  <si>
    <t>Arquivo Lógico Interno ( 35 PF's)</t>
  </si>
  <si>
    <t>Arquivo de Interface Externa (15 PF's)</t>
  </si>
  <si>
    <t>Total de pontos de função:</t>
  </si>
  <si>
    <t>Σ Nível de Influência</t>
  </si>
  <si>
    <t>Contagem por Pontos de Função</t>
  </si>
  <si>
    <t>Valor do fator de ajuste (VAF):</t>
  </si>
  <si>
    <t>Tipo de contagem</t>
  </si>
  <si>
    <t>Nível de Detalhe</t>
  </si>
  <si>
    <t>Método</t>
  </si>
  <si>
    <t>Histórico</t>
  </si>
  <si>
    <t>CFPS</t>
  </si>
  <si>
    <t>PSPO</t>
  </si>
  <si>
    <t>Até 5000 PF contados</t>
  </si>
  <si>
    <t>Menos de 1 ano</t>
  </si>
  <si>
    <t>Sim</t>
  </si>
  <si>
    <t xml:space="preserve">Planejamento Inicial </t>
  </si>
  <si>
    <t>Melhoria</t>
  </si>
  <si>
    <t>Estimada</t>
  </si>
  <si>
    <t>NESMA (PF)</t>
  </si>
  <si>
    <t>Entre 5000 e 15000 PF contados</t>
  </si>
  <si>
    <t>Concepção primeira parte</t>
  </si>
  <si>
    <t>Aplicação (Baseline)</t>
  </si>
  <si>
    <t>Indicativa</t>
  </si>
  <si>
    <t>Histórico (PF)</t>
  </si>
  <si>
    <t>Entre 3 e 5 anos</t>
  </si>
  <si>
    <t>Concepção segunda parte</t>
  </si>
  <si>
    <t>Interligada</t>
  </si>
  <si>
    <t>COSMIC-FFP (PF)</t>
  </si>
  <si>
    <t>Mais de 5 anos</t>
  </si>
  <si>
    <t>Identificada</t>
  </si>
  <si>
    <t>Construção</t>
  </si>
  <si>
    <t>Implantação</t>
  </si>
  <si>
    <t>Sigla</t>
  </si>
  <si>
    <t>Avaliação Técnica</t>
  </si>
  <si>
    <t>André Fernandes</t>
  </si>
  <si>
    <t>Planejamento</t>
  </si>
  <si>
    <t>Concepção</t>
  </si>
  <si>
    <t>Avaliação de Impacto</t>
  </si>
  <si>
    <t>Calculo ID</t>
  </si>
  <si>
    <t>Planilha de Estimativa de Esforço</t>
  </si>
  <si>
    <t>Tipo de Contagem:</t>
  </si>
  <si>
    <t>Migração</t>
  </si>
  <si>
    <t>Cálculo do Fator de Conversão (por Fase)</t>
  </si>
  <si>
    <t>Total do Fator de Conversão</t>
  </si>
  <si>
    <t>Total de Esforço (hrs):</t>
  </si>
  <si>
    <t>Esforço por fase</t>
  </si>
  <si>
    <t xml:space="preserve">FASE </t>
  </si>
  <si>
    <t>% Esforço</t>
  </si>
  <si>
    <t>Esforço (hrs)</t>
  </si>
  <si>
    <t>Total de Esforço</t>
  </si>
  <si>
    <t>Action Script (Flash)</t>
  </si>
  <si>
    <t>Algol</t>
  </si>
  <si>
    <t>Mainframe</t>
  </si>
  <si>
    <t>Percentuais</t>
  </si>
  <si>
    <t>ASP</t>
  </si>
  <si>
    <t>Internet</t>
  </si>
  <si>
    <t>C/S – Access</t>
  </si>
  <si>
    <t>Client/Server</t>
  </si>
  <si>
    <t>C/S - C - C++</t>
  </si>
  <si>
    <t>Clipper</t>
  </si>
  <si>
    <t>Pequeno</t>
  </si>
  <si>
    <t>Médio</t>
  </si>
  <si>
    <t>Grande</t>
  </si>
  <si>
    <t>Cobol</t>
  </si>
  <si>
    <t>Tamanho do Projeto</t>
  </si>
  <si>
    <t>Cold Fusion</t>
  </si>
  <si>
    <t>CSS</t>
  </si>
  <si>
    <t>Valores</t>
  </si>
  <si>
    <t>Percentual de Migração</t>
  </si>
  <si>
    <t>Delphi</t>
  </si>
  <si>
    <t>HTML</t>
  </si>
  <si>
    <t>Java</t>
  </si>
  <si>
    <t>Java + Flash</t>
  </si>
  <si>
    <t>Java + Flex</t>
  </si>
  <si>
    <t>Java Script</t>
  </si>
  <si>
    <t>Laser Xerox</t>
  </si>
  <si>
    <t>Lotus Script</t>
  </si>
  <si>
    <t>LTD</t>
  </si>
  <si>
    <t>MS SharePoint</t>
  </si>
  <si>
    <t>Oracle</t>
  </si>
  <si>
    <t>Pascal</t>
  </si>
  <si>
    <t>Site Server</t>
  </si>
  <si>
    <t>VB</t>
  </si>
  <si>
    <t>VB.Net</t>
  </si>
  <si>
    <t>XHTML</t>
  </si>
  <si>
    <t>Cliente :</t>
  </si>
  <si>
    <t>Projeto :</t>
  </si>
  <si>
    <t>Ambiente :</t>
  </si>
  <si>
    <t>Maturidade:</t>
  </si>
  <si>
    <t>Nível de Maturidade</t>
  </si>
  <si>
    <t>Linguagens</t>
  </si>
  <si>
    <t xml:space="preserve">Departamento </t>
  </si>
  <si>
    <t xml:space="preserve">Dados Gerais </t>
  </si>
  <si>
    <t>Dados para Estimativa de Esforço</t>
  </si>
  <si>
    <t>Esforço-Contagem</t>
  </si>
  <si>
    <t>Roberto Lanna Vilas Boas</t>
  </si>
  <si>
    <t>Diana Ramos</t>
  </si>
  <si>
    <t>Ricardo Ajax</t>
  </si>
  <si>
    <t>Histórico de Revisão</t>
  </si>
  <si>
    <t>Versão</t>
  </si>
  <si>
    <t>Descrição</t>
  </si>
  <si>
    <t>Identificação, Determinação da Complexidade e Cálculo da Contribuição aos PF não Ajustados com deflatores</t>
  </si>
  <si>
    <t>Total PF</t>
  </si>
  <si>
    <t>Itens Não Mensuráveis</t>
  </si>
  <si>
    <t>Tipo de item</t>
  </si>
  <si>
    <t>Quantidade</t>
  </si>
  <si>
    <t>PF's Itens não mensuráveis</t>
  </si>
  <si>
    <t>Total Geral PF's</t>
  </si>
  <si>
    <t>Total de Pontos de Função:</t>
  </si>
  <si>
    <t>Referências para contagem do Itens Não Mensuráveis ou Com Deflatores</t>
  </si>
  <si>
    <t>Versão: 1.0</t>
  </si>
  <si>
    <t>Qtde. TD</t>
  </si>
  <si>
    <t>Qtde. AR/TR</t>
  </si>
  <si>
    <t>Tipo de dados</t>
  </si>
  <si>
    <t>Insumo</t>
  </si>
  <si>
    <t>PHP</t>
  </si>
  <si>
    <t>(I/A/E)</t>
  </si>
  <si>
    <t>NC-10
Versão 1.0</t>
  </si>
  <si>
    <t>Número da Fase do Projeto</t>
  </si>
  <si>
    <t>Pacote da Fase do Projeto</t>
  </si>
  <si>
    <t>TD</t>
  </si>
  <si>
    <t>Deflator (%)</t>
  </si>
  <si>
    <t>Total Geral PF's - 1ª Aferição</t>
  </si>
  <si>
    <t>Divegência / de acordo</t>
  </si>
  <si>
    <t>Fator de equivalência</t>
  </si>
  <si>
    <t>Qtde</t>
  </si>
  <si>
    <t>Fator</t>
  </si>
  <si>
    <t>Observação</t>
  </si>
  <si>
    <t>Aferição de Consenso</t>
  </si>
  <si>
    <t>Total Geral PF's - Aferição de Consenso</t>
  </si>
  <si>
    <t>PF'Ajustados</t>
  </si>
  <si>
    <t>Total Geral de PF's</t>
  </si>
  <si>
    <t>Histórico de Contagens</t>
  </si>
  <si>
    <t>Total Pontos de Função</t>
  </si>
  <si>
    <t>Aferição do Cliente</t>
  </si>
  <si>
    <t>Fase</t>
  </si>
  <si>
    <t>Iteração</t>
  </si>
  <si>
    <t>Resultado Aferido (PF)</t>
  </si>
  <si>
    <t>ACEITE</t>
  </si>
  <si>
    <t>A contagem de ponto de função acima foi aferida e seu resultado foi aceito por todos os envolvidos na íntegra, nesta data.</t>
  </si>
  <si>
    <t>FÁBRICA DE SOFTWARE</t>
  </si>
  <si>
    <t>Analista de Métricas</t>
  </si>
  <si>
    <t>Gerente de Projeto</t>
  </si>
  <si>
    <t>Assinatura</t>
  </si>
  <si>
    <t>APROVAÇÃO</t>
  </si>
  <si>
    <t>Cargo</t>
  </si>
  <si>
    <t>Nome do aprovador</t>
  </si>
  <si>
    <t>Nome do analista</t>
  </si>
  <si>
    <t>Observação:</t>
  </si>
  <si>
    <t>Identificação da Contagem</t>
  </si>
  <si>
    <t>EE
Incluídas</t>
  </si>
  <si>
    <t>EE
Alteradas</t>
  </si>
  <si>
    <t>EE
Excluídas</t>
  </si>
  <si>
    <t>SE
Incluídas</t>
  </si>
  <si>
    <t>SE
Alteradas</t>
  </si>
  <si>
    <t>SE
Excluídas</t>
  </si>
  <si>
    <t>CE
Incluídas</t>
  </si>
  <si>
    <t>CE
Alteradas</t>
  </si>
  <si>
    <t>CE
Excluídas</t>
  </si>
  <si>
    <t>ALI
Incluídos</t>
  </si>
  <si>
    <t>ALI
Alterados</t>
  </si>
  <si>
    <t>ALI
Excluídos</t>
  </si>
  <si>
    <t>AIE
Incluídos</t>
  </si>
  <si>
    <t>AIE
Alterados</t>
  </si>
  <si>
    <t>AIE
Excluídos</t>
  </si>
  <si>
    <t>Deflatores da Contagem</t>
  </si>
  <si>
    <t>Inclusão</t>
  </si>
  <si>
    <t>Alteração</t>
  </si>
  <si>
    <t>Exclusão</t>
  </si>
  <si>
    <t>PF não Ajustados das funcionalidades alteradas</t>
  </si>
  <si>
    <t>PF não Ajustados das funcionalidades incluídas</t>
  </si>
  <si>
    <t>PF não Ajustados das funcionalidades excluídas</t>
  </si>
  <si>
    <t>Propósito da da contagem</t>
  </si>
  <si>
    <t>Identificação dos Processos Elementares e Contribuição de PF Estimados</t>
  </si>
  <si>
    <t>Planilha de Pontos de Função Estimados</t>
  </si>
  <si>
    <t>1ª Contagem Detalhada</t>
  </si>
  <si>
    <t xml:space="preserve">                  Planilha de Pontos de Função</t>
  </si>
  <si>
    <t xml:space="preserve">                              Planilha de Pontos de Função</t>
  </si>
  <si>
    <t>Relatório de Medição de Software</t>
  </si>
  <si>
    <t>Relatório de Estimativa de Software</t>
  </si>
  <si>
    <t xml:space="preserve">Total de PF's </t>
  </si>
  <si>
    <t>Total Pontos de Função Estimados</t>
  </si>
  <si>
    <t>CTM/IS V.4
NC-10</t>
  </si>
  <si>
    <t xml:space="preserve">Revisor </t>
  </si>
  <si>
    <t>I</t>
  </si>
  <si>
    <t xml:space="preserve">Projeto: </t>
  </si>
  <si>
    <t>Versão:</t>
  </si>
  <si>
    <t>1.1</t>
  </si>
  <si>
    <t xml:space="preserve">Data </t>
  </si>
  <si>
    <t>1.2</t>
  </si>
  <si>
    <t>Encarte IX - Guia_de_Contagem_e_Estimativas_MME.pdf</t>
  </si>
  <si>
    <t>Não se aplica.</t>
  </si>
  <si>
    <t>STJ - Superior Tribunal de Justiça</t>
  </si>
  <si>
    <t>SUPERIOR TRIBUNAL DE JUSTIÇA - STJ</t>
  </si>
  <si>
    <t>0.1</t>
  </si>
  <si>
    <t>Identificação das funções transacionais e de dados envolvidas no projeto.</t>
  </si>
  <si>
    <t>Márcia Morais, CFPS.</t>
  </si>
  <si>
    <t>1.0</t>
  </si>
  <si>
    <t>Versionado para entrega ao cliente.</t>
  </si>
  <si>
    <t>SAAD - Sistema de Acompanhamento Administrativo de Documentos</t>
  </si>
  <si>
    <t>Carlos Augusto Gurgel de Sousa‎</t>
  </si>
  <si>
    <t>Fábrica 2</t>
  </si>
  <si>
    <t>N/A</t>
  </si>
  <si>
    <t>Márcia Silva de Morais</t>
  </si>
  <si>
    <t>Estimar em Pontos de Função o tamanho do projeto SAAD - Sistema de Acompanhamento Administrativo de Documentos como uma entrada para o processo de Iniciação e Planejamento da Gerência do Projeto.</t>
  </si>
  <si>
    <t>Todas as funções transacionais e de dados identificadas no documento de visão, especificações suplementares, modelo conceitual  e ainda todas as funções identificadas através de integrações com os sistemas internos do STJ - Superior Tribunal de Justiça e sistemas Externos, que estejam devidamente registrados na documentação utilizada para esta contagem.</t>
  </si>
  <si>
    <t>saad_dovs_visao_inicial_do_sistema_visão - Versão 0.03</t>
  </si>
  <si>
    <t>EE</t>
  </si>
  <si>
    <t>Listar Nome Cargo</t>
  </si>
  <si>
    <t>Detalhar Aviso</t>
  </si>
  <si>
    <t>Avisos</t>
  </si>
  <si>
    <t>Usuário (Módulo de Segurança do Sistema Justiça)</t>
  </si>
  <si>
    <t>Remetente (Mala Direta)</t>
  </si>
  <si>
    <t>Perfil (Módulo de Segurança do Sistema Justiça)</t>
  </si>
  <si>
    <t>Documento</t>
  </si>
  <si>
    <t>Consultar Andamento do Documento</t>
  </si>
  <si>
    <t>Incluir Andamento do Documento</t>
  </si>
  <si>
    <t>Alterar Andamento do Documento</t>
  </si>
  <si>
    <t>Excluir Andamento do Documento</t>
  </si>
  <si>
    <t>Andamento do Documento</t>
  </si>
  <si>
    <t>Auditoria</t>
  </si>
  <si>
    <t>Consultar Log de Auditoria</t>
  </si>
  <si>
    <t>Localização</t>
  </si>
  <si>
    <t>Ministros/Presidência</t>
  </si>
  <si>
    <t>Incluir Aviso</t>
  </si>
  <si>
    <t>Alterar Aviso</t>
  </si>
  <si>
    <t>Consultar para Alterar Aviso</t>
  </si>
  <si>
    <t>Excluir Aviso</t>
  </si>
  <si>
    <t>Resolver Aviso</t>
  </si>
  <si>
    <t>Módulo Mural de Avisos</t>
  </si>
  <si>
    <t>Exibir Mural de Avisos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</si>
  <si>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Exibir Avisos - O sistema deverá incluir, na tela Mural de Avisos, o botão "Visualizar" para detalhar o aviso.</t>
    </r>
  </si>
  <si>
    <r>
      <rPr>
        <b/>
        <sz val="10"/>
        <rFont val="Tahoma"/>
        <family val="2"/>
      </rPr>
      <t>Item 4.3. Requisitos gerais do Produto
Manter Avisos -</t>
    </r>
    <r>
      <rPr>
        <sz val="10"/>
        <rFont val="Tahoma"/>
        <family val="2"/>
      </rPr>
      <t xml:space="preserve"> O sistema deverá apresentar a Situação do Aviso como: Pendente, Em andamento e Resolvido/Lido.
Haverá 3 opções de endereçamento: (1) Todo o Gabinete. (2) destinatários específicos e (3) para mais de um destinatário (</t>
    </r>
    <r>
      <rPr>
        <b/>
        <u/>
        <sz val="10"/>
        <rFont val="Tahoma"/>
        <family val="2"/>
      </rPr>
      <t>onde será possível selecionar uma lista de nome ou cargo</t>
    </r>
    <r>
      <rPr>
        <sz val="10"/>
        <rFont val="Tahoma"/>
        <family val="2"/>
      </rPr>
      <t xml:space="preserve">). 
Em relação à opção 1, o responsável por criar o aviso deve mantê-lo </t>
    </r>
    <r>
      <rPr>
        <b/>
        <u/>
        <sz val="10"/>
        <rFont val="Tahoma"/>
        <family val="2"/>
      </rPr>
      <t>(incluir, alterar e excluir)</t>
    </r>
    <r>
      <rPr>
        <sz val="10"/>
        <rFont val="Tahoma"/>
        <family val="2"/>
      </rPr>
      <t xml:space="preserve"> ou </t>
    </r>
    <r>
      <rPr>
        <b/>
        <u/>
        <sz val="10"/>
        <rFont val="Tahoma"/>
        <family val="2"/>
      </rPr>
      <t>colocar como resolvido</t>
    </r>
    <r>
      <rPr>
        <sz val="10"/>
        <rFont val="Tahoma"/>
        <family val="2"/>
      </rPr>
      <t>. No caso 2, o destinatário ao resolver colocar como resolvido e no caso 3, o sistema deve criar um aviso para cada destinatário e, respectivamente, cada destinatário deve colocar como resolvido.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</si>
  <si>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Exibir Avisos</t>
    </r>
    <r>
      <rPr>
        <sz val="10"/>
        <rFont val="Tahoma"/>
        <family val="2"/>
      </rPr>
      <t xml:space="preserve"> - Na tela inicial, o sistema deverá </t>
    </r>
    <r>
      <rPr>
        <b/>
        <u/>
        <sz val="10"/>
        <rFont val="Tahoma"/>
        <family val="2"/>
      </rPr>
      <t>apresentar o nome Mural de Avisos</t>
    </r>
    <r>
      <rPr>
        <sz val="10"/>
        <rFont val="Tahoma"/>
        <family val="2"/>
      </rPr>
      <t xml:space="preserve"> em uma Aba.
O Mural de Avisos do sistema deverá ser visualizado por todos os servidores do respectiva Unidade.
O sistema deverá apresentar o campo "Descrição" do Aviso.
</t>
    </r>
    <r>
      <rPr>
        <b/>
        <u/>
        <sz val="10"/>
        <rFont val="Tahoma"/>
        <family val="2"/>
      </rPr>
      <t>O sistema deverá apresentar um totalizador com o número de avisos pendentes.</t>
    </r>
  </si>
  <si>
    <t>Módulo Gestão</t>
  </si>
  <si>
    <t>Incluir Tipo de Documento</t>
  </si>
  <si>
    <t>Tipo de Documento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</si>
  <si>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Tipo de Documento</t>
    </r>
    <r>
      <rPr>
        <sz val="10"/>
        <rFont val="Tahoma"/>
        <family val="2"/>
      </rPr>
      <t xml:space="preserve"> - O sistema conterá tipos de documentos fixos, ou seja, os que existem no SAAP. Ex.: ofício, memorando, carta, etc. O Gestor fará a marcação de quais são utilizados pela Unidade.
O sistema deverá permitir um </t>
    </r>
    <r>
      <rPr>
        <b/>
        <u/>
        <sz val="10"/>
        <rFont val="Tahoma"/>
        <family val="2"/>
      </rPr>
      <t>novo tipo de documento para a Unidade</t>
    </r>
    <r>
      <rPr>
        <sz val="10"/>
        <rFont val="Tahoma"/>
        <family val="2"/>
      </rPr>
      <t xml:space="preserve">.
O sistema deverá permitir as seguintes </t>
    </r>
    <r>
      <rPr>
        <b/>
        <u/>
        <sz val="10"/>
        <rFont val="Tahoma"/>
        <family val="2"/>
      </rPr>
      <t>configurações para cada tipo de documento</t>
    </r>
    <r>
      <rPr>
        <sz val="10"/>
        <rFont val="Tahoma"/>
        <family val="2"/>
      </rPr>
      <t>: 
• nome da pasta física (se a Unidade utilizar).
• nome da pasta do servidor da rede.
• identificador atual do tipo de documento.
• número atual para documento expedido.
• associação a um tipo de documento.
• campos utilizados no cadastro de documento.
Este módulo somente poderá ser utilizado pelo usuário Gestor.</t>
    </r>
  </si>
  <si>
    <t>Configurar Tipo de Documento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</si>
  <si>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Auditar Cadastro do Documento</t>
    </r>
    <r>
      <rPr>
        <sz val="10"/>
        <rFont val="Tahoma"/>
        <family val="2"/>
      </rPr>
      <t xml:space="preserve"> - O sistema deverá gravar todas as inclusões, alterações e exclusões de informações relacionadas aos documentos e </t>
    </r>
    <r>
      <rPr>
        <b/>
        <u/>
        <sz val="10"/>
        <rFont val="Tahoma"/>
        <family val="2"/>
      </rPr>
      <t xml:space="preserve">permitir a consulta destas informações.
</t>
    </r>
    <r>
      <rPr>
        <sz val="10"/>
        <rFont val="Tahoma"/>
        <family val="2"/>
      </rPr>
      <t xml:space="preserve">O sistema deverá </t>
    </r>
    <r>
      <rPr>
        <b/>
        <u/>
        <sz val="10"/>
        <rFont val="Tahoma"/>
        <family val="2"/>
      </rPr>
      <t>criar log dos dados</t>
    </r>
    <r>
      <rPr>
        <sz val="10"/>
        <rFont val="Tahoma"/>
        <family val="2"/>
      </rPr>
      <t xml:space="preserve"> que foram alterados no documento para comparar com o registro anterior, ou seja, registrar o log referente à data planejada e à data solucionada, pois esta data poderá ser postergada pelo Gestor. 
O sistema deverá armazenar um log de todos os metadados do documento (dados que identificam o documento). Exemplo: ao se fazer alteração em algum campo guardar todos os campos do registro anterior.
O sistema deverá armazenar um log de situação do documento (guardar os responsáveis pelas ações de inclusão, alteração e exclusão): data da operação, tipo da operação e usuário da operação.</t>
    </r>
  </si>
  <si>
    <r>
      <rPr>
        <b/>
        <sz val="10"/>
        <rFont val="Tahoma"/>
        <family val="2"/>
      </rPr>
      <t xml:space="preserve">Item 4.3. Requisitos gerais do Produto
Manter Customização do Sistema para o Local - </t>
    </r>
    <r>
      <rPr>
        <sz val="10"/>
        <rFont val="Tahoma"/>
        <family val="2"/>
      </rPr>
      <t>Este módulo somente poderá ser utilizado pelo usuário Gestor.
Tipos de configuração por Local:
• Tipos de Documentos utilizados.
• Utilização de Pasta Física.
• Local da Pasta de Triagem no servidor de rede. 
• Considerar Gestão do Ministro para Gabinetes.</t>
    </r>
  </si>
  <si>
    <t>Configurar Local</t>
  </si>
  <si>
    <t>Local</t>
  </si>
  <si>
    <t>Módulo Documento</t>
  </si>
  <si>
    <t>Consultar Demanda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</si>
  <si>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Documento</t>
    </r>
    <r>
      <rPr>
        <sz val="10"/>
        <rFont val="Tahoma"/>
        <family val="2"/>
      </rPr>
      <t xml:space="preserve"> - O sistema deverá apresentar como "Situação da Demanda", os seguintes campos: pendente ou resolvido. O padrão ao criar a demanda é pendente.
Ao  selecionar a Situação da Demanda como "Resolvido", esta demanda não será mais apresentada no mural de alertas de vencimento.
</t>
    </r>
    <r>
      <rPr>
        <b/>
        <u/>
        <sz val="10"/>
        <rFont val="Tahoma"/>
        <family val="2"/>
      </rPr>
      <t>Será possível consultar as demandas que foram resolvidas na funcionalidade Consultar a Demanda.</t>
    </r>
  </si>
  <si>
    <t>Descrever Demanda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</si>
  <si>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Documento</t>
    </r>
    <r>
      <rPr>
        <sz val="10"/>
        <rFont val="Tahoma"/>
        <family val="2"/>
      </rPr>
      <t xml:space="preserve"> - O sistema deverá apresentar a</t>
    </r>
    <r>
      <rPr>
        <b/>
        <u/>
        <sz val="10"/>
        <rFont val="Tahoma"/>
        <family val="2"/>
      </rPr>
      <t xml:space="preserve"> opção de descrever a demanda</t>
    </r>
    <r>
      <rPr>
        <sz val="10"/>
        <rFont val="Tahoma"/>
        <family val="2"/>
      </rPr>
      <t xml:space="preserve"> ou direcionar para a leitura da demanda no próprio documento.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</si>
  <si>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Documento</t>
    </r>
    <r>
      <rPr>
        <sz val="10"/>
        <rFont val="Tahoma"/>
        <family val="2"/>
      </rPr>
      <t xml:space="preserve"> - O sistema deverá apresentar a opção de descrever a demanda ou </t>
    </r>
    <r>
      <rPr>
        <b/>
        <u/>
        <sz val="10"/>
        <rFont val="Tahoma"/>
        <family val="2"/>
      </rPr>
      <t>direcionar para a leitura da demanda no próprio documento</t>
    </r>
    <r>
      <rPr>
        <sz val="10"/>
        <rFont val="Tahoma"/>
        <family val="2"/>
      </rPr>
      <t>.</t>
    </r>
  </si>
  <si>
    <t>Direcionar Demanda para Leitura</t>
  </si>
  <si>
    <t>Pesquisar Documento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</si>
  <si>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Pesquisar Documento</t>
    </r>
    <r>
      <rPr>
        <sz val="10"/>
        <rFont val="Tahoma"/>
        <family val="2"/>
      </rPr>
      <t xml:space="preserve"> - Apresentar as opções do Campo "Situação do Documento”: "Pendente" e "Resolvido". Atualmente, este campo apresenta as opções Ativo e Inativo.
Apresentar na consulta de documento a situação da demanda.
Substituir o atual list box por radio bottom para representar as opções do campo "Situação do Documento".
Incluir o campo "Responsável" como mais um filtro da consulta.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</si>
  <si>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Pesquisar Documento</t>
    </r>
    <r>
      <rPr>
        <sz val="10"/>
        <rFont val="Tahoma"/>
        <family val="2"/>
      </rPr>
      <t xml:space="preserve"> - Apresentar a opção </t>
    </r>
    <r>
      <rPr>
        <b/>
        <u/>
        <sz val="10"/>
        <rFont val="Tahoma"/>
        <family val="2"/>
      </rPr>
      <t>"Excluir</t>
    </r>
    <r>
      <rPr>
        <sz val="10"/>
        <rFont val="Tahoma"/>
        <family val="2"/>
      </rPr>
      <t xml:space="preserve">" da tabela de Resultado da Consulta de Documento. </t>
    </r>
    <r>
      <rPr>
        <b/>
        <u/>
        <sz val="10"/>
        <rFont val="Tahoma"/>
        <family val="2"/>
      </rPr>
      <t>Esta opção permite ao usuário excluir o cadastro do documento no sistema</t>
    </r>
    <r>
      <rPr>
        <sz val="10"/>
        <rFont val="Tahoma"/>
        <family val="2"/>
      </rPr>
      <t xml:space="preserve"> e não o documento físico que permanecerá na pasta.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</si>
  <si>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Pesquisar Documento</t>
    </r>
    <r>
      <rPr>
        <sz val="10"/>
        <rFont val="Tahoma"/>
        <family val="2"/>
      </rPr>
      <t xml:space="preserve"> - Ao dar dois cliques sobre o Documento será apresentada a Tela "Dados do Documento".</t>
    </r>
  </si>
  <si>
    <t>Alterar Documento</t>
  </si>
  <si>
    <t>Consultar para Alterar Documento</t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</si>
  <si>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Pesquisar Documento</t>
    </r>
    <r>
      <rPr>
        <sz val="10"/>
        <rFont val="Tahoma"/>
        <family val="2"/>
      </rPr>
      <t xml:space="preserve"> -Cadastrar as opções: </t>
    </r>
    <r>
      <rPr>
        <b/>
        <u/>
        <sz val="10"/>
        <rFont val="Tahoma"/>
        <family val="2"/>
      </rPr>
      <t>"Alterar",</t>
    </r>
    <r>
      <rPr>
        <sz val="10"/>
        <rFont val="Tahoma"/>
        <family val="2"/>
      </rPr>
      <t xml:space="preserve"> "Histórico", "Andamentos", "Imprimir" e "Voltar".</t>
    </r>
  </si>
  <si>
    <t>Visualizar Histórico do Documento</t>
  </si>
  <si>
    <t>Visualizar Andamentos do Documento</t>
  </si>
  <si>
    <r>
      <rPr>
        <b/>
        <sz val="10"/>
        <rFont val="Tahoma"/>
        <family val="2"/>
      </rPr>
      <t xml:space="preserve">Item 4.3. Requisitos gerais do Produto
Pesquisar Documento </t>
    </r>
    <r>
      <rPr>
        <sz val="10"/>
        <rFont val="Tahoma"/>
        <family val="2"/>
      </rPr>
      <t xml:space="preserve">-Cadastrar as opções: "Alterar", "Histórico", </t>
    </r>
    <r>
      <rPr>
        <b/>
        <u/>
        <sz val="10"/>
        <rFont val="Tahoma"/>
        <family val="2"/>
      </rPr>
      <t>"Andamentos"</t>
    </r>
    <r>
      <rPr>
        <sz val="10"/>
        <rFont val="Tahoma"/>
        <family val="2"/>
      </rPr>
      <t>, "Imprimir" e "Voltar".</t>
    </r>
  </si>
  <si>
    <t>Consultar Situação do Documento</t>
  </si>
  <si>
    <r>
      <rPr>
        <b/>
        <sz val="10"/>
        <rFont val="Tahoma"/>
        <family val="2"/>
      </rPr>
      <t xml:space="preserve">Item 4.3. Requisitos gerais do Produto
Pesquisar Documento </t>
    </r>
    <r>
      <rPr>
        <sz val="10"/>
        <rFont val="Tahoma"/>
        <family val="2"/>
      </rPr>
      <t xml:space="preserve">-Cadastrar as opções: "Alterar", </t>
    </r>
    <r>
      <rPr>
        <b/>
        <u/>
        <sz val="10"/>
        <rFont val="Tahoma"/>
        <family val="2"/>
      </rPr>
      <t>"Histórico",</t>
    </r>
    <r>
      <rPr>
        <sz val="10"/>
        <rFont val="Tahoma"/>
        <family val="2"/>
      </rPr>
      <t xml:space="preserve"> "Andamentos", "Imprimir" e "Voltar".
</t>
    </r>
    <r>
      <rPr>
        <b/>
        <u/>
        <sz val="10"/>
        <rFont val="Tahoma"/>
        <family val="2"/>
      </rPr>
      <t>Visualizar Histórico do Documento</t>
    </r>
    <r>
      <rPr>
        <sz val="10"/>
        <rFont val="Tahoma"/>
        <family val="2"/>
      </rPr>
      <t xml:space="preserve"> - O sistema deverá permitir consultar tudo o que foi executado para concluir uma demanda.
O sistema deverá permitir consultar o andamento do documento.
Na tabela Andamentos desta tela, incluir "Hora" no campo Data para acompanhar o detalhamento do andamento. O título deste campo deverá ser Data/Hora.</t>
    </r>
  </si>
  <si>
    <t>Apresentar Alerta</t>
  </si>
  <si>
    <r>
      <rPr>
        <b/>
        <sz val="10"/>
        <rFont val="Tahoma"/>
        <family val="2"/>
      </rPr>
      <t xml:space="preserve">Item 4.3. Requisitos gerais do Produto
Consultar Situação do Documento </t>
    </r>
    <r>
      <rPr>
        <sz val="10"/>
        <rFont val="Tahoma"/>
        <family val="2"/>
      </rPr>
      <t>- O sistema deverá permitir consultar todas as operações realizadas no cadastro do documento, desde a sua criação.</t>
    </r>
  </si>
  <si>
    <r>
      <rPr>
        <b/>
        <sz val="10"/>
        <rFont val="Tahoma"/>
        <family val="2"/>
      </rPr>
      <t xml:space="preserve">Item 4.3. Requisitos gerais do Produto
Alertar Vencimento de Prazos de Demandas dos Documentos </t>
    </r>
    <r>
      <rPr>
        <sz val="10"/>
        <rFont val="Tahoma"/>
        <family val="2"/>
      </rPr>
      <t>- O sistema deverá apresentar um alerta quando a situação estiver pendente. 
O sistema deverá apresentar um alerta quando a situação estiver pendente.
O sistema deverá apresentar o Responsável pelo documento.</t>
    </r>
  </si>
  <si>
    <r>
      <rPr>
        <b/>
        <sz val="10"/>
        <rFont val="Tahoma"/>
        <family val="2"/>
      </rPr>
      <t>Item 4.3.2. Dependências e Integrações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Gestão de Ministros</t>
    </r>
    <r>
      <rPr>
        <sz val="10"/>
        <rFont val="Tahoma"/>
        <family val="2"/>
      </rPr>
      <t xml:space="preserve"> - Consulta período de vigência do mandato do Ministro no Tribunal e na Presidência</t>
    </r>
  </si>
  <si>
    <r>
      <rPr>
        <b/>
        <sz val="10"/>
        <rFont val="Tahoma"/>
        <family val="2"/>
      </rPr>
      <t>Item 4.3.2. Dependências e Integrações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Justiça</t>
    </r>
    <r>
      <rPr>
        <sz val="10"/>
        <rFont val="Tahoma"/>
        <family val="2"/>
      </rPr>
      <t xml:space="preserve"> - Consulta dados/informações das tabelas de Local, Ministros e Presidência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</si>
  <si>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Documento</t>
    </r>
    <r>
      <rPr>
        <sz val="10"/>
        <rFont val="Tahoma"/>
        <family val="2"/>
      </rPr>
      <t xml:space="preserve"> - Apresentar campos diferenciados de acordo com o tipo de documento.
- Apresentar novos campos ao incluir um documento: 
</t>
    </r>
    <r>
      <rPr>
        <b/>
        <u/>
        <sz val="10"/>
        <rFont val="Tahoma"/>
        <family val="2"/>
      </rPr>
      <t>• órgão do remetente *
• nome do remetente *
• cargo do remetente *</t>
    </r>
    <r>
      <rPr>
        <sz val="10"/>
        <rFont val="Tahoma"/>
        <family val="2"/>
      </rPr>
      <t xml:space="preserve">
• nome do evento
• período (de até) 
• data (de até) 
* Buscar do Sistema de Mala Direta com filtro dos dados do local e do Cerimonial (somente acessar, não será importado).
</t>
    </r>
    <r>
      <rPr>
        <b/>
        <sz val="10"/>
        <rFont val="Tahoma"/>
        <family val="2"/>
      </rPr>
      <t>Item 4.3.2. Dependências e Integrações
Mala Direta -</t>
    </r>
    <r>
      <rPr>
        <sz val="10"/>
        <rFont val="Tahoma"/>
        <family val="2"/>
      </rPr>
      <t xml:space="preserve"> Consulta dados/informações da base de Gabinete ou Cerimonial.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</si>
  <si>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Exibir Avisos</t>
    </r>
    <r>
      <rPr>
        <sz val="10"/>
        <rFont val="Tahoma"/>
        <family val="2"/>
      </rPr>
      <t xml:space="preserve"> - Os dados dos servidores da Unidade deverão ser obtidos pelo sistema interno do STJ (integrar ao módulo Segurança do Sistema Justiça).
</t>
    </r>
    <r>
      <rPr>
        <b/>
        <sz val="10"/>
        <rFont val="Tahoma"/>
        <family val="2"/>
      </rPr>
      <t>Item 4.3.2. Dependências e Integrações</t>
    </r>
    <r>
      <rPr>
        <sz val="10"/>
        <rFont val="Tahoma"/>
        <family val="2"/>
      </rPr>
      <t xml:space="preserve">
Módulo Segurança do Justiça - Gera dados/informações para criação de Perfis de Gestor e Executor.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</si>
  <si>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Documento</t>
    </r>
    <r>
      <rPr>
        <sz val="10"/>
        <rFont val="Tahoma"/>
        <family val="2"/>
      </rPr>
      <t xml:space="preserve"> - O sistema deverá permitir a inclusão do documento somente pelo </t>
    </r>
    <r>
      <rPr>
        <b/>
        <u/>
        <sz val="10"/>
        <rFont val="Tahoma"/>
        <family val="2"/>
      </rPr>
      <t>usuário que possuir o perfil Gestor cadastrado para o SAAD no módulo Segurança do Sistema Justiça</t>
    </r>
    <r>
      <rPr>
        <sz val="10"/>
        <rFont val="Tahoma"/>
        <family val="2"/>
      </rPr>
      <t xml:space="preserve">.
</t>
    </r>
    <r>
      <rPr>
        <b/>
        <sz val="10"/>
        <rFont val="Tahoma"/>
        <family val="2"/>
      </rPr>
      <t xml:space="preserve">Item 4.3.2. Dependências e Integrações
Módulo Segurança do Justiça - </t>
    </r>
    <r>
      <rPr>
        <sz val="10"/>
        <rFont val="Tahoma"/>
        <family val="2"/>
      </rPr>
      <t>Gera dados/informações para criação de Perfis de Gestor e Executor.</t>
    </r>
  </si>
  <si>
    <r>
      <rPr>
        <b/>
        <sz val="10"/>
        <rFont val="Tahoma"/>
        <family val="2"/>
      </rPr>
      <t>Item 4.3. Requisitos gerais do Produto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 xml:space="preserve">Manter Documento - </t>
    </r>
    <r>
      <rPr>
        <sz val="10"/>
        <rFont val="Tahoma"/>
        <family val="2"/>
      </rPr>
      <t xml:space="preserve">Ao realizar o cadastro do documento, o sistema deverá abrir uma janela para busca do arquivo em uma pasta temporária ("triagem") do servidor de rede. Sendo assim, o documento NÃO será armazenado na base do sistema SAAD. 
O sistema deverá determinar um padrão para as pasta dos tipo de documento (aviso, carta, ofício, etc.) que serão informadas no Módulo Gestão.
O padrão dos nomes dos diretórios de armazenamento de documentos do sistema deverá utilizar o padrão de nomeação de documentos atual, ou seja, NúmeroDocumento_Sigla_Ano.
</t>
    </r>
    <r>
      <rPr>
        <b/>
        <u/>
        <sz val="10"/>
        <rFont val="Tahoma"/>
        <family val="2"/>
      </rPr>
      <t>O Remetente poderá ser Interno ou Externo: 
- Se Interno apresentar o Local e o Remetente, se for Externo poderá ser Órgão ou Pessoa Física. 
- Se for Órgão apresentar o Nome do Órgão, cargo e nome da autoridade, se for Pessoa Física apresentar somente o nome.</t>
    </r>
  </si>
  <si>
    <t>Cadastrar Documento Recebido com Remetente Externo Órgão</t>
  </si>
  <si>
    <t>Cadastrar Documento Recebido com Remetente Externo Pessoa Física</t>
  </si>
  <si>
    <t>Cadastrar Documento Recebido com Remetente Interno</t>
  </si>
  <si>
    <t>Excluir Cadastro do Documento</t>
  </si>
  <si>
    <t>Consultar Avisos da Unidade</t>
  </si>
  <si>
    <r>
      <rPr>
        <b/>
        <sz val="10"/>
        <rFont val="Tahoma"/>
        <family val="2"/>
      </rPr>
      <t xml:space="preserve">Item 3.4. Principais Necessidades dos Usuários ou dos Envolvidos
Manter Avisos - </t>
    </r>
    <r>
      <rPr>
        <sz val="10"/>
        <rFont val="Tahoma"/>
        <family val="2"/>
      </rPr>
      <t xml:space="preserve">O objetivo desta funcionalidade é cadastrar, alterar, </t>
    </r>
    <r>
      <rPr>
        <b/>
        <u/>
        <sz val="10"/>
        <rFont val="Tahoma"/>
        <family val="2"/>
      </rPr>
      <t>consultar</t>
    </r>
    <r>
      <rPr>
        <sz val="10"/>
        <rFont val="Tahoma"/>
        <family val="2"/>
      </rPr>
      <t xml:space="preserve"> e excluir os avisos </t>
    </r>
    <r>
      <rPr>
        <b/>
        <u/>
        <sz val="10"/>
        <rFont val="Tahoma"/>
        <family val="2"/>
      </rPr>
      <t xml:space="preserve">pertinentes a cada Unidade. 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/>
    </r>
  </si>
  <si>
    <t>Detalhar Dados do Documento</t>
  </si>
  <si>
    <r>
      <rPr>
        <b/>
        <sz val="10"/>
        <rFont val="Tahoma"/>
        <family val="2"/>
      </rPr>
      <t>Item 3.4. Principais Necessidades dos Usuários ou dos Envolvidos</t>
    </r>
    <r>
      <rPr>
        <sz val="10"/>
        <rFont val="Tahoma"/>
        <family val="2"/>
      </rPr>
      <t xml:space="preserve">
</t>
    </r>
    <r>
      <rPr>
        <b/>
        <sz val="10"/>
        <rFont val="Tahoma"/>
        <family val="2"/>
      </rPr>
      <t>Manter Andamento do Documento</t>
    </r>
    <r>
      <rPr>
        <sz val="10"/>
        <rFont val="Tahoma"/>
        <family val="2"/>
      </rPr>
      <t xml:space="preserve">
O objetivo desta funcionalidade é </t>
    </r>
    <r>
      <rPr>
        <b/>
        <u/>
        <sz val="10"/>
        <rFont val="Tahoma"/>
        <family val="2"/>
      </rPr>
      <t>consultar, incluir, alterar ou excluir</t>
    </r>
    <r>
      <rPr>
        <sz val="10"/>
        <rFont val="Tahoma"/>
        <family val="2"/>
      </rPr>
      <t xml:space="preserve"> o andamento do documento cadastrado no sistema.</t>
    </r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</si>
</sst>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dd/mm/yy\ hh:mm"/>
    <numFmt numFmtId="166" formatCode="0.0&quot; h&quot;"/>
    <numFmt numFmtId="167" formatCode="dd/mm/yy"/>
    <numFmt numFmtId="168" formatCode="&quot;x &quot;0"/>
    <numFmt numFmtId="169" formatCode="&quot;R$ &quot;#,##0.00"/>
    <numFmt numFmtId="170" formatCode="&quot;VERDADEIRO&quot;;&quot;VERDADEIRO&quot;;&quot;FALSO&quot;"/>
    <numFmt numFmtId="171" formatCode="[$-416]d\-mmm\-yy;@"/>
  </numFmts>
  <fonts count="6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i/>
      <sz val="12"/>
      <name val="Arial"/>
      <family val="2"/>
    </font>
    <font>
      <b/>
      <u/>
      <sz val="10"/>
      <name val="Tahoma"/>
      <family val="2"/>
    </font>
    <font>
      <sz val="14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0"/>
      <color indexed="8"/>
      <name val="Verdana"/>
      <family val="2"/>
    </font>
    <font>
      <b/>
      <sz val="12"/>
      <color indexed="10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Tahoma"/>
      <family val="2"/>
    </font>
    <font>
      <i/>
      <sz val="11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rgb="FF0000FF"/>
      <name val="Arial"/>
      <family val="2"/>
    </font>
    <font>
      <sz val="10"/>
      <color theme="1"/>
      <name val="Arial"/>
      <family val="2"/>
    </font>
    <font>
      <i/>
      <sz val="8"/>
      <name val="Arial"/>
      <family val="2"/>
    </font>
    <font>
      <i/>
      <sz val="8"/>
      <color rgb="FF0000FF"/>
      <name val="Arial"/>
      <family val="2"/>
    </font>
    <font>
      <b/>
      <sz val="8"/>
      <color rgb="FF0000FF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i/>
      <sz val="9"/>
      <color rgb="FF0066FF"/>
      <name val="Arial"/>
      <family val="2"/>
    </font>
    <font>
      <sz val="8"/>
      <color rgb="FF0066FF"/>
      <name val="Arial"/>
      <family val="2"/>
    </font>
    <font>
      <b/>
      <i/>
      <sz val="10"/>
      <color rgb="FF0066FF"/>
      <name val="Arial"/>
      <family val="2"/>
    </font>
    <font>
      <sz val="10"/>
      <color rgb="FF0066FF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3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23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2" fillId="0" borderId="0"/>
    <xf numFmtId="9" fontId="2" fillId="0" borderId="0"/>
    <xf numFmtId="9" fontId="35" fillId="0" borderId="0" applyFill="0" applyBorder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5" fillId="0" borderId="0"/>
    <xf numFmtId="0" fontId="35" fillId="23" borderId="4" applyNumberFormat="0" applyAlignment="0" applyProtection="0"/>
    <xf numFmtId="9" fontId="35" fillId="0" borderId="0" applyFill="0" applyBorder="0" applyAlignment="0" applyProtection="0"/>
    <xf numFmtId="0" fontId="11" fillId="16" borderId="5" applyNumberFormat="0" applyAlignment="0" applyProtection="0"/>
    <xf numFmtId="164" fontId="1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</cellStyleXfs>
  <cellXfs count="637">
    <xf numFmtId="0" fontId="0" fillId="0" borderId="0" xfId="0"/>
    <xf numFmtId="0" fontId="24" fillId="0" borderId="0" xfId="0" applyFont="1" applyBorder="1" applyProtection="1">
      <protection locked="0"/>
    </xf>
    <xf numFmtId="2" fontId="27" fillId="0" borderId="10" xfId="32" applyNumberFormat="1" applyFont="1" applyFill="1" applyBorder="1" applyAlignment="1" applyProtection="1">
      <alignment horizontal="center"/>
    </xf>
    <xf numFmtId="2" fontId="27" fillId="0" borderId="11" xfId="37" applyNumberFormat="1" applyFont="1" applyFill="1" applyBorder="1" applyAlignment="1" applyProtection="1"/>
    <xf numFmtId="0" fontId="0" fillId="0" borderId="0" xfId="0" applyProtection="1">
      <protection hidden="1"/>
    </xf>
    <xf numFmtId="0" fontId="36" fillId="0" borderId="0" xfId="0" applyFont="1" applyAlignment="1" applyProtection="1">
      <alignment horizontal="left"/>
      <protection hidden="1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2" fontId="22" fillId="24" borderId="12" xfId="0" applyNumberFormat="1" applyFont="1" applyFill="1" applyBorder="1" applyAlignment="1" applyProtection="1">
      <alignment horizontal="center"/>
      <protection hidden="1"/>
    </xf>
    <xf numFmtId="0" fontId="40" fillId="0" borderId="0" xfId="0" applyFont="1" applyProtection="1">
      <protection hidden="1"/>
    </xf>
    <xf numFmtId="0" fontId="20" fillId="24" borderId="13" xfId="0" applyFont="1" applyFill="1" applyBorder="1" applyAlignment="1" applyProtection="1">
      <alignment horizontal="center"/>
      <protection hidden="1"/>
    </xf>
    <xf numFmtId="0" fontId="20" fillId="24" borderId="14" xfId="0" applyFont="1" applyFill="1" applyBorder="1" applyAlignment="1" applyProtection="1">
      <alignment horizontal="center"/>
      <protection hidden="1"/>
    </xf>
    <xf numFmtId="0" fontId="23" fillId="24" borderId="15" xfId="0" applyFont="1" applyFill="1" applyBorder="1" applyAlignment="1" applyProtection="1">
      <protection hidden="1"/>
    </xf>
    <xf numFmtId="0" fontId="23" fillId="24" borderId="16" xfId="0" applyFont="1" applyFill="1" applyBorder="1" applyAlignment="1" applyProtection="1">
      <protection hidden="1"/>
    </xf>
    <xf numFmtId="9" fontId="23" fillId="24" borderId="17" xfId="0" applyNumberFormat="1" applyFont="1" applyFill="1" applyBorder="1" applyAlignment="1" applyProtection="1">
      <alignment horizontal="center"/>
      <protection hidden="1"/>
    </xf>
    <xf numFmtId="164" fontId="22" fillId="24" borderId="12" xfId="39" applyFont="1" applyFill="1" applyBorder="1" applyAlignment="1" applyProtection="1">
      <alignment horizontal="right"/>
      <protection hidden="1"/>
    </xf>
    <xf numFmtId="0" fontId="35" fillId="0" borderId="0" xfId="0" applyFont="1" applyProtection="1">
      <protection hidden="1"/>
    </xf>
    <xf numFmtId="0" fontId="21" fillId="0" borderId="0" xfId="0" applyFont="1" applyFill="1" applyBorder="1" applyAlignment="1" applyProtection="1">
      <alignment horizontal="right"/>
      <protection hidden="1"/>
    </xf>
    <xf numFmtId="0" fontId="21" fillId="0" borderId="0" xfId="0" applyFont="1" applyFill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2" fontId="0" fillId="0" borderId="0" xfId="0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0" fillId="0" borderId="0" xfId="0" applyFont="1" applyBorder="1" applyProtection="1">
      <protection hidden="1"/>
    </xf>
    <xf numFmtId="2" fontId="0" fillId="0" borderId="0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Font="1" applyFill="1" applyProtection="1">
      <protection hidden="1"/>
    </xf>
    <xf numFmtId="9" fontId="0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right"/>
      <protection hidden="1"/>
    </xf>
    <xf numFmtId="2" fontId="0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2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9" fontId="27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Protection="1"/>
    <xf numFmtId="22" fontId="0" fillId="0" borderId="0" xfId="0" applyNumberFormat="1" applyFont="1" applyBorder="1" applyProtection="1"/>
    <xf numFmtId="0" fontId="19" fillId="0" borderId="0" xfId="0" applyFont="1" applyFill="1" applyBorder="1" applyAlignment="1" applyProtection="1">
      <alignment vertical="top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right" vertical="top" wrapText="1"/>
    </xf>
    <xf numFmtId="165" fontId="0" fillId="0" borderId="0" xfId="0" applyNumberFormat="1" applyFont="1" applyBorder="1" applyProtection="1"/>
    <xf numFmtId="14" fontId="0" fillId="0" borderId="0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vertical="center"/>
    </xf>
    <xf numFmtId="170" fontId="25" fillId="0" borderId="0" xfId="0" applyNumberFormat="1" applyFont="1" applyBorder="1" applyProtection="1"/>
    <xf numFmtId="0" fontId="21" fillId="0" borderId="0" xfId="0" applyFont="1" applyBorder="1" applyAlignment="1" applyProtection="1">
      <alignment horizontal="right" vertical="center"/>
    </xf>
    <xf numFmtId="0" fontId="0" fillId="0" borderId="0" xfId="0" applyBorder="1" applyProtection="1"/>
    <xf numFmtId="0" fontId="27" fillId="0" borderId="0" xfId="0" applyFont="1" applyProtection="1"/>
    <xf numFmtId="0" fontId="27" fillId="0" borderId="0" xfId="0" applyFont="1" applyAlignment="1" applyProtection="1"/>
    <xf numFmtId="0" fontId="28" fillId="0" borderId="0" xfId="0" applyFont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vertical="center"/>
    </xf>
    <xf numFmtId="0" fontId="30" fillId="0" borderId="19" xfId="0" applyFont="1" applyBorder="1" applyAlignment="1" applyProtection="1">
      <alignment horizontal="center"/>
    </xf>
    <xf numFmtId="0" fontId="27" fillId="0" borderId="0" xfId="0" applyFont="1" applyBorder="1" applyProtection="1"/>
    <xf numFmtId="0" fontId="27" fillId="0" borderId="0" xfId="0" applyFont="1" applyAlignment="1" applyProtection="1">
      <alignment horizontal="center"/>
    </xf>
    <xf numFmtId="0" fontId="27" fillId="0" borderId="0" xfId="0" applyFont="1" applyAlignment="1" applyProtection="1">
      <alignment wrapText="1"/>
    </xf>
    <xf numFmtId="0" fontId="27" fillId="0" borderId="0" xfId="0" applyFont="1" applyAlignment="1" applyProtection="1">
      <alignment horizontal="center" vertical="center" wrapText="1"/>
    </xf>
    <xf numFmtId="2" fontId="27" fillId="0" borderId="18" xfId="0" applyNumberFormat="1" applyFont="1" applyFill="1" applyBorder="1" applyAlignment="1" applyProtection="1">
      <alignment horizontal="center" vertical="center" wrapText="1"/>
    </xf>
    <xf numFmtId="0" fontId="27" fillId="0" borderId="0" xfId="0" applyFont="1" applyAlignment="1" applyProtection="1">
      <alignment horizontal="left" vertical="center" wrapText="1"/>
    </xf>
    <xf numFmtId="0" fontId="35" fillId="28" borderId="18" xfId="30" applyFont="1" applyFill="1" applyBorder="1" applyAlignment="1" applyProtection="1">
      <alignment wrapText="1"/>
      <protection locked="0"/>
    </xf>
    <xf numFmtId="0" fontId="27" fillId="0" borderId="18" xfId="0" applyFont="1" applyFill="1" applyBorder="1" applyAlignment="1" applyProtection="1">
      <alignment horizontal="left" wrapText="1"/>
      <protection locked="0"/>
    </xf>
    <xf numFmtId="0" fontId="27" fillId="0" borderId="18" xfId="0" applyFont="1" applyFill="1" applyBorder="1" applyAlignment="1" applyProtection="1">
      <alignment horizontal="center" wrapText="1"/>
      <protection locked="0"/>
    </xf>
    <xf numFmtId="0" fontId="42" fillId="0" borderId="18" xfId="30" applyFont="1" applyBorder="1" applyAlignment="1" applyProtection="1">
      <alignment horizontal="left" wrapText="1"/>
      <protection locked="0"/>
    </xf>
    <xf numFmtId="0" fontId="0" fillId="0" borderId="0" xfId="0" applyProtection="1"/>
    <xf numFmtId="0" fontId="28" fillId="0" borderId="20" xfId="0" applyFont="1" applyBorder="1" applyAlignment="1" applyProtection="1">
      <alignment horizontal="center" vertical="center"/>
    </xf>
    <xf numFmtId="0" fontId="28" fillId="0" borderId="21" xfId="0" applyFont="1" applyBorder="1" applyAlignment="1" applyProtection="1">
      <alignment horizontal="center" vertical="center"/>
    </xf>
    <xf numFmtId="0" fontId="27" fillId="0" borderId="20" xfId="0" applyFont="1" applyBorder="1" applyProtection="1"/>
    <xf numFmtId="0" fontId="27" fillId="0" borderId="21" xfId="0" applyFont="1" applyBorder="1" applyProtection="1"/>
    <xf numFmtId="0" fontId="30" fillId="0" borderId="22" xfId="0" applyFont="1" applyBorder="1" applyProtection="1"/>
    <xf numFmtId="0" fontId="27" fillId="0" borderId="23" xfId="0" applyFont="1" applyBorder="1" applyProtection="1"/>
    <xf numFmtId="0" fontId="27" fillId="0" borderId="24" xfId="0" applyFont="1" applyBorder="1" applyProtection="1"/>
    <xf numFmtId="0" fontId="27" fillId="0" borderId="25" xfId="0" applyFont="1" applyBorder="1" applyProtection="1"/>
    <xf numFmtId="0" fontId="27" fillId="0" borderId="26" xfId="0" applyFont="1" applyBorder="1" applyProtection="1"/>
    <xf numFmtId="0" fontId="27" fillId="0" borderId="27" xfId="0" applyFont="1" applyBorder="1" applyProtection="1"/>
    <xf numFmtId="0" fontId="27" fillId="0" borderId="28" xfId="0" applyFont="1" applyBorder="1" applyProtection="1"/>
    <xf numFmtId="0" fontId="27" fillId="0" borderId="29" xfId="0" applyFont="1" applyBorder="1" applyProtection="1"/>
    <xf numFmtId="0" fontId="27" fillId="0" borderId="11" xfId="0" applyFont="1" applyBorder="1" applyProtection="1"/>
    <xf numFmtId="0" fontId="27" fillId="0" borderId="30" xfId="0" applyFont="1" applyBorder="1" applyProtection="1"/>
    <xf numFmtId="0" fontId="27" fillId="0" borderId="31" xfId="0" applyFont="1" applyBorder="1" applyAlignment="1" applyProtection="1">
      <alignment horizontal="center"/>
    </xf>
    <xf numFmtId="0" fontId="27" fillId="0" borderId="32" xfId="0" applyFont="1" applyBorder="1" applyProtection="1"/>
    <xf numFmtId="0" fontId="27" fillId="0" borderId="33" xfId="0" applyFont="1" applyBorder="1" applyProtection="1"/>
    <xf numFmtId="0" fontId="27" fillId="0" borderId="34" xfId="0" applyFont="1" applyBorder="1" applyProtection="1"/>
    <xf numFmtId="0" fontId="27" fillId="0" borderId="35" xfId="0" applyFont="1" applyBorder="1" applyAlignment="1" applyProtection="1">
      <alignment horizontal="center"/>
      <protection locked="0"/>
    </xf>
    <xf numFmtId="0" fontId="27" fillId="0" borderId="10" xfId="0" applyFont="1" applyBorder="1" applyAlignment="1" applyProtection="1">
      <alignment horizontal="center"/>
      <protection locked="0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36" xfId="0" applyFont="1" applyBorder="1" applyAlignment="1" applyProtection="1">
      <alignment horizontal="left"/>
    </xf>
    <xf numFmtId="0" fontId="21" fillId="0" borderId="0" xfId="0" applyFont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center" wrapText="1"/>
    </xf>
    <xf numFmtId="0" fontId="0" fillId="24" borderId="37" xfId="0" applyFont="1" applyFill="1" applyBorder="1" applyAlignment="1" applyProtection="1">
      <alignment horizontal="center" vertical="top" wrapText="1"/>
    </xf>
    <xf numFmtId="2" fontId="22" fillId="26" borderId="0" xfId="0" applyNumberFormat="1" applyFont="1" applyFill="1" applyBorder="1" applyAlignment="1" applyProtection="1">
      <alignment horizontal="center"/>
      <protection hidden="1"/>
    </xf>
    <xf numFmtId="10" fontId="0" fillId="0" borderId="19" xfId="0" applyNumberFormat="1" applyBorder="1" applyAlignment="1" applyProtection="1">
      <alignment horizontal="center"/>
      <protection hidden="1"/>
    </xf>
    <xf numFmtId="2" fontId="0" fillId="0" borderId="38" xfId="0" applyNumberFormat="1" applyBorder="1" applyAlignment="1" applyProtection="1">
      <alignment horizontal="right"/>
      <protection hidden="1"/>
    </xf>
    <xf numFmtId="0" fontId="27" fillId="16" borderId="22" xfId="0" applyFont="1" applyFill="1" applyBorder="1" applyAlignment="1" applyProtection="1">
      <alignment horizontal="center" vertical="center" wrapText="1"/>
    </xf>
    <xf numFmtId="0" fontId="27" fillId="16" borderId="23" xfId="0" applyFont="1" applyFill="1" applyBorder="1" applyAlignment="1" applyProtection="1">
      <alignment horizontal="center" vertical="center" wrapText="1"/>
    </xf>
    <xf numFmtId="168" fontId="27" fillId="0" borderId="0" xfId="0" applyNumberFormat="1" applyFont="1" applyBorder="1" applyAlignment="1" applyProtection="1">
      <alignment horizontal="left"/>
    </xf>
    <xf numFmtId="0" fontId="30" fillId="0" borderId="27" xfId="0" applyFont="1" applyBorder="1" applyProtection="1"/>
    <xf numFmtId="0" fontId="33" fillId="0" borderId="0" xfId="0" applyFont="1" applyBorder="1" applyAlignment="1" applyProtection="1">
      <alignment horizontal="center"/>
    </xf>
    <xf numFmtId="0" fontId="30" fillId="0" borderId="0" xfId="0" applyFont="1" applyProtection="1"/>
    <xf numFmtId="0" fontId="0" fillId="0" borderId="39" xfId="0" applyBorder="1" applyProtection="1"/>
    <xf numFmtId="0" fontId="27" fillId="0" borderId="40" xfId="0" applyFont="1" applyBorder="1" applyAlignment="1" applyProtection="1">
      <alignment horizontal="left"/>
      <protection locked="0"/>
    </xf>
    <xf numFmtId="0" fontId="27" fillId="0" borderId="18" xfId="0" applyFont="1" applyBorder="1" applyAlignment="1" applyProtection="1">
      <alignment horizontal="left"/>
      <protection locked="0"/>
    </xf>
    <xf numFmtId="0" fontId="27" fillId="0" borderId="13" xfId="0" applyFont="1" applyBorder="1" applyAlignment="1" applyProtection="1">
      <alignment horizontal="left"/>
      <protection locked="0"/>
    </xf>
    <xf numFmtId="0" fontId="0" fillId="0" borderId="0" xfId="0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center"/>
    </xf>
    <xf numFmtId="0" fontId="21" fillId="16" borderId="41" xfId="0" applyFont="1" applyFill="1" applyBorder="1" applyAlignment="1" applyProtection="1">
      <alignment horizontal="center" wrapText="1"/>
      <protection locked="0"/>
    </xf>
    <xf numFmtId="0" fontId="19" fillId="16" borderId="41" xfId="0" applyFont="1" applyFill="1" applyBorder="1" applyAlignment="1" applyProtection="1">
      <alignment vertical="top" wrapText="1"/>
    </xf>
    <xf numFmtId="0" fontId="41" fillId="16" borderId="41" xfId="0" applyFont="1" applyFill="1" applyBorder="1" applyAlignment="1" applyProtection="1">
      <alignment vertical="center" wrapText="1"/>
    </xf>
    <xf numFmtId="0" fontId="21" fillId="16" borderId="41" xfId="0" applyFont="1" applyFill="1" applyBorder="1" applyAlignment="1" applyProtection="1">
      <alignment horizontal="right" wrapText="1"/>
      <protection locked="0"/>
    </xf>
    <xf numFmtId="0" fontId="0" fillId="0" borderId="0" xfId="0" applyBorder="1" applyAlignment="1" applyProtection="1">
      <alignment horizontal="center"/>
    </xf>
    <xf numFmtId="0" fontId="41" fillId="29" borderId="41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horizontal="left"/>
    </xf>
    <xf numFmtId="0" fontId="21" fillId="0" borderId="0" xfId="0" applyFont="1" applyFill="1" applyBorder="1" applyProtection="1"/>
    <xf numFmtId="0" fontId="21" fillId="30" borderId="42" xfId="0" applyFont="1" applyFill="1" applyBorder="1" applyProtection="1"/>
    <xf numFmtId="0" fontId="0" fillId="0" borderId="43" xfId="0" applyFont="1" applyBorder="1" applyProtection="1"/>
    <xf numFmtId="0" fontId="21" fillId="30" borderId="44" xfId="0" applyFont="1" applyFill="1" applyBorder="1" applyProtection="1"/>
    <xf numFmtId="0" fontId="0" fillId="0" borderId="45" xfId="0" applyFont="1" applyBorder="1" applyProtection="1"/>
    <xf numFmtId="0" fontId="21" fillId="30" borderId="42" xfId="0" applyFont="1" applyFill="1" applyBorder="1" applyAlignment="1" applyProtection="1"/>
    <xf numFmtId="0" fontId="0" fillId="0" borderId="46" xfId="0" applyFont="1" applyBorder="1" applyProtection="1"/>
    <xf numFmtId="0" fontId="0" fillId="0" borderId="45" xfId="0" applyFont="1" applyBorder="1" applyAlignment="1" applyProtection="1">
      <alignment vertical="center"/>
      <protection locked="0"/>
    </xf>
    <xf numFmtId="0" fontId="0" fillId="0" borderId="45" xfId="0" applyBorder="1" applyProtection="1"/>
    <xf numFmtId="166" fontId="24" fillId="0" borderId="0" xfId="0" applyNumberFormat="1" applyFont="1" applyBorder="1" applyAlignment="1" applyProtection="1">
      <alignment horizontal="left"/>
      <protection locked="0"/>
    </xf>
    <xf numFmtId="0" fontId="31" fillId="31" borderId="17" xfId="0" applyFont="1" applyFill="1" applyBorder="1" applyAlignment="1" applyProtection="1">
      <alignment horizontal="center" vertical="center"/>
    </xf>
    <xf numFmtId="0" fontId="20" fillId="30" borderId="48" xfId="0" applyFont="1" applyFill="1" applyBorder="1" applyAlignment="1" applyProtection="1">
      <alignment wrapText="1"/>
    </xf>
    <xf numFmtId="0" fontId="20" fillId="30" borderId="49" xfId="0" applyFont="1" applyFill="1" applyBorder="1" applyAlignment="1" applyProtection="1">
      <alignment wrapText="1"/>
    </xf>
    <xf numFmtId="0" fontId="20" fillId="30" borderId="49" xfId="0" applyFont="1" applyFill="1" applyBorder="1" applyAlignment="1" applyProtection="1">
      <alignment horizontal="left" wrapText="1"/>
    </xf>
    <xf numFmtId="0" fontId="20" fillId="30" borderId="49" xfId="0" applyFont="1" applyFill="1" applyBorder="1" applyAlignment="1" applyProtection="1">
      <alignment vertical="center" wrapText="1"/>
    </xf>
    <xf numFmtId="0" fontId="0" fillId="0" borderId="50" xfId="0" applyFont="1" applyBorder="1" applyProtection="1"/>
    <xf numFmtId="0" fontId="0" fillId="0" borderId="51" xfId="0" applyBorder="1" applyAlignment="1" applyProtection="1">
      <alignment horizontal="center"/>
    </xf>
    <xf numFmtId="0" fontId="0" fillId="0" borderId="52" xfId="0" applyFont="1" applyBorder="1" applyProtection="1"/>
    <xf numFmtId="0" fontId="0" fillId="0" borderId="53" xfId="0" applyBorder="1" applyAlignment="1" applyProtection="1">
      <alignment horizontal="center"/>
    </xf>
    <xf numFmtId="0" fontId="21" fillId="0" borderId="50" xfId="0" applyFont="1" applyBorder="1" applyProtection="1"/>
    <xf numFmtId="2" fontId="34" fillId="0" borderId="51" xfId="0" applyNumberFormat="1" applyFont="1" applyBorder="1" applyProtection="1"/>
    <xf numFmtId="0" fontId="21" fillId="0" borderId="54" xfId="0" applyFont="1" applyBorder="1" applyAlignment="1" applyProtection="1">
      <alignment horizontal="left" wrapText="1"/>
    </xf>
    <xf numFmtId="2" fontId="34" fillId="0" borderId="55" xfId="0" applyNumberFormat="1" applyFont="1" applyBorder="1" applyProtection="1"/>
    <xf numFmtId="0" fontId="0" fillId="0" borderId="50" xfId="0" applyBorder="1" applyProtection="1"/>
    <xf numFmtId="0" fontId="0" fillId="0" borderId="52" xfId="0" applyBorder="1" applyProtection="1"/>
    <xf numFmtId="0" fontId="0" fillId="0" borderId="15" xfId="0" applyFont="1" applyBorder="1" applyAlignment="1" applyProtection="1">
      <alignment horizontal="right"/>
    </xf>
    <xf numFmtId="0" fontId="21" fillId="0" borderId="56" xfId="0" applyFont="1" applyBorder="1" applyAlignment="1" applyProtection="1">
      <alignment horizontal="center"/>
    </xf>
    <xf numFmtId="0" fontId="21" fillId="0" borderId="15" xfId="0" applyFont="1" applyBorder="1" applyProtection="1"/>
    <xf numFmtId="0" fontId="21" fillId="32" borderId="15" xfId="0" applyFont="1" applyFill="1" applyBorder="1" applyAlignment="1" applyProtection="1">
      <alignment horizontal="center"/>
    </xf>
    <xf numFmtId="2" fontId="21" fillId="32" borderId="56" xfId="0" applyNumberFormat="1" applyFont="1" applyFill="1" applyBorder="1" applyAlignment="1" applyProtection="1">
      <alignment horizontal="center"/>
    </xf>
    <xf numFmtId="164" fontId="22" fillId="33" borderId="0" xfId="39" applyFont="1" applyFill="1" applyBorder="1" applyAlignment="1" applyProtection="1">
      <alignment horizontal="center"/>
      <protection hidden="1"/>
    </xf>
    <xf numFmtId="2" fontId="0" fillId="0" borderId="57" xfId="0" applyNumberFormat="1" applyFont="1" applyFill="1" applyBorder="1" applyAlignment="1" applyProtection="1">
      <alignment horizontal="center"/>
    </xf>
    <xf numFmtId="2" fontId="0" fillId="0" borderId="58" xfId="0" applyNumberFormat="1" applyFont="1" applyFill="1" applyBorder="1" applyAlignment="1" applyProtection="1">
      <alignment horizontal="center"/>
    </xf>
    <xf numFmtId="2" fontId="0" fillId="0" borderId="59" xfId="0" applyNumberFormat="1" applyFont="1" applyFill="1" applyBorder="1" applyAlignment="1" applyProtection="1">
      <alignment horizontal="center"/>
    </xf>
    <xf numFmtId="0" fontId="31" fillId="30" borderId="13" xfId="0" applyFont="1" applyFill="1" applyBorder="1" applyAlignment="1" applyProtection="1">
      <alignment horizontal="center" vertical="center" wrapText="1"/>
    </xf>
    <xf numFmtId="0" fontId="31" fillId="30" borderId="60" xfId="0" applyFont="1" applyFill="1" applyBorder="1" applyAlignment="1" applyProtection="1">
      <alignment horizontal="center" vertical="center" wrapText="1"/>
    </xf>
    <xf numFmtId="0" fontId="31" fillId="31" borderId="13" xfId="0" applyFont="1" applyFill="1" applyBorder="1" applyAlignment="1" applyProtection="1">
      <alignment horizontal="center" vertical="center"/>
    </xf>
    <xf numFmtId="0" fontId="31" fillId="30" borderId="61" xfId="0" applyFont="1" applyFill="1" applyBorder="1" applyAlignment="1" applyProtection="1">
      <alignment horizontal="center" vertical="center" wrapText="1"/>
    </xf>
    <xf numFmtId="0" fontId="31" fillId="30" borderId="62" xfId="0" applyFont="1" applyFill="1" applyBorder="1" applyAlignment="1" applyProtection="1">
      <alignment horizontal="center" vertical="center" wrapText="1"/>
    </xf>
    <xf numFmtId="0" fontId="31" fillId="30" borderId="63" xfId="0" applyFont="1" applyFill="1" applyBorder="1" applyAlignment="1" applyProtection="1">
      <alignment horizontal="center" vertical="center" wrapText="1"/>
    </xf>
    <xf numFmtId="0" fontId="27" fillId="0" borderId="64" xfId="0" applyFont="1" applyFill="1" applyBorder="1" applyAlignment="1" applyProtection="1">
      <alignment horizontal="center" vertical="center" wrapText="1"/>
    </xf>
    <xf numFmtId="0" fontId="27" fillId="0" borderId="58" xfId="0" applyFont="1" applyFill="1" applyBorder="1" applyAlignment="1" applyProtection="1">
      <alignment horizontal="left" vertical="center" wrapText="1"/>
      <protection locked="0"/>
    </xf>
    <xf numFmtId="0" fontId="27" fillId="0" borderId="60" xfId="0" applyFont="1" applyFill="1" applyBorder="1" applyAlignment="1" applyProtection="1">
      <alignment horizontal="center" vertical="center" wrapText="1"/>
    </xf>
    <xf numFmtId="0" fontId="35" fillId="28" borderId="13" xfId="30" applyFont="1" applyFill="1" applyBorder="1" applyAlignment="1" applyProtection="1">
      <alignment wrapText="1"/>
      <protection locked="0"/>
    </xf>
    <xf numFmtId="0" fontId="27" fillId="0" borderId="13" xfId="0" applyFont="1" applyFill="1" applyBorder="1" applyAlignment="1" applyProtection="1">
      <alignment horizontal="left" wrapText="1"/>
      <protection locked="0"/>
    </xf>
    <xf numFmtId="0" fontId="27" fillId="0" borderId="13" xfId="0" applyFont="1" applyFill="1" applyBorder="1" applyAlignment="1" applyProtection="1">
      <alignment horizontal="center" wrapText="1"/>
      <protection locked="0"/>
    </xf>
    <xf numFmtId="9" fontId="27" fillId="0" borderId="13" xfId="0" applyNumberFormat="1" applyFont="1" applyFill="1" applyBorder="1" applyAlignment="1" applyProtection="1">
      <alignment horizontal="center" vertical="center" wrapText="1"/>
      <protection locked="0"/>
    </xf>
    <xf numFmtId="2" fontId="27" fillId="0" borderId="13" xfId="0" applyNumberFormat="1" applyFont="1" applyFill="1" applyBorder="1" applyAlignment="1" applyProtection="1">
      <alignment horizontal="center" vertical="center" wrapText="1"/>
    </xf>
    <xf numFmtId="0" fontId="27" fillId="0" borderId="61" xfId="0" applyFont="1" applyFill="1" applyBorder="1" applyAlignment="1" applyProtection="1">
      <alignment horizontal="left" vertical="center" wrapText="1"/>
      <protection locked="0"/>
    </xf>
    <xf numFmtId="2" fontId="27" fillId="0" borderId="67" xfId="0" applyNumberFormat="1" applyFont="1" applyFill="1" applyBorder="1" applyAlignment="1" applyProtection="1">
      <alignment horizontal="center" vertical="center" wrapText="1"/>
    </xf>
    <xf numFmtId="2" fontId="27" fillId="0" borderId="62" xfId="0" applyNumberFormat="1" applyFont="1" applyFill="1" applyBorder="1" applyAlignment="1" applyProtection="1">
      <alignment horizontal="center" vertical="center" wrapText="1"/>
    </xf>
    <xf numFmtId="0" fontId="20" fillId="30" borderId="68" xfId="0" applyFont="1" applyFill="1" applyBorder="1" applyAlignment="1" applyProtection="1">
      <alignment wrapText="1"/>
    </xf>
    <xf numFmtId="0" fontId="20" fillId="0" borderId="0" xfId="0" applyFont="1" applyFill="1" applyBorder="1" applyAlignment="1" applyProtection="1">
      <alignment wrapText="1"/>
    </xf>
    <xf numFmtId="166" fontId="32" fillId="0" borderId="0" xfId="0" applyNumberFormat="1" applyFont="1" applyFill="1" applyBorder="1" applyAlignment="1" applyProtection="1">
      <alignment horizontal="left" vertical="center" wrapText="1"/>
    </xf>
    <xf numFmtId="0" fontId="20" fillId="30" borderId="48" xfId="0" applyFont="1" applyFill="1" applyBorder="1" applyAlignment="1" applyProtection="1">
      <alignment vertical="center" wrapText="1"/>
    </xf>
    <xf numFmtId="0" fontId="20" fillId="30" borderId="69" xfId="0" applyFont="1" applyFill="1" applyBorder="1" applyAlignment="1" applyProtection="1">
      <alignment vertical="center" wrapText="1"/>
    </xf>
    <xf numFmtId="0" fontId="20" fillId="30" borderId="68" xfId="0" applyFont="1" applyFill="1" applyBorder="1" applyAlignment="1" applyProtection="1">
      <alignment vertical="center" wrapText="1"/>
    </xf>
    <xf numFmtId="0" fontId="20" fillId="30" borderId="70" xfId="0" applyFont="1" applyFill="1" applyBorder="1" applyAlignment="1" applyProtection="1">
      <alignment vertical="center" wrapText="1"/>
    </xf>
    <xf numFmtId="0" fontId="20" fillId="30" borderId="71" xfId="0" applyFont="1" applyFill="1" applyBorder="1" applyAlignment="1" applyProtection="1">
      <alignment vertical="center" wrapText="1"/>
    </xf>
    <xf numFmtId="0" fontId="20" fillId="30" borderId="72" xfId="0" applyFont="1" applyFill="1" applyBorder="1" applyAlignment="1" applyProtection="1">
      <alignment vertical="center" wrapText="1"/>
    </xf>
    <xf numFmtId="0" fontId="0" fillId="0" borderId="0" xfId="0" applyFont="1" applyFill="1" applyProtection="1"/>
    <xf numFmtId="0" fontId="0" fillId="0" borderId="0" xfId="0" applyFont="1" applyFill="1" applyAlignment="1" applyProtection="1">
      <alignment wrapText="1"/>
    </xf>
    <xf numFmtId="0" fontId="21" fillId="0" borderId="0" xfId="0" applyFont="1" applyFill="1" applyAlignment="1" applyProtection="1">
      <alignment horizontal="center"/>
    </xf>
    <xf numFmtId="169" fontId="0" fillId="0" borderId="0" xfId="0" applyNumberFormat="1" applyFont="1" applyFill="1" applyProtection="1"/>
    <xf numFmtId="0" fontId="0" fillId="0" borderId="18" xfId="0" applyFont="1" applyFill="1" applyBorder="1" applyProtection="1"/>
    <xf numFmtId="22" fontId="0" fillId="0" borderId="18" xfId="0" applyNumberFormat="1" applyFont="1" applyFill="1" applyBorder="1" applyProtection="1"/>
    <xf numFmtId="0" fontId="0" fillId="0" borderId="18" xfId="0" applyNumberFormat="1" applyFont="1" applyFill="1" applyBorder="1" applyProtection="1">
      <protection hidden="1"/>
    </xf>
    <xf numFmtId="0" fontId="21" fillId="0" borderId="0" xfId="0" applyFont="1" applyFill="1" applyProtection="1"/>
    <xf numFmtId="0" fontId="0" fillId="0" borderId="18" xfId="0" applyFont="1" applyFill="1" applyBorder="1" applyAlignment="1" applyProtection="1">
      <alignment horizontal="center"/>
    </xf>
    <xf numFmtId="2" fontId="27" fillId="0" borderId="18" xfId="0" applyNumberFormat="1" applyFont="1" applyFill="1" applyBorder="1" applyAlignment="1" applyProtection="1">
      <alignment horizontal="center" vertical="center" wrapText="1"/>
      <protection locked="0"/>
    </xf>
    <xf numFmtId="2" fontId="27" fillId="0" borderId="47" xfId="0" applyNumberFormat="1" applyFont="1" applyFill="1" applyBorder="1" applyAlignment="1" applyProtection="1">
      <alignment horizontal="center" vertical="center" wrapText="1"/>
      <protection locked="0"/>
    </xf>
    <xf numFmtId="2" fontId="27" fillId="0" borderId="13" xfId="0" applyNumberFormat="1" applyFont="1" applyFill="1" applyBorder="1" applyAlignment="1" applyProtection="1">
      <alignment horizontal="center" vertical="center" wrapText="1"/>
      <protection locked="0"/>
    </xf>
    <xf numFmtId="2" fontId="27" fillId="0" borderId="63" xfId="0" applyNumberFormat="1" applyFont="1" applyFill="1" applyBorder="1" applyAlignment="1" applyProtection="1">
      <alignment horizontal="center" vertical="center" wrapText="1"/>
      <protection locked="0"/>
    </xf>
    <xf numFmtId="0" fontId="19" fillId="16" borderId="15" xfId="0" applyFont="1" applyFill="1" applyBorder="1" applyAlignment="1" applyProtection="1">
      <alignment vertical="top" wrapText="1"/>
    </xf>
    <xf numFmtId="0" fontId="27" fillId="0" borderId="0" xfId="0" applyFont="1"/>
    <xf numFmtId="0" fontId="30" fillId="0" borderId="18" xfId="0" applyFont="1" applyBorder="1" applyAlignment="1">
      <alignment horizontal="center"/>
    </xf>
    <xf numFmtId="0" fontId="27" fillId="0" borderId="18" xfId="0" applyFont="1" applyBorder="1" applyAlignment="1">
      <alignment vertical="center" wrapText="1"/>
    </xf>
    <xf numFmtId="0" fontId="45" fillId="0" borderId="18" xfId="0" applyFont="1" applyBorder="1"/>
    <xf numFmtId="0" fontId="30" fillId="0" borderId="18" xfId="0" applyFont="1" applyBorder="1"/>
    <xf numFmtId="0" fontId="30" fillId="0" borderId="67" xfId="0" applyFont="1" applyBorder="1" applyAlignment="1"/>
    <xf numFmtId="0" fontId="21" fillId="28" borderId="0" xfId="0" applyFont="1" applyFill="1" applyBorder="1" applyAlignment="1" applyProtection="1"/>
    <xf numFmtId="0" fontId="21" fillId="28" borderId="0" xfId="0" applyFont="1" applyFill="1" applyBorder="1" applyAlignment="1" applyProtection="1">
      <alignment horizontal="left"/>
      <protection locked="0"/>
    </xf>
    <xf numFmtId="165" fontId="21" fillId="28" borderId="0" xfId="0" applyNumberFormat="1" applyFont="1" applyFill="1" applyBorder="1" applyProtection="1"/>
    <xf numFmtId="14" fontId="24" fillId="28" borderId="0" xfId="0" applyNumberFormat="1" applyFont="1" applyFill="1" applyBorder="1" applyAlignment="1" applyProtection="1">
      <alignment horizontal="left"/>
      <protection locked="0"/>
    </xf>
    <xf numFmtId="0" fontId="0" fillId="28" borderId="0" xfId="0" applyFont="1" applyFill="1" applyBorder="1" applyAlignment="1" applyProtection="1"/>
    <xf numFmtId="0" fontId="0" fillId="28" borderId="0" xfId="0" applyFont="1" applyFill="1" applyBorder="1" applyProtection="1"/>
    <xf numFmtId="166" fontId="24" fillId="0" borderId="73" xfId="0" applyNumberFormat="1" applyFont="1" applyBorder="1" applyAlignment="1" applyProtection="1">
      <alignment horizontal="left"/>
      <protection locked="0"/>
    </xf>
    <xf numFmtId="166" fontId="24" fillId="0" borderId="43" xfId="0" applyNumberFormat="1" applyFont="1" applyBorder="1" applyAlignment="1" applyProtection="1">
      <alignment horizontal="left"/>
      <protection locked="0"/>
    </xf>
    <xf numFmtId="166" fontId="24" fillId="0" borderId="46" xfId="0" applyNumberFormat="1" applyFont="1" applyBorder="1" applyAlignment="1" applyProtection="1">
      <alignment horizontal="left"/>
      <protection locked="0"/>
    </xf>
    <xf numFmtId="9" fontId="24" fillId="0" borderId="0" xfId="0" applyNumberFormat="1" applyFont="1" applyBorder="1" applyAlignment="1" applyProtection="1">
      <alignment horizontal="left"/>
      <protection locked="0"/>
    </xf>
    <xf numFmtId="0" fontId="30" fillId="29" borderId="41" xfId="0" applyFont="1" applyFill="1" applyBorder="1" applyAlignment="1" applyProtection="1">
      <alignment horizontal="right" wrapText="1"/>
    </xf>
    <xf numFmtId="0" fontId="21" fillId="16" borderId="56" xfId="0" applyFont="1" applyFill="1" applyBorder="1" applyAlignment="1" applyProtection="1">
      <alignment horizontal="right" wrapText="1"/>
      <protection locked="0"/>
    </xf>
    <xf numFmtId="0" fontId="27" fillId="0" borderId="40" xfId="0" applyFont="1" applyFill="1" applyBorder="1" applyAlignment="1" applyProtection="1">
      <alignment horizontal="left"/>
      <protection locked="0"/>
    </xf>
    <xf numFmtId="0" fontId="27" fillId="0" borderId="18" xfId="0" applyFont="1" applyFill="1" applyBorder="1" applyAlignment="1" applyProtection="1">
      <alignment horizontal="left"/>
      <protection locked="0"/>
    </xf>
    <xf numFmtId="0" fontId="27" fillId="0" borderId="13" xfId="0" applyFont="1" applyFill="1" applyBorder="1" applyAlignment="1" applyProtection="1">
      <alignment horizontal="left"/>
      <protection locked="0"/>
    </xf>
    <xf numFmtId="0" fontId="27" fillId="0" borderId="66" xfId="0" applyFont="1" applyFill="1" applyBorder="1" applyAlignment="1" applyProtection="1">
      <alignment horizontal="left"/>
      <protection locked="0"/>
    </xf>
    <xf numFmtId="0" fontId="27" fillId="0" borderId="0" xfId="0" applyFont="1" applyFill="1" applyProtection="1"/>
    <xf numFmtId="0" fontId="0" fillId="0" borderId="0" xfId="0" applyFont="1" applyFill="1" applyBorder="1" applyProtection="1"/>
    <xf numFmtId="0" fontId="27" fillId="0" borderId="80" xfId="0" applyFont="1" applyBorder="1" applyAlignment="1" applyProtection="1">
      <alignment horizontal="center" vertical="center"/>
    </xf>
    <xf numFmtId="0" fontId="35" fillId="34" borderId="66" xfId="0" applyFont="1" applyFill="1" applyBorder="1" applyAlignment="1" applyProtection="1">
      <alignment horizontal="center" vertical="center"/>
    </xf>
    <xf numFmtId="0" fontId="35" fillId="34" borderId="78" xfId="0" applyFont="1" applyFill="1" applyBorder="1" applyAlignment="1" applyProtection="1">
      <alignment horizontal="center" vertical="center"/>
    </xf>
    <xf numFmtId="0" fontId="0" fillId="34" borderId="78" xfId="0" applyFont="1" applyFill="1" applyBorder="1" applyAlignment="1" applyProtection="1">
      <alignment horizontal="center" vertical="center"/>
    </xf>
    <xf numFmtId="0" fontId="30" fillId="0" borderId="66" xfId="0" applyFont="1" applyBorder="1" applyAlignment="1" applyProtection="1">
      <alignment horizontal="center" vertical="center"/>
      <protection locked="0"/>
    </xf>
    <xf numFmtId="0" fontId="0" fillId="34" borderId="66" xfId="0" applyFont="1" applyFill="1" applyBorder="1" applyAlignment="1" applyProtection="1">
      <alignment horizontal="center" vertical="center"/>
    </xf>
    <xf numFmtId="0" fontId="27" fillId="31" borderId="65" xfId="0" applyFont="1" applyFill="1" applyBorder="1" applyAlignment="1" applyProtection="1">
      <alignment horizontal="center" vertical="center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0" fontId="30" fillId="0" borderId="78" xfId="0" applyFont="1" applyBorder="1" applyAlignment="1" applyProtection="1">
      <alignment horizontal="center" vertical="center"/>
      <protection locked="0"/>
    </xf>
    <xf numFmtId="0" fontId="27" fillId="0" borderId="78" xfId="0" applyFont="1" applyFill="1" applyBorder="1" applyAlignment="1" applyProtection="1">
      <alignment vertical="center"/>
      <protection locked="0"/>
    </xf>
    <xf numFmtId="0" fontId="27" fillId="34" borderId="78" xfId="0" applyFont="1" applyFill="1" applyBorder="1" applyAlignment="1" applyProtection="1">
      <alignment vertical="center"/>
      <protection locked="0"/>
    </xf>
    <xf numFmtId="0" fontId="0" fillId="34" borderId="78" xfId="0" applyFont="1" applyFill="1" applyBorder="1" applyAlignment="1" applyProtection="1">
      <alignment vertical="center"/>
    </xf>
    <xf numFmtId="0" fontId="0" fillId="34" borderId="66" xfId="0" applyFont="1" applyFill="1" applyBorder="1" applyAlignment="1" applyProtection="1">
      <alignment vertical="center"/>
    </xf>
    <xf numFmtId="0" fontId="27" fillId="0" borderId="66" xfId="0" applyFont="1" applyFill="1" applyBorder="1" applyAlignment="1" applyProtection="1">
      <alignment vertical="center"/>
      <protection locked="0"/>
    </xf>
    <xf numFmtId="0" fontId="27" fillId="34" borderId="66" xfId="0" applyFont="1" applyFill="1" applyBorder="1" applyAlignment="1" applyProtection="1">
      <alignment vertical="center"/>
      <protection locked="0"/>
    </xf>
    <xf numFmtId="0" fontId="27" fillId="0" borderId="66" xfId="0" applyFont="1" applyFill="1" applyBorder="1" applyAlignment="1" applyProtection="1">
      <alignment vertical="center" wrapText="1"/>
    </xf>
    <xf numFmtId="0" fontId="0" fillId="34" borderId="40" xfId="0" applyFont="1" applyFill="1" applyBorder="1" applyAlignment="1" applyProtection="1">
      <alignment vertical="center"/>
    </xf>
    <xf numFmtId="0" fontId="27" fillId="0" borderId="118" xfId="0" applyFont="1" applyBorder="1" applyAlignment="1" applyProtection="1">
      <alignment horizontal="center" vertical="center"/>
    </xf>
    <xf numFmtId="0" fontId="27" fillId="0" borderId="57" xfId="0" applyFont="1" applyBorder="1" applyAlignment="1" applyProtection="1">
      <alignment horizontal="center" vertical="center"/>
    </xf>
    <xf numFmtId="0" fontId="30" fillId="0" borderId="78" xfId="0" applyFont="1" applyFill="1" applyBorder="1" applyAlignment="1" applyProtection="1">
      <alignment horizontal="center" vertical="center"/>
      <protection locked="0"/>
    </xf>
    <xf numFmtId="0" fontId="27" fillId="0" borderId="78" xfId="0" applyFont="1" applyFill="1" applyBorder="1" applyAlignment="1" applyProtection="1">
      <alignment vertical="center" wrapText="1"/>
    </xf>
    <xf numFmtId="0" fontId="20" fillId="30" borderId="124" xfId="0" applyFont="1" applyFill="1" applyBorder="1" applyAlignment="1" applyProtection="1">
      <alignment vertical="center" wrapText="1"/>
    </xf>
    <xf numFmtId="0" fontId="20" fillId="30" borderId="128" xfId="0" applyFont="1" applyFill="1" applyBorder="1" applyAlignment="1" applyProtection="1">
      <alignment wrapText="1"/>
    </xf>
    <xf numFmtId="2" fontId="27" fillId="37" borderId="64" xfId="0" applyNumberFormat="1" applyFont="1" applyFill="1" applyBorder="1" applyAlignment="1" applyProtection="1">
      <alignment horizontal="center" vertical="center" wrapText="1"/>
      <protection locked="0"/>
    </xf>
    <xf numFmtId="2" fontId="27" fillId="37" borderId="18" xfId="0" applyNumberFormat="1" applyFont="1" applyFill="1" applyBorder="1" applyAlignment="1" applyProtection="1">
      <alignment horizontal="center" vertical="center" wrapText="1"/>
      <protection locked="0"/>
    </xf>
    <xf numFmtId="2" fontId="27" fillId="37" borderId="18" xfId="0" applyNumberFormat="1" applyFont="1" applyFill="1" applyBorder="1" applyAlignment="1" applyProtection="1">
      <alignment horizontal="center" vertical="center" wrapText="1"/>
    </xf>
    <xf numFmtId="2" fontId="27" fillId="37" borderId="60" xfId="0" applyNumberFormat="1" applyFont="1" applyFill="1" applyBorder="1" applyAlignment="1" applyProtection="1">
      <alignment horizontal="center" vertical="center" wrapText="1"/>
      <protection locked="0"/>
    </xf>
    <xf numFmtId="2" fontId="27" fillId="37" borderId="13" xfId="0" applyNumberFormat="1" applyFont="1" applyFill="1" applyBorder="1" applyAlignment="1" applyProtection="1">
      <alignment horizontal="center" vertical="center" wrapText="1"/>
      <protection locked="0"/>
    </xf>
    <xf numFmtId="2" fontId="27" fillId="37" borderId="13" xfId="0" applyNumberFormat="1" applyFont="1" applyFill="1" applyBorder="1" applyAlignment="1" applyProtection="1">
      <alignment horizontal="center" vertical="center" wrapText="1"/>
    </xf>
    <xf numFmtId="0" fontId="20" fillId="30" borderId="122" xfId="0" applyFont="1" applyFill="1" applyBorder="1" applyAlignment="1" applyProtection="1">
      <alignment vertical="center" wrapText="1"/>
    </xf>
    <xf numFmtId="0" fontId="20" fillId="30" borderId="124" xfId="0" applyFont="1" applyFill="1" applyBorder="1" applyAlignment="1" applyProtection="1">
      <alignment horizontal="left" vertical="center" wrapText="1"/>
    </xf>
    <xf numFmtId="0" fontId="27" fillId="37" borderId="40" xfId="0" applyFont="1" applyFill="1" applyBorder="1" applyAlignment="1" applyProtection="1">
      <alignment vertical="center"/>
    </xf>
    <xf numFmtId="0" fontId="30" fillId="37" borderId="66" xfId="0" applyFont="1" applyFill="1" applyBorder="1" applyAlignment="1" applyProtection="1">
      <alignment horizontal="center" vertical="center"/>
      <protection locked="0"/>
    </xf>
    <xf numFmtId="0" fontId="27" fillId="37" borderId="66" xfId="0" applyFont="1" applyFill="1" applyBorder="1" applyAlignment="1" applyProtection="1">
      <alignment vertical="center"/>
    </xf>
    <xf numFmtId="0" fontId="30" fillId="37" borderId="78" xfId="0" applyFont="1" applyFill="1" applyBorder="1" applyAlignment="1" applyProtection="1">
      <alignment horizontal="center" vertical="center"/>
      <protection locked="0"/>
    </xf>
    <xf numFmtId="0" fontId="27" fillId="37" borderId="78" xfId="0" applyFont="1" applyFill="1" applyBorder="1" applyAlignment="1" applyProtection="1">
      <alignment vertical="center"/>
    </xf>
    <xf numFmtId="0" fontId="0" fillId="38" borderId="40" xfId="0" applyFont="1" applyFill="1" applyBorder="1" applyAlignment="1" applyProtection="1">
      <alignment vertical="center"/>
    </xf>
    <xf numFmtId="0" fontId="0" fillId="38" borderId="66" xfId="0" applyFont="1" applyFill="1" applyBorder="1" applyAlignment="1" applyProtection="1">
      <alignment vertical="center"/>
    </xf>
    <xf numFmtId="0" fontId="0" fillId="38" borderId="78" xfId="0" applyFont="1" applyFill="1" applyBorder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28" borderId="67" xfId="0" applyFont="1" applyFill="1" applyBorder="1" applyAlignment="1">
      <alignment vertical="center"/>
    </xf>
    <xf numFmtId="0" fontId="48" fillId="28" borderId="41" xfId="0" applyFont="1" applyFill="1" applyBorder="1" applyAlignment="1">
      <alignment vertical="center"/>
    </xf>
    <xf numFmtId="0" fontId="48" fillId="28" borderId="4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0" fillId="28" borderId="67" xfId="0" applyFont="1" applyFill="1" applyBorder="1" applyAlignment="1">
      <alignment vertical="center"/>
    </xf>
    <xf numFmtId="0" fontId="51" fillId="28" borderId="41" xfId="0" applyFont="1" applyFill="1" applyBorder="1" applyAlignment="1">
      <alignment vertical="center"/>
    </xf>
    <xf numFmtId="0" fontId="51" fillId="28" borderId="67" xfId="0" applyFont="1" applyFill="1" applyBorder="1" applyAlignment="1">
      <alignment horizontal="right" vertical="center"/>
    </xf>
    <xf numFmtId="0" fontId="51" fillId="28" borderId="47" xfId="0" applyFont="1" applyFill="1" applyBorder="1" applyAlignment="1">
      <alignment horizontal="right" vertical="center"/>
    </xf>
    <xf numFmtId="0" fontId="21" fillId="29" borderId="18" xfId="0" applyFont="1" applyFill="1" applyBorder="1" applyAlignment="1">
      <alignment horizontal="center" vertical="center" wrapText="1"/>
    </xf>
    <xf numFmtId="0" fontId="48" fillId="0" borderId="41" xfId="0" applyFont="1" applyBorder="1" applyAlignment="1">
      <alignment vertical="center"/>
    </xf>
    <xf numFmtId="0" fontId="48" fillId="0" borderId="47" xfId="0" applyFont="1" applyBorder="1" applyAlignment="1">
      <alignment vertical="center"/>
    </xf>
    <xf numFmtId="0" fontId="53" fillId="28" borderId="41" xfId="0" applyFont="1" applyFill="1" applyBorder="1" applyAlignment="1">
      <alignment vertical="center"/>
    </xf>
    <xf numFmtId="0" fontId="54" fillId="28" borderId="41" xfId="0" applyFont="1" applyFill="1" applyBorder="1" applyAlignment="1">
      <alignment vertical="center"/>
    </xf>
    <xf numFmtId="0" fontId="54" fillId="28" borderId="67" xfId="0" applyFont="1" applyFill="1" applyBorder="1" applyAlignment="1">
      <alignment horizontal="right" vertical="center"/>
    </xf>
    <xf numFmtId="0" fontId="54" fillId="28" borderId="47" xfId="0" applyFont="1" applyFill="1" applyBorder="1" applyAlignment="1">
      <alignment vertical="center"/>
    </xf>
    <xf numFmtId="0" fontId="21" fillId="31" borderId="131" xfId="0" applyFont="1" applyFill="1" applyBorder="1" applyAlignment="1" applyProtection="1">
      <alignment horizontal="right" vertical="center"/>
      <protection locked="0"/>
    </xf>
    <xf numFmtId="0" fontId="21" fillId="30" borderId="0" xfId="0" applyFont="1" applyFill="1" applyBorder="1" applyProtection="1"/>
    <xf numFmtId="0" fontId="21" fillId="30" borderId="0" xfId="0" applyFont="1" applyFill="1" applyBorder="1" applyAlignment="1" applyProtection="1">
      <alignment horizontal="left"/>
    </xf>
    <xf numFmtId="0" fontId="21" fillId="30" borderId="74" xfId="0" applyFont="1" applyFill="1" applyBorder="1" applyProtection="1"/>
    <xf numFmtId="0" fontId="21" fillId="30" borderId="75" xfId="0" applyFont="1" applyFill="1" applyBorder="1" applyProtection="1"/>
    <xf numFmtId="0" fontId="21" fillId="30" borderId="45" xfId="0" applyFont="1" applyFill="1" applyBorder="1" applyProtection="1"/>
    <xf numFmtId="166" fontId="21" fillId="30" borderId="0" xfId="0" applyNumberFormat="1" applyFont="1" applyFill="1" applyBorder="1" applyAlignment="1" applyProtection="1">
      <alignment horizontal="left"/>
    </xf>
    <xf numFmtId="0" fontId="21" fillId="30" borderId="44" xfId="0" applyFont="1" applyFill="1" applyBorder="1" applyAlignment="1" applyProtection="1"/>
    <xf numFmtId="165" fontId="21" fillId="30" borderId="45" xfId="0" applyNumberFormat="1" applyFont="1" applyFill="1" applyBorder="1" applyProtection="1"/>
    <xf numFmtId="0" fontId="48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6" fillId="28" borderId="41" xfId="0" applyFont="1" applyFill="1" applyBorder="1" applyAlignment="1">
      <alignment vertical="center"/>
    </xf>
    <xf numFmtId="0" fontId="57" fillId="28" borderId="41" xfId="0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0" fontId="51" fillId="28" borderId="47" xfId="0" applyFont="1" applyFill="1" applyBorder="1" applyAlignment="1">
      <alignment vertical="center"/>
    </xf>
    <xf numFmtId="0" fontId="49" fillId="28" borderId="41" xfId="0" applyFont="1" applyFill="1" applyBorder="1" applyAlignment="1">
      <alignment vertical="center"/>
    </xf>
    <xf numFmtId="0" fontId="49" fillId="28" borderId="47" xfId="0" applyFont="1" applyFill="1" applyBorder="1" applyAlignment="1">
      <alignment vertical="center"/>
    </xf>
    <xf numFmtId="0" fontId="50" fillId="28" borderId="41" xfId="0" applyFont="1" applyFill="1" applyBorder="1" applyAlignment="1">
      <alignment vertical="center"/>
    </xf>
    <xf numFmtId="0" fontId="30" fillId="37" borderId="66" xfId="0" applyFont="1" applyFill="1" applyBorder="1" applyAlignment="1" applyProtection="1">
      <alignment horizontal="center" vertical="center"/>
      <protection locked="0"/>
    </xf>
    <xf numFmtId="0" fontId="0" fillId="34" borderId="66" xfId="0" applyFont="1" applyFill="1" applyBorder="1" applyAlignment="1" applyProtection="1">
      <alignment horizontal="center" vertical="center"/>
    </xf>
    <xf numFmtId="0" fontId="30" fillId="0" borderId="66" xfId="0" applyFont="1" applyBorder="1" applyAlignment="1" applyProtection="1">
      <alignment horizontal="center" vertical="center"/>
      <protection locked="0"/>
    </xf>
    <xf numFmtId="0" fontId="35" fillId="34" borderId="66" xfId="0" applyFont="1" applyFill="1" applyBorder="1" applyAlignment="1" applyProtection="1">
      <alignment horizontal="center" vertical="center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0" fontId="58" fillId="28" borderId="67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8" borderId="41" xfId="0" applyFont="1" applyFill="1" applyBorder="1" applyAlignment="1">
      <alignment horizontal="right" vertical="center"/>
    </xf>
    <xf numFmtId="0" fontId="0" fillId="0" borderId="47" xfId="0" applyFont="1" applyBorder="1" applyAlignment="1">
      <alignment horizontal="right" vertical="center"/>
    </xf>
    <xf numFmtId="0" fontId="21" fillId="28" borderId="67" xfId="0" applyFont="1" applyFill="1" applyBorder="1" applyAlignment="1">
      <alignment vertical="center"/>
    </xf>
    <xf numFmtId="0" fontId="20" fillId="28" borderId="67" xfId="0" applyFont="1" applyFill="1" applyBorder="1" applyAlignment="1">
      <alignment horizontal="left" vertical="center"/>
    </xf>
    <xf numFmtId="0" fontId="59" fillId="28" borderId="41" xfId="0" applyFont="1" applyFill="1" applyBorder="1" applyAlignment="1">
      <alignment horizontal="left" vertical="center"/>
    </xf>
    <xf numFmtId="0" fontId="0" fillId="28" borderId="41" xfId="0" applyFont="1" applyFill="1" applyBorder="1" applyAlignment="1">
      <alignment horizontal="left" vertical="center"/>
    </xf>
    <xf numFmtId="0" fontId="27" fillId="0" borderId="66" xfId="0" applyFont="1" applyFill="1" applyBorder="1" applyAlignment="1" applyProtection="1">
      <alignment horizontal="left" vertical="center"/>
      <protection locked="0"/>
    </xf>
    <xf numFmtId="0" fontId="60" fillId="28" borderId="41" xfId="0" applyFont="1" applyFill="1" applyBorder="1" applyAlignment="1">
      <alignment vertical="center"/>
    </xf>
    <xf numFmtId="0" fontId="61" fillId="28" borderId="41" xfId="0" applyFont="1" applyFill="1" applyBorder="1" applyAlignment="1">
      <alignment vertical="center"/>
    </xf>
    <xf numFmtId="0" fontId="62" fillId="28" borderId="41" xfId="0" applyFont="1" applyFill="1" applyBorder="1" applyAlignment="1">
      <alignment horizontal="left" vertical="center"/>
    </xf>
    <xf numFmtId="0" fontId="63" fillId="28" borderId="41" xfId="0" applyFont="1" applyFill="1" applyBorder="1" applyAlignment="1">
      <alignment horizontal="left" vertical="center"/>
    </xf>
    <xf numFmtId="14" fontId="0" fillId="28" borderId="18" xfId="0" applyNumberFormat="1" applyFont="1" applyFill="1" applyBorder="1" applyAlignment="1">
      <alignment horizontal="center" vertical="center" wrapText="1"/>
    </xf>
    <xf numFmtId="14" fontId="0" fillId="28" borderId="18" xfId="0" applyNumberFormat="1" applyFill="1" applyBorder="1" applyAlignment="1">
      <alignment horizontal="center" vertical="center" wrapText="1"/>
    </xf>
    <xf numFmtId="14" fontId="0" fillId="28" borderId="18" xfId="0" applyNumberFormat="1" applyFill="1" applyBorder="1" applyAlignment="1">
      <alignment horizontal="center" vertical="center" wrapText="1"/>
    </xf>
    <xf numFmtId="0" fontId="30" fillId="37" borderId="40" xfId="0" applyFont="1" applyFill="1" applyBorder="1" applyAlignment="1" applyProtection="1">
      <alignment horizontal="center" vertical="center"/>
      <protection locked="0"/>
    </xf>
    <xf numFmtId="0" fontId="30" fillId="37" borderId="66" xfId="0" applyFont="1" applyFill="1" applyBorder="1" applyAlignment="1" applyProtection="1">
      <alignment horizontal="center" vertical="center"/>
      <protection locked="0"/>
    </xf>
    <xf numFmtId="0" fontId="27" fillId="31" borderId="65" xfId="0" applyFont="1" applyFill="1" applyBorder="1" applyAlignment="1" applyProtection="1">
      <alignment horizontal="center" vertical="center"/>
    </xf>
    <xf numFmtId="0" fontId="0" fillId="34" borderId="66" xfId="0" applyFont="1" applyFill="1" applyBorder="1" applyAlignment="1" applyProtection="1">
      <alignment horizontal="center" vertical="center"/>
    </xf>
    <xf numFmtId="0" fontId="30" fillId="0" borderId="40" xfId="0" applyFont="1" applyBorder="1" applyAlignment="1" applyProtection="1">
      <alignment horizontal="center" vertical="center"/>
      <protection locked="0"/>
    </xf>
    <xf numFmtId="0" fontId="30" fillId="0" borderId="66" xfId="0" applyFont="1" applyBorder="1" applyAlignment="1" applyProtection="1">
      <alignment horizontal="center" vertical="center"/>
      <protection locked="0"/>
    </xf>
    <xf numFmtId="0" fontId="35" fillId="34" borderId="66" xfId="0" applyFont="1" applyFill="1" applyBorder="1" applyAlignment="1" applyProtection="1">
      <alignment horizontal="center" vertical="center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0" fontId="27" fillId="34" borderId="66" xfId="0" applyFont="1" applyFill="1" applyBorder="1" applyAlignment="1" applyProtection="1">
      <alignment horizontal="center" vertical="center"/>
      <protection locked="0"/>
    </xf>
    <xf numFmtId="0" fontId="27" fillId="0" borderId="66" xfId="0" applyFont="1" applyFill="1" applyBorder="1" applyAlignment="1" applyProtection="1">
      <alignment vertical="center" wrapText="1"/>
      <protection locked="0"/>
    </xf>
    <xf numFmtId="0" fontId="1" fillId="34" borderId="66" xfId="0" applyFont="1" applyFill="1" applyBorder="1" applyAlignment="1" applyProtection="1">
      <alignment horizontal="center" vertical="center"/>
    </xf>
    <xf numFmtId="0" fontId="30" fillId="29" borderId="40" xfId="0" applyFont="1" applyFill="1" applyBorder="1" applyAlignment="1" applyProtection="1">
      <alignment vertical="center"/>
      <protection locked="0"/>
    </xf>
    <xf numFmtId="0" fontId="27" fillId="0" borderId="131" xfId="0" applyFont="1" applyFill="1" applyBorder="1" applyAlignment="1" applyProtection="1">
      <alignment vertical="center" wrapText="1"/>
    </xf>
    <xf numFmtId="0" fontId="27" fillId="0" borderId="18" xfId="0" applyFont="1" applyFill="1" applyBorder="1" applyAlignment="1" applyProtection="1">
      <alignment vertical="center" wrapText="1"/>
    </xf>
    <xf numFmtId="0" fontId="30" fillId="29" borderId="66" xfId="0" applyFont="1" applyFill="1" applyBorder="1" applyAlignment="1" applyProtection="1">
      <alignment vertical="center"/>
      <protection locked="0"/>
    </xf>
    <xf numFmtId="0" fontId="27" fillId="29" borderId="66" xfId="0" applyFont="1" applyFill="1" applyBorder="1" applyAlignment="1" applyProtection="1">
      <alignment horizontal="center" vertical="center"/>
      <protection locked="0"/>
    </xf>
    <xf numFmtId="0" fontId="30" fillId="29" borderId="66" xfId="0" applyFont="1" applyFill="1" applyBorder="1" applyAlignment="1" applyProtection="1">
      <alignment horizontal="center" vertical="center"/>
      <protection locked="0"/>
    </xf>
    <xf numFmtId="0" fontId="35" fillId="29" borderId="66" xfId="0" applyFont="1" applyFill="1" applyBorder="1" applyAlignment="1" applyProtection="1">
      <alignment horizontal="center" vertical="center"/>
    </xf>
    <xf numFmtId="0" fontId="0" fillId="29" borderId="66" xfId="0" applyFont="1" applyFill="1" applyBorder="1" applyAlignment="1" applyProtection="1">
      <alignment horizontal="center" vertical="center"/>
    </xf>
    <xf numFmtId="0" fontId="27" fillId="29" borderId="66" xfId="0" applyFont="1" applyFill="1" applyBorder="1" applyAlignment="1" applyProtection="1">
      <alignment vertical="center" wrapText="1"/>
    </xf>
    <xf numFmtId="0" fontId="27" fillId="35" borderId="65" xfId="0" applyFont="1" applyFill="1" applyBorder="1" applyAlignment="1" applyProtection="1">
      <alignment horizontal="center" vertical="center"/>
    </xf>
    <xf numFmtId="0" fontId="27" fillId="35" borderId="85" xfId="0" applyFont="1" applyFill="1" applyBorder="1" applyAlignment="1" applyProtection="1">
      <alignment horizontal="center" vertical="center"/>
    </xf>
    <xf numFmtId="0" fontId="27" fillId="29" borderId="40" xfId="0" applyFont="1" applyFill="1" applyBorder="1" applyAlignment="1" applyProtection="1">
      <alignment horizontal="center" vertical="center"/>
      <protection locked="0"/>
    </xf>
    <xf numFmtId="0" fontId="30" fillId="29" borderId="40" xfId="0" applyFont="1" applyFill="1" applyBorder="1" applyAlignment="1" applyProtection="1">
      <alignment horizontal="center" vertical="center"/>
      <protection locked="0"/>
    </xf>
    <xf numFmtId="0" fontId="35" fillId="29" borderId="40" xfId="0" applyFont="1" applyFill="1" applyBorder="1" applyAlignment="1" applyProtection="1">
      <alignment horizontal="center" vertical="center"/>
    </xf>
    <xf numFmtId="0" fontId="0" fillId="29" borderId="40" xfId="0" applyFont="1" applyFill="1" applyBorder="1" applyAlignment="1" applyProtection="1">
      <alignment horizontal="center" vertical="center"/>
    </xf>
    <xf numFmtId="0" fontId="31" fillId="29" borderId="88" xfId="0" applyFont="1" applyFill="1" applyBorder="1" applyAlignment="1" applyProtection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21" fillId="29" borderId="18" xfId="0" applyFont="1" applyFill="1" applyBorder="1" applyAlignment="1">
      <alignment horizontal="center" vertical="center" wrapText="1"/>
    </xf>
    <xf numFmtId="14" fontId="0" fillId="28" borderId="18" xfId="0" applyNumberFormat="1" applyFill="1" applyBorder="1" applyAlignment="1">
      <alignment horizontal="center" vertical="center" wrapText="1"/>
    </xf>
    <xf numFmtId="14" fontId="0" fillId="28" borderId="18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 applyProtection="1">
      <alignment horizontal="left"/>
      <protection locked="0"/>
    </xf>
    <xf numFmtId="0" fontId="24" fillId="0" borderId="75" xfId="0" applyFont="1" applyBorder="1" applyAlignment="1" applyProtection="1">
      <alignment horizontal="left"/>
      <protection locked="0"/>
    </xf>
    <xf numFmtId="0" fontId="24" fillId="0" borderId="73" xfId="0" applyFont="1" applyBorder="1" applyAlignment="1" applyProtection="1">
      <alignment horizontal="left"/>
      <protection locked="0"/>
    </xf>
    <xf numFmtId="166" fontId="24" fillId="0" borderId="0" xfId="0" applyNumberFormat="1" applyFont="1" applyBorder="1" applyAlignment="1" applyProtection="1">
      <alignment horizontal="left"/>
      <protection locked="0"/>
    </xf>
    <xf numFmtId="166" fontId="24" fillId="0" borderId="43" xfId="0" applyNumberFormat="1" applyFont="1" applyBorder="1" applyAlignment="1" applyProtection="1">
      <alignment horizontal="left"/>
      <protection locked="0"/>
    </xf>
    <xf numFmtId="0" fontId="24" fillId="0" borderId="43" xfId="0" applyFont="1" applyBorder="1" applyAlignment="1" applyProtection="1">
      <alignment horizontal="left"/>
      <protection locked="0"/>
    </xf>
    <xf numFmtId="14" fontId="47" fillId="0" borderId="45" xfId="0" applyNumberFormat="1" applyFont="1" applyBorder="1" applyAlignment="1" applyProtection="1">
      <alignment horizontal="left"/>
      <protection locked="0"/>
    </xf>
    <xf numFmtId="14" fontId="47" fillId="0" borderId="46" xfId="0" applyNumberFormat="1" applyFont="1" applyBorder="1" applyAlignment="1" applyProtection="1">
      <alignment horizontal="left"/>
      <protection locked="0"/>
    </xf>
    <xf numFmtId="0" fontId="22" fillId="31" borderId="67" xfId="0" applyFont="1" applyFill="1" applyBorder="1" applyAlignment="1" applyProtection="1">
      <alignment horizontal="left" vertical="center"/>
    </xf>
    <xf numFmtId="0" fontId="22" fillId="31" borderId="41" xfId="0" applyFont="1" applyFill="1" applyBorder="1" applyAlignment="1" applyProtection="1">
      <alignment horizontal="left" vertical="center"/>
    </xf>
    <xf numFmtId="0" fontId="22" fillId="31" borderId="47" xfId="0" applyFont="1" applyFill="1" applyBorder="1" applyAlignment="1" applyProtection="1">
      <alignment horizontal="left" vertical="center"/>
    </xf>
    <xf numFmtId="0" fontId="22" fillId="31" borderId="74" xfId="0" applyFont="1" applyFill="1" applyBorder="1" applyAlignment="1" applyProtection="1">
      <alignment horizontal="left" vertical="center"/>
    </xf>
    <xf numFmtId="0" fontId="22" fillId="31" borderId="75" xfId="0" applyFont="1" applyFill="1" applyBorder="1" applyAlignment="1" applyProtection="1">
      <alignment horizontal="left" vertical="center"/>
    </xf>
    <xf numFmtId="0" fontId="22" fillId="31" borderId="73" xfId="0" applyFont="1" applyFill="1" applyBorder="1" applyAlignment="1" applyProtection="1">
      <alignment horizontal="left" vertical="center"/>
    </xf>
    <xf numFmtId="0" fontId="24" fillId="0" borderId="45" xfId="0" applyFont="1" applyBorder="1" applyAlignment="1" applyProtection="1">
      <alignment horizontal="left"/>
      <protection locked="0"/>
    </xf>
    <xf numFmtId="0" fontId="24" fillId="0" borderId="46" xfId="0" applyFont="1" applyBorder="1" applyAlignment="1" applyProtection="1">
      <alignment horizontal="left"/>
      <protection locked="0"/>
    </xf>
    <xf numFmtId="171" fontId="21" fillId="0" borderId="45" xfId="0" applyNumberFormat="1" applyFont="1" applyBorder="1" applyAlignment="1" applyProtection="1">
      <alignment horizontal="left"/>
      <protection locked="0"/>
    </xf>
    <xf numFmtId="0" fontId="24" fillId="0" borderId="74" xfId="0" applyFont="1" applyBorder="1" applyAlignment="1" applyProtection="1">
      <alignment horizontal="left" vertical="center" wrapText="1"/>
      <protection locked="0"/>
    </xf>
    <xf numFmtId="0" fontId="24" fillId="0" borderId="75" xfId="0" applyFont="1" applyBorder="1" applyAlignment="1" applyProtection="1">
      <alignment horizontal="left" vertical="center" wrapText="1"/>
      <protection locked="0"/>
    </xf>
    <xf numFmtId="0" fontId="24" fillId="0" borderId="73" xfId="0" applyFont="1" applyBorder="1" applyAlignment="1" applyProtection="1">
      <alignment horizontal="left" vertical="center" wrapText="1"/>
      <protection locked="0"/>
    </xf>
    <xf numFmtId="0" fontId="24" fillId="0" borderId="42" xfId="0" applyFont="1" applyBorder="1" applyAlignment="1" applyProtection="1">
      <alignment horizontal="left" vertical="center" wrapText="1"/>
      <protection locked="0"/>
    </xf>
    <xf numFmtId="0" fontId="24" fillId="0" borderId="0" xfId="0" applyFont="1" applyBorder="1" applyAlignment="1" applyProtection="1">
      <alignment horizontal="left" vertical="center" wrapText="1"/>
      <protection locked="0"/>
    </xf>
    <xf numFmtId="0" fontId="24" fillId="0" borderId="43" xfId="0" applyFont="1" applyBorder="1" applyAlignment="1" applyProtection="1">
      <alignment horizontal="left" vertical="center" wrapText="1"/>
      <protection locked="0"/>
    </xf>
    <xf numFmtId="0" fontId="24" fillId="0" borderId="44" xfId="0" applyFont="1" applyBorder="1" applyAlignment="1" applyProtection="1">
      <alignment horizontal="left" vertical="center" wrapText="1"/>
      <protection locked="0"/>
    </xf>
    <xf numFmtId="0" fontId="24" fillId="0" borderId="45" xfId="0" applyFont="1" applyBorder="1" applyAlignment="1" applyProtection="1">
      <alignment horizontal="left" vertical="center" wrapText="1"/>
      <protection locked="0"/>
    </xf>
    <xf numFmtId="0" fontId="24" fillId="0" borderId="46" xfId="0" applyFont="1" applyBorder="1" applyAlignment="1" applyProtection="1">
      <alignment horizontal="left" vertical="center" wrapText="1"/>
      <protection locked="0"/>
    </xf>
    <xf numFmtId="0" fontId="21" fillId="0" borderId="41" xfId="0" applyFont="1" applyBorder="1" applyAlignment="1" applyProtection="1">
      <alignment horizontal="left"/>
    </xf>
    <xf numFmtId="0" fontId="24" fillId="0" borderId="74" xfId="0" applyFont="1" applyFill="1" applyBorder="1" applyAlignment="1" applyProtection="1">
      <alignment horizontal="left" vertical="center" wrapText="1"/>
      <protection locked="0"/>
    </xf>
    <xf numFmtId="0" fontId="24" fillId="0" borderId="75" xfId="0" applyFont="1" applyFill="1" applyBorder="1" applyAlignment="1" applyProtection="1">
      <alignment horizontal="left" vertical="center" wrapText="1"/>
      <protection locked="0"/>
    </xf>
    <xf numFmtId="0" fontId="24" fillId="0" borderId="73" xfId="0" applyFont="1" applyFill="1" applyBorder="1" applyAlignment="1" applyProtection="1">
      <alignment horizontal="left" vertical="center" wrapText="1"/>
      <protection locked="0"/>
    </xf>
    <xf numFmtId="0" fontId="24" fillId="0" borderId="42" xfId="0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Fill="1" applyBorder="1" applyAlignment="1" applyProtection="1">
      <alignment horizontal="left" vertical="center" wrapText="1"/>
      <protection locked="0"/>
    </xf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5" xfId="0" applyFont="1" applyFill="1" applyBorder="1" applyAlignment="1" applyProtection="1">
      <alignment horizontal="left" vertical="center" wrapText="1"/>
      <protection locked="0"/>
    </xf>
    <xf numFmtId="0" fontId="24" fillId="0" borderId="46" xfId="0" applyFont="1" applyFill="1" applyBorder="1" applyAlignment="1" applyProtection="1">
      <alignment horizontal="left" vertical="center" wrapText="1"/>
      <protection locked="0"/>
    </xf>
    <xf numFmtId="0" fontId="55" fillId="0" borderId="74" xfId="0" applyFont="1" applyBorder="1" applyAlignment="1" applyProtection="1">
      <alignment horizontal="left" vertical="center" wrapText="1"/>
      <protection locked="0"/>
    </xf>
    <xf numFmtId="0" fontId="24" fillId="0" borderId="75" xfId="0" applyFont="1" applyBorder="1" applyAlignment="1" applyProtection="1">
      <alignment horizontal="left" vertical="center"/>
      <protection locked="0"/>
    </xf>
    <xf numFmtId="0" fontId="24" fillId="0" borderId="73" xfId="0" applyFont="1" applyBorder="1" applyAlignment="1" applyProtection="1">
      <alignment horizontal="left" vertical="center"/>
      <protection locked="0"/>
    </xf>
    <xf numFmtId="0" fontId="24" fillId="0" borderId="42" xfId="0" applyFont="1" applyBorder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24" fillId="0" borderId="43" xfId="0" applyFont="1" applyBorder="1" applyAlignment="1" applyProtection="1">
      <alignment horizontal="left" vertical="center"/>
      <protection locked="0"/>
    </xf>
    <xf numFmtId="0" fontId="24" fillId="0" borderId="44" xfId="0" applyFont="1" applyBorder="1" applyAlignment="1" applyProtection="1">
      <alignment horizontal="left" vertical="center"/>
      <protection locked="0"/>
    </xf>
    <xf numFmtId="0" fontId="24" fillId="0" borderId="45" xfId="0" applyFont="1" applyBorder="1" applyAlignment="1" applyProtection="1">
      <alignment horizontal="left" vertical="center"/>
      <protection locked="0"/>
    </xf>
    <xf numFmtId="0" fontId="24" fillId="0" borderId="46" xfId="0" applyFont="1" applyBorder="1" applyAlignment="1" applyProtection="1">
      <alignment horizontal="left" vertical="center"/>
      <protection locked="0"/>
    </xf>
    <xf numFmtId="0" fontId="30" fillId="31" borderId="81" xfId="0" applyFont="1" applyFill="1" applyBorder="1" applyAlignment="1" applyProtection="1">
      <alignment horizontal="center" vertical="center"/>
    </xf>
    <xf numFmtId="0" fontId="30" fillId="31" borderId="82" xfId="0" applyFont="1" applyFill="1" applyBorder="1" applyAlignment="1" applyProtection="1">
      <alignment horizontal="center" vertical="center"/>
    </xf>
    <xf numFmtId="0" fontId="30" fillId="31" borderId="76" xfId="0" applyFont="1" applyFill="1" applyBorder="1" applyAlignment="1" applyProtection="1">
      <alignment horizontal="center" vertical="center"/>
    </xf>
    <xf numFmtId="0" fontId="30" fillId="31" borderId="78" xfId="0" applyFont="1" applyFill="1" applyBorder="1" applyAlignment="1" applyProtection="1">
      <alignment horizontal="center" vertical="center"/>
    </xf>
    <xf numFmtId="0" fontId="41" fillId="16" borderId="41" xfId="0" applyFont="1" applyFill="1" applyBorder="1" applyAlignment="1" applyProtection="1">
      <alignment horizontal="center" vertical="center" wrapText="1"/>
    </xf>
    <xf numFmtId="0" fontId="29" fillId="30" borderId="15" xfId="0" applyFont="1" applyFill="1" applyBorder="1" applyAlignment="1" applyProtection="1">
      <alignment horizontal="left" vertical="center"/>
    </xf>
    <xf numFmtId="0" fontId="29" fillId="30" borderId="16" xfId="0" applyFont="1" applyFill="1" applyBorder="1" applyAlignment="1" applyProtection="1">
      <alignment horizontal="left" vertical="center"/>
    </xf>
    <xf numFmtId="0" fontId="29" fillId="30" borderId="56" xfId="0" applyFont="1" applyFill="1" applyBorder="1" applyAlignment="1" applyProtection="1">
      <alignment horizontal="left" vertical="center"/>
    </xf>
    <xf numFmtId="0" fontId="27" fillId="0" borderId="50" xfId="0" applyFont="1" applyBorder="1" applyAlignment="1" applyProtection="1">
      <alignment horizontal="left" vertical="center"/>
    </xf>
    <xf numFmtId="0" fontId="27" fillId="0" borderId="86" xfId="0" applyFont="1" applyBorder="1" applyAlignment="1" applyProtection="1">
      <alignment horizontal="left" vertical="center"/>
    </xf>
    <xf numFmtId="0" fontId="27" fillId="0" borderId="86" xfId="0" applyFont="1" applyBorder="1" applyAlignment="1" applyProtection="1">
      <alignment horizontal="right" vertical="center"/>
    </xf>
    <xf numFmtId="0" fontId="27" fillId="0" borderId="87" xfId="0" applyFont="1" applyBorder="1" applyAlignment="1" applyProtection="1">
      <alignment horizontal="right" vertical="center"/>
    </xf>
    <xf numFmtId="167" fontId="27" fillId="0" borderId="86" xfId="0" applyNumberFormat="1" applyFont="1" applyBorder="1" applyAlignment="1" applyProtection="1">
      <alignment horizontal="left" vertical="center"/>
    </xf>
    <xf numFmtId="167" fontId="27" fillId="0" borderId="51" xfId="0" applyNumberFormat="1" applyFont="1" applyBorder="1" applyAlignment="1" applyProtection="1">
      <alignment horizontal="left" vertical="center"/>
    </xf>
    <xf numFmtId="167" fontId="27" fillId="0" borderId="87" xfId="0" applyNumberFormat="1" applyFont="1" applyBorder="1" applyAlignment="1" applyProtection="1">
      <alignment horizontal="left" vertical="center"/>
    </xf>
    <xf numFmtId="167" fontId="27" fillId="0" borderId="55" xfId="0" applyNumberFormat="1" applyFont="1" applyBorder="1" applyAlignment="1" applyProtection="1">
      <alignment horizontal="left" vertical="center"/>
    </xf>
    <xf numFmtId="0" fontId="27" fillId="0" borderId="54" xfId="0" applyFont="1" applyBorder="1" applyAlignment="1" applyProtection="1">
      <alignment horizontal="left" vertical="center"/>
    </xf>
    <xf numFmtId="0" fontId="27" fillId="0" borderId="87" xfId="0" applyFont="1" applyBorder="1" applyAlignment="1" applyProtection="1">
      <alignment horizontal="left" vertical="center"/>
    </xf>
    <xf numFmtId="0" fontId="31" fillId="31" borderId="76" xfId="0" applyFont="1" applyFill="1" applyBorder="1" applyAlignment="1" applyProtection="1">
      <alignment horizontal="center" vertical="center"/>
    </xf>
    <xf numFmtId="0" fontId="31" fillId="31" borderId="78" xfId="0" applyFont="1" applyFill="1" applyBorder="1" applyAlignment="1" applyProtection="1">
      <alignment horizontal="center" vertical="center"/>
    </xf>
    <xf numFmtId="0" fontId="31" fillId="30" borderId="83" xfId="0" applyFont="1" applyFill="1" applyBorder="1" applyAlignment="1" applyProtection="1">
      <alignment horizontal="center" vertical="center" wrapText="1"/>
    </xf>
    <xf numFmtId="0" fontId="31" fillId="30" borderId="84" xfId="0" applyFont="1" applyFill="1" applyBorder="1" applyAlignment="1" applyProtection="1">
      <alignment horizontal="center" vertical="center" wrapText="1"/>
    </xf>
    <xf numFmtId="0" fontId="31" fillId="30" borderId="85" xfId="0" applyFont="1" applyFill="1" applyBorder="1" applyAlignment="1" applyProtection="1">
      <alignment horizontal="center" vertical="center" wrapText="1"/>
    </xf>
    <xf numFmtId="0" fontId="31" fillId="30" borderId="40" xfId="0" applyFont="1" applyFill="1" applyBorder="1" applyAlignment="1" applyProtection="1">
      <alignment horizontal="center" vertical="center" wrapText="1"/>
    </xf>
    <xf numFmtId="0" fontId="31" fillId="30" borderId="88" xfId="0" applyFont="1" applyFill="1" applyBorder="1" applyAlignment="1" applyProtection="1">
      <alignment horizontal="center" vertical="center" wrapText="1"/>
    </xf>
    <xf numFmtId="0" fontId="31" fillId="30" borderId="50" xfId="0" applyFont="1" applyFill="1" applyBorder="1" applyAlignment="1" applyProtection="1">
      <alignment horizontal="center" vertical="center" wrapText="1"/>
    </xf>
    <xf numFmtId="0" fontId="31" fillId="30" borderId="86" xfId="0" applyFont="1" applyFill="1" applyBorder="1" applyAlignment="1" applyProtection="1">
      <alignment horizontal="center" vertical="center" wrapText="1"/>
    </xf>
    <xf numFmtId="0" fontId="31" fillId="30" borderId="51" xfId="0" applyFont="1" applyFill="1" applyBorder="1" applyAlignment="1" applyProtection="1">
      <alignment horizontal="center" vertical="center" wrapText="1"/>
    </xf>
    <xf numFmtId="0" fontId="62" fillId="28" borderId="41" xfId="0" applyFont="1" applyFill="1" applyBorder="1" applyAlignment="1">
      <alignment horizontal="left" vertical="center"/>
    </xf>
    <xf numFmtId="0" fontId="27" fillId="0" borderId="131" xfId="0" applyFont="1" applyFill="1" applyBorder="1" applyAlignment="1" applyProtection="1">
      <alignment horizontal="left" vertical="center" wrapText="1"/>
    </xf>
    <xf numFmtId="0" fontId="27" fillId="0" borderId="66" xfId="0" applyFont="1" applyFill="1" applyBorder="1" applyAlignment="1" applyProtection="1">
      <alignment horizontal="left" vertical="center" wrapText="1"/>
    </xf>
    <xf numFmtId="0" fontId="27" fillId="0" borderId="77" xfId="0" applyFont="1" applyFill="1" applyBorder="1" applyAlignment="1" applyProtection="1">
      <alignment horizontal="left" vertical="center" wrapText="1"/>
    </xf>
    <xf numFmtId="0" fontId="46" fillId="0" borderId="38" xfId="0" applyFont="1" applyBorder="1" applyAlignment="1" applyProtection="1">
      <alignment horizontal="left" vertical="center" wrapText="1"/>
    </xf>
    <xf numFmtId="0" fontId="46" fillId="0" borderId="125" xfId="0" applyFont="1" applyBorder="1" applyAlignment="1" applyProtection="1">
      <alignment horizontal="left" vertical="center" wrapText="1"/>
    </xf>
    <xf numFmtId="0" fontId="46" fillId="0" borderId="22" xfId="0" applyFont="1" applyBorder="1" applyAlignment="1" applyProtection="1">
      <alignment horizontal="left" vertical="center" wrapText="1"/>
    </xf>
    <xf numFmtId="0" fontId="46" fillId="0" borderId="23" xfId="0" applyFont="1" applyBorder="1" applyAlignment="1" applyProtection="1">
      <alignment horizontal="left" vertical="center" wrapText="1"/>
    </xf>
    <xf numFmtId="0" fontId="46" fillId="0" borderId="126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/>
    </xf>
    <xf numFmtId="0" fontId="28" fillId="30" borderId="119" xfId="0" applyFont="1" applyFill="1" applyBorder="1" applyAlignment="1" applyProtection="1">
      <alignment horizontal="center" vertical="center"/>
    </xf>
    <xf numFmtId="0" fontId="28" fillId="30" borderId="120" xfId="0" applyFont="1" applyFill="1" applyBorder="1" applyAlignment="1" applyProtection="1">
      <alignment horizontal="center" vertical="center"/>
    </xf>
    <xf numFmtId="0" fontId="28" fillId="30" borderId="121" xfId="0" applyFont="1" applyFill="1" applyBorder="1" applyAlignment="1" applyProtection="1">
      <alignment horizontal="center" vertical="center"/>
    </xf>
    <xf numFmtId="0" fontId="46" fillId="0" borderId="97" xfId="0" applyFont="1" applyBorder="1" applyAlignment="1" applyProtection="1">
      <alignment horizontal="left" vertical="center" wrapText="1"/>
    </xf>
    <xf numFmtId="0" fontId="46" fillId="0" borderId="123" xfId="0" applyFont="1" applyBorder="1" applyAlignment="1" applyProtection="1">
      <alignment horizontal="left" vertical="center" wrapText="1"/>
    </xf>
    <xf numFmtId="0" fontId="46" fillId="0" borderId="38" xfId="0" applyFont="1" applyFill="1" applyBorder="1" applyAlignment="1" applyProtection="1">
      <alignment horizontal="left" vertical="center" wrapText="1"/>
    </xf>
    <xf numFmtId="0" fontId="46" fillId="0" borderId="125" xfId="0" applyFont="1" applyFill="1" applyBorder="1" applyAlignment="1" applyProtection="1">
      <alignment horizontal="left" vertical="center" wrapText="1"/>
    </xf>
    <xf numFmtId="14" fontId="46" fillId="0" borderId="38" xfId="0" applyNumberFormat="1" applyFont="1" applyBorder="1" applyAlignment="1" applyProtection="1">
      <alignment horizontal="left" vertical="center" wrapText="1"/>
    </xf>
    <xf numFmtId="14" fontId="46" fillId="0" borderId="125" xfId="0" applyNumberFormat="1" applyFont="1" applyBorder="1" applyAlignment="1" applyProtection="1">
      <alignment horizontal="left" vertical="center" wrapText="1"/>
    </xf>
    <xf numFmtId="166" fontId="46" fillId="0" borderId="38" xfId="0" applyNumberFormat="1" applyFont="1" applyBorder="1" applyAlignment="1" applyProtection="1">
      <alignment horizontal="left" vertical="center" wrapText="1"/>
    </xf>
    <xf numFmtId="166" fontId="46" fillId="0" borderId="125" xfId="0" applyNumberFormat="1" applyFont="1" applyBorder="1" applyAlignment="1" applyProtection="1">
      <alignment horizontal="left" vertical="center" wrapText="1"/>
    </xf>
    <xf numFmtId="0" fontId="20" fillId="30" borderId="127" xfId="0" applyFont="1" applyFill="1" applyBorder="1" applyAlignment="1" applyProtection="1">
      <alignment horizontal="center" wrapText="1"/>
    </xf>
    <xf numFmtId="0" fontId="20" fillId="30" borderId="23" xfId="0" applyFont="1" applyFill="1" applyBorder="1" applyAlignment="1" applyProtection="1">
      <alignment horizontal="center" wrapText="1"/>
    </xf>
    <xf numFmtId="0" fontId="20" fillId="30" borderId="126" xfId="0" applyFont="1" applyFill="1" applyBorder="1" applyAlignment="1" applyProtection="1">
      <alignment horizontal="center" wrapText="1"/>
    </xf>
    <xf numFmtId="0" fontId="22" fillId="0" borderId="38" xfId="0" applyFont="1" applyBorder="1" applyAlignment="1" applyProtection="1">
      <alignment horizontal="left" vertical="center" wrapText="1"/>
    </xf>
    <xf numFmtId="0" fontId="22" fillId="0" borderId="129" xfId="0" applyFont="1" applyBorder="1" applyAlignment="1" applyProtection="1">
      <alignment horizontal="left" vertical="center" wrapText="1"/>
    </xf>
    <xf numFmtId="0" fontId="22" fillId="0" borderId="130" xfId="0" applyFont="1" applyBorder="1" applyAlignment="1" applyProtection="1">
      <alignment horizontal="left" vertical="center" wrapText="1"/>
    </xf>
    <xf numFmtId="0" fontId="0" fillId="34" borderId="40" xfId="0" applyFont="1" applyFill="1" applyBorder="1" applyAlignment="1" applyProtection="1">
      <alignment horizontal="center" vertical="center"/>
    </xf>
    <xf numFmtId="0" fontId="0" fillId="34" borderId="18" xfId="0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 vertical="center"/>
    </xf>
    <xf numFmtId="0" fontId="35" fillId="37" borderId="77" xfId="0" applyFont="1" applyFill="1" applyBorder="1" applyAlignment="1" applyProtection="1">
      <alignment horizontal="center" vertical="center"/>
    </xf>
    <xf numFmtId="0" fontId="35" fillId="37" borderId="78" xfId="0" applyFont="1" applyFill="1" applyBorder="1" applyAlignment="1" applyProtection="1">
      <alignment horizontal="center" vertical="center"/>
    </xf>
    <xf numFmtId="9" fontId="27" fillId="37" borderId="77" xfId="0" applyNumberFormat="1" applyFont="1" applyFill="1" applyBorder="1" applyAlignment="1" applyProtection="1">
      <alignment horizontal="center" vertical="center"/>
    </xf>
    <xf numFmtId="9" fontId="27" fillId="37" borderId="78" xfId="0" applyNumberFormat="1" applyFont="1" applyFill="1" applyBorder="1" applyAlignment="1" applyProtection="1">
      <alignment horizontal="center" vertical="center"/>
    </xf>
    <xf numFmtId="0" fontId="27" fillId="38" borderId="77" xfId="0" applyFont="1" applyFill="1" applyBorder="1" applyAlignment="1" applyProtection="1">
      <alignment horizontal="center" vertical="center"/>
    </xf>
    <xf numFmtId="0" fontId="27" fillId="38" borderId="78" xfId="0" applyFont="1" applyFill="1" applyBorder="1" applyAlignment="1" applyProtection="1">
      <alignment horizontal="center" vertical="center"/>
    </xf>
    <xf numFmtId="0" fontId="27" fillId="37" borderId="77" xfId="0" applyFont="1" applyFill="1" applyBorder="1" applyAlignment="1" applyProtection="1">
      <alignment horizontal="center" vertical="center"/>
    </xf>
    <xf numFmtId="0" fontId="27" fillId="37" borderId="78" xfId="0" applyFont="1" applyFill="1" applyBorder="1" applyAlignment="1" applyProtection="1">
      <alignment horizontal="center" vertical="center"/>
    </xf>
    <xf numFmtId="0" fontId="30" fillId="0" borderId="40" xfId="0" applyFont="1" applyBorder="1" applyAlignment="1" applyProtection="1">
      <alignment horizontal="center" vertical="center"/>
      <protection locked="0"/>
    </xf>
    <xf numFmtId="0" fontId="30" fillId="0" borderId="18" xfId="0" applyFont="1" applyBorder="1" applyAlignment="1" applyProtection="1">
      <alignment horizontal="center" vertical="center"/>
      <protection locked="0"/>
    </xf>
    <xf numFmtId="0" fontId="30" fillId="0" borderId="13" xfId="0" applyFont="1" applyBorder="1" applyAlignment="1" applyProtection="1">
      <alignment horizontal="center" vertical="center"/>
      <protection locked="0"/>
    </xf>
    <xf numFmtId="0" fontId="27" fillId="28" borderId="40" xfId="0" applyFont="1" applyFill="1" applyBorder="1" applyAlignment="1" applyProtection="1">
      <alignment horizontal="center" vertical="center"/>
      <protection locked="0"/>
    </xf>
    <xf numFmtId="0" fontId="27" fillId="28" borderId="18" xfId="0" applyFont="1" applyFill="1" applyBorder="1" applyAlignment="1" applyProtection="1">
      <alignment horizontal="center" vertical="center"/>
      <protection locked="0"/>
    </xf>
    <xf numFmtId="0" fontId="27" fillId="28" borderId="13" xfId="0" applyFont="1" applyFill="1" applyBorder="1" applyAlignment="1" applyProtection="1">
      <alignment horizontal="center" vertical="center"/>
      <protection locked="0"/>
    </xf>
    <xf numFmtId="0" fontId="35" fillId="34" borderId="40" xfId="0" applyFont="1" applyFill="1" applyBorder="1" applyAlignment="1" applyProtection="1">
      <alignment horizontal="center" vertical="center"/>
    </xf>
    <xf numFmtId="0" fontId="35" fillId="34" borderId="18" xfId="0" applyFont="1" applyFill="1" applyBorder="1" applyAlignment="1" applyProtection="1">
      <alignment horizontal="center" vertical="center"/>
    </xf>
    <xf numFmtId="0" fontId="35" fillId="34" borderId="13" xfId="0" applyFont="1" applyFill="1" applyBorder="1" applyAlignment="1" applyProtection="1">
      <alignment horizontal="center" vertical="center"/>
    </xf>
    <xf numFmtId="9" fontId="27" fillId="0" borderId="76" xfId="0" applyNumberFormat="1" applyFont="1" applyBorder="1" applyAlignment="1" applyProtection="1">
      <alignment horizontal="center" vertical="center"/>
    </xf>
    <xf numFmtId="9" fontId="27" fillId="0" borderId="77" xfId="0" applyNumberFormat="1" applyFont="1" applyBorder="1" applyAlignment="1" applyProtection="1">
      <alignment horizontal="center" vertical="center"/>
    </xf>
    <xf numFmtId="9" fontId="27" fillId="0" borderId="78" xfId="0" applyNumberFormat="1" applyFont="1" applyBorder="1" applyAlignment="1" applyProtection="1">
      <alignment horizontal="center" vertical="center"/>
    </xf>
    <xf numFmtId="0" fontId="27" fillId="34" borderId="76" xfId="0" applyFont="1" applyFill="1" applyBorder="1" applyAlignment="1" applyProtection="1">
      <alignment horizontal="center" vertical="center"/>
    </xf>
    <xf numFmtId="0" fontId="27" fillId="34" borderId="77" xfId="0" applyFont="1" applyFill="1" applyBorder="1" applyAlignment="1" applyProtection="1">
      <alignment horizontal="center" vertical="center"/>
    </xf>
    <xf numFmtId="0" fontId="27" fillId="34" borderId="78" xfId="0" applyFont="1" applyFill="1" applyBorder="1" applyAlignment="1" applyProtection="1">
      <alignment horizontal="center" vertical="center"/>
    </xf>
    <xf numFmtId="0" fontId="27" fillId="0" borderId="79" xfId="0" applyFont="1" applyBorder="1" applyAlignment="1" applyProtection="1">
      <alignment horizontal="center" vertical="center"/>
    </xf>
    <xf numFmtId="0" fontId="27" fillId="0" borderId="80" xfId="0" applyFont="1" applyBorder="1" applyAlignment="1" applyProtection="1">
      <alignment horizontal="center" vertical="center"/>
    </xf>
    <xf numFmtId="0" fontId="27" fillId="31" borderId="85" xfId="0" applyFont="1" applyFill="1" applyBorder="1" applyAlignment="1" applyProtection="1">
      <alignment horizontal="center" vertical="center"/>
    </xf>
    <xf numFmtId="0" fontId="27" fillId="31" borderId="64" xfId="0" applyFont="1" applyFill="1" applyBorder="1" applyAlignment="1" applyProtection="1">
      <alignment horizontal="center" vertical="center"/>
    </xf>
    <xf numFmtId="0" fontId="27" fillId="31" borderId="60" xfId="0" applyFont="1" applyFill="1" applyBorder="1" applyAlignment="1" applyProtection="1">
      <alignment horizontal="center" vertical="center"/>
    </xf>
    <xf numFmtId="0" fontId="27" fillId="0" borderId="40" xfId="0" applyFont="1" applyFill="1" applyBorder="1" applyAlignment="1" applyProtection="1">
      <alignment horizontal="left" vertical="center" wrapText="1"/>
      <protection locked="0"/>
    </xf>
    <xf numFmtId="0" fontId="27" fillId="0" borderId="18" xfId="0" applyFont="1" applyFill="1" applyBorder="1" applyAlignment="1" applyProtection="1">
      <alignment horizontal="left" vertical="center"/>
      <protection locked="0"/>
    </xf>
    <xf numFmtId="0" fontId="27" fillId="0" borderId="13" xfId="0" applyFont="1" applyFill="1" applyBorder="1" applyAlignment="1" applyProtection="1">
      <alignment horizontal="left" vertical="center"/>
      <protection locked="0"/>
    </xf>
    <xf numFmtId="0" fontId="27" fillId="0" borderId="18" xfId="0" applyFont="1" applyFill="1" applyBorder="1" applyAlignment="1" applyProtection="1">
      <alignment horizontal="left" vertical="center" wrapText="1"/>
      <protection locked="0"/>
    </xf>
    <xf numFmtId="0" fontId="27" fillId="0" borderId="13" xfId="0" applyFont="1" applyFill="1" applyBorder="1" applyAlignment="1" applyProtection="1">
      <alignment horizontal="left" vertical="center" wrapText="1"/>
      <protection locked="0"/>
    </xf>
    <xf numFmtId="0" fontId="27" fillId="34" borderId="76" xfId="0" applyFont="1" applyFill="1" applyBorder="1" applyAlignment="1" applyProtection="1">
      <alignment horizontal="center" vertical="center"/>
      <protection locked="0"/>
    </xf>
    <xf numFmtId="0" fontId="27" fillId="34" borderId="77" xfId="0" applyFont="1" applyFill="1" applyBorder="1" applyAlignment="1" applyProtection="1">
      <alignment horizontal="center" vertical="center"/>
      <protection locked="0"/>
    </xf>
    <xf numFmtId="0" fontId="27" fillId="34" borderId="78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0" fillId="0" borderId="18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0" fontId="27" fillId="34" borderId="40" xfId="0" applyFont="1" applyFill="1" applyBorder="1" applyAlignment="1" applyProtection="1">
      <alignment horizontal="center" vertical="center"/>
      <protection locked="0"/>
    </xf>
    <xf numFmtId="0" fontId="27" fillId="34" borderId="18" xfId="0" applyFont="1" applyFill="1" applyBorder="1" applyAlignment="1" applyProtection="1">
      <alignment horizontal="center" vertical="center"/>
      <protection locked="0"/>
    </xf>
    <xf numFmtId="0" fontId="27" fillId="34" borderId="13" xfId="0" applyFont="1" applyFill="1" applyBorder="1" applyAlignment="1" applyProtection="1">
      <alignment horizontal="center" vertical="center"/>
      <protection locked="0"/>
    </xf>
    <xf numFmtId="0" fontId="35" fillId="34" borderId="76" xfId="0" applyFont="1" applyFill="1" applyBorder="1" applyAlignment="1" applyProtection="1">
      <alignment horizontal="center" vertical="center"/>
    </xf>
    <xf numFmtId="0" fontId="35" fillId="34" borderId="77" xfId="0" applyFont="1" applyFill="1" applyBorder="1" applyAlignment="1" applyProtection="1">
      <alignment horizontal="center" vertical="center"/>
    </xf>
    <xf numFmtId="0" fontId="35" fillId="34" borderId="78" xfId="0" applyFont="1" applyFill="1" applyBorder="1" applyAlignment="1" applyProtection="1">
      <alignment horizontal="center" vertical="center"/>
    </xf>
    <xf numFmtId="0" fontId="27" fillId="0" borderId="76" xfId="0" applyFont="1" applyFill="1" applyBorder="1" applyAlignment="1" applyProtection="1">
      <alignment horizontal="left" vertical="center" wrapText="1"/>
    </xf>
    <xf numFmtId="0" fontId="27" fillId="0" borderId="77" xfId="0" applyFont="1" applyFill="1" applyBorder="1" applyAlignment="1" applyProtection="1">
      <alignment horizontal="left" vertical="center"/>
    </xf>
    <xf numFmtId="0" fontId="27" fillId="0" borderId="78" xfId="0" applyFont="1" applyFill="1" applyBorder="1" applyAlignment="1" applyProtection="1">
      <alignment horizontal="left" vertical="center"/>
    </xf>
    <xf numFmtId="0" fontId="30" fillId="37" borderId="40" xfId="0" applyFont="1" applyFill="1" applyBorder="1" applyAlignment="1" applyProtection="1">
      <alignment horizontal="center" vertical="center"/>
      <protection locked="0"/>
    </xf>
    <xf numFmtId="0" fontId="30" fillId="37" borderId="18" xfId="0" applyFont="1" applyFill="1" applyBorder="1" applyAlignment="1" applyProtection="1">
      <alignment horizontal="center" vertical="center"/>
      <protection locked="0"/>
    </xf>
    <xf numFmtId="0" fontId="30" fillId="37" borderId="13" xfId="0" applyFont="1" applyFill="1" applyBorder="1" applyAlignment="1" applyProtection="1">
      <alignment horizontal="center" vertical="center"/>
      <protection locked="0"/>
    </xf>
    <xf numFmtId="0" fontId="27" fillId="37" borderId="77" xfId="0" applyFont="1" applyFill="1" applyBorder="1" applyAlignment="1" applyProtection="1">
      <alignment horizontal="center" vertical="center"/>
      <protection locked="0"/>
    </xf>
    <xf numFmtId="0" fontId="27" fillId="37" borderId="78" xfId="0" applyFont="1" applyFill="1" applyBorder="1" applyAlignment="1" applyProtection="1">
      <alignment horizontal="center" vertical="center"/>
      <protection locked="0"/>
    </xf>
    <xf numFmtId="0" fontId="0" fillId="38" borderId="77" xfId="0" applyFont="1" applyFill="1" applyBorder="1" applyAlignment="1" applyProtection="1">
      <alignment horizontal="center" vertical="center"/>
    </xf>
    <xf numFmtId="0" fontId="0" fillId="38" borderId="78" xfId="0" applyFont="1" applyFill="1" applyBorder="1" applyAlignment="1" applyProtection="1">
      <alignment horizontal="center" vertical="center"/>
    </xf>
    <xf numFmtId="0" fontId="27" fillId="0" borderId="76" xfId="0" applyFont="1" applyFill="1" applyBorder="1" applyAlignment="1" applyProtection="1">
      <alignment horizontal="left" vertical="center" wrapText="1"/>
      <protection locked="0"/>
    </xf>
    <xf numFmtId="0" fontId="27" fillId="0" borderId="77" xfId="0" applyFont="1" applyFill="1" applyBorder="1" applyAlignment="1" applyProtection="1">
      <alignment horizontal="left" vertical="center" wrapText="1"/>
      <protection locked="0"/>
    </xf>
    <xf numFmtId="0" fontId="27" fillId="0" borderId="78" xfId="0" applyFont="1" applyFill="1" applyBorder="1" applyAlignment="1" applyProtection="1">
      <alignment horizontal="left" vertical="center" wrapText="1"/>
      <protection locked="0"/>
    </xf>
    <xf numFmtId="0" fontId="35" fillId="34" borderId="66" xfId="0" applyFont="1" applyFill="1" applyBorder="1" applyAlignment="1" applyProtection="1">
      <alignment horizontal="center" vertical="center"/>
    </xf>
    <xf numFmtId="0" fontId="0" fillId="34" borderId="66" xfId="0" applyFont="1" applyFill="1" applyBorder="1" applyAlignment="1" applyProtection="1">
      <alignment horizontal="center" vertical="center"/>
    </xf>
    <xf numFmtId="0" fontId="27" fillId="0" borderId="76" xfId="0" applyFont="1" applyFill="1" applyBorder="1" applyAlignment="1" applyProtection="1">
      <alignment horizontal="center" vertical="center" wrapText="1"/>
    </xf>
    <xf numFmtId="0" fontId="27" fillId="0" borderId="77" xfId="0" applyFont="1" applyFill="1" applyBorder="1" applyAlignment="1" applyProtection="1">
      <alignment horizontal="center" vertical="center" wrapText="1"/>
    </xf>
    <xf numFmtId="0" fontId="27" fillId="0" borderId="78" xfId="0" applyFont="1" applyFill="1" applyBorder="1" applyAlignment="1" applyProtection="1">
      <alignment horizontal="center" vertical="center" wrapText="1"/>
    </xf>
    <xf numFmtId="0" fontId="27" fillId="31" borderId="65" xfId="0" applyFont="1" applyFill="1" applyBorder="1" applyAlignment="1" applyProtection="1">
      <alignment horizontal="center" vertical="center"/>
    </xf>
    <xf numFmtId="0" fontId="27" fillId="0" borderId="66" xfId="0" applyFont="1" applyFill="1" applyBorder="1" applyAlignment="1" applyProtection="1">
      <alignment horizontal="left" vertical="center" wrapText="1"/>
      <protection locked="0"/>
    </xf>
    <xf numFmtId="0" fontId="30" fillId="0" borderId="66" xfId="0" applyFont="1" applyFill="1" applyBorder="1" applyAlignment="1" applyProtection="1">
      <alignment horizontal="center" vertical="center"/>
      <protection locked="0"/>
    </xf>
    <xf numFmtId="0" fontId="27" fillId="34" borderId="66" xfId="0" applyFont="1" applyFill="1" applyBorder="1" applyAlignment="1" applyProtection="1">
      <alignment horizontal="center" vertical="center"/>
      <protection locked="0"/>
    </xf>
    <xf numFmtId="0" fontId="30" fillId="37" borderId="66" xfId="0" applyFont="1" applyFill="1" applyBorder="1" applyAlignment="1" applyProtection="1">
      <alignment horizontal="center" vertical="center"/>
      <protection locked="0"/>
    </xf>
    <xf numFmtId="0" fontId="27" fillId="28" borderId="66" xfId="0" applyFont="1" applyFill="1" applyBorder="1" applyAlignment="1" applyProtection="1">
      <alignment horizontal="center" vertical="center"/>
      <protection locked="0"/>
    </xf>
    <xf numFmtId="0" fontId="30" fillId="0" borderId="66" xfId="0" applyFont="1" applyBorder="1" applyAlignment="1" applyProtection="1">
      <alignment horizontal="center" vertical="center"/>
      <protection locked="0"/>
    </xf>
    <xf numFmtId="0" fontId="31" fillId="31" borderId="76" xfId="0" applyFont="1" applyFill="1" applyBorder="1" applyAlignment="1" applyProtection="1">
      <alignment horizontal="center" vertical="center" wrapText="1"/>
    </xf>
    <xf numFmtId="0" fontId="31" fillId="31" borderId="78" xfId="0" applyFont="1" applyFill="1" applyBorder="1" applyAlignment="1" applyProtection="1">
      <alignment horizontal="center" vertical="center" wrapText="1"/>
    </xf>
    <xf numFmtId="0" fontId="41" fillId="35" borderId="41" xfId="0" applyFont="1" applyFill="1" applyBorder="1" applyAlignment="1" applyProtection="1">
      <alignment horizontal="center" vertical="center" wrapText="1"/>
    </xf>
    <xf numFmtId="0" fontId="28" fillId="30" borderId="15" xfId="0" applyFont="1" applyFill="1" applyBorder="1" applyAlignment="1" applyProtection="1">
      <alignment horizontal="center" vertical="center"/>
    </xf>
    <xf numFmtId="0" fontId="28" fillId="30" borderId="16" xfId="0" applyFont="1" applyFill="1" applyBorder="1" applyAlignment="1" applyProtection="1">
      <alignment horizontal="center" vertical="center"/>
    </xf>
    <xf numFmtId="0" fontId="28" fillId="30" borderId="56" xfId="0" applyFont="1" applyFill="1" applyBorder="1" applyAlignment="1" applyProtection="1">
      <alignment horizontal="center" vertical="center"/>
    </xf>
    <xf numFmtId="0" fontId="31" fillId="30" borderId="89" xfId="0" applyFont="1" applyFill="1" applyBorder="1" applyAlignment="1" applyProtection="1">
      <alignment horizontal="center" vertical="center" wrapText="1"/>
    </xf>
    <xf numFmtId="0" fontId="31" fillId="30" borderId="90" xfId="0" applyFont="1" applyFill="1" applyBorder="1" applyAlignment="1" applyProtection="1">
      <alignment horizontal="center" vertical="center" wrapText="1"/>
    </xf>
    <xf numFmtId="0" fontId="31" fillId="30" borderId="91" xfId="0" applyFont="1" applyFill="1" applyBorder="1" applyAlignment="1" applyProtection="1">
      <alignment horizontal="center" vertical="center" wrapText="1"/>
    </xf>
    <xf numFmtId="0" fontId="30" fillId="30" borderId="76" xfId="0" applyFont="1" applyFill="1" applyBorder="1" applyAlignment="1" applyProtection="1">
      <alignment horizontal="center" vertical="center" wrapText="1"/>
    </xf>
    <xf numFmtId="0" fontId="30" fillId="30" borderId="78" xfId="0" applyFont="1" applyFill="1" applyBorder="1" applyAlignment="1" applyProtection="1">
      <alignment horizontal="center" vertical="center" wrapText="1"/>
    </xf>
    <xf numFmtId="0" fontId="31" fillId="30" borderId="76" xfId="0" applyFont="1" applyFill="1" applyBorder="1" applyAlignment="1" applyProtection="1">
      <alignment horizontal="center" vertical="center" wrapText="1"/>
    </xf>
    <xf numFmtId="0" fontId="31" fillId="30" borderId="78" xfId="0" applyFont="1" applyFill="1" applyBorder="1" applyAlignment="1" applyProtection="1">
      <alignment horizontal="center" vertical="center" wrapText="1"/>
    </xf>
    <xf numFmtId="0" fontId="20" fillId="30" borderId="100" xfId="0" applyFont="1" applyFill="1" applyBorder="1" applyAlignment="1" applyProtection="1">
      <alignment horizontal="center" vertical="center" wrapText="1"/>
    </xf>
    <xf numFmtId="0" fontId="20" fillId="30" borderId="101" xfId="0" applyFont="1" applyFill="1" applyBorder="1" applyAlignment="1" applyProtection="1">
      <alignment horizontal="center" vertical="center" wrapText="1"/>
    </xf>
    <xf numFmtId="0" fontId="20" fillId="30" borderId="102" xfId="0" applyFont="1" applyFill="1" applyBorder="1" applyAlignment="1" applyProtection="1">
      <alignment horizontal="center" vertical="center" wrapText="1"/>
    </xf>
    <xf numFmtId="2" fontId="26" fillId="0" borderId="103" xfId="0" applyNumberFormat="1" applyFont="1" applyBorder="1" applyAlignment="1" applyProtection="1">
      <alignment horizontal="left" vertical="center" wrapText="1"/>
    </xf>
    <xf numFmtId="0" fontId="26" fillId="0" borderId="103" xfId="0" applyFont="1" applyBorder="1" applyAlignment="1" applyProtection="1">
      <alignment horizontal="left" vertical="center" wrapText="1"/>
    </xf>
    <xf numFmtId="2" fontId="26" fillId="0" borderId="105" xfId="0" applyNumberFormat="1" applyFont="1" applyBorder="1" applyAlignment="1" applyProtection="1">
      <alignment horizontal="left" vertical="center" wrapText="1"/>
    </xf>
    <xf numFmtId="0" fontId="26" fillId="0" borderId="105" xfId="0" applyFont="1" applyBorder="1" applyAlignment="1" applyProtection="1">
      <alignment horizontal="left" vertical="center" wrapText="1"/>
    </xf>
    <xf numFmtId="2" fontId="26" fillId="0" borderId="38" xfId="0" applyNumberFormat="1" applyFont="1" applyBorder="1" applyAlignment="1" applyProtection="1">
      <alignment horizontal="left" vertical="center" wrapText="1"/>
    </xf>
    <xf numFmtId="0" fontId="26" fillId="0" borderId="38" xfId="0" applyFont="1" applyBorder="1" applyAlignment="1" applyProtection="1">
      <alignment horizontal="left" vertical="center" wrapText="1"/>
    </xf>
    <xf numFmtId="2" fontId="26" fillId="0" borderId="98" xfId="0" applyNumberFormat="1" applyFont="1" applyBorder="1" applyAlignment="1" applyProtection="1">
      <alignment horizontal="left" vertical="center" wrapText="1"/>
    </xf>
    <xf numFmtId="0" fontId="26" fillId="0" borderId="98" xfId="0" applyFont="1" applyBorder="1" applyAlignment="1" applyProtection="1">
      <alignment horizontal="left" vertical="center" wrapText="1"/>
    </xf>
    <xf numFmtId="0" fontId="28" fillId="30" borderId="104" xfId="0" applyFont="1" applyFill="1" applyBorder="1" applyAlignment="1" applyProtection="1">
      <alignment horizontal="center" vertical="center"/>
    </xf>
    <xf numFmtId="0" fontId="46" fillId="0" borderId="95" xfId="0" applyFont="1" applyBorder="1" applyAlignment="1" applyProtection="1">
      <alignment horizontal="left" vertical="center" wrapText="1"/>
    </xf>
    <xf numFmtId="2" fontId="26" fillId="0" borderId="96" xfId="0" applyNumberFormat="1" applyFont="1" applyBorder="1" applyAlignment="1" applyProtection="1">
      <alignment horizontal="left" vertical="center" wrapText="1"/>
    </xf>
    <xf numFmtId="0" fontId="26" fillId="0" borderId="96" xfId="0" applyFont="1" applyBorder="1" applyAlignment="1" applyProtection="1">
      <alignment horizontal="left" vertical="center" wrapText="1"/>
    </xf>
    <xf numFmtId="0" fontId="26" fillId="0" borderId="97" xfId="0" applyFont="1" applyBorder="1" applyAlignment="1" applyProtection="1">
      <alignment horizontal="left" vertical="center" wrapText="1"/>
    </xf>
    <xf numFmtId="0" fontId="20" fillId="30" borderId="99" xfId="0" applyFont="1" applyFill="1" applyBorder="1" applyAlignment="1" applyProtection="1">
      <alignment horizontal="center" wrapText="1"/>
    </xf>
    <xf numFmtId="0" fontId="20" fillId="30" borderId="95" xfId="0" applyFont="1" applyFill="1" applyBorder="1" applyAlignment="1" applyProtection="1">
      <alignment horizontal="center" wrapText="1"/>
    </xf>
    <xf numFmtId="0" fontId="41" fillId="0" borderId="96" xfId="0" applyFont="1" applyBorder="1" applyAlignment="1" applyProtection="1">
      <alignment horizontal="left" vertical="center" wrapText="1"/>
    </xf>
    <xf numFmtId="0" fontId="20" fillId="30" borderId="100" xfId="0" applyFont="1" applyFill="1" applyBorder="1" applyAlignment="1" applyProtection="1">
      <alignment horizontal="center" wrapText="1"/>
    </xf>
    <xf numFmtId="0" fontId="20" fillId="30" borderId="101" xfId="0" applyFont="1" applyFill="1" applyBorder="1" applyAlignment="1" applyProtection="1">
      <alignment horizontal="center" wrapText="1"/>
    </xf>
    <xf numFmtId="0" fontId="20" fillId="30" borderId="102" xfId="0" applyFont="1" applyFill="1" applyBorder="1" applyAlignment="1" applyProtection="1">
      <alignment horizontal="center" wrapText="1"/>
    </xf>
    <xf numFmtId="0" fontId="28" fillId="0" borderId="92" xfId="0" applyFont="1" applyBorder="1" applyAlignment="1" applyProtection="1">
      <alignment horizontal="center" vertical="center"/>
    </xf>
    <xf numFmtId="0" fontId="27" fillId="0" borderId="93" xfId="0" applyFont="1" applyBorder="1" applyAlignment="1" applyProtection="1">
      <alignment horizontal="left" vertical="center"/>
    </xf>
    <xf numFmtId="0" fontId="27" fillId="0" borderId="93" xfId="0" applyFont="1" applyFill="1" applyBorder="1" applyAlignment="1" applyProtection="1">
      <alignment horizontal="left" vertical="center"/>
    </xf>
    <xf numFmtId="0" fontId="0" fillId="0" borderId="36" xfId="0" applyBorder="1" applyAlignment="1" applyProtection="1">
      <alignment horizontal="center"/>
    </xf>
    <xf numFmtId="0" fontId="0" fillId="0" borderId="94" xfId="0" applyFont="1" applyBorder="1" applyAlignment="1" applyProtection="1">
      <alignment horizontal="center"/>
    </xf>
    <xf numFmtId="0" fontId="2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Fill="1" applyBorder="1" applyAlignment="1" applyProtection="1">
      <alignment horizontal="center"/>
      <protection hidden="1"/>
    </xf>
    <xf numFmtId="0" fontId="21" fillId="0" borderId="0" xfId="0" applyFont="1" applyFill="1" applyBorder="1" applyAlignment="1" applyProtection="1">
      <alignment horizontal="left"/>
      <protection hidden="1"/>
    </xf>
    <xf numFmtId="0" fontId="39" fillId="0" borderId="86" xfId="0" applyFont="1" applyBorder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left"/>
      <protection hidden="1"/>
    </xf>
    <xf numFmtId="0" fontId="20" fillId="24" borderId="89" xfId="0" applyFont="1" applyFill="1" applyBorder="1" applyAlignment="1" applyProtection="1">
      <alignment horizontal="center"/>
      <protection hidden="1"/>
    </xf>
    <xf numFmtId="0" fontId="20" fillId="24" borderId="90" xfId="0" applyFont="1" applyFill="1" applyBorder="1" applyAlignment="1" applyProtection="1">
      <alignment horizontal="center"/>
      <protection hidden="1"/>
    </xf>
    <xf numFmtId="0" fontId="20" fillId="24" borderId="110" xfId="0" applyFont="1" applyFill="1" applyBorder="1" applyAlignment="1" applyProtection="1">
      <alignment horizontal="center"/>
      <protection hidden="1"/>
    </xf>
    <xf numFmtId="0" fontId="20" fillId="24" borderId="107" xfId="0" applyFont="1" applyFill="1" applyBorder="1" applyAlignment="1" applyProtection="1">
      <alignment horizontal="center"/>
      <protection hidden="1"/>
    </xf>
    <xf numFmtId="0" fontId="20" fillId="24" borderId="108" xfId="0" applyFont="1" applyFill="1" applyBorder="1" applyAlignment="1" applyProtection="1">
      <alignment horizontal="center"/>
      <protection hidden="1"/>
    </xf>
    <xf numFmtId="0" fontId="0" fillId="0" borderId="68" xfId="0" applyFont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99" xfId="0" applyFont="1" applyBorder="1" applyAlignment="1" applyProtection="1">
      <alignment horizontal="center"/>
      <protection hidden="1"/>
    </xf>
    <xf numFmtId="0" fontId="0" fillId="27" borderId="106" xfId="0" applyFont="1" applyFill="1" applyBorder="1" applyAlignment="1" applyProtection="1">
      <alignment horizontal="center"/>
      <protection hidden="1"/>
    </xf>
    <xf numFmtId="0" fontId="0" fillId="27" borderId="41" xfId="0" applyFont="1" applyFill="1" applyBorder="1" applyAlignment="1" applyProtection="1">
      <alignment horizontal="center"/>
      <protection hidden="1"/>
    </xf>
    <xf numFmtId="0" fontId="0" fillId="27" borderId="47" xfId="0" applyFont="1" applyFill="1" applyBorder="1" applyAlignment="1" applyProtection="1">
      <alignment horizontal="center"/>
      <protection hidden="1"/>
    </xf>
    <xf numFmtId="0" fontId="0" fillId="27" borderId="107" xfId="0" applyFont="1" applyFill="1" applyBorder="1" applyAlignment="1" applyProtection="1">
      <alignment horizontal="center"/>
      <protection hidden="1"/>
    </xf>
    <xf numFmtId="0" fontId="0" fillId="27" borderId="108" xfId="0" applyFont="1" applyFill="1" applyBorder="1" applyAlignment="1" applyProtection="1">
      <alignment horizontal="center"/>
      <protection hidden="1"/>
    </xf>
    <xf numFmtId="0" fontId="0" fillId="27" borderId="63" xfId="0" applyFont="1" applyFill="1" applyBorder="1" applyAlignment="1" applyProtection="1">
      <alignment horizontal="center"/>
      <protection hidden="1"/>
    </xf>
    <xf numFmtId="0" fontId="23" fillId="24" borderId="15" xfId="0" applyFont="1" applyFill="1" applyBorder="1" applyAlignment="1" applyProtection="1">
      <alignment horizontal="center"/>
      <protection hidden="1"/>
    </xf>
    <xf numFmtId="0" fontId="23" fillId="24" borderId="16" xfId="0" applyFont="1" applyFill="1" applyBorder="1" applyAlignment="1" applyProtection="1">
      <alignment horizontal="center"/>
      <protection hidden="1"/>
    </xf>
    <xf numFmtId="0" fontId="23" fillId="24" borderId="109" xfId="0" applyFont="1" applyFill="1" applyBorder="1" applyAlignment="1" applyProtection="1">
      <alignment horizontal="center"/>
      <protection hidden="1"/>
    </xf>
    <xf numFmtId="0" fontId="20" fillId="24" borderId="15" xfId="0" applyFont="1" applyFill="1" applyBorder="1" applyAlignment="1" applyProtection="1">
      <alignment horizontal="center"/>
      <protection hidden="1"/>
    </xf>
    <xf numFmtId="0" fontId="20" fillId="24" borderId="16" xfId="0" applyFont="1" applyFill="1" applyBorder="1" applyAlignment="1" applyProtection="1">
      <alignment horizontal="center"/>
      <protection hidden="1"/>
    </xf>
    <xf numFmtId="0" fontId="20" fillId="24" borderId="56" xfId="0" applyFont="1" applyFill="1" applyBorder="1" applyAlignment="1" applyProtection="1">
      <alignment horizontal="center"/>
      <protection hidden="1"/>
    </xf>
    <xf numFmtId="0" fontId="0" fillId="27" borderId="89" xfId="0" applyFont="1" applyFill="1" applyBorder="1" applyAlignment="1" applyProtection="1">
      <alignment horizontal="center"/>
      <protection hidden="1"/>
    </xf>
    <xf numFmtId="0" fontId="0" fillId="27" borderId="90" xfId="0" applyFont="1" applyFill="1" applyBorder="1" applyAlignment="1" applyProtection="1">
      <alignment horizontal="center"/>
      <protection hidden="1"/>
    </xf>
    <xf numFmtId="0" fontId="0" fillId="27" borderId="91" xfId="0" applyFont="1" applyFill="1" applyBorder="1" applyAlignment="1" applyProtection="1">
      <alignment horizontal="center"/>
      <protection hidden="1"/>
    </xf>
    <xf numFmtId="0" fontId="0" fillId="25" borderId="37" xfId="0" applyFont="1" applyFill="1" applyBorder="1" applyAlignment="1" applyProtection="1">
      <alignment horizontal="left" vertical="top" wrapText="1"/>
    </xf>
    <xf numFmtId="0" fontId="27" fillId="0" borderId="24" xfId="0" applyFont="1" applyBorder="1" applyAlignment="1" applyProtection="1">
      <alignment horizontal="center" vertical="center" wrapText="1"/>
    </xf>
    <xf numFmtId="0" fontId="27" fillId="0" borderId="24" xfId="0" applyFont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/>
    </xf>
    <xf numFmtId="0" fontId="27" fillId="16" borderId="23" xfId="0" applyFont="1" applyFill="1" applyBorder="1" applyAlignment="1" applyProtection="1">
      <alignment horizontal="center" vertical="center"/>
    </xf>
    <xf numFmtId="0" fontId="27" fillId="16" borderId="111" xfId="0" applyFont="1" applyFill="1" applyBorder="1" applyAlignment="1" applyProtection="1">
      <alignment horizontal="center" vertical="center" wrapText="1"/>
    </xf>
    <xf numFmtId="0" fontId="30" fillId="0" borderId="104" xfId="0" applyFont="1" applyBorder="1" applyAlignment="1" applyProtection="1">
      <alignment horizontal="center"/>
    </xf>
    <xf numFmtId="0" fontId="41" fillId="29" borderId="41" xfId="0" applyFont="1" applyFill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center"/>
    </xf>
    <xf numFmtId="0" fontId="27" fillId="0" borderId="22" xfId="0" applyFont="1" applyBorder="1" applyAlignment="1" applyProtection="1">
      <alignment horizontal="center" vertical="center" wrapText="1"/>
    </xf>
    <xf numFmtId="0" fontId="27" fillId="0" borderId="22" xfId="0" applyFont="1" applyBorder="1" applyAlignment="1" applyProtection="1">
      <alignment horizontal="center" vertical="center"/>
    </xf>
    <xf numFmtId="0" fontId="28" fillId="32" borderId="112" xfId="0" applyFont="1" applyFill="1" applyBorder="1" applyAlignment="1" applyProtection="1">
      <alignment horizontal="center" vertical="center"/>
    </xf>
    <xf numFmtId="0" fontId="28" fillId="32" borderId="113" xfId="0" applyFont="1" applyFill="1" applyBorder="1" applyAlignment="1" applyProtection="1">
      <alignment horizontal="center" vertical="center"/>
    </xf>
    <xf numFmtId="0" fontId="28" fillId="32" borderId="114" xfId="0" applyFont="1" applyFill="1" applyBorder="1" applyAlignment="1" applyProtection="1">
      <alignment horizontal="center" vertical="center"/>
    </xf>
    <xf numFmtId="0" fontId="27" fillId="0" borderId="99" xfId="0" applyFont="1" applyBorder="1" applyAlignment="1" applyProtection="1">
      <alignment horizontal="left" vertical="center"/>
    </xf>
    <xf numFmtId="0" fontId="27" fillId="0" borderId="23" xfId="0" applyFont="1" applyBorder="1" applyAlignment="1" applyProtection="1">
      <alignment horizontal="left" vertical="center"/>
    </xf>
    <xf numFmtId="0" fontId="27" fillId="0" borderId="95" xfId="0" applyFont="1" applyBorder="1" applyAlignment="1" applyProtection="1">
      <alignment horizontal="left" vertical="center"/>
    </xf>
    <xf numFmtId="0" fontId="27" fillId="0" borderId="115" xfId="0" applyFont="1" applyFill="1" applyBorder="1" applyAlignment="1" applyProtection="1">
      <alignment horizontal="left" vertical="center"/>
    </xf>
    <xf numFmtId="0" fontId="27" fillId="0" borderId="116" xfId="0" applyFont="1" applyFill="1" applyBorder="1" applyAlignment="1" applyProtection="1">
      <alignment horizontal="left" vertical="center"/>
    </xf>
    <xf numFmtId="0" fontId="27" fillId="0" borderId="117" xfId="0" applyFont="1" applyFill="1" applyBorder="1" applyAlignment="1" applyProtection="1">
      <alignment horizontal="left" vertical="center"/>
    </xf>
    <xf numFmtId="0" fontId="27" fillId="0" borderId="18" xfId="0" applyFont="1" applyBorder="1" applyAlignment="1">
      <alignment horizontal="center"/>
    </xf>
    <xf numFmtId="0" fontId="27" fillId="0" borderId="67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67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30" fillId="0" borderId="67" xfId="0" applyFont="1" applyBorder="1" applyAlignment="1">
      <alignment horizontal="center"/>
    </xf>
    <xf numFmtId="0" fontId="30" fillId="0" borderId="41" xfId="0" applyFont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30" fillId="0" borderId="74" xfId="0" applyFont="1" applyBorder="1" applyAlignment="1">
      <alignment horizontal="left" vertical="top" wrapText="1"/>
    </xf>
    <xf numFmtId="0" fontId="27" fillId="0" borderId="75" xfId="0" applyFont="1" applyBorder="1" applyAlignment="1">
      <alignment horizontal="left" vertical="top" wrapText="1"/>
    </xf>
    <xf numFmtId="0" fontId="27" fillId="0" borderId="73" xfId="0" applyFont="1" applyBorder="1" applyAlignment="1">
      <alignment horizontal="left" vertical="top" wrapText="1"/>
    </xf>
    <xf numFmtId="0" fontId="27" fillId="0" borderId="42" xfId="0" applyFont="1" applyBorder="1" applyAlignment="1">
      <alignment horizontal="left" vertical="top" wrapText="1"/>
    </xf>
    <xf numFmtId="0" fontId="27" fillId="0" borderId="0" xfId="0" applyFont="1" applyBorder="1" applyAlignment="1">
      <alignment horizontal="left" vertical="top" wrapText="1"/>
    </xf>
    <xf numFmtId="0" fontId="27" fillId="0" borderId="43" xfId="0" applyFont="1" applyBorder="1" applyAlignment="1">
      <alignment horizontal="left" vertical="top" wrapText="1"/>
    </xf>
    <xf numFmtId="0" fontId="27" fillId="0" borderId="44" xfId="0" applyFont="1" applyBorder="1" applyAlignment="1">
      <alignment horizontal="left" vertical="top" wrapText="1"/>
    </xf>
    <xf numFmtId="0" fontId="27" fillId="0" borderId="45" xfId="0" applyFont="1" applyBorder="1" applyAlignment="1">
      <alignment horizontal="left" vertical="top" wrapText="1"/>
    </xf>
    <xf numFmtId="0" fontId="27" fillId="0" borderId="46" xfId="0" applyFont="1" applyBorder="1" applyAlignment="1">
      <alignment horizontal="left" vertical="top" wrapText="1"/>
    </xf>
    <xf numFmtId="0" fontId="30" fillId="36" borderId="18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7" fillId="0" borderId="74" xfId="0" applyFont="1" applyBorder="1" applyAlignment="1">
      <alignment horizontal="center" vertical="center" wrapText="1"/>
    </xf>
    <xf numFmtId="0" fontId="27" fillId="0" borderId="75" xfId="0" applyFont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41" fillId="16" borderId="16" xfId="0" applyFont="1" applyFill="1" applyBorder="1" applyAlignment="1" applyProtection="1">
      <alignment horizontal="center" vertical="center" wrapText="1"/>
    </xf>
    <xf numFmtId="167" fontId="27" fillId="0" borderId="86" xfId="0" applyNumberFormat="1" applyFont="1" applyBorder="1" applyAlignment="1" applyProtection="1">
      <alignment horizontal="center"/>
    </xf>
    <xf numFmtId="167" fontId="27" fillId="0" borderId="51" xfId="0" applyNumberFormat="1" applyFont="1" applyBorder="1" applyAlignment="1" applyProtection="1">
      <alignment horizontal="center"/>
    </xf>
    <xf numFmtId="167" fontId="27" fillId="0" borderId="87" xfId="0" applyNumberFormat="1" applyFont="1" applyBorder="1" applyAlignment="1" applyProtection="1">
      <alignment horizontal="center"/>
    </xf>
    <xf numFmtId="167" fontId="27" fillId="0" borderId="55" xfId="0" applyNumberFormat="1" applyFont="1" applyBorder="1" applyAlignment="1" applyProtection="1">
      <alignment horizontal="center"/>
    </xf>
    <xf numFmtId="0" fontId="27" fillId="0" borderId="131" xfId="0" applyFont="1" applyBorder="1" applyAlignment="1">
      <alignment horizontal="left" vertical="center" wrapText="1"/>
    </xf>
    <xf numFmtId="0" fontId="27" fillId="0" borderId="66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/>
    </xf>
    <xf numFmtId="0" fontId="27" fillId="0" borderId="18" xfId="0" applyFont="1" applyBorder="1" applyAlignment="1">
      <alignment horizontal="center" vertical="center"/>
    </xf>
  </cellXfs>
  <cellStyles count="4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Excel Built-in Normal" xfId="30"/>
    <cellStyle name="Excel Built-in Percent" xfId="31"/>
    <cellStyle name="Excel_BuiltIn_Percent 1" xfId="32"/>
    <cellStyle name="Incorreto" xfId="33" builtinId="27" customBuiltin="1"/>
    <cellStyle name="Neutra" xfId="34" builtinId="28" customBuiltin="1"/>
    <cellStyle name="Normal" xfId="0" builtinId="0"/>
    <cellStyle name="Normal 2" xfId="35"/>
    <cellStyle name="Nota" xfId="36" builtinId="10" customBuiltin="1"/>
    <cellStyle name="Porcentagem" xfId="37" builtinId="5"/>
    <cellStyle name="Saída" xfId="38" builtinId="21" customBuiltin="1"/>
    <cellStyle name="Separador de milhares" xfId="39" builtinId="3"/>
    <cellStyle name="Texto de Aviso" xfId="40" builtinId="11" customBuiltin="1"/>
    <cellStyle name="Texto Explicativo" xfId="41" builtinId="53" customBuiltin="1"/>
    <cellStyle name="Título 1" xfId="42" builtinId="16" customBuiltin="1"/>
    <cellStyle name="Título 1 1" xfId="43"/>
    <cellStyle name="Título 2" xfId="44" builtinId="17" customBuiltin="1"/>
    <cellStyle name="Título 3" xfId="45" builtinId="18" customBuiltin="1"/>
    <cellStyle name="Título 4" xfId="46" builtinId="19" customBuiltin="1"/>
    <cellStyle name="Total" xfId="47" builtinId="25" customBuiltin="1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161925</xdr:rowOff>
    </xdr:from>
    <xdr:to>
      <xdr:col>1</xdr:col>
      <xdr:colOff>1247775</xdr:colOff>
      <xdr:row>3</xdr:row>
      <xdr:rowOff>0</xdr:rowOff>
    </xdr:to>
    <xdr:grpSp>
      <xdr:nvGrpSpPr>
        <xdr:cNvPr id="1205" name="Group 17"/>
        <xdr:cNvGrpSpPr>
          <a:grpSpLocks/>
        </xdr:cNvGrpSpPr>
      </xdr:nvGrpSpPr>
      <xdr:grpSpPr bwMode="auto">
        <a:xfrm>
          <a:off x="238125" y="600075"/>
          <a:ext cx="1143000" cy="0"/>
          <a:chOff x="456" y="391"/>
          <a:chExt cx="1955" cy="800"/>
        </a:xfrm>
      </xdr:grpSpPr>
      <xdr:sp macro="" textlink="">
        <xdr:nvSpPr>
          <xdr:cNvPr id="1212" name="Text Box 16"/>
          <xdr:cNvSpPr txBox="1">
            <a:spLocks noChangeArrowheads="1"/>
          </xdr:cNvSpPr>
        </xdr:nvSpPr>
        <xdr:spPr bwMode="auto">
          <a:xfrm>
            <a:off x="456" y="391"/>
            <a:ext cx="1955" cy="800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sp>
      <xdr:pic>
        <xdr:nvPicPr>
          <xdr:cNvPr id="1213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8" y="558"/>
            <a:ext cx="1868" cy="487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pic>
    </xdr:grpSp>
    <xdr:clientData/>
  </xdr:twoCellAnchor>
  <xdr:twoCellAnchor>
    <xdr:from>
      <xdr:col>1</xdr:col>
      <xdr:colOff>104775</xdr:colOff>
      <xdr:row>3</xdr:row>
      <xdr:rowOff>0</xdr:rowOff>
    </xdr:from>
    <xdr:to>
      <xdr:col>1</xdr:col>
      <xdr:colOff>1247775</xdr:colOff>
      <xdr:row>3</xdr:row>
      <xdr:rowOff>0</xdr:rowOff>
    </xdr:to>
    <xdr:grpSp>
      <xdr:nvGrpSpPr>
        <xdr:cNvPr id="1206" name="Group 17"/>
        <xdr:cNvGrpSpPr>
          <a:grpSpLocks/>
        </xdr:cNvGrpSpPr>
      </xdr:nvGrpSpPr>
      <xdr:grpSpPr bwMode="auto">
        <a:xfrm>
          <a:off x="238125" y="600075"/>
          <a:ext cx="1143000" cy="0"/>
          <a:chOff x="456" y="391"/>
          <a:chExt cx="1955" cy="800"/>
        </a:xfrm>
      </xdr:grpSpPr>
      <xdr:sp macro="" textlink="">
        <xdr:nvSpPr>
          <xdr:cNvPr id="1210" name="Text Box 16"/>
          <xdr:cNvSpPr txBox="1">
            <a:spLocks noChangeArrowheads="1"/>
          </xdr:cNvSpPr>
        </xdr:nvSpPr>
        <xdr:spPr bwMode="auto">
          <a:xfrm>
            <a:off x="456" y="391"/>
            <a:ext cx="1955" cy="800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sp>
      <xdr:pic>
        <xdr:nvPicPr>
          <xdr:cNvPr id="1211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88" y="558"/>
            <a:ext cx="1868" cy="487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38100</xdr:rowOff>
    </xdr:from>
    <xdr:to>
      <xdr:col>1</xdr:col>
      <xdr:colOff>1162050</xdr:colOff>
      <xdr:row>1</xdr:row>
      <xdr:rowOff>523875</xdr:rowOff>
    </xdr:to>
    <xdr:grpSp>
      <xdr:nvGrpSpPr>
        <xdr:cNvPr id="9217" name="Group 17"/>
        <xdr:cNvGrpSpPr>
          <a:grpSpLocks/>
        </xdr:cNvGrpSpPr>
      </xdr:nvGrpSpPr>
      <xdr:grpSpPr bwMode="auto">
        <a:xfrm>
          <a:off x="695325" y="0"/>
          <a:ext cx="1076325" cy="0"/>
          <a:chOff x="126" y="256"/>
          <a:chExt cx="1952" cy="801"/>
        </a:xfrm>
      </xdr:grpSpPr>
      <xdr:sp macro="" textlink="">
        <xdr:nvSpPr>
          <xdr:cNvPr id="9218" name="Text Box 16"/>
          <xdr:cNvSpPr txBox="1">
            <a:spLocks noChangeArrowheads="1"/>
          </xdr:cNvSpPr>
        </xdr:nvSpPr>
        <xdr:spPr bwMode="auto">
          <a:xfrm>
            <a:off x="126" y="256"/>
            <a:ext cx="1952" cy="801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sp>
      <xdr:pic>
        <xdr:nvPicPr>
          <xdr:cNvPr id="9219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58" y="423"/>
            <a:ext cx="1865" cy="487"/>
          </a:xfrm>
          <a:prstGeom prst="rect">
            <a:avLst/>
          </a:prstGeom>
          <a:noFill/>
          <a:ln w="9525">
            <a:noFill/>
            <a:round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B1:H11"/>
  <sheetViews>
    <sheetView showGridLines="0" zoomScaleNormal="100" workbookViewId="0">
      <selection activeCell="C3" sqref="C3"/>
    </sheetView>
  </sheetViews>
  <sheetFormatPr defaultColWidth="9.28515625" defaultRowHeight="12.75"/>
  <cols>
    <col min="1" max="1" width="8.28515625" style="256" customWidth="1"/>
    <col min="2" max="2" width="13.42578125" style="256" customWidth="1"/>
    <col min="3" max="3" width="14.42578125" style="256" customWidth="1"/>
    <col min="4" max="5" width="9.28515625" style="256"/>
    <col min="6" max="6" width="20" style="256" customWidth="1"/>
    <col min="7" max="7" width="17.140625" style="256" customWidth="1"/>
    <col min="8" max="8" width="13.85546875" style="256" customWidth="1"/>
    <col min="9" max="256" width="9.28515625" style="256"/>
    <col min="257" max="257" width="8.28515625" style="256" customWidth="1"/>
    <col min="258" max="258" width="13.42578125" style="256" customWidth="1"/>
    <col min="259" max="259" width="9" style="256" customWidth="1"/>
    <col min="260" max="261" width="9.28515625" style="256"/>
    <col min="262" max="262" width="20" style="256" customWidth="1"/>
    <col min="263" max="263" width="17.140625" style="256" customWidth="1"/>
    <col min="264" max="264" width="13.85546875" style="256" customWidth="1"/>
    <col min="265" max="512" width="9.28515625" style="256"/>
    <col min="513" max="513" width="8.28515625" style="256" customWidth="1"/>
    <col min="514" max="514" width="13.42578125" style="256" customWidth="1"/>
    <col min="515" max="515" width="9" style="256" customWidth="1"/>
    <col min="516" max="517" width="9.28515625" style="256"/>
    <col min="518" max="518" width="20" style="256" customWidth="1"/>
    <col min="519" max="519" width="17.140625" style="256" customWidth="1"/>
    <col min="520" max="520" width="13.85546875" style="256" customWidth="1"/>
    <col min="521" max="768" width="9.28515625" style="256"/>
    <col min="769" max="769" width="8.28515625" style="256" customWidth="1"/>
    <col min="770" max="770" width="13.42578125" style="256" customWidth="1"/>
    <col min="771" max="771" width="9" style="256" customWidth="1"/>
    <col min="772" max="773" width="9.28515625" style="256"/>
    <col min="774" max="774" width="20" style="256" customWidth="1"/>
    <col min="775" max="775" width="17.140625" style="256" customWidth="1"/>
    <col min="776" max="776" width="13.85546875" style="256" customWidth="1"/>
    <col min="777" max="1024" width="9.28515625" style="256"/>
    <col min="1025" max="1025" width="8.28515625" style="256" customWidth="1"/>
    <col min="1026" max="1026" width="13.42578125" style="256" customWidth="1"/>
    <col min="1027" max="1027" width="9" style="256" customWidth="1"/>
    <col min="1028" max="1029" width="9.28515625" style="256"/>
    <col min="1030" max="1030" width="20" style="256" customWidth="1"/>
    <col min="1031" max="1031" width="17.140625" style="256" customWidth="1"/>
    <col min="1032" max="1032" width="13.85546875" style="256" customWidth="1"/>
    <col min="1033" max="1280" width="9.28515625" style="256"/>
    <col min="1281" max="1281" width="8.28515625" style="256" customWidth="1"/>
    <col min="1282" max="1282" width="13.42578125" style="256" customWidth="1"/>
    <col min="1283" max="1283" width="9" style="256" customWidth="1"/>
    <col min="1284" max="1285" width="9.28515625" style="256"/>
    <col min="1286" max="1286" width="20" style="256" customWidth="1"/>
    <col min="1287" max="1287" width="17.140625" style="256" customWidth="1"/>
    <col min="1288" max="1288" width="13.85546875" style="256" customWidth="1"/>
    <col min="1289" max="1536" width="9.28515625" style="256"/>
    <col min="1537" max="1537" width="8.28515625" style="256" customWidth="1"/>
    <col min="1538" max="1538" width="13.42578125" style="256" customWidth="1"/>
    <col min="1539" max="1539" width="9" style="256" customWidth="1"/>
    <col min="1540" max="1541" width="9.28515625" style="256"/>
    <col min="1542" max="1542" width="20" style="256" customWidth="1"/>
    <col min="1543" max="1543" width="17.140625" style="256" customWidth="1"/>
    <col min="1544" max="1544" width="13.85546875" style="256" customWidth="1"/>
    <col min="1545" max="1792" width="9.28515625" style="256"/>
    <col min="1793" max="1793" width="8.28515625" style="256" customWidth="1"/>
    <col min="1794" max="1794" width="13.42578125" style="256" customWidth="1"/>
    <col min="1795" max="1795" width="9" style="256" customWidth="1"/>
    <col min="1796" max="1797" width="9.28515625" style="256"/>
    <col min="1798" max="1798" width="20" style="256" customWidth="1"/>
    <col min="1799" max="1799" width="17.140625" style="256" customWidth="1"/>
    <col min="1800" max="1800" width="13.85546875" style="256" customWidth="1"/>
    <col min="1801" max="2048" width="9.28515625" style="256"/>
    <col min="2049" max="2049" width="8.28515625" style="256" customWidth="1"/>
    <col min="2050" max="2050" width="13.42578125" style="256" customWidth="1"/>
    <col min="2051" max="2051" width="9" style="256" customWidth="1"/>
    <col min="2052" max="2053" width="9.28515625" style="256"/>
    <col min="2054" max="2054" width="20" style="256" customWidth="1"/>
    <col min="2055" max="2055" width="17.140625" style="256" customWidth="1"/>
    <col min="2056" max="2056" width="13.85546875" style="256" customWidth="1"/>
    <col min="2057" max="2304" width="9.28515625" style="256"/>
    <col min="2305" max="2305" width="8.28515625" style="256" customWidth="1"/>
    <col min="2306" max="2306" width="13.42578125" style="256" customWidth="1"/>
    <col min="2307" max="2307" width="9" style="256" customWidth="1"/>
    <col min="2308" max="2309" width="9.28515625" style="256"/>
    <col min="2310" max="2310" width="20" style="256" customWidth="1"/>
    <col min="2311" max="2311" width="17.140625" style="256" customWidth="1"/>
    <col min="2312" max="2312" width="13.85546875" style="256" customWidth="1"/>
    <col min="2313" max="2560" width="9.28515625" style="256"/>
    <col min="2561" max="2561" width="8.28515625" style="256" customWidth="1"/>
    <col min="2562" max="2562" width="13.42578125" style="256" customWidth="1"/>
    <col min="2563" max="2563" width="9" style="256" customWidth="1"/>
    <col min="2564" max="2565" width="9.28515625" style="256"/>
    <col min="2566" max="2566" width="20" style="256" customWidth="1"/>
    <col min="2567" max="2567" width="17.140625" style="256" customWidth="1"/>
    <col min="2568" max="2568" width="13.85546875" style="256" customWidth="1"/>
    <col min="2569" max="2816" width="9.28515625" style="256"/>
    <col min="2817" max="2817" width="8.28515625" style="256" customWidth="1"/>
    <col min="2818" max="2818" width="13.42578125" style="256" customWidth="1"/>
    <col min="2819" max="2819" width="9" style="256" customWidth="1"/>
    <col min="2820" max="2821" width="9.28515625" style="256"/>
    <col min="2822" max="2822" width="20" style="256" customWidth="1"/>
    <col min="2823" max="2823" width="17.140625" style="256" customWidth="1"/>
    <col min="2824" max="2824" width="13.85546875" style="256" customWidth="1"/>
    <col min="2825" max="3072" width="9.28515625" style="256"/>
    <col min="3073" max="3073" width="8.28515625" style="256" customWidth="1"/>
    <col min="3074" max="3074" width="13.42578125" style="256" customWidth="1"/>
    <col min="3075" max="3075" width="9" style="256" customWidth="1"/>
    <col min="3076" max="3077" width="9.28515625" style="256"/>
    <col min="3078" max="3078" width="20" style="256" customWidth="1"/>
    <col min="3079" max="3079" width="17.140625" style="256" customWidth="1"/>
    <col min="3080" max="3080" width="13.85546875" style="256" customWidth="1"/>
    <col min="3081" max="3328" width="9.28515625" style="256"/>
    <col min="3329" max="3329" width="8.28515625" style="256" customWidth="1"/>
    <col min="3330" max="3330" width="13.42578125" style="256" customWidth="1"/>
    <col min="3331" max="3331" width="9" style="256" customWidth="1"/>
    <col min="3332" max="3333" width="9.28515625" style="256"/>
    <col min="3334" max="3334" width="20" style="256" customWidth="1"/>
    <col min="3335" max="3335" width="17.140625" style="256" customWidth="1"/>
    <col min="3336" max="3336" width="13.85546875" style="256" customWidth="1"/>
    <col min="3337" max="3584" width="9.28515625" style="256"/>
    <col min="3585" max="3585" width="8.28515625" style="256" customWidth="1"/>
    <col min="3586" max="3586" width="13.42578125" style="256" customWidth="1"/>
    <col min="3587" max="3587" width="9" style="256" customWidth="1"/>
    <col min="3588" max="3589" width="9.28515625" style="256"/>
    <col min="3590" max="3590" width="20" style="256" customWidth="1"/>
    <col min="3591" max="3591" width="17.140625" style="256" customWidth="1"/>
    <col min="3592" max="3592" width="13.85546875" style="256" customWidth="1"/>
    <col min="3593" max="3840" width="9.28515625" style="256"/>
    <col min="3841" max="3841" width="8.28515625" style="256" customWidth="1"/>
    <col min="3842" max="3842" width="13.42578125" style="256" customWidth="1"/>
    <col min="3843" max="3843" width="9" style="256" customWidth="1"/>
    <col min="3844" max="3845" width="9.28515625" style="256"/>
    <col min="3846" max="3846" width="20" style="256" customWidth="1"/>
    <col min="3847" max="3847" width="17.140625" style="256" customWidth="1"/>
    <col min="3848" max="3848" width="13.85546875" style="256" customWidth="1"/>
    <col min="3849" max="4096" width="9.28515625" style="256"/>
    <col min="4097" max="4097" width="8.28515625" style="256" customWidth="1"/>
    <col min="4098" max="4098" width="13.42578125" style="256" customWidth="1"/>
    <col min="4099" max="4099" width="9" style="256" customWidth="1"/>
    <col min="4100" max="4101" width="9.28515625" style="256"/>
    <col min="4102" max="4102" width="20" style="256" customWidth="1"/>
    <col min="4103" max="4103" width="17.140625" style="256" customWidth="1"/>
    <col min="4104" max="4104" width="13.85546875" style="256" customWidth="1"/>
    <col min="4105" max="4352" width="9.28515625" style="256"/>
    <col min="4353" max="4353" width="8.28515625" style="256" customWidth="1"/>
    <col min="4354" max="4354" width="13.42578125" style="256" customWidth="1"/>
    <col min="4355" max="4355" width="9" style="256" customWidth="1"/>
    <col min="4356" max="4357" width="9.28515625" style="256"/>
    <col min="4358" max="4358" width="20" style="256" customWidth="1"/>
    <col min="4359" max="4359" width="17.140625" style="256" customWidth="1"/>
    <col min="4360" max="4360" width="13.85546875" style="256" customWidth="1"/>
    <col min="4361" max="4608" width="9.28515625" style="256"/>
    <col min="4609" max="4609" width="8.28515625" style="256" customWidth="1"/>
    <col min="4610" max="4610" width="13.42578125" style="256" customWidth="1"/>
    <col min="4611" max="4611" width="9" style="256" customWidth="1"/>
    <col min="4612" max="4613" width="9.28515625" style="256"/>
    <col min="4614" max="4614" width="20" style="256" customWidth="1"/>
    <col min="4615" max="4615" width="17.140625" style="256" customWidth="1"/>
    <col min="4616" max="4616" width="13.85546875" style="256" customWidth="1"/>
    <col min="4617" max="4864" width="9.28515625" style="256"/>
    <col min="4865" max="4865" width="8.28515625" style="256" customWidth="1"/>
    <col min="4866" max="4866" width="13.42578125" style="256" customWidth="1"/>
    <col min="4867" max="4867" width="9" style="256" customWidth="1"/>
    <col min="4868" max="4869" width="9.28515625" style="256"/>
    <col min="4870" max="4870" width="20" style="256" customWidth="1"/>
    <col min="4871" max="4871" width="17.140625" style="256" customWidth="1"/>
    <col min="4872" max="4872" width="13.85546875" style="256" customWidth="1"/>
    <col min="4873" max="5120" width="9.28515625" style="256"/>
    <col min="5121" max="5121" width="8.28515625" style="256" customWidth="1"/>
    <col min="5122" max="5122" width="13.42578125" style="256" customWidth="1"/>
    <col min="5123" max="5123" width="9" style="256" customWidth="1"/>
    <col min="5124" max="5125" width="9.28515625" style="256"/>
    <col min="5126" max="5126" width="20" style="256" customWidth="1"/>
    <col min="5127" max="5127" width="17.140625" style="256" customWidth="1"/>
    <col min="5128" max="5128" width="13.85546875" style="256" customWidth="1"/>
    <col min="5129" max="5376" width="9.28515625" style="256"/>
    <col min="5377" max="5377" width="8.28515625" style="256" customWidth="1"/>
    <col min="5378" max="5378" width="13.42578125" style="256" customWidth="1"/>
    <col min="5379" max="5379" width="9" style="256" customWidth="1"/>
    <col min="5380" max="5381" width="9.28515625" style="256"/>
    <col min="5382" max="5382" width="20" style="256" customWidth="1"/>
    <col min="5383" max="5383" width="17.140625" style="256" customWidth="1"/>
    <col min="5384" max="5384" width="13.85546875" style="256" customWidth="1"/>
    <col min="5385" max="5632" width="9.28515625" style="256"/>
    <col min="5633" max="5633" width="8.28515625" style="256" customWidth="1"/>
    <col min="5634" max="5634" width="13.42578125" style="256" customWidth="1"/>
    <col min="5635" max="5635" width="9" style="256" customWidth="1"/>
    <col min="5636" max="5637" width="9.28515625" style="256"/>
    <col min="5638" max="5638" width="20" style="256" customWidth="1"/>
    <col min="5639" max="5639" width="17.140625" style="256" customWidth="1"/>
    <col min="5640" max="5640" width="13.85546875" style="256" customWidth="1"/>
    <col min="5641" max="5888" width="9.28515625" style="256"/>
    <col min="5889" max="5889" width="8.28515625" style="256" customWidth="1"/>
    <col min="5890" max="5890" width="13.42578125" style="256" customWidth="1"/>
    <col min="5891" max="5891" width="9" style="256" customWidth="1"/>
    <col min="5892" max="5893" width="9.28515625" style="256"/>
    <col min="5894" max="5894" width="20" style="256" customWidth="1"/>
    <col min="5895" max="5895" width="17.140625" style="256" customWidth="1"/>
    <col min="5896" max="5896" width="13.85546875" style="256" customWidth="1"/>
    <col min="5897" max="6144" width="9.28515625" style="256"/>
    <col min="6145" max="6145" width="8.28515625" style="256" customWidth="1"/>
    <col min="6146" max="6146" width="13.42578125" style="256" customWidth="1"/>
    <col min="6147" max="6147" width="9" style="256" customWidth="1"/>
    <col min="6148" max="6149" width="9.28515625" style="256"/>
    <col min="6150" max="6150" width="20" style="256" customWidth="1"/>
    <col min="6151" max="6151" width="17.140625" style="256" customWidth="1"/>
    <col min="6152" max="6152" width="13.85546875" style="256" customWidth="1"/>
    <col min="6153" max="6400" width="9.28515625" style="256"/>
    <col min="6401" max="6401" width="8.28515625" style="256" customWidth="1"/>
    <col min="6402" max="6402" width="13.42578125" style="256" customWidth="1"/>
    <col min="6403" max="6403" width="9" style="256" customWidth="1"/>
    <col min="6404" max="6405" width="9.28515625" style="256"/>
    <col min="6406" max="6406" width="20" style="256" customWidth="1"/>
    <col min="6407" max="6407" width="17.140625" style="256" customWidth="1"/>
    <col min="6408" max="6408" width="13.85546875" style="256" customWidth="1"/>
    <col min="6409" max="6656" width="9.28515625" style="256"/>
    <col min="6657" max="6657" width="8.28515625" style="256" customWidth="1"/>
    <col min="6658" max="6658" width="13.42578125" style="256" customWidth="1"/>
    <col min="6659" max="6659" width="9" style="256" customWidth="1"/>
    <col min="6660" max="6661" width="9.28515625" style="256"/>
    <col min="6662" max="6662" width="20" style="256" customWidth="1"/>
    <col min="6663" max="6663" width="17.140625" style="256" customWidth="1"/>
    <col min="6664" max="6664" width="13.85546875" style="256" customWidth="1"/>
    <col min="6665" max="6912" width="9.28515625" style="256"/>
    <col min="6913" max="6913" width="8.28515625" style="256" customWidth="1"/>
    <col min="6914" max="6914" width="13.42578125" style="256" customWidth="1"/>
    <col min="6915" max="6915" width="9" style="256" customWidth="1"/>
    <col min="6916" max="6917" width="9.28515625" style="256"/>
    <col min="6918" max="6918" width="20" style="256" customWidth="1"/>
    <col min="6919" max="6919" width="17.140625" style="256" customWidth="1"/>
    <col min="6920" max="6920" width="13.85546875" style="256" customWidth="1"/>
    <col min="6921" max="7168" width="9.28515625" style="256"/>
    <col min="7169" max="7169" width="8.28515625" style="256" customWidth="1"/>
    <col min="7170" max="7170" width="13.42578125" style="256" customWidth="1"/>
    <col min="7171" max="7171" width="9" style="256" customWidth="1"/>
    <col min="7172" max="7173" width="9.28515625" style="256"/>
    <col min="7174" max="7174" width="20" style="256" customWidth="1"/>
    <col min="7175" max="7175" width="17.140625" style="256" customWidth="1"/>
    <col min="7176" max="7176" width="13.85546875" style="256" customWidth="1"/>
    <col min="7177" max="7424" width="9.28515625" style="256"/>
    <col min="7425" max="7425" width="8.28515625" style="256" customWidth="1"/>
    <col min="7426" max="7426" width="13.42578125" style="256" customWidth="1"/>
    <col min="7427" max="7427" width="9" style="256" customWidth="1"/>
    <col min="7428" max="7429" width="9.28515625" style="256"/>
    <col min="7430" max="7430" width="20" style="256" customWidth="1"/>
    <col min="7431" max="7431" width="17.140625" style="256" customWidth="1"/>
    <col min="7432" max="7432" width="13.85546875" style="256" customWidth="1"/>
    <col min="7433" max="7680" width="9.28515625" style="256"/>
    <col min="7681" max="7681" width="8.28515625" style="256" customWidth="1"/>
    <col min="7682" max="7682" width="13.42578125" style="256" customWidth="1"/>
    <col min="7683" max="7683" width="9" style="256" customWidth="1"/>
    <col min="7684" max="7685" width="9.28515625" style="256"/>
    <col min="7686" max="7686" width="20" style="256" customWidth="1"/>
    <col min="7687" max="7687" width="17.140625" style="256" customWidth="1"/>
    <col min="7688" max="7688" width="13.85546875" style="256" customWidth="1"/>
    <col min="7689" max="7936" width="9.28515625" style="256"/>
    <col min="7937" max="7937" width="8.28515625" style="256" customWidth="1"/>
    <col min="7938" max="7938" width="13.42578125" style="256" customWidth="1"/>
    <col min="7939" max="7939" width="9" style="256" customWidth="1"/>
    <col min="7940" max="7941" width="9.28515625" style="256"/>
    <col min="7942" max="7942" width="20" style="256" customWidth="1"/>
    <col min="7943" max="7943" width="17.140625" style="256" customWidth="1"/>
    <col min="7944" max="7944" width="13.85546875" style="256" customWidth="1"/>
    <col min="7945" max="8192" width="9.28515625" style="256"/>
    <col min="8193" max="8193" width="8.28515625" style="256" customWidth="1"/>
    <col min="8194" max="8194" width="13.42578125" style="256" customWidth="1"/>
    <col min="8195" max="8195" width="9" style="256" customWidth="1"/>
    <col min="8196" max="8197" width="9.28515625" style="256"/>
    <col min="8198" max="8198" width="20" style="256" customWidth="1"/>
    <col min="8199" max="8199" width="17.140625" style="256" customWidth="1"/>
    <col min="8200" max="8200" width="13.85546875" style="256" customWidth="1"/>
    <col min="8201" max="8448" width="9.28515625" style="256"/>
    <col min="8449" max="8449" width="8.28515625" style="256" customWidth="1"/>
    <col min="8450" max="8450" width="13.42578125" style="256" customWidth="1"/>
    <col min="8451" max="8451" width="9" style="256" customWidth="1"/>
    <col min="8452" max="8453" width="9.28515625" style="256"/>
    <col min="8454" max="8454" width="20" style="256" customWidth="1"/>
    <col min="8455" max="8455" width="17.140625" style="256" customWidth="1"/>
    <col min="8456" max="8456" width="13.85546875" style="256" customWidth="1"/>
    <col min="8457" max="8704" width="9.28515625" style="256"/>
    <col min="8705" max="8705" width="8.28515625" style="256" customWidth="1"/>
    <col min="8706" max="8706" width="13.42578125" style="256" customWidth="1"/>
    <col min="8707" max="8707" width="9" style="256" customWidth="1"/>
    <col min="8708" max="8709" width="9.28515625" style="256"/>
    <col min="8710" max="8710" width="20" style="256" customWidth="1"/>
    <col min="8711" max="8711" width="17.140625" style="256" customWidth="1"/>
    <col min="8712" max="8712" width="13.85546875" style="256" customWidth="1"/>
    <col min="8713" max="8960" width="9.28515625" style="256"/>
    <col min="8961" max="8961" width="8.28515625" style="256" customWidth="1"/>
    <col min="8962" max="8962" width="13.42578125" style="256" customWidth="1"/>
    <col min="8963" max="8963" width="9" style="256" customWidth="1"/>
    <col min="8964" max="8965" width="9.28515625" style="256"/>
    <col min="8966" max="8966" width="20" style="256" customWidth="1"/>
    <col min="8967" max="8967" width="17.140625" style="256" customWidth="1"/>
    <col min="8968" max="8968" width="13.85546875" style="256" customWidth="1"/>
    <col min="8969" max="9216" width="9.28515625" style="256"/>
    <col min="9217" max="9217" width="8.28515625" style="256" customWidth="1"/>
    <col min="9218" max="9218" width="13.42578125" style="256" customWidth="1"/>
    <col min="9219" max="9219" width="9" style="256" customWidth="1"/>
    <col min="9220" max="9221" width="9.28515625" style="256"/>
    <col min="9222" max="9222" width="20" style="256" customWidth="1"/>
    <col min="9223" max="9223" width="17.140625" style="256" customWidth="1"/>
    <col min="9224" max="9224" width="13.85546875" style="256" customWidth="1"/>
    <col min="9225" max="9472" width="9.28515625" style="256"/>
    <col min="9473" max="9473" width="8.28515625" style="256" customWidth="1"/>
    <col min="9474" max="9474" width="13.42578125" style="256" customWidth="1"/>
    <col min="9475" max="9475" width="9" style="256" customWidth="1"/>
    <col min="9476" max="9477" width="9.28515625" style="256"/>
    <col min="9478" max="9478" width="20" style="256" customWidth="1"/>
    <col min="9479" max="9479" width="17.140625" style="256" customWidth="1"/>
    <col min="9480" max="9480" width="13.85546875" style="256" customWidth="1"/>
    <col min="9481" max="9728" width="9.28515625" style="256"/>
    <col min="9729" max="9729" width="8.28515625" style="256" customWidth="1"/>
    <col min="9730" max="9730" width="13.42578125" style="256" customWidth="1"/>
    <col min="9731" max="9731" width="9" style="256" customWidth="1"/>
    <col min="9732" max="9733" width="9.28515625" style="256"/>
    <col min="9734" max="9734" width="20" style="256" customWidth="1"/>
    <col min="9735" max="9735" width="17.140625" style="256" customWidth="1"/>
    <col min="9736" max="9736" width="13.85546875" style="256" customWidth="1"/>
    <col min="9737" max="9984" width="9.28515625" style="256"/>
    <col min="9985" max="9985" width="8.28515625" style="256" customWidth="1"/>
    <col min="9986" max="9986" width="13.42578125" style="256" customWidth="1"/>
    <col min="9987" max="9987" width="9" style="256" customWidth="1"/>
    <col min="9988" max="9989" width="9.28515625" style="256"/>
    <col min="9990" max="9990" width="20" style="256" customWidth="1"/>
    <col min="9991" max="9991" width="17.140625" style="256" customWidth="1"/>
    <col min="9992" max="9992" width="13.85546875" style="256" customWidth="1"/>
    <col min="9993" max="10240" width="9.28515625" style="256"/>
    <col min="10241" max="10241" width="8.28515625" style="256" customWidth="1"/>
    <col min="10242" max="10242" width="13.42578125" style="256" customWidth="1"/>
    <col min="10243" max="10243" width="9" style="256" customWidth="1"/>
    <col min="10244" max="10245" width="9.28515625" style="256"/>
    <col min="10246" max="10246" width="20" style="256" customWidth="1"/>
    <col min="10247" max="10247" width="17.140625" style="256" customWidth="1"/>
    <col min="10248" max="10248" width="13.85546875" style="256" customWidth="1"/>
    <col min="10249" max="10496" width="9.28515625" style="256"/>
    <col min="10497" max="10497" width="8.28515625" style="256" customWidth="1"/>
    <col min="10498" max="10498" width="13.42578125" style="256" customWidth="1"/>
    <col min="10499" max="10499" width="9" style="256" customWidth="1"/>
    <col min="10500" max="10501" width="9.28515625" style="256"/>
    <col min="10502" max="10502" width="20" style="256" customWidth="1"/>
    <col min="10503" max="10503" width="17.140625" style="256" customWidth="1"/>
    <col min="10504" max="10504" width="13.85546875" style="256" customWidth="1"/>
    <col min="10505" max="10752" width="9.28515625" style="256"/>
    <col min="10753" max="10753" width="8.28515625" style="256" customWidth="1"/>
    <col min="10754" max="10754" width="13.42578125" style="256" customWidth="1"/>
    <col min="10755" max="10755" width="9" style="256" customWidth="1"/>
    <col min="10756" max="10757" width="9.28515625" style="256"/>
    <col min="10758" max="10758" width="20" style="256" customWidth="1"/>
    <col min="10759" max="10759" width="17.140625" style="256" customWidth="1"/>
    <col min="10760" max="10760" width="13.85546875" style="256" customWidth="1"/>
    <col min="10761" max="11008" width="9.28515625" style="256"/>
    <col min="11009" max="11009" width="8.28515625" style="256" customWidth="1"/>
    <col min="11010" max="11010" width="13.42578125" style="256" customWidth="1"/>
    <col min="11011" max="11011" width="9" style="256" customWidth="1"/>
    <col min="11012" max="11013" width="9.28515625" style="256"/>
    <col min="11014" max="11014" width="20" style="256" customWidth="1"/>
    <col min="11015" max="11015" width="17.140625" style="256" customWidth="1"/>
    <col min="11016" max="11016" width="13.85546875" style="256" customWidth="1"/>
    <col min="11017" max="11264" width="9.28515625" style="256"/>
    <col min="11265" max="11265" width="8.28515625" style="256" customWidth="1"/>
    <col min="11266" max="11266" width="13.42578125" style="256" customWidth="1"/>
    <col min="11267" max="11267" width="9" style="256" customWidth="1"/>
    <col min="11268" max="11269" width="9.28515625" style="256"/>
    <col min="11270" max="11270" width="20" style="256" customWidth="1"/>
    <col min="11271" max="11271" width="17.140625" style="256" customWidth="1"/>
    <col min="11272" max="11272" width="13.85546875" style="256" customWidth="1"/>
    <col min="11273" max="11520" width="9.28515625" style="256"/>
    <col min="11521" max="11521" width="8.28515625" style="256" customWidth="1"/>
    <col min="11522" max="11522" width="13.42578125" style="256" customWidth="1"/>
    <col min="11523" max="11523" width="9" style="256" customWidth="1"/>
    <col min="11524" max="11525" width="9.28515625" style="256"/>
    <col min="11526" max="11526" width="20" style="256" customWidth="1"/>
    <col min="11527" max="11527" width="17.140625" style="256" customWidth="1"/>
    <col min="11528" max="11528" width="13.85546875" style="256" customWidth="1"/>
    <col min="11529" max="11776" width="9.28515625" style="256"/>
    <col min="11777" max="11777" width="8.28515625" style="256" customWidth="1"/>
    <col min="11778" max="11778" width="13.42578125" style="256" customWidth="1"/>
    <col min="11779" max="11779" width="9" style="256" customWidth="1"/>
    <col min="11780" max="11781" width="9.28515625" style="256"/>
    <col min="11782" max="11782" width="20" style="256" customWidth="1"/>
    <col min="11783" max="11783" width="17.140625" style="256" customWidth="1"/>
    <col min="11784" max="11784" width="13.85546875" style="256" customWidth="1"/>
    <col min="11785" max="12032" width="9.28515625" style="256"/>
    <col min="12033" max="12033" width="8.28515625" style="256" customWidth="1"/>
    <col min="12034" max="12034" width="13.42578125" style="256" customWidth="1"/>
    <col min="12035" max="12035" width="9" style="256" customWidth="1"/>
    <col min="12036" max="12037" width="9.28515625" style="256"/>
    <col min="12038" max="12038" width="20" style="256" customWidth="1"/>
    <col min="12039" max="12039" width="17.140625" style="256" customWidth="1"/>
    <col min="12040" max="12040" width="13.85546875" style="256" customWidth="1"/>
    <col min="12041" max="12288" width="9.28515625" style="256"/>
    <col min="12289" max="12289" width="8.28515625" style="256" customWidth="1"/>
    <col min="12290" max="12290" width="13.42578125" style="256" customWidth="1"/>
    <col min="12291" max="12291" width="9" style="256" customWidth="1"/>
    <col min="12292" max="12293" width="9.28515625" style="256"/>
    <col min="12294" max="12294" width="20" style="256" customWidth="1"/>
    <col min="12295" max="12295" width="17.140625" style="256" customWidth="1"/>
    <col min="12296" max="12296" width="13.85546875" style="256" customWidth="1"/>
    <col min="12297" max="12544" width="9.28515625" style="256"/>
    <col min="12545" max="12545" width="8.28515625" style="256" customWidth="1"/>
    <col min="12546" max="12546" width="13.42578125" style="256" customWidth="1"/>
    <col min="12547" max="12547" width="9" style="256" customWidth="1"/>
    <col min="12548" max="12549" width="9.28515625" style="256"/>
    <col min="12550" max="12550" width="20" style="256" customWidth="1"/>
    <col min="12551" max="12551" width="17.140625" style="256" customWidth="1"/>
    <col min="12552" max="12552" width="13.85546875" style="256" customWidth="1"/>
    <col min="12553" max="12800" width="9.28515625" style="256"/>
    <col min="12801" max="12801" width="8.28515625" style="256" customWidth="1"/>
    <col min="12802" max="12802" width="13.42578125" style="256" customWidth="1"/>
    <col min="12803" max="12803" width="9" style="256" customWidth="1"/>
    <col min="12804" max="12805" width="9.28515625" style="256"/>
    <col min="12806" max="12806" width="20" style="256" customWidth="1"/>
    <col min="12807" max="12807" width="17.140625" style="256" customWidth="1"/>
    <col min="12808" max="12808" width="13.85546875" style="256" customWidth="1"/>
    <col min="12809" max="13056" width="9.28515625" style="256"/>
    <col min="13057" max="13057" width="8.28515625" style="256" customWidth="1"/>
    <col min="13058" max="13058" width="13.42578125" style="256" customWidth="1"/>
    <col min="13059" max="13059" width="9" style="256" customWidth="1"/>
    <col min="13060" max="13061" width="9.28515625" style="256"/>
    <col min="13062" max="13062" width="20" style="256" customWidth="1"/>
    <col min="13063" max="13063" width="17.140625" style="256" customWidth="1"/>
    <col min="13064" max="13064" width="13.85546875" style="256" customWidth="1"/>
    <col min="13065" max="13312" width="9.28515625" style="256"/>
    <col min="13313" max="13313" width="8.28515625" style="256" customWidth="1"/>
    <col min="13314" max="13314" width="13.42578125" style="256" customWidth="1"/>
    <col min="13315" max="13315" width="9" style="256" customWidth="1"/>
    <col min="13316" max="13317" width="9.28515625" style="256"/>
    <col min="13318" max="13318" width="20" style="256" customWidth="1"/>
    <col min="13319" max="13319" width="17.140625" style="256" customWidth="1"/>
    <col min="13320" max="13320" width="13.85546875" style="256" customWidth="1"/>
    <col min="13321" max="13568" width="9.28515625" style="256"/>
    <col min="13569" max="13569" width="8.28515625" style="256" customWidth="1"/>
    <col min="13570" max="13570" width="13.42578125" style="256" customWidth="1"/>
    <col min="13571" max="13571" width="9" style="256" customWidth="1"/>
    <col min="13572" max="13573" width="9.28515625" style="256"/>
    <col min="13574" max="13574" width="20" style="256" customWidth="1"/>
    <col min="13575" max="13575" width="17.140625" style="256" customWidth="1"/>
    <col min="13576" max="13576" width="13.85546875" style="256" customWidth="1"/>
    <col min="13577" max="13824" width="9.28515625" style="256"/>
    <col min="13825" max="13825" width="8.28515625" style="256" customWidth="1"/>
    <col min="13826" max="13826" width="13.42578125" style="256" customWidth="1"/>
    <col min="13827" max="13827" width="9" style="256" customWidth="1"/>
    <col min="13828" max="13829" width="9.28515625" style="256"/>
    <col min="13830" max="13830" width="20" style="256" customWidth="1"/>
    <col min="13831" max="13831" width="17.140625" style="256" customWidth="1"/>
    <col min="13832" max="13832" width="13.85546875" style="256" customWidth="1"/>
    <col min="13833" max="14080" width="9.28515625" style="256"/>
    <col min="14081" max="14081" width="8.28515625" style="256" customWidth="1"/>
    <col min="14082" max="14082" width="13.42578125" style="256" customWidth="1"/>
    <col min="14083" max="14083" width="9" style="256" customWidth="1"/>
    <col min="14084" max="14085" width="9.28515625" style="256"/>
    <col min="14086" max="14086" width="20" style="256" customWidth="1"/>
    <col min="14087" max="14087" width="17.140625" style="256" customWidth="1"/>
    <col min="14088" max="14088" width="13.85546875" style="256" customWidth="1"/>
    <col min="14089" max="14336" width="9.28515625" style="256"/>
    <col min="14337" max="14337" width="8.28515625" style="256" customWidth="1"/>
    <col min="14338" max="14338" width="13.42578125" style="256" customWidth="1"/>
    <col min="14339" max="14339" width="9" style="256" customWidth="1"/>
    <col min="14340" max="14341" width="9.28515625" style="256"/>
    <col min="14342" max="14342" width="20" style="256" customWidth="1"/>
    <col min="14343" max="14343" width="17.140625" style="256" customWidth="1"/>
    <col min="14344" max="14344" width="13.85546875" style="256" customWidth="1"/>
    <col min="14345" max="14592" width="9.28515625" style="256"/>
    <col min="14593" max="14593" width="8.28515625" style="256" customWidth="1"/>
    <col min="14594" max="14594" width="13.42578125" style="256" customWidth="1"/>
    <col min="14595" max="14595" width="9" style="256" customWidth="1"/>
    <col min="14596" max="14597" width="9.28515625" style="256"/>
    <col min="14598" max="14598" width="20" style="256" customWidth="1"/>
    <col min="14599" max="14599" width="17.140625" style="256" customWidth="1"/>
    <col min="14600" max="14600" width="13.85546875" style="256" customWidth="1"/>
    <col min="14601" max="14848" width="9.28515625" style="256"/>
    <col min="14849" max="14849" width="8.28515625" style="256" customWidth="1"/>
    <col min="14850" max="14850" width="13.42578125" style="256" customWidth="1"/>
    <col min="14851" max="14851" width="9" style="256" customWidth="1"/>
    <col min="14852" max="14853" width="9.28515625" style="256"/>
    <col min="14854" max="14854" width="20" style="256" customWidth="1"/>
    <col min="14855" max="14855" width="17.140625" style="256" customWidth="1"/>
    <col min="14856" max="14856" width="13.85546875" style="256" customWidth="1"/>
    <col min="14857" max="15104" width="9.28515625" style="256"/>
    <col min="15105" max="15105" width="8.28515625" style="256" customWidth="1"/>
    <col min="15106" max="15106" width="13.42578125" style="256" customWidth="1"/>
    <col min="15107" max="15107" width="9" style="256" customWidth="1"/>
    <col min="15108" max="15109" width="9.28515625" style="256"/>
    <col min="15110" max="15110" width="20" style="256" customWidth="1"/>
    <col min="15111" max="15111" width="17.140625" style="256" customWidth="1"/>
    <col min="15112" max="15112" width="13.85546875" style="256" customWidth="1"/>
    <col min="15113" max="15360" width="9.28515625" style="256"/>
    <col min="15361" max="15361" width="8.28515625" style="256" customWidth="1"/>
    <col min="15362" max="15362" width="13.42578125" style="256" customWidth="1"/>
    <col min="15363" max="15363" width="9" style="256" customWidth="1"/>
    <col min="15364" max="15365" width="9.28515625" style="256"/>
    <col min="15366" max="15366" width="20" style="256" customWidth="1"/>
    <col min="15367" max="15367" width="17.140625" style="256" customWidth="1"/>
    <col min="15368" max="15368" width="13.85546875" style="256" customWidth="1"/>
    <col min="15369" max="15616" width="9.28515625" style="256"/>
    <col min="15617" max="15617" width="8.28515625" style="256" customWidth="1"/>
    <col min="15618" max="15618" width="13.42578125" style="256" customWidth="1"/>
    <col min="15619" max="15619" width="9" style="256" customWidth="1"/>
    <col min="15620" max="15621" width="9.28515625" style="256"/>
    <col min="15622" max="15622" width="20" style="256" customWidth="1"/>
    <col min="15623" max="15623" width="17.140625" style="256" customWidth="1"/>
    <col min="15624" max="15624" width="13.85546875" style="256" customWidth="1"/>
    <col min="15625" max="15872" width="9.28515625" style="256"/>
    <col min="15873" max="15873" width="8.28515625" style="256" customWidth="1"/>
    <col min="15874" max="15874" width="13.42578125" style="256" customWidth="1"/>
    <col min="15875" max="15875" width="9" style="256" customWidth="1"/>
    <col min="15876" max="15877" width="9.28515625" style="256"/>
    <col min="15878" max="15878" width="20" style="256" customWidth="1"/>
    <col min="15879" max="15879" width="17.140625" style="256" customWidth="1"/>
    <col min="15880" max="15880" width="13.85546875" style="256" customWidth="1"/>
    <col min="15881" max="16128" width="9.28515625" style="256"/>
    <col min="16129" max="16129" width="8.28515625" style="256" customWidth="1"/>
    <col min="16130" max="16130" width="13.42578125" style="256" customWidth="1"/>
    <col min="16131" max="16131" width="9" style="256" customWidth="1"/>
    <col min="16132" max="16133" width="9.28515625" style="256"/>
    <col min="16134" max="16134" width="20" style="256" customWidth="1"/>
    <col min="16135" max="16135" width="17.140625" style="256" customWidth="1"/>
    <col min="16136" max="16136" width="13.85546875" style="256" customWidth="1"/>
    <col min="16137" max="16384" width="9.28515625" style="256"/>
  </cols>
  <sheetData>
    <row r="1" spans="2:8" s="252" customFormat="1" ht="21" customHeight="1">
      <c r="B1" s="253" t="s">
        <v>290</v>
      </c>
      <c r="C1" s="254"/>
      <c r="D1" s="254"/>
      <c r="E1" s="254"/>
      <c r="F1" s="254"/>
      <c r="G1" s="254"/>
      <c r="H1" s="255"/>
    </row>
    <row r="2" spans="2:8" ht="20.100000000000001" customHeight="1">
      <c r="B2" s="291" t="s">
        <v>282</v>
      </c>
      <c r="C2" s="300" t="s">
        <v>296</v>
      </c>
      <c r="D2" s="301"/>
      <c r="E2" s="301"/>
      <c r="F2" s="292"/>
      <c r="G2" s="259" t="s">
        <v>283</v>
      </c>
      <c r="H2" s="260" t="s">
        <v>286</v>
      </c>
    </row>
    <row r="4" spans="2:8" ht="12.75" customHeight="1">
      <c r="B4" s="334" t="s">
        <v>195</v>
      </c>
      <c r="C4" s="334"/>
      <c r="D4" s="334"/>
      <c r="E4" s="334"/>
      <c r="F4" s="334"/>
      <c r="G4" s="334"/>
      <c r="H4" s="334"/>
    </row>
    <row r="5" spans="2:8" ht="12.75" customHeight="1"/>
    <row r="6" spans="2:8" ht="25.5" customHeight="1">
      <c r="B6" s="261" t="s">
        <v>285</v>
      </c>
      <c r="C6" s="261" t="s">
        <v>196</v>
      </c>
      <c r="D6" s="335" t="s">
        <v>197</v>
      </c>
      <c r="E6" s="335"/>
      <c r="F6" s="335"/>
      <c r="G6" s="335" t="s">
        <v>4</v>
      </c>
      <c r="H6" s="335"/>
    </row>
    <row r="7" spans="2:8" ht="45" customHeight="1">
      <c r="B7" s="305">
        <v>41834</v>
      </c>
      <c r="C7" s="306" t="s">
        <v>291</v>
      </c>
      <c r="D7" s="336" t="s">
        <v>292</v>
      </c>
      <c r="E7" s="337"/>
      <c r="F7" s="337"/>
      <c r="G7" s="336" t="s">
        <v>293</v>
      </c>
      <c r="H7" s="337"/>
    </row>
    <row r="8" spans="2:8">
      <c r="B8" s="306">
        <v>41834</v>
      </c>
      <c r="C8" s="306" t="s">
        <v>294</v>
      </c>
      <c r="D8" s="336" t="s">
        <v>295</v>
      </c>
      <c r="E8" s="337"/>
      <c r="F8" s="337"/>
      <c r="G8" s="336" t="s">
        <v>293</v>
      </c>
      <c r="H8" s="337"/>
    </row>
    <row r="9" spans="2:8">
      <c r="B9" s="304"/>
      <c r="C9" s="304"/>
      <c r="D9" s="337"/>
      <c r="E9" s="337"/>
      <c r="F9" s="337"/>
      <c r="G9" s="337"/>
      <c r="H9" s="337"/>
    </row>
    <row r="10" spans="2:8">
      <c r="B10" s="304"/>
      <c r="C10" s="304"/>
      <c r="D10" s="337"/>
      <c r="E10" s="337"/>
      <c r="F10" s="337"/>
      <c r="G10" s="337"/>
      <c r="H10" s="337"/>
    </row>
    <row r="11" spans="2:8">
      <c r="B11" s="304"/>
      <c r="C11" s="304"/>
      <c r="D11" s="337"/>
      <c r="E11" s="337"/>
      <c r="F11" s="337"/>
      <c r="G11" s="337"/>
      <c r="H11" s="337"/>
    </row>
  </sheetData>
  <mergeCells count="13">
    <mergeCell ref="D11:F11"/>
    <mergeCell ref="G11:H11"/>
    <mergeCell ref="D8:F8"/>
    <mergeCell ref="G8:H8"/>
    <mergeCell ref="D9:F9"/>
    <mergeCell ref="G9:H9"/>
    <mergeCell ref="D10:F10"/>
    <mergeCell ref="G10:H10"/>
    <mergeCell ref="B4:H4"/>
    <mergeCell ref="D6:F6"/>
    <mergeCell ref="G6:H6"/>
    <mergeCell ref="D7:F7"/>
    <mergeCell ref="G7:H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7"/>
  <dimension ref="B1:Z69"/>
  <sheetViews>
    <sheetView showGridLines="0" zoomScale="80" zoomScaleNormal="80" workbookViewId="0">
      <selection activeCell="B1" sqref="B1"/>
    </sheetView>
  </sheetViews>
  <sheetFormatPr defaultRowHeight="12.75"/>
  <cols>
    <col min="1" max="1" width="2.7109375" style="4" customWidth="1"/>
    <col min="2" max="2" width="10.85546875" style="4" customWidth="1"/>
    <col min="3" max="3" width="18.42578125" style="4" customWidth="1"/>
    <col min="4" max="4" width="11.42578125" style="4" customWidth="1"/>
    <col min="5" max="6" width="15.7109375" style="4" customWidth="1"/>
    <col min="7" max="7" width="12" style="4" customWidth="1"/>
    <col min="8" max="8" width="13.5703125" style="4" customWidth="1"/>
    <col min="9" max="11" width="9.140625" style="4"/>
    <col min="12" max="12" width="13.85546875" style="4" customWidth="1"/>
    <col min="13" max="16384" width="9.140625" style="4"/>
  </cols>
  <sheetData>
    <row r="1" spans="2:9" s="252" customFormat="1" ht="21" customHeight="1">
      <c r="B1" s="253" t="s">
        <v>290</v>
      </c>
      <c r="C1" s="283"/>
      <c r="D1" s="283"/>
      <c r="E1" s="283"/>
      <c r="F1" s="283"/>
      <c r="G1" s="283"/>
      <c r="H1" s="284"/>
    </row>
    <row r="2" spans="2:9" s="256" customFormat="1" ht="18.75" customHeight="1">
      <c r="B2" s="257" t="s">
        <v>60</v>
      </c>
      <c r="C2" s="280" t="str">
        <f>'Histórico de Revisão'!C2</f>
        <v>SAAD - Sistema de Acompanhamento Administrativo de Documentos</v>
      </c>
      <c r="D2" s="258"/>
      <c r="E2" s="258"/>
      <c r="F2" s="258"/>
      <c r="G2" s="259" t="s">
        <v>283</v>
      </c>
      <c r="H2" s="282" t="s">
        <v>286</v>
      </c>
    </row>
    <row r="3" spans="2:9" ht="12.75" customHeight="1"/>
    <row r="4" spans="2:9" s="36" customFormat="1" ht="45" customHeight="1">
      <c r="B4" s="110"/>
      <c r="C4" s="387" t="s">
        <v>136</v>
      </c>
      <c r="D4" s="387"/>
      <c r="E4" s="387"/>
      <c r="F4" s="387"/>
      <c r="G4" s="387"/>
      <c r="H4" s="111"/>
    </row>
    <row r="5" spans="2:9" ht="12.75" customHeight="1"/>
    <row r="6" spans="2:9">
      <c r="B6" s="90" t="s">
        <v>182</v>
      </c>
      <c r="C6" s="582" t="str">
        <f>NomeCliente</f>
        <v>STJ - Superior Tribunal de Justiça</v>
      </c>
      <c r="D6" s="582"/>
      <c r="E6" s="582"/>
      <c r="F6" s="582"/>
      <c r="G6" s="582"/>
      <c r="H6" s="582"/>
      <c r="I6" s="89"/>
    </row>
    <row r="7" spans="2:9" ht="12.75" customHeight="1">
      <c r="B7" s="90" t="s">
        <v>183</v>
      </c>
      <c r="C7" s="582" t="str">
        <f>NomeProjeto</f>
        <v>SAAD - Sistema de Acompanhamento Administrativo de Documentos</v>
      </c>
      <c r="D7" s="582"/>
      <c r="E7" s="582"/>
      <c r="F7" s="582"/>
      <c r="G7" s="582"/>
      <c r="H7" s="582"/>
      <c r="I7" s="89"/>
    </row>
    <row r="8" spans="2:9">
      <c r="B8" s="87"/>
      <c r="C8" s="87"/>
      <c r="D8" s="88"/>
      <c r="E8" s="88"/>
      <c r="F8" s="88"/>
      <c r="G8" s="88"/>
      <c r="H8" s="88"/>
      <c r="I8" s="89"/>
    </row>
    <row r="9" spans="2:9" ht="18" customHeight="1">
      <c r="B9" s="558" t="s">
        <v>205</v>
      </c>
      <c r="C9" s="558"/>
      <c r="D9" s="558"/>
      <c r="E9" s="91">
        <f>DFP</f>
        <v>0</v>
      </c>
      <c r="G9" s="5"/>
    </row>
    <row r="10" spans="2:9" ht="12.75" customHeight="1" thickBot="1"/>
    <row r="11" spans="2:9" ht="18.75" customHeight="1" thickBot="1">
      <c r="B11" s="6"/>
      <c r="C11" s="576" t="s">
        <v>139</v>
      </c>
      <c r="D11" s="577"/>
      <c r="E11" s="577"/>
      <c r="F11" s="578"/>
    </row>
    <row r="12" spans="2:9">
      <c r="C12" s="579" t="s">
        <v>130</v>
      </c>
      <c r="D12" s="580"/>
      <c r="E12" s="581"/>
      <c r="F12" s="146">
        <f>0.02*Base!J70</f>
        <v>0.18172000000000002</v>
      </c>
    </row>
    <row r="13" spans="2:9">
      <c r="C13" s="567" t="s">
        <v>133</v>
      </c>
      <c r="D13" s="568"/>
      <c r="E13" s="569"/>
      <c r="F13" s="147">
        <f>0.15*Base!J70</f>
        <v>1.3629</v>
      </c>
    </row>
    <row r="14" spans="2:9">
      <c r="C14" s="567" t="s">
        <v>21</v>
      </c>
      <c r="D14" s="568"/>
      <c r="E14" s="569"/>
      <c r="F14" s="147">
        <f>0.3*Base!J70</f>
        <v>2.7258</v>
      </c>
    </row>
    <row r="15" spans="2:9">
      <c r="C15" s="567" t="s">
        <v>127</v>
      </c>
      <c r="D15" s="568"/>
      <c r="E15" s="569"/>
      <c r="F15" s="147">
        <f>VLOOKUP(Ambiente,Base!B37:E62,4,FALSE)</f>
        <v>5.12</v>
      </c>
    </row>
    <row r="16" spans="2:9" ht="13.5" thickBot="1">
      <c r="C16" s="570" t="s">
        <v>128</v>
      </c>
      <c r="D16" s="571"/>
      <c r="E16" s="572"/>
      <c r="F16" s="148">
        <f>0.15*Base!J70</f>
        <v>1.3629</v>
      </c>
    </row>
    <row r="17" spans="2:26" ht="18.75" thickBot="1">
      <c r="B17" s="7"/>
      <c r="C17" s="573" t="s">
        <v>140</v>
      </c>
      <c r="D17" s="574"/>
      <c r="E17" s="575"/>
      <c r="F17" s="8">
        <f>IF(F15=0, 0, SUM(F12:F16))</f>
        <v>10.753319999999999</v>
      </c>
    </row>
    <row r="18" spans="2:26">
      <c r="B18" s="7"/>
      <c r="C18" s="556" t="str">
        <f>IF(F15=0, "Não existe valor para a liguaguem informada!", "")</f>
        <v/>
      </c>
      <c r="D18" s="556"/>
      <c r="E18" s="556"/>
      <c r="F18" s="556"/>
    </row>
    <row r="19" spans="2:26">
      <c r="B19" s="7"/>
      <c r="C19" s="557"/>
      <c r="D19" s="557"/>
      <c r="E19" s="557"/>
      <c r="F19" s="557"/>
    </row>
    <row r="20" spans="2:26" ht="18">
      <c r="B20" s="558" t="s">
        <v>141</v>
      </c>
      <c r="C20" s="558"/>
      <c r="D20" s="558"/>
      <c r="E20" s="145">
        <f>IF(Tipo_de_Contagem=4,E9*F17*Base!J73,IF(F15=0, 0,E9*F17))</f>
        <v>0</v>
      </c>
    </row>
    <row r="21" spans="2:26" ht="12.75" customHeight="1" thickBot="1">
      <c r="B21" s="9"/>
    </row>
    <row r="22" spans="2:26" ht="15">
      <c r="C22" s="559" t="s">
        <v>142</v>
      </c>
      <c r="D22" s="560"/>
      <c r="E22" s="560"/>
      <c r="F22" s="561"/>
    </row>
    <row r="23" spans="2:26" ht="15" customHeight="1" thickBot="1">
      <c r="C23" s="562" t="s">
        <v>143</v>
      </c>
      <c r="D23" s="563"/>
      <c r="E23" s="10" t="s">
        <v>144</v>
      </c>
      <c r="F23" s="11" t="s">
        <v>145</v>
      </c>
    </row>
    <row r="24" spans="2:26" ht="12.75" customHeight="1">
      <c r="C24" s="565" t="str">
        <f>C12</f>
        <v>Avaliação Técnica</v>
      </c>
      <c r="D24" s="565"/>
      <c r="E24" s="92">
        <f>IF($F$17=0, 0, F12/$F$17)</f>
        <v>1.6898967016698102E-2</v>
      </c>
      <c r="F24" s="93">
        <f>$E$20*E24</f>
        <v>0</v>
      </c>
    </row>
    <row r="25" spans="2:26" ht="12.75" customHeight="1">
      <c r="C25" s="566" t="str">
        <f>C13</f>
        <v>Concepção</v>
      </c>
      <c r="D25" s="566"/>
      <c r="E25" s="92">
        <f>IF($F$17=0, 0, F13/$F$17)</f>
        <v>0.12674225262523575</v>
      </c>
      <c r="F25" s="93">
        <f>$E$20*E25</f>
        <v>0</v>
      </c>
    </row>
    <row r="26" spans="2:26" ht="12.75" customHeight="1">
      <c r="C26" s="565" t="str">
        <f>C14</f>
        <v>Elaboração</v>
      </c>
      <c r="D26" s="565"/>
      <c r="E26" s="92">
        <f>IF($F$17=0, 0, F14/$F$17)</f>
        <v>0.2534845052504715</v>
      </c>
      <c r="F26" s="93">
        <f>$E$20*E26</f>
        <v>0</v>
      </c>
    </row>
    <row r="27" spans="2:26" ht="12.75" customHeight="1">
      <c r="C27" s="566" t="str">
        <f>C15</f>
        <v>Construção</v>
      </c>
      <c r="D27" s="566"/>
      <c r="E27" s="92">
        <f>IF($F$17=0, 0, F15/$F$17)</f>
        <v>0.47613202248235903</v>
      </c>
      <c r="F27" s="93">
        <f>$E$20*E27</f>
        <v>0</v>
      </c>
    </row>
    <row r="28" spans="2:26" ht="12.75" customHeight="1" thickBot="1">
      <c r="C28" s="564" t="str">
        <f>C16</f>
        <v>Implantação</v>
      </c>
      <c r="D28" s="564"/>
      <c r="E28" s="92">
        <f>IF($F$17=0, 0, F16/$F$17)</f>
        <v>0.12674225262523575</v>
      </c>
      <c r="F28" s="93">
        <f>$E$20*E28</f>
        <v>0</v>
      </c>
    </row>
    <row r="29" spans="2:26" ht="18.75" thickBot="1">
      <c r="C29" s="12" t="s">
        <v>146</v>
      </c>
      <c r="D29" s="13"/>
      <c r="E29" s="14">
        <f>SUM(E24:E28)</f>
        <v>1.0000000000000002</v>
      </c>
      <c r="F29" s="15">
        <f>SUM(F24:F28)</f>
        <v>0</v>
      </c>
    </row>
    <row r="30" spans="2:26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5:26"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5:26"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5:26"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5:26"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5:26"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5:26"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5:26"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5:26"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5:26"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5:26"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5:26" ht="12.75" customHeight="1"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5:26"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5:26"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5:26"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5:26"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5:26"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2:26"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2:26"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2:26"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2:26"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2:26"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2:26"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2:26"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2:26"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2:26"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2:26"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2:26"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2:26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2:26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2:26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2:26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2:26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2:26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2:26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2:26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2:26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2:26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</sheetData>
  <sheetProtection password="974A" sheet="1" objects="1" scenarios="1" selectLockedCells="1" selectUnlockedCells="1"/>
  <mergeCells count="22">
    <mergeCell ref="C4:G4"/>
    <mergeCell ref="C6:E6"/>
    <mergeCell ref="F6:H6"/>
    <mergeCell ref="C7:E7"/>
    <mergeCell ref="F7:H7"/>
    <mergeCell ref="C14:E14"/>
    <mergeCell ref="C15:E15"/>
    <mergeCell ref="C16:E16"/>
    <mergeCell ref="C17:E17"/>
    <mergeCell ref="B9:D9"/>
    <mergeCell ref="C11:F11"/>
    <mergeCell ref="C12:E12"/>
    <mergeCell ref="C13:E13"/>
    <mergeCell ref="C18:F19"/>
    <mergeCell ref="B20:D20"/>
    <mergeCell ref="C22:F22"/>
    <mergeCell ref="C23:D23"/>
    <mergeCell ref="C28:D28"/>
    <mergeCell ref="C24:D24"/>
    <mergeCell ref="C25:D25"/>
    <mergeCell ref="C26:D26"/>
    <mergeCell ref="C27:D27"/>
  </mergeCells>
  <phoneticPr fontId="24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5"/>
  <dimension ref="B1:J103"/>
  <sheetViews>
    <sheetView showGridLines="0" zoomScale="80" zoomScaleNormal="80" workbookViewId="0">
      <selection activeCell="B1" sqref="B1"/>
    </sheetView>
  </sheetViews>
  <sheetFormatPr defaultRowHeight="12.75"/>
  <cols>
    <col min="1" max="1" width="8.7109375" style="62" customWidth="1"/>
    <col min="2" max="2" width="14" style="62" customWidth="1"/>
    <col min="3" max="6" width="8.85546875" style="62" customWidth="1"/>
    <col min="7" max="7" width="14.5703125" style="62" customWidth="1"/>
    <col min="8" max="9" width="8" style="62" customWidth="1"/>
    <col min="10" max="10" width="14" style="62" customWidth="1"/>
    <col min="11" max="11" width="5.5703125" style="62" customWidth="1"/>
    <col min="12" max="16384" width="9.140625" style="62"/>
  </cols>
  <sheetData>
    <row r="1" spans="2:10" s="252" customFormat="1" ht="21" customHeight="1">
      <c r="B1" s="253" t="s">
        <v>290</v>
      </c>
      <c r="C1" s="283"/>
      <c r="D1" s="283"/>
      <c r="E1" s="283"/>
      <c r="F1" s="283"/>
      <c r="G1" s="283"/>
      <c r="H1" s="283"/>
      <c r="I1" s="283"/>
      <c r="J1" s="284"/>
    </row>
    <row r="2" spans="2:10" s="256" customFormat="1" ht="18.75" customHeight="1">
      <c r="B2" s="257" t="s">
        <v>60</v>
      </c>
      <c r="C2" s="280" t="str">
        <f>'Histórico de Revisão'!C2</f>
        <v>SAAD - Sistema de Acompanhamento Administrativo de Documentos</v>
      </c>
      <c r="D2" s="285"/>
      <c r="E2" s="285"/>
      <c r="F2" s="285"/>
      <c r="G2" s="285"/>
      <c r="H2" s="285"/>
      <c r="I2" s="259" t="s">
        <v>283</v>
      </c>
      <c r="J2" s="282" t="s">
        <v>286</v>
      </c>
    </row>
    <row r="3" spans="2:10" ht="13.5" thickBot="1">
      <c r="B3" s="585"/>
      <c r="C3" s="585"/>
      <c r="D3" s="585"/>
      <c r="E3" s="585"/>
      <c r="F3" s="585"/>
      <c r="G3" s="585"/>
      <c r="H3" s="585"/>
    </row>
    <row r="4" spans="2:10" ht="45" customHeight="1">
      <c r="B4" s="113"/>
      <c r="C4" s="589" t="s">
        <v>0</v>
      </c>
      <c r="D4" s="589"/>
      <c r="E4" s="589"/>
      <c r="F4" s="589"/>
      <c r="G4" s="589"/>
      <c r="H4" s="589"/>
      <c r="I4" s="589"/>
      <c r="J4" s="205"/>
    </row>
    <row r="5" spans="2:10" ht="13.5" thickBot="1">
      <c r="B5" s="107"/>
      <c r="C5" s="112"/>
      <c r="D5" s="112"/>
      <c r="E5" s="112"/>
      <c r="F5" s="112"/>
      <c r="G5" s="112"/>
      <c r="H5" s="112"/>
    </row>
    <row r="6" spans="2:10" ht="13.5" thickBot="1">
      <c r="B6" s="588" t="s">
        <v>76</v>
      </c>
      <c r="C6" s="588"/>
      <c r="D6" s="588"/>
      <c r="E6" s="588"/>
      <c r="F6" s="588"/>
      <c r="G6" s="588"/>
      <c r="H6" s="588"/>
      <c r="I6" s="588"/>
      <c r="J6" s="588"/>
    </row>
    <row r="7" spans="2:10">
      <c r="B7" s="47"/>
      <c r="C7" s="47"/>
      <c r="D7" s="47"/>
      <c r="E7" s="47"/>
      <c r="F7" s="47"/>
      <c r="G7" s="47"/>
      <c r="H7" s="47"/>
      <c r="I7" s="47"/>
      <c r="J7" s="47"/>
    </row>
    <row r="8" spans="2:10" ht="25.35" customHeight="1">
      <c r="B8" s="94" t="s">
        <v>77</v>
      </c>
      <c r="C8" s="586" t="s">
        <v>78</v>
      </c>
      <c r="D8" s="586"/>
      <c r="E8" s="586"/>
      <c r="F8" s="586"/>
      <c r="G8" s="95" t="s">
        <v>79</v>
      </c>
      <c r="H8" s="587" t="s">
        <v>80</v>
      </c>
      <c r="I8" s="587"/>
      <c r="J8" s="587"/>
    </row>
    <row r="9" spans="2:10">
      <c r="B9" s="583" t="s">
        <v>247</v>
      </c>
      <c r="C9" s="70"/>
      <c r="D9" s="70"/>
      <c r="E9" s="70"/>
      <c r="F9" s="70"/>
      <c r="G9" s="70"/>
      <c r="H9" s="70"/>
      <c r="I9" s="70"/>
      <c r="J9" s="71"/>
    </row>
    <row r="10" spans="2:10">
      <c r="B10" s="584"/>
      <c r="C10" s="75">
        <f>COUNTIF(CF,"EELI")</f>
        <v>0</v>
      </c>
      <c r="D10" s="52"/>
      <c r="E10" s="52" t="s">
        <v>81</v>
      </c>
      <c r="F10" s="96">
        <v>3</v>
      </c>
      <c r="G10" s="75">
        <f>C10*F10*DftIncl</f>
        <v>0</v>
      </c>
      <c r="H10" s="52"/>
      <c r="I10" s="52"/>
      <c r="J10" s="73"/>
    </row>
    <row r="11" spans="2:10">
      <c r="B11" s="584"/>
      <c r="C11" s="75">
        <f>COUNTIF(CF,"EEAI")</f>
        <v>0</v>
      </c>
      <c r="D11" s="52"/>
      <c r="E11" s="52" t="s">
        <v>82</v>
      </c>
      <c r="F11" s="96">
        <v>4</v>
      </c>
      <c r="G11" s="75">
        <f>C11*F11*DftIncl</f>
        <v>0</v>
      </c>
      <c r="H11" s="52"/>
      <c r="I11" s="52"/>
      <c r="J11" s="73"/>
    </row>
    <row r="12" spans="2:10">
      <c r="B12" s="584"/>
      <c r="C12" s="75">
        <f>COUNTIF(CF,"EEHI")</f>
        <v>0</v>
      </c>
      <c r="D12" s="52"/>
      <c r="E12" s="52" t="s">
        <v>83</v>
      </c>
      <c r="F12" s="96">
        <v>6</v>
      </c>
      <c r="G12" s="75">
        <f>C12*F12*DftIncl</f>
        <v>0</v>
      </c>
      <c r="H12" s="52"/>
      <c r="I12" s="75">
        <f>SUM(G10:G12)</f>
        <v>0</v>
      </c>
      <c r="J12" s="73"/>
    </row>
    <row r="13" spans="2:10">
      <c r="B13" s="584"/>
      <c r="C13" s="68"/>
      <c r="D13" s="75"/>
      <c r="E13" s="75"/>
      <c r="F13" s="75"/>
      <c r="G13" s="68"/>
      <c r="H13" s="75"/>
      <c r="I13" s="75"/>
      <c r="J13" s="76"/>
    </row>
    <row r="14" spans="2:10">
      <c r="B14" s="583" t="s">
        <v>248</v>
      </c>
      <c r="C14" s="52"/>
      <c r="D14" s="70"/>
      <c r="E14" s="70"/>
      <c r="F14" s="70"/>
      <c r="G14" s="52"/>
      <c r="H14" s="70"/>
      <c r="I14" s="70"/>
      <c r="J14" s="71"/>
    </row>
    <row r="15" spans="2:10">
      <c r="B15" s="584" t="s">
        <v>35</v>
      </c>
      <c r="C15" s="75">
        <f>COUNTIF(CF,"EELA")</f>
        <v>0</v>
      </c>
      <c r="D15" s="52"/>
      <c r="E15" s="52" t="s">
        <v>81</v>
      </c>
      <c r="F15" s="96">
        <v>3</v>
      </c>
      <c r="G15" s="75">
        <f>C15*F15*DftAlt</f>
        <v>0</v>
      </c>
      <c r="H15" s="52"/>
      <c r="I15" s="52"/>
      <c r="J15" s="73"/>
    </row>
    <row r="16" spans="2:10">
      <c r="B16" s="584"/>
      <c r="C16" s="75">
        <f>COUNTIF(CF,"EEAA")</f>
        <v>0</v>
      </c>
      <c r="D16" s="52"/>
      <c r="E16" s="52" t="s">
        <v>82</v>
      </c>
      <c r="F16" s="96">
        <v>4</v>
      </c>
      <c r="G16" s="75">
        <f>C16*F16*DftAlt</f>
        <v>0</v>
      </c>
      <c r="H16" s="52"/>
      <c r="I16" s="52"/>
      <c r="J16" s="73"/>
    </row>
    <row r="17" spans="2:10">
      <c r="B17" s="584"/>
      <c r="C17" s="75">
        <f>COUNTIF(CF,"EEHA")</f>
        <v>0</v>
      </c>
      <c r="D17" s="52"/>
      <c r="E17" s="52" t="s">
        <v>83</v>
      </c>
      <c r="F17" s="96">
        <v>6</v>
      </c>
      <c r="G17" s="75">
        <f>C17*F17*DftAlt</f>
        <v>0</v>
      </c>
      <c r="H17" s="52"/>
      <c r="I17" s="75">
        <f>SUM(G15:G17)</f>
        <v>0</v>
      </c>
      <c r="J17" s="73"/>
    </row>
    <row r="18" spans="2:10">
      <c r="B18" s="584"/>
      <c r="C18" s="68"/>
      <c r="D18" s="75"/>
      <c r="E18" s="75"/>
      <c r="F18" s="75"/>
      <c r="G18" s="68"/>
      <c r="H18" s="75"/>
      <c r="I18" s="75"/>
      <c r="J18" s="76"/>
    </row>
    <row r="19" spans="2:10">
      <c r="B19" s="583" t="s">
        <v>249</v>
      </c>
      <c r="C19" s="52"/>
      <c r="D19" s="70"/>
      <c r="E19" s="70"/>
      <c r="F19" s="70"/>
      <c r="G19" s="52"/>
      <c r="H19" s="70"/>
      <c r="I19" s="70"/>
      <c r="J19" s="71"/>
    </row>
    <row r="20" spans="2:10">
      <c r="B20" s="584" t="s">
        <v>35</v>
      </c>
      <c r="C20" s="75">
        <f>COUNTIF(CF,"EELE")</f>
        <v>0</v>
      </c>
      <c r="D20" s="52"/>
      <c r="E20" s="52" t="s">
        <v>81</v>
      </c>
      <c r="F20" s="96">
        <v>3</v>
      </c>
      <c r="G20" s="75">
        <f>C20*F20*DftExcl</f>
        <v>0</v>
      </c>
      <c r="H20" s="52"/>
      <c r="I20" s="52"/>
      <c r="J20" s="73"/>
    </row>
    <row r="21" spans="2:10">
      <c r="B21" s="584"/>
      <c r="C21" s="75">
        <f>COUNTIF(CF,"EEAE")</f>
        <v>0</v>
      </c>
      <c r="D21" s="52"/>
      <c r="E21" s="52" t="s">
        <v>82</v>
      </c>
      <c r="F21" s="96">
        <v>4</v>
      </c>
      <c r="G21" s="75">
        <f>C21*F21*DftExcl</f>
        <v>0</v>
      </c>
      <c r="H21" s="52"/>
      <c r="I21" s="52"/>
      <c r="J21" s="73"/>
    </row>
    <row r="22" spans="2:10">
      <c r="B22" s="584"/>
      <c r="C22" s="75">
        <f>COUNTIF(CF,"EEHE")</f>
        <v>0</v>
      </c>
      <c r="D22" s="52"/>
      <c r="E22" s="52" t="s">
        <v>83</v>
      </c>
      <c r="F22" s="96">
        <v>6</v>
      </c>
      <c r="G22" s="75">
        <f>C22*F22*DftExcl</f>
        <v>0</v>
      </c>
      <c r="H22" s="52"/>
      <c r="I22" s="75">
        <f>SUM(G20:G22)</f>
        <v>0</v>
      </c>
      <c r="J22" s="73"/>
    </row>
    <row r="23" spans="2:10">
      <c r="B23" s="584"/>
      <c r="C23" s="68"/>
      <c r="D23" s="75"/>
      <c r="E23" s="75"/>
      <c r="F23" s="75"/>
      <c r="G23" s="68"/>
      <c r="H23" s="75"/>
      <c r="I23" s="75"/>
      <c r="J23" s="76"/>
    </row>
    <row r="24" spans="2:10">
      <c r="B24" s="583" t="s">
        <v>250</v>
      </c>
      <c r="C24" s="52"/>
      <c r="D24" s="70"/>
      <c r="E24" s="70"/>
      <c r="F24" s="70"/>
      <c r="G24" s="52"/>
      <c r="H24" s="70"/>
      <c r="I24" s="70"/>
      <c r="J24" s="71"/>
    </row>
    <row r="25" spans="2:10">
      <c r="B25" s="584" t="s">
        <v>35</v>
      </c>
      <c r="C25" s="75">
        <f>COUNTIF(CF,"SELI")</f>
        <v>0</v>
      </c>
      <c r="D25" s="52"/>
      <c r="E25" s="52" t="s">
        <v>81</v>
      </c>
      <c r="F25" s="96">
        <v>4</v>
      </c>
      <c r="G25" s="75">
        <f>C25*F25*DftIncl</f>
        <v>0</v>
      </c>
      <c r="H25" s="52"/>
      <c r="I25" s="52"/>
      <c r="J25" s="73"/>
    </row>
    <row r="26" spans="2:10">
      <c r="B26" s="584"/>
      <c r="C26" s="75">
        <f>COUNTIF(CF,"SEAI")</f>
        <v>0</v>
      </c>
      <c r="D26" s="52"/>
      <c r="E26" s="52" t="s">
        <v>82</v>
      </c>
      <c r="F26" s="96">
        <v>5</v>
      </c>
      <c r="G26" s="75">
        <f>C26*F26*DftIncl</f>
        <v>0</v>
      </c>
      <c r="H26" s="52"/>
      <c r="I26" s="52"/>
      <c r="J26" s="73"/>
    </row>
    <row r="27" spans="2:10">
      <c r="B27" s="584"/>
      <c r="C27" s="75">
        <f>COUNTIF(CF,"SEHI")</f>
        <v>0</v>
      </c>
      <c r="D27" s="52"/>
      <c r="E27" s="52" t="s">
        <v>83</v>
      </c>
      <c r="F27" s="96">
        <v>7</v>
      </c>
      <c r="G27" s="75">
        <f>C27*F27*DftIncl</f>
        <v>0</v>
      </c>
      <c r="H27" s="52"/>
      <c r="I27" s="75">
        <f>SUM(G25:G27)</f>
        <v>0</v>
      </c>
      <c r="J27" s="73"/>
    </row>
    <row r="28" spans="2:10">
      <c r="B28" s="584"/>
      <c r="C28" s="68"/>
      <c r="D28" s="75"/>
      <c r="E28" s="75"/>
      <c r="F28" s="75"/>
      <c r="G28" s="68"/>
      <c r="H28" s="75"/>
      <c r="I28" s="75"/>
      <c r="J28" s="76"/>
    </row>
    <row r="29" spans="2:10">
      <c r="B29" s="583" t="s">
        <v>251</v>
      </c>
      <c r="C29" s="52"/>
      <c r="D29" s="70"/>
      <c r="E29" s="70"/>
      <c r="F29" s="70"/>
      <c r="G29" s="52"/>
      <c r="H29" s="70"/>
      <c r="I29" s="70"/>
      <c r="J29" s="71"/>
    </row>
    <row r="30" spans="2:10">
      <c r="B30" s="584" t="s">
        <v>35</v>
      </c>
      <c r="C30" s="75">
        <f>COUNTIF(CF,"SELA")</f>
        <v>0</v>
      </c>
      <c r="D30" s="52"/>
      <c r="E30" s="52" t="s">
        <v>81</v>
      </c>
      <c r="F30" s="96">
        <v>4</v>
      </c>
      <c r="G30" s="75">
        <f>C30*F30*DftAlt</f>
        <v>0</v>
      </c>
      <c r="H30" s="52"/>
      <c r="I30" s="52"/>
      <c r="J30" s="73"/>
    </row>
    <row r="31" spans="2:10">
      <c r="B31" s="584"/>
      <c r="C31" s="75">
        <f>COUNTIF(CF,"SEAA")</f>
        <v>0</v>
      </c>
      <c r="D31" s="52"/>
      <c r="E31" s="52" t="s">
        <v>82</v>
      </c>
      <c r="F31" s="96">
        <v>5</v>
      </c>
      <c r="G31" s="75">
        <f>C31*F31*DftAlt</f>
        <v>0</v>
      </c>
      <c r="H31" s="52"/>
      <c r="I31" s="52"/>
      <c r="J31" s="73"/>
    </row>
    <row r="32" spans="2:10">
      <c r="B32" s="584"/>
      <c r="C32" s="75">
        <f>COUNTIF(CF,"SEHA")</f>
        <v>0</v>
      </c>
      <c r="D32" s="52"/>
      <c r="E32" s="52" t="s">
        <v>83</v>
      </c>
      <c r="F32" s="96">
        <v>7</v>
      </c>
      <c r="G32" s="75">
        <f>C32*F32*DftAlt</f>
        <v>0</v>
      </c>
      <c r="H32" s="52"/>
      <c r="I32" s="75">
        <f>SUM(G30:G32)</f>
        <v>0</v>
      </c>
      <c r="J32" s="73"/>
    </row>
    <row r="33" spans="2:10">
      <c r="B33" s="584"/>
      <c r="C33" s="68"/>
      <c r="D33" s="75"/>
      <c r="E33" s="75"/>
      <c r="F33" s="75"/>
      <c r="G33" s="68"/>
      <c r="H33" s="75"/>
      <c r="I33" s="75"/>
      <c r="J33" s="76"/>
    </row>
    <row r="34" spans="2:10">
      <c r="B34" s="583" t="s">
        <v>252</v>
      </c>
      <c r="C34" s="52"/>
      <c r="D34" s="70"/>
      <c r="E34" s="70"/>
      <c r="F34" s="70"/>
      <c r="G34" s="52"/>
      <c r="H34" s="70"/>
      <c r="I34" s="70"/>
      <c r="J34" s="71"/>
    </row>
    <row r="35" spans="2:10">
      <c r="B35" s="584" t="s">
        <v>35</v>
      </c>
      <c r="C35" s="75">
        <f>COUNTIF(CF,"SELE")</f>
        <v>0</v>
      </c>
      <c r="D35" s="52"/>
      <c r="E35" s="52" t="s">
        <v>81</v>
      </c>
      <c r="F35" s="96">
        <v>4</v>
      </c>
      <c r="G35" s="75">
        <f>C35*F35*DftExcl</f>
        <v>0</v>
      </c>
      <c r="H35" s="52"/>
      <c r="I35" s="52"/>
      <c r="J35" s="73"/>
    </row>
    <row r="36" spans="2:10">
      <c r="B36" s="584"/>
      <c r="C36" s="75">
        <f>COUNTIF(CF,"SEAE")</f>
        <v>0</v>
      </c>
      <c r="D36" s="52"/>
      <c r="E36" s="52" t="s">
        <v>82</v>
      </c>
      <c r="F36" s="96">
        <v>5</v>
      </c>
      <c r="G36" s="75">
        <f>C36*F36*DftExcl</f>
        <v>0</v>
      </c>
      <c r="H36" s="52"/>
      <c r="I36" s="52"/>
      <c r="J36" s="73"/>
    </row>
    <row r="37" spans="2:10">
      <c r="B37" s="584"/>
      <c r="C37" s="75">
        <f>COUNTIF(CF,"SEHE")</f>
        <v>0</v>
      </c>
      <c r="D37" s="52"/>
      <c r="E37" s="52" t="s">
        <v>83</v>
      </c>
      <c r="F37" s="96">
        <v>7</v>
      </c>
      <c r="G37" s="75">
        <f>C37*F37*DftExcl</f>
        <v>0</v>
      </c>
      <c r="H37" s="52"/>
      <c r="I37" s="75">
        <f>SUM(G35:G37)</f>
        <v>0</v>
      </c>
      <c r="J37" s="73"/>
    </row>
    <row r="38" spans="2:10">
      <c r="B38" s="584"/>
      <c r="C38" s="68"/>
      <c r="D38" s="75"/>
      <c r="E38" s="75"/>
      <c r="F38" s="75"/>
      <c r="G38" s="68"/>
      <c r="H38" s="75"/>
      <c r="I38" s="75"/>
      <c r="J38" s="76"/>
    </row>
    <row r="39" spans="2:10">
      <c r="B39" s="583" t="s">
        <v>253</v>
      </c>
      <c r="C39" s="52"/>
      <c r="D39" s="70"/>
      <c r="E39" s="70"/>
      <c r="F39" s="70"/>
      <c r="G39" s="52"/>
      <c r="H39" s="70"/>
      <c r="I39" s="70"/>
      <c r="J39" s="71"/>
    </row>
    <row r="40" spans="2:10">
      <c r="B40" s="584" t="s">
        <v>37</v>
      </c>
      <c r="C40" s="75">
        <f>COUNTIF(CF,"CELI")</f>
        <v>0</v>
      </c>
      <c r="D40" s="52"/>
      <c r="E40" s="52" t="s">
        <v>81</v>
      </c>
      <c r="F40" s="96">
        <v>3</v>
      </c>
      <c r="G40" s="75">
        <f>C40*F40*DftIncl</f>
        <v>0</v>
      </c>
      <c r="H40" s="52"/>
      <c r="I40" s="52"/>
      <c r="J40" s="73"/>
    </row>
    <row r="41" spans="2:10">
      <c r="B41" s="584"/>
      <c r="C41" s="75">
        <f>COUNTIF(CF,"CEAI")</f>
        <v>0</v>
      </c>
      <c r="D41" s="52"/>
      <c r="E41" s="52" t="s">
        <v>82</v>
      </c>
      <c r="F41" s="96">
        <v>4</v>
      </c>
      <c r="G41" s="75">
        <f>C41*F41*DftIncl</f>
        <v>0</v>
      </c>
      <c r="H41" s="52"/>
      <c r="I41" s="52"/>
      <c r="J41" s="73"/>
    </row>
    <row r="42" spans="2:10">
      <c r="B42" s="584"/>
      <c r="C42" s="75">
        <f>COUNTIF(CF,"CEHI")</f>
        <v>0</v>
      </c>
      <c r="D42" s="52"/>
      <c r="E42" s="52" t="s">
        <v>83</v>
      </c>
      <c r="F42" s="96">
        <v>6</v>
      </c>
      <c r="G42" s="75">
        <f>C42*F42*DftIncl</f>
        <v>0</v>
      </c>
      <c r="H42" s="52"/>
      <c r="I42" s="75">
        <f>SUM(G40:G42)</f>
        <v>0</v>
      </c>
      <c r="J42" s="73"/>
    </row>
    <row r="43" spans="2:10">
      <c r="B43" s="584"/>
      <c r="C43" s="68"/>
      <c r="D43" s="75"/>
      <c r="E43" s="75"/>
      <c r="F43" s="75"/>
      <c r="G43" s="68"/>
      <c r="H43" s="75"/>
      <c r="I43" s="75"/>
      <c r="J43" s="76"/>
    </row>
    <row r="44" spans="2:10">
      <c r="B44" s="591" t="s">
        <v>254</v>
      </c>
      <c r="C44" s="52"/>
      <c r="D44" s="70"/>
      <c r="E44" s="70"/>
      <c r="F44" s="70"/>
      <c r="G44" s="52"/>
      <c r="H44" s="70"/>
      <c r="I44" s="70"/>
      <c r="J44" s="71"/>
    </row>
    <row r="45" spans="2:10">
      <c r="B45" s="592" t="s">
        <v>35</v>
      </c>
      <c r="C45" s="75">
        <f>COUNTIF(CF,"CELA")</f>
        <v>0</v>
      </c>
      <c r="D45" s="52"/>
      <c r="E45" s="52" t="s">
        <v>81</v>
      </c>
      <c r="F45" s="96">
        <v>3</v>
      </c>
      <c r="G45" s="75">
        <f>C45*F45*DftAlt</f>
        <v>0</v>
      </c>
      <c r="H45" s="52"/>
      <c r="I45" s="52"/>
      <c r="J45" s="73"/>
    </row>
    <row r="46" spans="2:10">
      <c r="B46" s="592"/>
      <c r="C46" s="75">
        <f>COUNTIF(CF,"CEAA")</f>
        <v>0</v>
      </c>
      <c r="D46" s="52"/>
      <c r="E46" s="52" t="s">
        <v>82</v>
      </c>
      <c r="F46" s="96">
        <v>4</v>
      </c>
      <c r="G46" s="75">
        <f>C46*F46*DftAlt</f>
        <v>0</v>
      </c>
      <c r="H46" s="52"/>
      <c r="I46" s="52"/>
      <c r="J46" s="73"/>
    </row>
    <row r="47" spans="2:10">
      <c r="B47" s="592"/>
      <c r="C47" s="75">
        <f>COUNTIF(CF,"CEHA")</f>
        <v>0</v>
      </c>
      <c r="D47" s="52"/>
      <c r="E47" s="52" t="s">
        <v>83</v>
      </c>
      <c r="F47" s="96">
        <v>6</v>
      </c>
      <c r="G47" s="75">
        <f>C47*F47*DftAlt</f>
        <v>0</v>
      </c>
      <c r="H47" s="52"/>
      <c r="I47" s="75">
        <f>SUM(G45:G47)</f>
        <v>0</v>
      </c>
      <c r="J47" s="73"/>
    </row>
    <row r="48" spans="2:10">
      <c r="B48" s="592"/>
      <c r="C48" s="68"/>
      <c r="D48" s="75"/>
      <c r="E48" s="75"/>
      <c r="F48" s="75"/>
      <c r="G48" s="68"/>
      <c r="H48" s="75"/>
      <c r="I48" s="75"/>
      <c r="J48" s="76"/>
    </row>
    <row r="49" spans="2:10">
      <c r="B49" s="591" t="s">
        <v>255</v>
      </c>
      <c r="C49" s="52"/>
      <c r="D49" s="70"/>
      <c r="E49" s="70"/>
      <c r="F49" s="70"/>
      <c r="G49" s="52"/>
      <c r="H49" s="70"/>
      <c r="I49" s="70"/>
      <c r="J49" s="71"/>
    </row>
    <row r="50" spans="2:10">
      <c r="B50" s="592" t="s">
        <v>35</v>
      </c>
      <c r="C50" s="75">
        <f>COUNTIF(CF,"CELE")</f>
        <v>0</v>
      </c>
      <c r="D50" s="52"/>
      <c r="E50" s="52" t="s">
        <v>81</v>
      </c>
      <c r="F50" s="96">
        <v>3</v>
      </c>
      <c r="G50" s="75">
        <f>C50*F50*DftExcl</f>
        <v>0</v>
      </c>
      <c r="H50" s="52"/>
      <c r="I50" s="52"/>
      <c r="J50" s="73"/>
    </row>
    <row r="51" spans="2:10">
      <c r="B51" s="592"/>
      <c r="C51" s="75">
        <f>COUNTIF(CF,"CEAE")</f>
        <v>0</v>
      </c>
      <c r="D51" s="52"/>
      <c r="E51" s="52" t="s">
        <v>82</v>
      </c>
      <c r="F51" s="96">
        <v>4</v>
      </c>
      <c r="G51" s="75">
        <f>C51*F51*DftExcl</f>
        <v>0</v>
      </c>
      <c r="H51" s="52"/>
      <c r="I51" s="52"/>
      <c r="J51" s="73"/>
    </row>
    <row r="52" spans="2:10">
      <c r="B52" s="592"/>
      <c r="C52" s="75">
        <f>COUNTIF(CF,"CEHE")</f>
        <v>0</v>
      </c>
      <c r="D52" s="52"/>
      <c r="E52" s="52" t="s">
        <v>83</v>
      </c>
      <c r="F52" s="96">
        <v>6</v>
      </c>
      <c r="G52" s="75">
        <f>C52*F52*DftExcl</f>
        <v>0</v>
      </c>
      <c r="H52" s="52"/>
      <c r="I52" s="75">
        <f>SUM(G50:G52)</f>
        <v>0</v>
      </c>
      <c r="J52" s="73"/>
    </row>
    <row r="53" spans="2:10">
      <c r="B53" s="592"/>
      <c r="C53" s="68"/>
      <c r="D53" s="75"/>
      <c r="E53" s="75"/>
      <c r="F53" s="75"/>
      <c r="G53" s="68"/>
      <c r="H53" s="75"/>
      <c r="I53" s="75"/>
      <c r="J53" s="76"/>
    </row>
    <row r="54" spans="2:10">
      <c r="B54" s="583" t="s">
        <v>256</v>
      </c>
      <c r="C54" s="70"/>
      <c r="D54" s="70"/>
      <c r="E54" s="70"/>
      <c r="F54" s="70"/>
      <c r="G54" s="70"/>
      <c r="H54" s="70"/>
      <c r="I54" s="70"/>
      <c r="J54" s="71"/>
    </row>
    <row r="55" spans="2:10">
      <c r="B55" s="584" t="s">
        <v>36</v>
      </c>
      <c r="C55" s="75">
        <f>COUNTIF(CF,"ALILI")</f>
        <v>0</v>
      </c>
      <c r="D55" s="52"/>
      <c r="E55" s="52" t="s">
        <v>81</v>
      </c>
      <c r="F55" s="96">
        <v>7</v>
      </c>
      <c r="G55" s="75">
        <f>C55*F55*DftIncl</f>
        <v>0</v>
      </c>
      <c r="H55" s="52"/>
      <c r="I55" s="52"/>
      <c r="J55" s="73"/>
    </row>
    <row r="56" spans="2:10">
      <c r="B56" s="584"/>
      <c r="C56" s="75">
        <f>COUNTIF(CF,"ALIAI")</f>
        <v>0</v>
      </c>
      <c r="D56" s="52"/>
      <c r="E56" s="52" t="s">
        <v>82</v>
      </c>
      <c r="F56" s="96">
        <v>10</v>
      </c>
      <c r="G56" s="75">
        <f>C56*F56*DftIncl</f>
        <v>0</v>
      </c>
      <c r="H56" s="52"/>
      <c r="I56" s="52"/>
      <c r="J56" s="73"/>
    </row>
    <row r="57" spans="2:10">
      <c r="B57" s="584"/>
      <c r="C57" s="75">
        <f>COUNTIF(CF,"ALIHI")</f>
        <v>0</v>
      </c>
      <c r="D57" s="52"/>
      <c r="E57" s="52" t="s">
        <v>83</v>
      </c>
      <c r="F57" s="96">
        <v>15</v>
      </c>
      <c r="G57" s="75">
        <f>C57*F57*DftIncl</f>
        <v>0</v>
      </c>
      <c r="H57" s="52"/>
      <c r="I57" s="75">
        <f>SUM(G55:G57)</f>
        <v>0</v>
      </c>
      <c r="J57" s="73"/>
    </row>
    <row r="58" spans="2:10">
      <c r="B58" s="584"/>
      <c r="C58" s="68"/>
      <c r="D58" s="75"/>
      <c r="E58" s="75"/>
      <c r="F58" s="75"/>
      <c r="G58" s="68"/>
      <c r="H58" s="75"/>
      <c r="I58" s="75"/>
      <c r="J58" s="76"/>
    </row>
    <row r="59" spans="2:10">
      <c r="B59" s="583" t="s">
        <v>257</v>
      </c>
      <c r="C59" s="70"/>
      <c r="D59" s="70"/>
      <c r="E59" s="70"/>
      <c r="F59" s="70"/>
      <c r="G59" s="70"/>
      <c r="H59" s="70"/>
      <c r="I59" s="70"/>
      <c r="J59" s="71"/>
    </row>
    <row r="60" spans="2:10">
      <c r="B60" s="584" t="s">
        <v>36</v>
      </c>
      <c r="C60" s="75">
        <f>COUNTIF(CF,"ALILA")</f>
        <v>0</v>
      </c>
      <c r="D60" s="52"/>
      <c r="E60" s="52" t="s">
        <v>81</v>
      </c>
      <c r="F60" s="96">
        <v>7</v>
      </c>
      <c r="G60" s="75">
        <f>C60*F60*DftAlt</f>
        <v>0</v>
      </c>
      <c r="H60" s="52"/>
      <c r="I60" s="52"/>
      <c r="J60" s="73"/>
    </row>
    <row r="61" spans="2:10">
      <c r="B61" s="584"/>
      <c r="C61" s="75">
        <f>COUNTIF(CF,"ALIAA")</f>
        <v>0</v>
      </c>
      <c r="D61" s="52"/>
      <c r="E61" s="52" t="s">
        <v>82</v>
      </c>
      <c r="F61" s="96">
        <v>10</v>
      </c>
      <c r="G61" s="75">
        <f>C61*F61*DftAlt</f>
        <v>0</v>
      </c>
      <c r="H61" s="52"/>
      <c r="I61" s="52"/>
      <c r="J61" s="73"/>
    </row>
    <row r="62" spans="2:10">
      <c r="B62" s="584"/>
      <c r="C62" s="75">
        <f>COUNTIF(CF,"ALIHA")</f>
        <v>0</v>
      </c>
      <c r="D62" s="52"/>
      <c r="E62" s="52" t="s">
        <v>83</v>
      </c>
      <c r="F62" s="96">
        <v>15</v>
      </c>
      <c r="G62" s="75">
        <f>C62*F62*DftAlt</f>
        <v>0</v>
      </c>
      <c r="H62" s="52"/>
      <c r="I62" s="75">
        <f>SUM(G60:G62)</f>
        <v>0</v>
      </c>
      <c r="J62" s="73"/>
    </row>
    <row r="63" spans="2:10">
      <c r="B63" s="584"/>
      <c r="C63" s="68"/>
      <c r="D63" s="75"/>
      <c r="E63" s="75"/>
      <c r="F63" s="75"/>
      <c r="G63" s="68"/>
      <c r="H63" s="75"/>
      <c r="I63" s="75"/>
      <c r="J63" s="76"/>
    </row>
    <row r="64" spans="2:10">
      <c r="B64" s="583" t="s">
        <v>258</v>
      </c>
      <c r="C64" s="70"/>
      <c r="D64" s="70"/>
      <c r="E64" s="70"/>
      <c r="F64" s="70"/>
      <c r="G64" s="70"/>
      <c r="H64" s="70"/>
      <c r="I64" s="70"/>
      <c r="J64" s="71"/>
    </row>
    <row r="65" spans="2:10">
      <c r="B65" s="584" t="s">
        <v>36</v>
      </c>
      <c r="C65" s="75">
        <f>COUNTIF(CF,"ALILE")</f>
        <v>0</v>
      </c>
      <c r="D65" s="52"/>
      <c r="E65" s="52" t="s">
        <v>81</v>
      </c>
      <c r="F65" s="96">
        <v>7</v>
      </c>
      <c r="G65" s="75">
        <f>C65*F65*DftExcl</f>
        <v>0</v>
      </c>
      <c r="H65" s="52"/>
      <c r="I65" s="52"/>
      <c r="J65" s="73"/>
    </row>
    <row r="66" spans="2:10">
      <c r="B66" s="584"/>
      <c r="C66" s="75">
        <f>COUNTIF(CF,"ALIAE")</f>
        <v>0</v>
      </c>
      <c r="D66" s="52"/>
      <c r="E66" s="52" t="s">
        <v>82</v>
      </c>
      <c r="F66" s="96">
        <v>10</v>
      </c>
      <c r="G66" s="75">
        <f>C66*F66*DftExcl</f>
        <v>0</v>
      </c>
      <c r="H66" s="52"/>
      <c r="I66" s="52"/>
      <c r="J66" s="73"/>
    </row>
    <row r="67" spans="2:10">
      <c r="B67" s="584"/>
      <c r="C67" s="75">
        <f>COUNTIF(CF,"ALIHE")</f>
        <v>0</v>
      </c>
      <c r="D67" s="52"/>
      <c r="E67" s="52" t="s">
        <v>83</v>
      </c>
      <c r="F67" s="96">
        <v>15</v>
      </c>
      <c r="G67" s="75">
        <f>C67*F67*DftExcl</f>
        <v>0</v>
      </c>
      <c r="H67" s="52"/>
      <c r="I67" s="75">
        <f>SUM(G65:G67)</f>
        <v>0</v>
      </c>
      <c r="J67" s="73"/>
    </row>
    <row r="68" spans="2:10">
      <c r="B68" s="584"/>
      <c r="C68" s="68"/>
      <c r="D68" s="75"/>
      <c r="E68" s="75"/>
      <c r="F68" s="75"/>
      <c r="G68" s="68"/>
      <c r="H68" s="75"/>
      <c r="I68" s="75"/>
      <c r="J68" s="76"/>
    </row>
    <row r="69" spans="2:10">
      <c r="B69" s="583" t="s">
        <v>259</v>
      </c>
      <c r="C69" s="52"/>
      <c r="D69" s="70"/>
      <c r="E69" s="70"/>
      <c r="F69" s="70"/>
      <c r="G69" s="52"/>
      <c r="H69" s="70"/>
      <c r="I69" s="70"/>
      <c r="J69" s="71"/>
    </row>
    <row r="70" spans="2:10">
      <c r="B70" s="584" t="s">
        <v>38</v>
      </c>
      <c r="C70" s="75">
        <f>COUNTIF(CF,"AIELI")</f>
        <v>0</v>
      </c>
      <c r="D70" s="52"/>
      <c r="E70" s="52" t="s">
        <v>81</v>
      </c>
      <c r="F70" s="96">
        <v>5</v>
      </c>
      <c r="G70" s="75">
        <f>C70*F70*DftIncl</f>
        <v>0</v>
      </c>
      <c r="H70" s="52"/>
      <c r="I70" s="52"/>
      <c r="J70" s="73"/>
    </row>
    <row r="71" spans="2:10">
      <c r="B71" s="584"/>
      <c r="C71" s="75">
        <f>COUNTIF(CF,"AIEAI")</f>
        <v>0</v>
      </c>
      <c r="D71" s="52"/>
      <c r="E71" s="52" t="s">
        <v>82</v>
      </c>
      <c r="F71" s="96">
        <v>7</v>
      </c>
      <c r="G71" s="75">
        <f>C71*F71*DftIncl</f>
        <v>0</v>
      </c>
      <c r="H71" s="52"/>
      <c r="I71" s="52"/>
      <c r="J71" s="73"/>
    </row>
    <row r="72" spans="2:10">
      <c r="B72" s="584"/>
      <c r="C72" s="75">
        <f>COUNTIF(CF,"AIEHI")</f>
        <v>0</v>
      </c>
      <c r="D72" s="52"/>
      <c r="E72" s="52" t="s">
        <v>83</v>
      </c>
      <c r="F72" s="96">
        <v>10</v>
      </c>
      <c r="G72" s="75">
        <f>C72*F72*DftIncl</f>
        <v>0</v>
      </c>
      <c r="H72" s="52"/>
      <c r="I72" s="75">
        <f>SUM(G70:G72)</f>
        <v>0</v>
      </c>
      <c r="J72" s="73"/>
    </row>
    <row r="73" spans="2:10">
      <c r="B73" s="584"/>
      <c r="C73" s="75"/>
      <c r="D73" s="75"/>
      <c r="E73" s="75"/>
      <c r="F73" s="75"/>
      <c r="G73" s="75"/>
      <c r="H73" s="75"/>
      <c r="I73" s="75"/>
      <c r="J73" s="76"/>
    </row>
    <row r="74" spans="2:10">
      <c r="B74" s="583" t="s">
        <v>260</v>
      </c>
      <c r="C74" s="52"/>
      <c r="D74" s="70"/>
      <c r="E74" s="70"/>
      <c r="F74" s="70"/>
      <c r="G74" s="52"/>
      <c r="H74" s="70"/>
      <c r="I74" s="70"/>
      <c r="J74" s="71"/>
    </row>
    <row r="75" spans="2:10">
      <c r="B75" s="584" t="s">
        <v>38</v>
      </c>
      <c r="C75" s="75">
        <f>COUNTIF(CF,"AIELA")</f>
        <v>0</v>
      </c>
      <c r="D75" s="52"/>
      <c r="E75" s="52" t="s">
        <v>81</v>
      </c>
      <c r="F75" s="96">
        <v>5</v>
      </c>
      <c r="G75" s="75">
        <f>C75*F75*DftAlt</f>
        <v>0</v>
      </c>
      <c r="H75" s="52"/>
      <c r="I75" s="52"/>
      <c r="J75" s="73"/>
    </row>
    <row r="76" spans="2:10">
      <c r="B76" s="584"/>
      <c r="C76" s="75">
        <f>COUNTIF(CF,"AIEAA")</f>
        <v>0</v>
      </c>
      <c r="D76" s="52"/>
      <c r="E76" s="52" t="s">
        <v>82</v>
      </c>
      <c r="F76" s="96">
        <v>7</v>
      </c>
      <c r="G76" s="75">
        <f>C76*F76*DftAlt</f>
        <v>0</v>
      </c>
      <c r="H76" s="52"/>
      <c r="I76" s="52"/>
      <c r="J76" s="73"/>
    </row>
    <row r="77" spans="2:10">
      <c r="B77" s="584"/>
      <c r="C77" s="75">
        <f>COUNTIF(CF,"AIEHA")</f>
        <v>0</v>
      </c>
      <c r="D77" s="52"/>
      <c r="E77" s="52" t="s">
        <v>83</v>
      </c>
      <c r="F77" s="96">
        <v>10</v>
      </c>
      <c r="G77" s="75">
        <f>C77*F77*DftAlt</f>
        <v>0</v>
      </c>
      <c r="H77" s="52"/>
      <c r="I77" s="75">
        <f>SUM(G75:G77)</f>
        <v>0</v>
      </c>
      <c r="J77" s="73"/>
    </row>
    <row r="78" spans="2:10">
      <c r="B78" s="584"/>
      <c r="C78" s="75"/>
      <c r="D78" s="75"/>
      <c r="E78" s="75"/>
      <c r="F78" s="75"/>
      <c r="G78" s="75"/>
      <c r="H78" s="75"/>
      <c r="I78" s="75"/>
      <c r="J78" s="76"/>
    </row>
    <row r="79" spans="2:10">
      <c r="B79" s="583" t="s">
        <v>261</v>
      </c>
      <c r="C79" s="52"/>
      <c r="D79" s="70"/>
      <c r="E79" s="70"/>
      <c r="F79" s="70"/>
      <c r="G79" s="52"/>
      <c r="H79" s="70"/>
      <c r="I79" s="70"/>
      <c r="J79" s="71"/>
    </row>
    <row r="80" spans="2:10">
      <c r="B80" s="584" t="s">
        <v>38</v>
      </c>
      <c r="C80" s="75">
        <f>COUNTIF(CF,"AIELE")</f>
        <v>0</v>
      </c>
      <c r="D80" s="52"/>
      <c r="E80" s="52" t="s">
        <v>81</v>
      </c>
      <c r="F80" s="96">
        <v>5</v>
      </c>
      <c r="G80" s="75">
        <f>C80*F80*DftExcl</f>
        <v>0</v>
      </c>
      <c r="H80" s="52"/>
      <c r="I80" s="52"/>
      <c r="J80" s="73"/>
    </row>
    <row r="81" spans="2:10">
      <c r="B81" s="584"/>
      <c r="C81" s="75">
        <f>COUNTIF(CF,"AIEAE")</f>
        <v>0</v>
      </c>
      <c r="D81" s="52"/>
      <c r="E81" s="52" t="s">
        <v>82</v>
      </c>
      <c r="F81" s="96">
        <v>7</v>
      </c>
      <c r="G81" s="75">
        <f>C81*F81*DftExcl</f>
        <v>0</v>
      </c>
      <c r="H81" s="52"/>
      <c r="I81" s="52"/>
      <c r="J81" s="73"/>
    </row>
    <row r="82" spans="2:10">
      <c r="B82" s="584"/>
      <c r="C82" s="75">
        <f>COUNTIF(CF,"AIEHE")</f>
        <v>0</v>
      </c>
      <c r="D82" s="52"/>
      <c r="E82" s="52" t="s">
        <v>83</v>
      </c>
      <c r="F82" s="96">
        <v>10</v>
      </c>
      <c r="G82" s="75">
        <f>C82*F82*DftExcl</f>
        <v>0</v>
      </c>
      <c r="H82" s="52"/>
      <c r="I82" s="75">
        <f>SUM(G80:G82)</f>
        <v>0</v>
      </c>
      <c r="J82" s="73"/>
    </row>
    <row r="83" spans="2:10">
      <c r="B83" s="584"/>
      <c r="C83" s="75"/>
      <c r="D83" s="75"/>
      <c r="E83" s="75"/>
      <c r="F83" s="75"/>
      <c r="G83" s="75"/>
      <c r="H83" s="75"/>
      <c r="I83" s="75"/>
      <c r="J83" s="76"/>
    </row>
    <row r="84" spans="2:10">
      <c r="B84" s="69"/>
      <c r="C84" s="70"/>
      <c r="D84" s="70"/>
      <c r="E84" s="70"/>
      <c r="F84" s="70"/>
      <c r="G84" s="70"/>
      <c r="H84" s="70"/>
      <c r="I84" s="70"/>
      <c r="J84" s="71"/>
    </row>
    <row r="85" spans="2:10">
      <c r="B85" s="97" t="s">
        <v>84</v>
      </c>
      <c r="C85" s="52"/>
      <c r="D85" s="52"/>
      <c r="E85" s="52"/>
      <c r="F85" s="52"/>
      <c r="G85" s="52"/>
      <c r="H85" s="52"/>
      <c r="I85" s="75">
        <f>SUM(I9:I72)</f>
        <v>0</v>
      </c>
      <c r="J85" s="73"/>
    </row>
    <row r="86" spans="2:10">
      <c r="B86" s="74"/>
      <c r="C86" s="75"/>
      <c r="D86" s="75"/>
      <c r="E86" s="75"/>
      <c r="F86" s="75"/>
      <c r="G86" s="75"/>
      <c r="H86" s="75"/>
      <c r="I86" s="75"/>
      <c r="J86" s="76"/>
    </row>
    <row r="87" spans="2:10">
      <c r="B87" s="52"/>
      <c r="C87" s="52"/>
      <c r="D87" s="52"/>
      <c r="E87" s="52"/>
      <c r="F87" s="52"/>
      <c r="G87" s="52"/>
      <c r="H87" s="52"/>
      <c r="I87" s="52"/>
      <c r="J87" s="52"/>
    </row>
    <row r="88" spans="2:10">
      <c r="B88" s="52"/>
      <c r="C88" s="52"/>
      <c r="D88" s="52"/>
      <c r="E88" s="52"/>
      <c r="F88" s="52"/>
      <c r="G88" s="52"/>
      <c r="H88" s="52"/>
      <c r="I88" s="52"/>
      <c r="J88" s="52"/>
    </row>
    <row r="89" spans="2:10">
      <c r="B89" s="52"/>
      <c r="C89" s="52"/>
      <c r="D89" s="52"/>
      <c r="E89" s="52"/>
      <c r="F89" s="52"/>
      <c r="G89" s="52"/>
      <c r="H89" s="52"/>
      <c r="I89" s="52"/>
      <c r="J89" s="52"/>
    </row>
    <row r="90" spans="2:10">
      <c r="B90" s="590" t="s">
        <v>85</v>
      </c>
      <c r="C90" s="590"/>
      <c r="D90" s="590"/>
      <c r="E90" s="590"/>
      <c r="F90" s="590"/>
      <c r="G90" s="590"/>
      <c r="H90" s="590"/>
      <c r="I90" s="590"/>
      <c r="J90" s="590"/>
    </row>
    <row r="91" spans="2:10">
      <c r="B91" s="98"/>
      <c r="C91" s="98"/>
      <c r="D91" s="98"/>
      <c r="E91" s="98"/>
      <c r="F91" s="98"/>
      <c r="G91" s="98"/>
      <c r="H91" s="98"/>
      <c r="I91" s="98"/>
      <c r="J91" s="98"/>
    </row>
    <row r="92" spans="2:10">
      <c r="B92" s="99" t="s">
        <v>86</v>
      </c>
      <c r="C92" s="52" t="s">
        <v>267</v>
      </c>
      <c r="D92" s="52"/>
      <c r="E92" s="47"/>
      <c r="F92" s="52"/>
      <c r="G92" s="52"/>
      <c r="H92" s="52"/>
      <c r="I92" s="75">
        <f>I12+I27+I42+I57+I72</f>
        <v>0</v>
      </c>
      <c r="J92" s="47"/>
    </row>
    <row r="93" spans="2:10">
      <c r="B93" s="99"/>
      <c r="C93" s="52" t="s">
        <v>266</v>
      </c>
      <c r="D93" s="52"/>
      <c r="E93" s="47"/>
      <c r="F93" s="52"/>
      <c r="G93" s="52"/>
      <c r="H93" s="52"/>
      <c r="I93" s="75">
        <f>I17+I32+I47+I62+I77</f>
        <v>0</v>
      </c>
      <c r="J93" s="47"/>
    </row>
    <row r="94" spans="2:10">
      <c r="B94" s="99"/>
      <c r="C94" s="52" t="s">
        <v>268</v>
      </c>
      <c r="D94" s="52"/>
      <c r="E94" s="47"/>
      <c r="F94" s="52"/>
      <c r="G94" s="52"/>
      <c r="H94" s="52"/>
      <c r="I94" s="75">
        <f>I22+I37+I52+I67+I82</f>
        <v>0</v>
      </c>
      <c r="J94" s="47"/>
    </row>
    <row r="95" spans="2:10">
      <c r="B95" s="99"/>
      <c r="C95" s="52"/>
      <c r="D95" s="52"/>
      <c r="E95" s="47"/>
      <c r="F95" s="52"/>
      <c r="G95" s="52"/>
      <c r="H95" s="52"/>
      <c r="I95" s="52"/>
      <c r="J95" s="47"/>
    </row>
    <row r="96" spans="2:10">
      <c r="B96" s="99" t="s">
        <v>87</v>
      </c>
      <c r="C96" s="47" t="s">
        <v>88</v>
      </c>
      <c r="D96" s="47"/>
      <c r="E96" s="47"/>
      <c r="F96" s="47"/>
      <c r="G96" s="47"/>
      <c r="H96" s="47"/>
      <c r="I96" s="3">
        <f>VAF</f>
        <v>1</v>
      </c>
      <c r="J96" s="47"/>
    </row>
    <row r="100" spans="2:10">
      <c r="B100" s="590" t="s">
        <v>89</v>
      </c>
      <c r="C100" s="590"/>
      <c r="D100" s="590"/>
      <c r="E100" s="590"/>
      <c r="F100" s="590"/>
      <c r="G100" s="590"/>
      <c r="H100" s="590"/>
      <c r="I100" s="590"/>
      <c r="J100" s="590"/>
    </row>
    <row r="101" spans="2:10"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2:10">
      <c r="B102" s="62" t="s">
        <v>90</v>
      </c>
    </row>
    <row r="103" spans="2:10">
      <c r="B103" s="62" t="s">
        <v>91</v>
      </c>
      <c r="C103" s="100">
        <f>SUM(UFP)*VAF</f>
        <v>0</v>
      </c>
    </row>
  </sheetData>
  <sheetProtection password="B78A" sheet="1" objects="1" scenarios="1"/>
  <mergeCells count="22">
    <mergeCell ref="B14:B18"/>
    <mergeCell ref="B24:B28"/>
    <mergeCell ref="B39:B43"/>
    <mergeCell ref="B100:J100"/>
    <mergeCell ref="B44:B48"/>
    <mergeCell ref="B54:B58"/>
    <mergeCell ref="B69:B73"/>
    <mergeCell ref="B90:J90"/>
    <mergeCell ref="B29:B33"/>
    <mergeCell ref="B19:B23"/>
    <mergeCell ref="B34:B38"/>
    <mergeCell ref="B49:B53"/>
    <mergeCell ref="B59:B63"/>
    <mergeCell ref="B64:B68"/>
    <mergeCell ref="B79:B83"/>
    <mergeCell ref="B74:B78"/>
    <mergeCell ref="B9:B13"/>
    <mergeCell ref="B3:H3"/>
    <mergeCell ref="C8:F8"/>
    <mergeCell ref="H8:J8"/>
    <mergeCell ref="B6:J6"/>
    <mergeCell ref="C4:I4"/>
  </mergeCells>
  <phoneticPr fontId="24" type="noConversion"/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8"/>
  <dimension ref="B1:F27"/>
  <sheetViews>
    <sheetView showGridLines="0" zoomScaleNormal="100" zoomScaleSheetLayoutView="100" workbookViewId="0">
      <selection activeCell="B1" sqref="B1"/>
    </sheetView>
  </sheetViews>
  <sheetFormatPr defaultRowHeight="12.75"/>
  <cols>
    <col min="1" max="1" width="3.85546875" style="62" customWidth="1"/>
    <col min="2" max="2" width="32.85546875" style="62" bestFit="1" customWidth="1"/>
    <col min="3" max="3" width="13.28515625" style="62" customWidth="1"/>
    <col min="4" max="4" width="15" style="62" customWidth="1"/>
    <col min="5" max="5" width="32.85546875" style="62" customWidth="1"/>
    <col min="6" max="6" width="12.28515625" style="62" customWidth="1"/>
    <col min="7" max="16384" width="9.140625" style="62"/>
  </cols>
  <sheetData>
    <row r="1" spans="2:6" ht="15">
      <c r="B1" s="253" t="s">
        <v>290</v>
      </c>
      <c r="C1" s="283"/>
      <c r="D1" s="283"/>
      <c r="E1" s="283"/>
      <c r="F1" s="284"/>
    </row>
    <row r="2" spans="2:6">
      <c r="B2" s="257" t="s">
        <v>282</v>
      </c>
      <c r="C2" s="280" t="str">
        <f>'Histórico de Revisão'!C2</f>
        <v>SAAD - Sistema de Acompanhamento Administrativo de Documentos</v>
      </c>
      <c r="D2" s="285"/>
      <c r="E2" s="259" t="s">
        <v>283</v>
      </c>
      <c r="F2" s="282" t="s">
        <v>286</v>
      </c>
    </row>
    <row r="3" spans="2:6">
      <c r="C3" s="420"/>
      <c r="D3" s="420"/>
      <c r="E3" s="420"/>
    </row>
    <row r="4" spans="2:6" ht="45" customHeight="1">
      <c r="B4" s="589" t="s">
        <v>0</v>
      </c>
      <c r="C4" s="589"/>
      <c r="D4" s="589"/>
      <c r="E4" s="589"/>
      <c r="F4" s="205"/>
    </row>
    <row r="5" spans="2:6" ht="13.5" thickBot="1"/>
    <row r="6" spans="2:6" ht="15">
      <c r="B6" s="593" t="s">
        <v>69</v>
      </c>
      <c r="C6" s="594"/>
      <c r="D6" s="594"/>
      <c r="E6" s="594"/>
      <c r="F6" s="595"/>
    </row>
    <row r="7" spans="2:6">
      <c r="B7" s="596" t="str">
        <f>CONCATENATE("Projeto  : ",NomeProjeto)</f>
        <v>Projeto  : SAAD - Sistema de Acompanhamento Administrativo de Documentos</v>
      </c>
      <c r="C7" s="597"/>
      <c r="D7" s="597"/>
      <c r="E7" s="597"/>
      <c r="F7" s="598"/>
    </row>
    <row r="8" spans="2:6" ht="13.5" thickBot="1">
      <c r="B8" s="599" t="str">
        <f>CONCATENATE("Responsável : ",Responsavel)</f>
        <v>Responsável : Márcia Silva de Morais</v>
      </c>
      <c r="C8" s="600"/>
      <c r="D8" s="600"/>
      <c r="E8" s="600"/>
      <c r="F8" s="601"/>
    </row>
    <row r="9" spans="2:6" ht="13.5" thickBot="1"/>
    <row r="10" spans="2:6" ht="13.5" thickBot="1">
      <c r="B10" s="143" t="s">
        <v>70</v>
      </c>
      <c r="C10" s="144" t="s">
        <v>92</v>
      </c>
      <c r="E10" s="143" t="s">
        <v>93</v>
      </c>
      <c r="F10" s="144" t="s">
        <v>94</v>
      </c>
    </row>
    <row r="11" spans="2:6">
      <c r="B11" s="130" t="s">
        <v>71</v>
      </c>
      <c r="C11" s="131">
        <f>SUM(Sumário!C55:C57)</f>
        <v>0</v>
      </c>
      <c r="E11" s="138" t="str">
        <f>'Fator de Ajuste'!C12</f>
        <v>01 - Comunicação de Dados</v>
      </c>
      <c r="F11" s="131">
        <f>'Fator de Ajuste'!G12</f>
        <v>2</v>
      </c>
    </row>
    <row r="12" spans="2:6">
      <c r="B12" s="132" t="s">
        <v>72</v>
      </c>
      <c r="C12" s="133">
        <f>SUM(Sumário!C70:C72)</f>
        <v>0</v>
      </c>
      <c r="E12" s="139" t="str">
        <f>'Fator de Ajuste'!C13</f>
        <v>02 - Processamento Distribuído</v>
      </c>
      <c r="F12" s="133">
        <f>'Fator de Ajuste'!G13</f>
        <v>2</v>
      </c>
    </row>
    <row r="13" spans="2:6">
      <c r="B13" s="132" t="s">
        <v>73</v>
      </c>
      <c r="C13" s="133">
        <f>SUM(Sumário!C10:C17)</f>
        <v>0</v>
      </c>
      <c r="E13" s="139" t="str">
        <f>'Fator de Ajuste'!C14</f>
        <v>03 - Performance</v>
      </c>
      <c r="F13" s="133">
        <f>'Fator de Ajuste'!G14</f>
        <v>2</v>
      </c>
    </row>
    <row r="14" spans="2:6">
      <c r="B14" s="132" t="s">
        <v>74</v>
      </c>
      <c r="C14" s="133">
        <f>SUM(Sumário!C40:C47)</f>
        <v>0</v>
      </c>
      <c r="E14" s="139" t="str">
        <f>'Fator de Ajuste'!C15</f>
        <v>04 - Configuração Altamente Utilizada</v>
      </c>
      <c r="F14" s="133">
        <f>'Fator de Ajuste'!G15</f>
        <v>2</v>
      </c>
    </row>
    <row r="15" spans="2:6" ht="13.5" thickBot="1">
      <c r="B15" s="132" t="s">
        <v>75</v>
      </c>
      <c r="C15" s="133">
        <f>SUM(Sumário!C25:C32)</f>
        <v>0</v>
      </c>
      <c r="E15" s="139" t="str">
        <f>'Fator de Ajuste'!C16</f>
        <v>05 - Volume de Transações</v>
      </c>
      <c r="F15" s="133">
        <f>'Fator de Ajuste'!G16</f>
        <v>2</v>
      </c>
    </row>
    <row r="16" spans="2:6" ht="13.5" thickBot="1">
      <c r="B16" s="140" t="s">
        <v>95</v>
      </c>
      <c r="C16" s="141">
        <f>SUM(C11:C15)</f>
        <v>0</v>
      </c>
      <c r="E16" s="139" t="str">
        <f>'Fator de Ajuste'!C17</f>
        <v>06 - Entrada de Dados On-line</v>
      </c>
      <c r="F16" s="133">
        <f>'Fator de Ajuste'!G17</f>
        <v>2</v>
      </c>
    </row>
    <row r="17" spans="2:6">
      <c r="E17" s="139" t="str">
        <f>'Fator de Ajuste'!C18</f>
        <v>07 - Eficiência do Usuário Final</v>
      </c>
      <c r="F17" s="133">
        <f>'Fator de Ajuste'!G18</f>
        <v>2</v>
      </c>
    </row>
    <row r="18" spans="2:6" ht="13.5" thickBot="1">
      <c r="E18" s="139" t="str">
        <f>'Fator de Ajuste'!C19</f>
        <v>08 - Atualização On-Line</v>
      </c>
      <c r="F18" s="133">
        <f>'Fator de Ajuste'!G19</f>
        <v>3</v>
      </c>
    </row>
    <row r="19" spans="2:6" ht="13.5" thickBot="1">
      <c r="B19" s="143" t="s">
        <v>96</v>
      </c>
      <c r="C19" s="144" t="s">
        <v>94</v>
      </c>
      <c r="E19" s="139" t="str">
        <f>'Fator de Ajuste'!C20</f>
        <v>09 - Processamento Complexo</v>
      </c>
      <c r="F19" s="133">
        <f>'Fator de Ajuste'!G20</f>
        <v>3</v>
      </c>
    </row>
    <row r="20" spans="2:6">
      <c r="B20" s="130" t="s">
        <v>97</v>
      </c>
      <c r="C20" s="131">
        <f>SUM(Sumário!C55:C57)</f>
        <v>0</v>
      </c>
      <c r="E20" s="139" t="str">
        <f>'Fator de Ajuste'!C21</f>
        <v>10 - Reusabilidade</v>
      </c>
      <c r="F20" s="133">
        <f>'Fator de Ajuste'!G21</f>
        <v>3</v>
      </c>
    </row>
    <row r="21" spans="2:6" ht="13.5" thickBot="1">
      <c r="B21" s="132" t="s">
        <v>98</v>
      </c>
      <c r="C21" s="133">
        <f>SUM(Sumário!C70:C72)</f>
        <v>0</v>
      </c>
      <c r="E21" s="139" t="str">
        <f>'Fator de Ajuste'!C22</f>
        <v>11 - Facilidade de Instalação</v>
      </c>
      <c r="F21" s="133">
        <f>'Fator de Ajuste'!G22</f>
        <v>3</v>
      </c>
    </row>
    <row r="22" spans="2:6" ht="13.5" thickBot="1">
      <c r="B22" s="142" t="s">
        <v>99</v>
      </c>
      <c r="C22" s="141">
        <f>(C20*35)+(C21*15)</f>
        <v>0</v>
      </c>
      <c r="E22" s="139" t="str">
        <f>'Fator de Ajuste'!C23</f>
        <v>12 - Facilidade de Operação</v>
      </c>
      <c r="F22" s="133">
        <f>'Fator de Ajuste'!G23</f>
        <v>3</v>
      </c>
    </row>
    <row r="23" spans="2:6">
      <c r="E23" s="139" t="str">
        <f>'Fator de Ajuste'!C24</f>
        <v>13 - Múltiplos Locais</v>
      </c>
      <c r="F23" s="133">
        <f>'Fator de Ajuste'!G24</f>
        <v>3</v>
      </c>
    </row>
    <row r="24" spans="2:6" ht="13.5" thickBot="1">
      <c r="E24" s="139" t="str">
        <f>'Fator de Ajuste'!C25</f>
        <v>14 - Modificação Facilitada</v>
      </c>
      <c r="F24" s="133">
        <f>'Fator de Ajuste'!G25</f>
        <v>3</v>
      </c>
    </row>
    <row r="25" spans="2:6" ht="13.5" thickBot="1">
      <c r="B25" s="143" t="s">
        <v>101</v>
      </c>
      <c r="C25" s="144" t="s">
        <v>94</v>
      </c>
      <c r="E25" s="140" t="s">
        <v>100</v>
      </c>
      <c r="F25" s="141">
        <f>SUM(F11:F24)</f>
        <v>35</v>
      </c>
    </row>
    <row r="26" spans="2:6" ht="18">
      <c r="B26" s="134" t="s">
        <v>99</v>
      </c>
      <c r="C26" s="135">
        <f>DFP</f>
        <v>0</v>
      </c>
    </row>
    <row r="27" spans="2:6" ht="18.75" thickBot="1">
      <c r="B27" s="136" t="s">
        <v>102</v>
      </c>
      <c r="C27" s="137">
        <f>VAF</f>
        <v>1</v>
      </c>
    </row>
  </sheetData>
  <sheetProtection password="9EE2" sheet="1" objects="1" scenarios="1"/>
  <mergeCells count="5">
    <mergeCell ref="C3:E3"/>
    <mergeCell ref="B6:F6"/>
    <mergeCell ref="B7:F7"/>
    <mergeCell ref="B8:F8"/>
    <mergeCell ref="B4:E4"/>
  </mergeCells>
  <phoneticPr fontId="24" type="noConversion"/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/>
  <dimension ref="A1:H36"/>
  <sheetViews>
    <sheetView showGridLines="0" workbookViewId="0">
      <selection activeCell="C9" sqref="C9:C10"/>
    </sheetView>
  </sheetViews>
  <sheetFormatPr defaultRowHeight="12.75"/>
  <cols>
    <col min="1" max="2" width="2.85546875" customWidth="1"/>
    <col min="3" max="3" width="34.85546875" customWidth="1"/>
    <col min="4" max="4" width="12.5703125" customWidth="1"/>
    <col min="5" max="5" width="9.5703125" customWidth="1"/>
    <col min="6" max="6" width="13.140625" customWidth="1"/>
    <col min="8" max="8" width="11.42578125" customWidth="1"/>
  </cols>
  <sheetData>
    <row r="1" spans="1:8" s="252" customFormat="1" ht="21" customHeight="1">
      <c r="C1" s="253" t="s">
        <v>290</v>
      </c>
      <c r="D1" s="283"/>
      <c r="E1" s="283"/>
      <c r="F1" s="283"/>
      <c r="G1" s="283"/>
      <c r="H1" s="284"/>
    </row>
    <row r="2" spans="1:8" s="256" customFormat="1" ht="18.75" customHeight="1">
      <c r="C2" s="257" t="s">
        <v>282</v>
      </c>
      <c r="D2" s="280" t="str">
        <f>'Histórico de Revisão'!C2</f>
        <v>SAAD - Sistema de Acompanhamento Administrativo de Documentos</v>
      </c>
      <c r="E2" s="285"/>
      <c r="F2" s="285"/>
      <c r="G2" s="259" t="s">
        <v>283</v>
      </c>
      <c r="H2" s="282" t="s">
        <v>286</v>
      </c>
    </row>
    <row r="3" spans="1:8" ht="13.5" thickBot="1"/>
    <row r="4" spans="1:8" s="36" customFormat="1" ht="45" customHeight="1" thickBot="1">
      <c r="C4" s="188"/>
      <c r="D4" s="628" t="s">
        <v>0</v>
      </c>
      <c r="E4" s="628"/>
      <c r="F4" s="628"/>
      <c r="G4" s="628"/>
      <c r="H4" s="206"/>
    </row>
    <row r="5" spans="1:8" s="47" customFormat="1">
      <c r="A5" s="50"/>
      <c r="B5" s="50"/>
      <c r="C5" s="391" t="str">
        <f>CONCATENATE("Projeto  :  ",NomeProjeto)</f>
        <v>Projeto  :  SAAD - Sistema de Acompanhamento Administrativo de Documentos</v>
      </c>
      <c r="D5" s="392"/>
      <c r="E5" s="392"/>
      <c r="F5" s="393" t="s">
        <v>26</v>
      </c>
      <c r="G5" s="629">
        <f>IF(DataContagem="","",DataContagem)</f>
        <v>41834</v>
      </c>
      <c r="H5" s="630"/>
    </row>
    <row r="6" spans="1:8" s="47" customFormat="1" ht="13.5" thickBot="1">
      <c r="A6" s="50"/>
      <c r="B6" s="50"/>
      <c r="C6" s="399" t="str">
        <f>CONCATENATE("Responsável :  ",Responsavel)</f>
        <v>Responsável :  Márcia Silva de Morais</v>
      </c>
      <c r="D6" s="400"/>
      <c r="E6" s="400"/>
      <c r="F6" s="394"/>
      <c r="G6" s="631"/>
      <c r="H6" s="632"/>
    </row>
    <row r="7" spans="1:8">
      <c r="C7" s="189"/>
      <c r="D7" s="189"/>
      <c r="E7" s="189"/>
      <c r="F7" s="189"/>
      <c r="G7" s="189"/>
      <c r="H7" s="189"/>
    </row>
    <row r="8" spans="1:8">
      <c r="C8" s="194" t="s">
        <v>246</v>
      </c>
      <c r="D8" s="194" t="s">
        <v>232</v>
      </c>
      <c r="E8" s="190" t="s">
        <v>233</v>
      </c>
      <c r="F8" s="608" t="s">
        <v>234</v>
      </c>
      <c r="G8" s="609"/>
      <c r="H8" s="610"/>
    </row>
    <row r="9" spans="1:8">
      <c r="C9" s="633" t="str">
        <f ca="1">LEFT(RIGHT(CELL("nome.arquivo"),LEN(CELL("nome.arquivo"))-FIND("[",CELL("nome.arquivo"))),FIND(".",RIGHT(CELL("nome.arquivo"),LEN(CELL("nome.arquivo"))-FIND("[",CELL("nome.arquivo"))),1)-1)</f>
        <v>CTIS_NES_STJ_SAAD_ATE_Estimada</v>
      </c>
      <c r="D9" s="635" t="str">
        <f>FaseProjeto</f>
        <v>Avaliação Técnica</v>
      </c>
      <c r="E9" s="636" t="str">
        <f>Capa!C16</f>
        <v>N/A</v>
      </c>
      <c r="F9" s="636">
        <f>'Relatório da Medição'!C22</f>
        <v>0</v>
      </c>
      <c r="G9" s="636"/>
      <c r="H9" s="636"/>
    </row>
    <row r="10" spans="1:8" ht="19.5" customHeight="1">
      <c r="C10" s="634"/>
      <c r="D10" s="635"/>
      <c r="E10" s="636"/>
      <c r="F10" s="636"/>
      <c r="G10" s="636"/>
      <c r="H10" s="636"/>
    </row>
    <row r="11" spans="1:8">
      <c r="C11" s="189"/>
      <c r="D11" s="189"/>
      <c r="E11" s="189"/>
      <c r="F11" s="189"/>
      <c r="G11" s="189"/>
      <c r="H11" s="189"/>
    </row>
    <row r="12" spans="1:8">
      <c r="C12" s="620" t="s">
        <v>235</v>
      </c>
      <c r="D12" s="620"/>
      <c r="E12" s="620"/>
      <c r="F12" s="620"/>
      <c r="G12" s="620"/>
      <c r="H12" s="620"/>
    </row>
    <row r="13" spans="1:8">
      <c r="C13" s="622" t="s">
        <v>236</v>
      </c>
      <c r="D13" s="623"/>
      <c r="E13" s="623"/>
      <c r="F13" s="623"/>
      <c r="G13" s="623"/>
      <c r="H13" s="624"/>
    </row>
    <row r="14" spans="1:8">
      <c r="C14" s="625"/>
      <c r="D14" s="626"/>
      <c r="E14" s="626"/>
      <c r="F14" s="626"/>
      <c r="G14" s="626"/>
      <c r="H14" s="627"/>
    </row>
    <row r="15" spans="1:8">
      <c r="C15" s="611" t="s">
        <v>245</v>
      </c>
      <c r="D15" s="612"/>
      <c r="E15" s="612"/>
      <c r="F15" s="612"/>
      <c r="G15" s="612"/>
      <c r="H15" s="613"/>
    </row>
    <row r="16" spans="1:8">
      <c r="C16" s="614"/>
      <c r="D16" s="615"/>
      <c r="E16" s="615"/>
      <c r="F16" s="615"/>
      <c r="G16" s="615"/>
      <c r="H16" s="616"/>
    </row>
    <row r="17" spans="3:8">
      <c r="C17" s="614"/>
      <c r="D17" s="615"/>
      <c r="E17" s="615"/>
      <c r="F17" s="615"/>
      <c r="G17" s="615"/>
      <c r="H17" s="616"/>
    </row>
    <row r="18" spans="3:8">
      <c r="C18" s="614"/>
      <c r="D18" s="615"/>
      <c r="E18" s="615"/>
      <c r="F18" s="615"/>
      <c r="G18" s="615"/>
      <c r="H18" s="616"/>
    </row>
    <row r="19" spans="3:8">
      <c r="C19" s="617"/>
      <c r="D19" s="618"/>
      <c r="E19" s="618"/>
      <c r="F19" s="618"/>
      <c r="G19" s="618"/>
      <c r="H19" s="619"/>
    </row>
    <row r="20" spans="3:8">
      <c r="C20" s="189"/>
      <c r="D20" s="189"/>
      <c r="E20" s="189"/>
      <c r="F20" s="189"/>
      <c r="G20" s="189"/>
      <c r="H20" s="189"/>
    </row>
    <row r="21" spans="3:8">
      <c r="C21" s="620" t="s">
        <v>237</v>
      </c>
      <c r="D21" s="620"/>
      <c r="E21" s="620"/>
      <c r="F21" s="620"/>
      <c r="G21" s="620"/>
      <c r="H21" s="620"/>
    </row>
    <row r="22" spans="3:8">
      <c r="C22" s="193" t="s">
        <v>238</v>
      </c>
      <c r="D22" s="621" t="s">
        <v>240</v>
      </c>
      <c r="E22" s="621"/>
      <c r="F22" s="621"/>
      <c r="G22" s="621" t="s">
        <v>62</v>
      </c>
      <c r="H22" s="621"/>
    </row>
    <row r="23" spans="3:8" ht="28.5" customHeight="1">
      <c r="C23" s="191" t="str">
        <f>Responsavel</f>
        <v>Márcia Silva de Morais</v>
      </c>
      <c r="D23" s="602"/>
      <c r="E23" s="602"/>
      <c r="F23" s="602"/>
      <c r="G23" s="603"/>
      <c r="H23" s="604"/>
    </row>
    <row r="24" spans="3:8">
      <c r="C24" s="193" t="s">
        <v>239</v>
      </c>
      <c r="D24" s="621" t="s">
        <v>240</v>
      </c>
      <c r="E24" s="621"/>
      <c r="F24" s="621"/>
      <c r="G24" s="621" t="s">
        <v>62</v>
      </c>
      <c r="H24" s="621"/>
    </row>
    <row r="25" spans="3:8" ht="28.5" customHeight="1">
      <c r="C25" s="191" t="str">
        <f>NomeSolicitante</f>
        <v>Carlos Augusto Gurgel de Sousa‎</v>
      </c>
      <c r="D25" s="602"/>
      <c r="E25" s="602"/>
      <c r="F25" s="602"/>
      <c r="G25" s="602"/>
      <c r="H25" s="602"/>
    </row>
    <row r="26" spans="3:8">
      <c r="C26" s="189"/>
      <c r="D26" s="189"/>
      <c r="E26" s="189"/>
      <c r="F26" s="189"/>
      <c r="G26" s="189"/>
      <c r="H26" s="189"/>
    </row>
    <row r="27" spans="3:8">
      <c r="C27" s="620" t="str">
        <f>Capa!C6</f>
        <v>STJ - Superior Tribunal de Justiça</v>
      </c>
      <c r="D27" s="620"/>
      <c r="E27" s="620"/>
      <c r="F27" s="620"/>
      <c r="G27" s="620"/>
      <c r="H27" s="620"/>
    </row>
    <row r="28" spans="3:8">
      <c r="C28" s="193" t="s">
        <v>238</v>
      </c>
      <c r="D28" s="621" t="s">
        <v>240</v>
      </c>
      <c r="E28" s="621"/>
      <c r="F28" s="621"/>
      <c r="G28" s="621" t="s">
        <v>62</v>
      </c>
      <c r="H28" s="621"/>
    </row>
    <row r="29" spans="3:8" ht="28.5" customHeight="1">
      <c r="C29" s="191" t="s">
        <v>244</v>
      </c>
      <c r="D29" s="602"/>
      <c r="E29" s="602"/>
      <c r="F29" s="602"/>
      <c r="G29" s="603"/>
      <c r="H29" s="604"/>
    </row>
    <row r="30" spans="3:8">
      <c r="C30" s="189"/>
      <c r="D30" s="189"/>
      <c r="E30" s="189"/>
      <c r="F30" s="189"/>
      <c r="G30" s="189"/>
      <c r="H30" s="189"/>
    </row>
    <row r="31" spans="3:8">
      <c r="C31" s="620" t="s">
        <v>241</v>
      </c>
      <c r="D31" s="620"/>
      <c r="E31" s="620"/>
      <c r="F31" s="620"/>
      <c r="G31" s="620"/>
      <c r="H31" s="620"/>
    </row>
    <row r="32" spans="3:8" ht="24.75" customHeight="1">
      <c r="C32" s="605" t="str">
        <f>CONCATENATE("O ",NomeCliente, " aprova o conteúdo deste documento, conforme representação")</f>
        <v>O STJ - Superior Tribunal de Justiça aprova o conteúdo deste documento, conforme representação</v>
      </c>
      <c r="D32" s="606"/>
      <c r="E32" s="606"/>
      <c r="F32" s="606"/>
      <c r="G32" s="606"/>
      <c r="H32" s="607"/>
    </row>
    <row r="33" spans="3:8">
      <c r="C33" s="192" t="s">
        <v>242</v>
      </c>
      <c r="D33" s="621" t="s">
        <v>240</v>
      </c>
      <c r="E33" s="621"/>
      <c r="F33" s="621"/>
      <c r="G33" s="621" t="s">
        <v>62</v>
      </c>
      <c r="H33" s="621"/>
    </row>
    <row r="34" spans="3:8" ht="28.5" customHeight="1">
      <c r="C34" s="191" t="s">
        <v>243</v>
      </c>
      <c r="D34" s="602"/>
      <c r="E34" s="602"/>
      <c r="F34" s="602"/>
      <c r="G34" s="603"/>
      <c r="H34" s="604"/>
    </row>
    <row r="35" spans="3:8">
      <c r="C35" s="192" t="s">
        <v>242</v>
      </c>
      <c r="D35" s="621" t="s">
        <v>240</v>
      </c>
      <c r="E35" s="621"/>
      <c r="F35" s="621"/>
      <c r="G35" s="621" t="s">
        <v>62</v>
      </c>
      <c r="H35" s="621"/>
    </row>
    <row r="36" spans="3:8" ht="29.25" customHeight="1">
      <c r="C36" s="191" t="s">
        <v>243</v>
      </c>
      <c r="D36" s="602"/>
      <c r="E36" s="602"/>
      <c r="F36" s="602"/>
      <c r="G36" s="603"/>
      <c r="H36" s="604"/>
    </row>
  </sheetData>
  <mergeCells count="37">
    <mergeCell ref="C13:H14"/>
    <mergeCell ref="C21:H21"/>
    <mergeCell ref="D22:F22"/>
    <mergeCell ref="D4:G4"/>
    <mergeCell ref="C5:E5"/>
    <mergeCell ref="F5:F6"/>
    <mergeCell ref="C6:E6"/>
    <mergeCell ref="G5:H6"/>
    <mergeCell ref="G22:H22"/>
    <mergeCell ref="C9:C10"/>
    <mergeCell ref="D9:D10"/>
    <mergeCell ref="E9:E10"/>
    <mergeCell ref="F9:H10"/>
    <mergeCell ref="C12:H12"/>
    <mergeCell ref="G29:H29"/>
    <mergeCell ref="D24:F24"/>
    <mergeCell ref="G24:H24"/>
    <mergeCell ref="D23:F23"/>
    <mergeCell ref="D25:F25"/>
    <mergeCell ref="G25:H25"/>
    <mergeCell ref="G23:H23"/>
    <mergeCell ref="D36:F36"/>
    <mergeCell ref="G36:H36"/>
    <mergeCell ref="C32:H32"/>
    <mergeCell ref="F8:H8"/>
    <mergeCell ref="C15:H19"/>
    <mergeCell ref="C31:H31"/>
    <mergeCell ref="D33:F33"/>
    <mergeCell ref="G33:H33"/>
    <mergeCell ref="D34:F34"/>
    <mergeCell ref="G34:H34"/>
    <mergeCell ref="D35:F35"/>
    <mergeCell ref="G35:H35"/>
    <mergeCell ref="C27:H27"/>
    <mergeCell ref="D28:F28"/>
    <mergeCell ref="G28:H28"/>
    <mergeCell ref="D29:F29"/>
  </mergeCells>
  <printOptions horizontalCentered="1"/>
  <pageMargins left="0.51181102362204722" right="0.51181102362204722" top="0.78740157480314965" bottom="0.78740157480314965" header="0.31496062992125984" footer="0.31496062992125984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B1:M66"/>
  <sheetViews>
    <sheetView showGridLines="0" zoomScaleNormal="100" zoomScaleSheetLayoutView="100" workbookViewId="0">
      <selection activeCell="F14" sqref="F14:I14"/>
    </sheetView>
  </sheetViews>
  <sheetFormatPr defaultRowHeight="12.75"/>
  <cols>
    <col min="1" max="1" width="2" style="36" customWidth="1"/>
    <col min="2" max="2" width="29.42578125" style="36" customWidth="1"/>
    <col min="3" max="3" width="15.7109375" style="36" customWidth="1"/>
    <col min="4" max="4" width="29.140625" style="36" customWidth="1"/>
    <col min="5" max="5" width="26.5703125" style="36" customWidth="1"/>
    <col min="6" max="6" width="18" style="36" customWidth="1"/>
    <col min="7" max="7" width="18.140625" style="36" bestFit="1" customWidth="1"/>
    <col min="8" max="8" width="5.140625" style="36" bestFit="1" customWidth="1"/>
    <col min="9" max="9" width="15.42578125" style="36" customWidth="1"/>
    <col min="10" max="10" width="15.42578125" style="36" hidden="1" customWidth="1"/>
    <col min="11" max="11" width="9.42578125" style="36" customWidth="1"/>
    <col min="12" max="13" width="15.42578125" style="36" hidden="1" customWidth="1"/>
    <col min="14" max="16384" width="9.140625" style="36"/>
  </cols>
  <sheetData>
    <row r="1" spans="2:13" ht="15">
      <c r="B1" s="296" t="s">
        <v>290</v>
      </c>
      <c r="C1" s="297"/>
      <c r="D1" s="297"/>
      <c r="E1" s="297"/>
      <c r="F1" s="254"/>
      <c r="G1" s="254"/>
      <c r="H1" s="262"/>
      <c r="I1" s="263"/>
      <c r="J1" s="263"/>
    </row>
    <row r="2" spans="2:13" ht="20.100000000000001" customHeight="1">
      <c r="B2" s="295" t="s">
        <v>60</v>
      </c>
      <c r="C2" s="302" t="str">
        <f>'Histórico de Revisão'!C2</f>
        <v>SAAD - Sistema de Acompanhamento Administrativo de Documentos</v>
      </c>
      <c r="D2" s="303"/>
      <c r="E2" s="298"/>
      <c r="F2" s="265"/>
      <c r="G2" s="265"/>
      <c r="H2" s="266" t="s">
        <v>283</v>
      </c>
      <c r="I2" s="267" t="s">
        <v>286</v>
      </c>
      <c r="J2" s="267" t="s">
        <v>284</v>
      </c>
    </row>
    <row r="4" spans="2:13" ht="15">
      <c r="B4" s="38"/>
      <c r="C4" s="39"/>
      <c r="D4" s="39"/>
      <c r="E4" s="39"/>
      <c r="F4" s="39"/>
      <c r="G4" s="39"/>
      <c r="H4" s="38"/>
      <c r="I4" s="40"/>
      <c r="J4" s="37"/>
      <c r="L4" s="37"/>
      <c r="M4" s="37"/>
    </row>
    <row r="5" spans="2:13" ht="18">
      <c r="B5" s="346" t="s">
        <v>189</v>
      </c>
      <c r="C5" s="347"/>
      <c r="D5" s="347"/>
      <c r="E5" s="347"/>
      <c r="F5" s="347"/>
      <c r="G5" s="347"/>
      <c r="H5" s="348"/>
      <c r="I5" s="268" t="s">
        <v>207</v>
      </c>
    </row>
    <row r="6" spans="2:13">
      <c r="B6" s="116" t="s">
        <v>1</v>
      </c>
      <c r="C6" s="338" t="s">
        <v>289</v>
      </c>
      <c r="D6" s="338"/>
      <c r="E6" s="269" t="s">
        <v>2</v>
      </c>
      <c r="F6" s="339" t="s">
        <v>296</v>
      </c>
      <c r="G6" s="339"/>
      <c r="H6" s="339"/>
      <c r="I6" s="340"/>
      <c r="L6" s="41"/>
    </row>
    <row r="7" spans="2:13">
      <c r="B7" s="116" t="s">
        <v>3</v>
      </c>
      <c r="C7" s="338" t="s">
        <v>297</v>
      </c>
      <c r="D7" s="338"/>
      <c r="E7" s="270" t="s">
        <v>188</v>
      </c>
      <c r="F7" s="338" t="s">
        <v>298</v>
      </c>
      <c r="G7" s="338"/>
      <c r="H7" s="338"/>
      <c r="I7" s="343"/>
    </row>
    <row r="8" spans="2:13">
      <c r="B8" s="116" t="s">
        <v>4</v>
      </c>
      <c r="C8" s="338" t="s">
        <v>300</v>
      </c>
      <c r="D8" s="338"/>
      <c r="E8" s="270" t="s">
        <v>280</v>
      </c>
      <c r="F8" s="338" t="s">
        <v>299</v>
      </c>
      <c r="G8" s="338"/>
      <c r="H8" s="338"/>
      <c r="I8" s="343"/>
    </row>
    <row r="9" spans="2:13">
      <c r="B9" s="116" t="s">
        <v>5</v>
      </c>
      <c r="C9" s="338" t="s">
        <v>6</v>
      </c>
      <c r="D9" s="338"/>
      <c r="E9" s="269" t="s">
        <v>7</v>
      </c>
      <c r="F9" s="338" t="s">
        <v>8</v>
      </c>
      <c r="G9" s="338"/>
      <c r="H9" s="338"/>
      <c r="I9" s="343"/>
    </row>
    <row r="10" spans="2:13">
      <c r="B10" s="118" t="s">
        <v>9</v>
      </c>
      <c r="C10" s="352" t="s">
        <v>111</v>
      </c>
      <c r="D10" s="352"/>
      <c r="E10" s="273" t="s">
        <v>11</v>
      </c>
      <c r="F10" s="352" t="s">
        <v>12</v>
      </c>
      <c r="G10" s="352"/>
      <c r="H10" s="352"/>
      <c r="I10" s="353"/>
    </row>
    <row r="11" spans="2:13">
      <c r="B11" s="115"/>
      <c r="C11" s="1"/>
      <c r="E11" s="115"/>
      <c r="F11" s="1"/>
      <c r="G11" s="35"/>
      <c r="I11" s="42"/>
    </row>
    <row r="12" spans="2:13" ht="18">
      <c r="B12" s="349" t="s">
        <v>13</v>
      </c>
      <c r="C12" s="350"/>
      <c r="D12" s="350"/>
      <c r="E12" s="350"/>
      <c r="F12" s="350"/>
      <c r="G12" s="350"/>
      <c r="H12" s="350"/>
      <c r="I12" s="351"/>
    </row>
    <row r="13" spans="2:13">
      <c r="B13" s="271" t="s">
        <v>14</v>
      </c>
      <c r="C13" s="339" t="s">
        <v>15</v>
      </c>
      <c r="D13" s="339"/>
      <c r="E13" s="272" t="s">
        <v>16</v>
      </c>
      <c r="F13" s="339" t="s">
        <v>115</v>
      </c>
      <c r="G13" s="339"/>
      <c r="H13" s="339"/>
      <c r="I13" s="340"/>
    </row>
    <row r="14" spans="2:13">
      <c r="B14" s="120" t="s">
        <v>18</v>
      </c>
      <c r="C14" s="338" t="s">
        <v>114</v>
      </c>
      <c r="D14" s="338"/>
      <c r="E14" s="269" t="s">
        <v>191</v>
      </c>
      <c r="F14" s="341">
        <v>2</v>
      </c>
      <c r="G14" s="341"/>
      <c r="H14" s="341"/>
      <c r="I14" s="342"/>
    </row>
    <row r="15" spans="2:13">
      <c r="B15" s="120" t="s">
        <v>20</v>
      </c>
      <c r="C15" s="338" t="s">
        <v>130</v>
      </c>
      <c r="D15" s="338"/>
      <c r="E15" s="274" t="s">
        <v>22</v>
      </c>
      <c r="F15" s="341">
        <v>0</v>
      </c>
      <c r="G15" s="341"/>
      <c r="H15" s="341"/>
      <c r="I15" s="342"/>
    </row>
    <row r="16" spans="2:13">
      <c r="B16" s="120" t="s">
        <v>215</v>
      </c>
      <c r="C16" s="338" t="s">
        <v>299</v>
      </c>
      <c r="D16" s="338"/>
      <c r="E16" s="274" t="s">
        <v>216</v>
      </c>
      <c r="F16" s="338" t="s">
        <v>299</v>
      </c>
      <c r="G16" s="338"/>
      <c r="H16" s="338"/>
      <c r="I16" s="343"/>
    </row>
    <row r="17" spans="2:9">
      <c r="B17" s="275" t="s">
        <v>62</v>
      </c>
      <c r="C17" s="354">
        <v>41834</v>
      </c>
      <c r="D17" s="354"/>
      <c r="E17" s="276"/>
      <c r="F17" s="344">
        <f>C17</f>
        <v>41834</v>
      </c>
      <c r="G17" s="344"/>
      <c r="H17" s="344"/>
      <c r="I17" s="345"/>
    </row>
    <row r="18" spans="2:9">
      <c r="B18" s="195"/>
      <c r="C18" s="196"/>
      <c r="D18" s="196"/>
      <c r="E18" s="197"/>
      <c r="F18" s="198"/>
      <c r="G18" s="199"/>
      <c r="H18" s="200"/>
      <c r="I18" s="200"/>
    </row>
    <row r="19" spans="2:9" ht="18">
      <c r="B19" s="346" t="s">
        <v>262</v>
      </c>
      <c r="C19" s="347"/>
      <c r="D19" s="347"/>
      <c r="E19" s="347"/>
      <c r="F19" s="347"/>
      <c r="G19" s="347"/>
      <c r="H19" s="347"/>
      <c r="I19" s="348"/>
    </row>
    <row r="20" spans="2:9">
      <c r="B20" s="116" t="s">
        <v>263</v>
      </c>
      <c r="C20" s="204">
        <v>1</v>
      </c>
      <c r="D20" s="124"/>
      <c r="E20" s="124"/>
      <c r="F20" s="124"/>
      <c r="G20" s="124"/>
      <c r="H20" s="124"/>
      <c r="I20" s="201"/>
    </row>
    <row r="21" spans="2:9">
      <c r="B21" s="120" t="s">
        <v>264</v>
      </c>
      <c r="C21" s="204">
        <v>0.6</v>
      </c>
      <c r="D21" s="124"/>
      <c r="E21" s="124"/>
      <c r="F21" s="124"/>
      <c r="G21" s="124"/>
      <c r="H21" s="124"/>
      <c r="I21" s="202"/>
    </row>
    <row r="22" spans="2:9">
      <c r="B22" s="120" t="s">
        <v>265</v>
      </c>
      <c r="C22" s="204">
        <v>0.3</v>
      </c>
      <c r="D22" s="124"/>
      <c r="E22" s="124"/>
      <c r="F22" s="124"/>
      <c r="G22" s="124"/>
      <c r="H22" s="124"/>
      <c r="I22" s="203"/>
    </row>
    <row r="23" spans="2:9">
      <c r="B23" s="364" t="s">
        <v>269</v>
      </c>
      <c r="C23" s="364"/>
      <c r="D23" s="364"/>
      <c r="E23" s="364"/>
      <c r="F23" s="364"/>
      <c r="G23" s="364"/>
      <c r="H23" s="364"/>
      <c r="I23" s="364"/>
    </row>
    <row r="24" spans="2:9">
      <c r="B24" s="355" t="s">
        <v>301</v>
      </c>
      <c r="C24" s="356"/>
      <c r="D24" s="356"/>
      <c r="E24" s="356"/>
      <c r="F24" s="356"/>
      <c r="G24" s="356"/>
      <c r="H24" s="356"/>
      <c r="I24" s="357"/>
    </row>
    <row r="25" spans="2:9">
      <c r="B25" s="358"/>
      <c r="C25" s="359"/>
      <c r="D25" s="359"/>
      <c r="E25" s="359"/>
      <c r="F25" s="359"/>
      <c r="G25" s="359"/>
      <c r="H25" s="359"/>
      <c r="I25" s="360"/>
    </row>
    <row r="26" spans="2:9">
      <c r="B26" s="358"/>
      <c r="C26" s="359"/>
      <c r="D26" s="359"/>
      <c r="E26" s="359"/>
      <c r="F26" s="359"/>
      <c r="G26" s="359"/>
      <c r="H26" s="359"/>
      <c r="I26" s="360"/>
    </row>
    <row r="27" spans="2:9">
      <c r="B27" s="358"/>
      <c r="C27" s="359"/>
      <c r="D27" s="359"/>
      <c r="E27" s="359"/>
      <c r="F27" s="359"/>
      <c r="G27" s="359"/>
      <c r="H27" s="359"/>
      <c r="I27" s="360"/>
    </row>
    <row r="28" spans="2:9">
      <c r="B28" s="361"/>
      <c r="C28" s="362"/>
      <c r="D28" s="362"/>
      <c r="E28" s="362"/>
      <c r="F28" s="362"/>
      <c r="G28" s="362"/>
      <c r="H28" s="362"/>
      <c r="I28" s="363"/>
    </row>
    <row r="29" spans="2:9">
      <c r="B29" s="364" t="s">
        <v>23</v>
      </c>
      <c r="C29" s="364"/>
      <c r="D29" s="364"/>
      <c r="E29" s="364"/>
      <c r="F29" s="364"/>
      <c r="G29" s="364"/>
      <c r="H29" s="364"/>
      <c r="I29" s="364"/>
    </row>
    <row r="30" spans="2:9">
      <c r="B30" s="374" t="s">
        <v>302</v>
      </c>
      <c r="C30" s="375"/>
      <c r="D30" s="375"/>
      <c r="E30" s="375"/>
      <c r="F30" s="375"/>
      <c r="G30" s="375"/>
      <c r="H30" s="375"/>
      <c r="I30" s="376"/>
    </row>
    <row r="31" spans="2:9">
      <c r="B31" s="377"/>
      <c r="C31" s="378"/>
      <c r="D31" s="378"/>
      <c r="E31" s="378"/>
      <c r="F31" s="378"/>
      <c r="G31" s="378"/>
      <c r="H31" s="378"/>
      <c r="I31" s="379"/>
    </row>
    <row r="32" spans="2:9">
      <c r="B32" s="377"/>
      <c r="C32" s="378"/>
      <c r="D32" s="378"/>
      <c r="E32" s="378"/>
      <c r="F32" s="378"/>
      <c r="G32" s="378"/>
      <c r="H32" s="378"/>
      <c r="I32" s="379"/>
    </row>
    <row r="33" spans="2:9">
      <c r="B33" s="377"/>
      <c r="C33" s="378"/>
      <c r="D33" s="378"/>
      <c r="E33" s="378"/>
      <c r="F33" s="378"/>
      <c r="G33" s="378"/>
      <c r="H33" s="378"/>
      <c r="I33" s="379"/>
    </row>
    <row r="34" spans="2:9" ht="15" customHeight="1">
      <c r="B34" s="380"/>
      <c r="C34" s="381"/>
      <c r="D34" s="381"/>
      <c r="E34" s="381"/>
      <c r="F34" s="381"/>
      <c r="G34" s="381"/>
      <c r="H34" s="381"/>
      <c r="I34" s="382"/>
    </row>
    <row r="35" spans="2:9" ht="12" customHeight="1">
      <c r="B35" s="364" t="s">
        <v>24</v>
      </c>
      <c r="C35" s="364"/>
      <c r="D35" s="364"/>
      <c r="E35" s="364"/>
      <c r="F35" s="364"/>
      <c r="G35" s="364"/>
      <c r="H35" s="364"/>
      <c r="I35" s="364"/>
    </row>
    <row r="36" spans="2:9" s="212" customFormat="1" ht="12.75" customHeight="1">
      <c r="B36" s="365" t="s">
        <v>303</v>
      </c>
      <c r="C36" s="366"/>
      <c r="D36" s="366"/>
      <c r="E36" s="366"/>
      <c r="F36" s="366"/>
      <c r="G36" s="366"/>
      <c r="H36" s="366"/>
      <c r="I36" s="367"/>
    </row>
    <row r="37" spans="2:9" s="212" customFormat="1">
      <c r="B37" s="368"/>
      <c r="C37" s="369"/>
      <c r="D37" s="369"/>
      <c r="E37" s="369"/>
      <c r="F37" s="369"/>
      <c r="G37" s="369"/>
      <c r="H37" s="369"/>
      <c r="I37" s="370"/>
    </row>
    <row r="38" spans="2:9" s="212" customFormat="1">
      <c r="B38" s="368"/>
      <c r="C38" s="369"/>
      <c r="D38" s="369"/>
      <c r="E38" s="369"/>
      <c r="F38" s="369"/>
      <c r="G38" s="369"/>
      <c r="H38" s="369"/>
      <c r="I38" s="370"/>
    </row>
    <row r="39" spans="2:9" s="212" customFormat="1">
      <c r="B39" s="368"/>
      <c r="C39" s="369"/>
      <c r="D39" s="369"/>
      <c r="E39" s="369"/>
      <c r="F39" s="369"/>
      <c r="G39" s="369"/>
      <c r="H39" s="369"/>
      <c r="I39" s="370"/>
    </row>
    <row r="40" spans="2:9" s="212" customFormat="1">
      <c r="B40" s="368"/>
      <c r="C40" s="369"/>
      <c r="D40" s="369"/>
      <c r="E40" s="369"/>
      <c r="F40" s="369"/>
      <c r="G40" s="369"/>
      <c r="H40" s="369"/>
      <c r="I40" s="370"/>
    </row>
    <row r="41" spans="2:9" s="212" customFormat="1" ht="12.75" customHeight="1">
      <c r="B41" s="368"/>
      <c r="C41" s="369"/>
      <c r="D41" s="369"/>
      <c r="E41" s="369"/>
      <c r="F41" s="369"/>
      <c r="G41" s="369"/>
      <c r="H41" s="369"/>
      <c r="I41" s="370"/>
    </row>
    <row r="42" spans="2:9" s="212" customFormat="1">
      <c r="B42" s="368"/>
      <c r="C42" s="369"/>
      <c r="D42" s="369"/>
      <c r="E42" s="369"/>
      <c r="F42" s="369"/>
      <c r="G42" s="369"/>
      <c r="H42" s="369"/>
      <c r="I42" s="370"/>
    </row>
    <row r="43" spans="2:9" s="212" customFormat="1">
      <c r="B43" s="368"/>
      <c r="C43" s="369"/>
      <c r="D43" s="369"/>
      <c r="E43" s="369"/>
      <c r="F43" s="369"/>
      <c r="G43" s="369"/>
      <c r="H43" s="369"/>
      <c r="I43" s="370"/>
    </row>
    <row r="44" spans="2:9" s="212" customFormat="1">
      <c r="B44" s="368"/>
      <c r="C44" s="369"/>
      <c r="D44" s="369"/>
      <c r="E44" s="369"/>
      <c r="F44" s="369"/>
      <c r="G44" s="369"/>
      <c r="H44" s="369"/>
      <c r="I44" s="370"/>
    </row>
    <row r="45" spans="2:9" s="212" customFormat="1">
      <c r="B45" s="368"/>
      <c r="C45" s="369"/>
      <c r="D45" s="369"/>
      <c r="E45" s="369"/>
      <c r="F45" s="369"/>
      <c r="G45" s="369"/>
      <c r="H45" s="369"/>
      <c r="I45" s="370"/>
    </row>
    <row r="46" spans="2:9" s="212" customFormat="1">
      <c r="B46" s="371"/>
      <c r="C46" s="372"/>
      <c r="D46" s="372"/>
      <c r="E46" s="372"/>
      <c r="F46" s="372"/>
      <c r="G46" s="372"/>
      <c r="H46" s="372"/>
      <c r="I46" s="373"/>
    </row>
    <row r="47" spans="2:9">
      <c r="B47" s="364" t="s">
        <v>206</v>
      </c>
      <c r="C47" s="364"/>
      <c r="D47" s="364"/>
      <c r="E47" s="364"/>
      <c r="F47" s="364"/>
      <c r="G47" s="364"/>
      <c r="H47" s="364"/>
      <c r="I47" s="364"/>
    </row>
    <row r="48" spans="2:9">
      <c r="B48" s="355" t="s">
        <v>287</v>
      </c>
      <c r="C48" s="356"/>
      <c r="D48" s="356"/>
      <c r="E48" s="356"/>
      <c r="F48" s="356"/>
      <c r="G48" s="356"/>
      <c r="H48" s="356"/>
      <c r="I48" s="357"/>
    </row>
    <row r="49" spans="2:9">
      <c r="B49" s="361"/>
      <c r="C49" s="362"/>
      <c r="D49" s="362"/>
      <c r="E49" s="362"/>
      <c r="F49" s="362"/>
      <c r="G49" s="362"/>
      <c r="H49" s="362"/>
      <c r="I49" s="363"/>
    </row>
    <row r="50" spans="2:9">
      <c r="B50" s="364" t="s">
        <v>25</v>
      </c>
      <c r="C50" s="364"/>
      <c r="D50" s="364"/>
      <c r="E50" s="364"/>
      <c r="F50" s="364"/>
      <c r="G50" s="364"/>
      <c r="H50" s="364"/>
      <c r="I50" s="364"/>
    </row>
    <row r="51" spans="2:9">
      <c r="B51" s="355" t="s">
        <v>288</v>
      </c>
      <c r="C51" s="356"/>
      <c r="D51" s="356"/>
      <c r="E51" s="356"/>
      <c r="F51" s="356"/>
      <c r="G51" s="356"/>
      <c r="H51" s="356"/>
      <c r="I51" s="357"/>
    </row>
    <row r="52" spans="2:9">
      <c r="B52" s="358"/>
      <c r="C52" s="359"/>
      <c r="D52" s="359"/>
      <c r="E52" s="359"/>
      <c r="F52" s="359"/>
      <c r="G52" s="359"/>
      <c r="H52" s="359"/>
      <c r="I52" s="360"/>
    </row>
    <row r="53" spans="2:9">
      <c r="B53" s="358"/>
      <c r="C53" s="359"/>
      <c r="D53" s="359"/>
      <c r="E53" s="359"/>
      <c r="F53" s="359"/>
      <c r="G53" s="359"/>
      <c r="H53" s="359"/>
      <c r="I53" s="360"/>
    </row>
    <row r="54" spans="2:9">
      <c r="B54" s="358"/>
      <c r="C54" s="359"/>
      <c r="D54" s="359"/>
      <c r="E54" s="359"/>
      <c r="F54" s="359"/>
      <c r="G54" s="359"/>
      <c r="H54" s="359"/>
      <c r="I54" s="360"/>
    </row>
    <row r="55" spans="2:9">
      <c r="B55" s="358"/>
      <c r="C55" s="359"/>
      <c r="D55" s="359"/>
      <c r="E55" s="359"/>
      <c r="F55" s="359"/>
      <c r="G55" s="359"/>
      <c r="H55" s="359"/>
      <c r="I55" s="360"/>
    </row>
    <row r="56" spans="2:9">
      <c r="B56" s="358"/>
      <c r="C56" s="359"/>
      <c r="D56" s="359"/>
      <c r="E56" s="359"/>
      <c r="F56" s="359"/>
      <c r="G56" s="359"/>
      <c r="H56" s="359"/>
      <c r="I56" s="360"/>
    </row>
    <row r="57" spans="2:9">
      <c r="B57" s="358"/>
      <c r="C57" s="359"/>
      <c r="D57" s="359"/>
      <c r="E57" s="359"/>
      <c r="F57" s="359"/>
      <c r="G57" s="359"/>
      <c r="H57" s="359"/>
      <c r="I57" s="360"/>
    </row>
    <row r="58" spans="2:9">
      <c r="B58" s="358"/>
      <c r="C58" s="359"/>
      <c r="D58" s="359"/>
      <c r="E58" s="359"/>
      <c r="F58" s="359"/>
      <c r="G58" s="359"/>
      <c r="H58" s="359"/>
      <c r="I58" s="360"/>
    </row>
    <row r="59" spans="2:9">
      <c r="B59" s="358"/>
      <c r="C59" s="359"/>
      <c r="D59" s="359"/>
      <c r="E59" s="359"/>
      <c r="F59" s="359"/>
      <c r="G59" s="359"/>
      <c r="H59" s="359"/>
      <c r="I59" s="360"/>
    </row>
    <row r="60" spans="2:9">
      <c r="B60" s="361"/>
      <c r="C60" s="362"/>
      <c r="D60" s="362"/>
      <c r="E60" s="362"/>
      <c r="F60" s="362"/>
      <c r="G60" s="362"/>
      <c r="H60" s="362"/>
      <c r="I60" s="363"/>
    </row>
    <row r="61" spans="2:9">
      <c r="B61" s="106"/>
      <c r="C61" s="106"/>
      <c r="D61" s="106"/>
      <c r="E61" s="106"/>
      <c r="F61" s="106"/>
      <c r="G61" s="106"/>
      <c r="H61" s="106"/>
      <c r="I61" s="106"/>
    </row>
    <row r="62" spans="2:9" ht="18">
      <c r="B62" s="346" t="s">
        <v>190</v>
      </c>
      <c r="C62" s="347"/>
      <c r="D62" s="347"/>
      <c r="E62" s="347"/>
      <c r="F62" s="347"/>
      <c r="G62" s="347"/>
      <c r="H62" s="347"/>
      <c r="I62" s="348"/>
    </row>
    <row r="63" spans="2:9">
      <c r="B63" s="116" t="s">
        <v>184</v>
      </c>
      <c r="C63" s="43">
        <v>12</v>
      </c>
      <c r="D63" s="44"/>
      <c r="I63" s="117"/>
    </row>
    <row r="64" spans="2:9">
      <c r="B64" s="116" t="s">
        <v>185</v>
      </c>
      <c r="C64" s="45">
        <v>1</v>
      </c>
      <c r="D64" s="46"/>
      <c r="I64" s="117"/>
    </row>
    <row r="65" spans="2:9" ht="18" customHeight="1">
      <c r="B65" s="118" t="s">
        <v>137</v>
      </c>
      <c r="C65" s="122">
        <v>1</v>
      </c>
      <c r="D65" s="123"/>
      <c r="E65" s="119"/>
      <c r="F65" s="119"/>
      <c r="G65" s="119"/>
      <c r="H65" s="119"/>
      <c r="I65" s="121"/>
    </row>
    <row r="66" spans="2:9">
      <c r="B66" s="46"/>
      <c r="C66" s="46"/>
      <c r="D66" s="46"/>
    </row>
  </sheetData>
  <mergeCells count="34">
    <mergeCell ref="B19:I19"/>
    <mergeCell ref="B23:I23"/>
    <mergeCell ref="B36:I46"/>
    <mergeCell ref="B29:I29"/>
    <mergeCell ref="B35:I35"/>
    <mergeCell ref="B30:I34"/>
    <mergeCell ref="B24:I28"/>
    <mergeCell ref="B62:I62"/>
    <mergeCell ref="B51:I60"/>
    <mergeCell ref="B50:I50"/>
    <mergeCell ref="B47:I47"/>
    <mergeCell ref="B48:I49"/>
    <mergeCell ref="F17:I17"/>
    <mergeCell ref="B5:H5"/>
    <mergeCell ref="B12:I12"/>
    <mergeCell ref="C6:D6"/>
    <mergeCell ref="C9:D9"/>
    <mergeCell ref="F6:I6"/>
    <mergeCell ref="C7:D7"/>
    <mergeCell ref="F7:I7"/>
    <mergeCell ref="F9:I9"/>
    <mergeCell ref="F10:I10"/>
    <mergeCell ref="C10:D10"/>
    <mergeCell ref="C17:D17"/>
    <mergeCell ref="C13:D13"/>
    <mergeCell ref="C14:D14"/>
    <mergeCell ref="C8:D8"/>
    <mergeCell ref="F8:I8"/>
    <mergeCell ref="C15:D15"/>
    <mergeCell ref="C16:D16"/>
    <mergeCell ref="F13:I13"/>
    <mergeCell ref="F14:I14"/>
    <mergeCell ref="F15:I15"/>
    <mergeCell ref="F16:I16"/>
  </mergeCells>
  <phoneticPr fontId="24" type="noConversion"/>
  <dataValidations xWindow="799" yWindow="151" count="8">
    <dataValidation type="list" allowBlank="1" showErrorMessage="1" sqref="C15">
      <formula1>"Selecionar,Avaliação Técnica,Planejamento,Concepção,Elaboração,Construção,Implantação,Avaliação de Impacto"</formula1>
    </dataValidation>
    <dataValidation type="list" allowBlank="1" showErrorMessage="1" sqref="F10:F11">
      <formula1>"Selecionar,CTIS,Cliente"</formula1>
    </dataValidation>
    <dataValidation type="list" allowBlank="1" showErrorMessage="1" sqref="F13 F20">
      <formula1>"Selecionar,IFPUG (PF),NESMA (PF),Histórico (PF),COSMIC-FFP (PF)"</formula1>
    </dataValidation>
    <dataValidation type="list" allowBlank="1" showErrorMessage="1" sqref="F9">
      <formula1>"Selecionar,Menos de 1 ano,Entre 1 e 3 anos,Entre 3 e 5 anos,Mais de 5 anos"</formula1>
    </dataValidation>
    <dataValidation type="list" allowBlank="1" showErrorMessage="1" sqref="C14">
      <formula1>"Selecionar,Detalhada,Estimada,Indicativa,Interligada,Identificada"</formula1>
    </dataValidation>
    <dataValidation type="list" allowBlank="1" showErrorMessage="1" sqref="C13">
      <formula1>"Selecionar,Desenvolvimento,Melhoria,Aplicação (Baseline),Migração"</formula1>
    </dataValidation>
    <dataValidation type="list" allowBlank="1" showErrorMessage="1" sqref="C9:D9">
      <formula1>"Selecionar,Até 5000 PF contados,Entre 5000 e 15000 PF contados,Mais de 15000 PF contados"</formula1>
    </dataValidation>
    <dataValidation type="list" allowBlank="1" showErrorMessage="1" sqref="C10:C11">
      <formula1>"Selecionar,Sim,Não"</formula1>
    </dataValidation>
  </dataValidations>
  <printOptions horizontalCentered="1"/>
  <pageMargins left="0.78749999999999998" right="0.78749999999999998" top="0.98472222222222228" bottom="0.98472222222222228" header="0.31527777777777777" footer="0.31527777777777777"/>
  <pageSetup paperSize="9" scale="45" firstPageNumber="0" orientation="landscape" horizontalDpi="300" verticalDpi="300" r:id="rId1"/>
  <headerFooter alignWithMargins="0">
    <oddHeader>&amp;L Planilha de Pontos de Função     FRE - 0032      Versão: 00</oddHeader>
    <oddFooter>&amp;CPágina &amp;P&amp;Rproposta de PPF.xls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N160"/>
  <sheetViews>
    <sheetView showGridLines="0" tabSelected="1" zoomScale="85" zoomScaleNormal="85" workbookViewId="0">
      <selection activeCell="C57" sqref="C57"/>
    </sheetView>
  </sheetViews>
  <sheetFormatPr defaultColWidth="11.7109375" defaultRowHeight="12.75"/>
  <cols>
    <col min="1" max="1" width="0.42578125" style="47" customWidth="1"/>
    <col min="2" max="2" width="9" style="47" customWidth="1"/>
    <col min="3" max="3" width="44.85546875" style="47" customWidth="1"/>
    <col min="4" max="4" width="8.7109375" style="47" customWidth="1"/>
    <col min="5" max="5" width="6.42578125" style="47" bestFit="1" customWidth="1"/>
    <col min="6" max="6" width="10.28515625" style="47" bestFit="1" customWidth="1"/>
    <col min="7" max="7" width="7.7109375" style="47" bestFit="1" customWidth="1"/>
    <col min="8" max="8" width="93" style="211" customWidth="1"/>
    <col min="9" max="9" width="6.85546875" style="47" customWidth="1"/>
    <col min="10" max="10" width="6" style="47" customWidth="1"/>
    <col min="11" max="11" width="23.28515625" style="47" customWidth="1"/>
    <col min="12" max="12" width="7.42578125" style="47" customWidth="1"/>
    <col min="13" max="13" width="6.7109375" style="47" customWidth="1"/>
    <col min="14" max="14" width="23.5703125" style="47" customWidth="1"/>
    <col min="15" max="16384" width="11.7109375" style="47"/>
  </cols>
  <sheetData>
    <row r="1" spans="1:14" s="277" customFormat="1" ht="21" customHeight="1">
      <c r="B1" s="253" t="s">
        <v>290</v>
      </c>
      <c r="C1" s="254"/>
      <c r="D1" s="254"/>
      <c r="E1" s="254"/>
      <c r="F1" s="254"/>
      <c r="G1" s="254"/>
      <c r="H1" s="262"/>
      <c r="I1" s="262"/>
      <c r="J1" s="263"/>
    </row>
    <row r="2" spans="1:14" s="278" customFormat="1" ht="20.100000000000001" customHeight="1">
      <c r="B2" s="257" t="s">
        <v>282</v>
      </c>
      <c r="C2" s="411" t="str">
        <f>'Histórico de Revisão'!C2</f>
        <v>SAAD - Sistema de Acompanhamento Administrativo de Documentos</v>
      </c>
      <c r="D2" s="411"/>
      <c r="E2" s="411"/>
      <c r="F2" s="411"/>
      <c r="G2" s="293"/>
      <c r="H2" s="294"/>
      <c r="I2" s="259" t="s">
        <v>283</v>
      </c>
      <c r="J2" s="282" t="s">
        <v>286</v>
      </c>
    </row>
    <row r="4" spans="1:14" s="36" customFormat="1" ht="45" customHeight="1">
      <c r="B4" s="109"/>
      <c r="C4" s="387" t="s">
        <v>271</v>
      </c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111"/>
    </row>
    <row r="5" spans="1:14" ht="13.5" thickBot="1"/>
    <row r="6" spans="1:14" ht="15.75" thickBot="1">
      <c r="A6" s="49"/>
      <c r="B6" s="388" t="s">
        <v>270</v>
      </c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90"/>
    </row>
    <row r="7" spans="1:14">
      <c r="A7" s="50"/>
      <c r="B7" s="391" t="str">
        <f>CONCATENATE("Projeto  :  ",NomeProjeto)</f>
        <v>Projeto  :  SAAD - Sistema de Acompanhamento Administrativo de Documentos</v>
      </c>
      <c r="C7" s="392"/>
      <c r="D7" s="392"/>
      <c r="E7" s="393" t="s">
        <v>26</v>
      </c>
      <c r="F7" s="395">
        <f>Capa!C17</f>
        <v>41834</v>
      </c>
      <c r="G7" s="395"/>
      <c r="H7" s="395"/>
      <c r="I7" s="395"/>
      <c r="J7" s="395"/>
      <c r="K7" s="395"/>
      <c r="L7" s="395"/>
      <c r="M7" s="395"/>
      <c r="N7" s="396"/>
    </row>
    <row r="8" spans="1:14" ht="13.5" thickBot="1">
      <c r="A8" s="50"/>
      <c r="B8" s="399" t="str">
        <f>CONCATENATE("Responsável :  ",Responsavel)</f>
        <v>Responsável :  Márcia Silva de Morais</v>
      </c>
      <c r="C8" s="400"/>
      <c r="D8" s="400"/>
      <c r="E8" s="394"/>
      <c r="F8" s="397"/>
      <c r="G8" s="397"/>
      <c r="H8" s="397"/>
      <c r="I8" s="397"/>
      <c r="J8" s="397"/>
      <c r="K8" s="397"/>
      <c r="L8" s="397"/>
      <c r="M8" s="397"/>
      <c r="N8" s="398"/>
    </row>
    <row r="9" spans="1:14" ht="32.25" customHeight="1">
      <c r="B9" s="383" t="s">
        <v>27</v>
      </c>
      <c r="C9" s="385" t="s">
        <v>28</v>
      </c>
      <c r="D9" s="385" t="s">
        <v>213</v>
      </c>
      <c r="E9" s="385" t="s">
        <v>29</v>
      </c>
      <c r="F9" s="401" t="s">
        <v>33</v>
      </c>
      <c r="G9" s="401" t="s">
        <v>34</v>
      </c>
      <c r="H9" s="403" t="s">
        <v>25</v>
      </c>
      <c r="I9" s="405" t="s">
        <v>231</v>
      </c>
      <c r="J9" s="406"/>
      <c r="K9" s="407"/>
      <c r="L9" s="408" t="s">
        <v>225</v>
      </c>
      <c r="M9" s="409"/>
      <c r="N9" s="410"/>
    </row>
    <row r="10" spans="1:14" ht="32.25" customHeight="1" thickBot="1">
      <c r="B10" s="384"/>
      <c r="C10" s="386"/>
      <c r="D10" s="386"/>
      <c r="E10" s="386"/>
      <c r="F10" s="402"/>
      <c r="G10" s="402"/>
      <c r="H10" s="404"/>
      <c r="I10" s="150" t="s">
        <v>29</v>
      </c>
      <c r="J10" s="149" t="s">
        <v>34</v>
      </c>
      <c r="K10" s="153" t="s">
        <v>220</v>
      </c>
      <c r="L10" s="150" t="s">
        <v>29</v>
      </c>
      <c r="M10" s="149" t="s">
        <v>34</v>
      </c>
      <c r="N10" s="152" t="s">
        <v>224</v>
      </c>
    </row>
    <row r="11" spans="1:14">
      <c r="B11" s="328">
        <v>1</v>
      </c>
      <c r="C11" s="318" t="s">
        <v>326</v>
      </c>
      <c r="D11" s="329"/>
      <c r="E11" s="330"/>
      <c r="F11" s="331"/>
      <c r="G11" s="332" t="str">
        <f>IF(E11="","",IF(E11="ALI",7,IF(E11="AIE",5,IF(E11="SE",5,IF(OR(E11="EE",E11="CE"),4)))))</f>
        <v/>
      </c>
      <c r="H11" s="333"/>
      <c r="I11" s="307"/>
      <c r="J11" s="249" t="str">
        <f>IF(I11="","",IF(I11="ALI",7,IF(I11="AIE",5,IF(I11="SE",5,IF(OR(I11="EE",I11="CE"),4)))))</f>
        <v/>
      </c>
      <c r="K11" s="244"/>
      <c r="L11" s="311"/>
      <c r="M11" s="229" t="str">
        <f>IF(L11="","",IF(L11="ALI",7,IF(L11="AIE",5,IF(L11="SE",5,IF(OR(L11="EE",L11="CE"),4)))))</f>
        <v/>
      </c>
      <c r="N11" s="230"/>
    </row>
    <row r="12" spans="1:14" ht="15.75" customHeight="1">
      <c r="B12" s="309">
        <v>2</v>
      </c>
      <c r="C12" s="226" t="s">
        <v>321</v>
      </c>
      <c r="D12" s="315" t="s">
        <v>281</v>
      </c>
      <c r="E12" s="314" t="s">
        <v>304</v>
      </c>
      <c r="F12" s="313" t="str">
        <f>IF(E12="","",IF(E12="EE","Média",IF(E12="CE","Média",IF(E12="SE","Média","Baixa"))))</f>
        <v>Média</v>
      </c>
      <c r="G12" s="310">
        <f>IF(E12="","",IF(E12="ALI",7,IF(E12="AIE",5,IF(E12="SE",5,IF(OR(E12="EE",E12="CE"),4)))))</f>
        <v>4</v>
      </c>
      <c r="H12" s="414" t="s">
        <v>329</v>
      </c>
      <c r="I12" s="308"/>
      <c r="J12" s="250" t="str">
        <f>IF(I12="","",IF(I12="ALI",7,IF(I12="AIE",5,IF(I12="SE",5,IF(OR(I12="EE",I12="CE"),4)))))</f>
        <v/>
      </c>
      <c r="K12" s="246"/>
      <c r="L12" s="312"/>
      <c r="M12" s="225" t="str">
        <f>IF(L12="","",IF(L12="ALI",7,IF(L12="AIE",5,IF(L12="SE",5,IF(OR(L12="EE",L12="CE"),4)))))</f>
        <v/>
      </c>
      <c r="N12" s="231"/>
    </row>
    <row r="13" spans="1:14" ht="15.75" customHeight="1">
      <c r="B13" s="219">
        <v>3</v>
      </c>
      <c r="C13" s="226" t="s">
        <v>322</v>
      </c>
      <c r="D13" s="315" t="s">
        <v>281</v>
      </c>
      <c r="E13" s="314" t="s">
        <v>304</v>
      </c>
      <c r="F13" s="214" t="str">
        <f t="shared" ref="F13:F82" si="0">IF(E13="","",IF(E13="EE","Média",IF(E13="CE","Média",IF(E13="SE","Média","Baixa"))))</f>
        <v>Média</v>
      </c>
      <c r="G13" s="218">
        <f t="shared" ref="G13:G82" si="1">IF(E13="","",IF(E13="ALI",7,IF(E13="AIE",5,IF(E13="SE",5,IF(OR(E13="EE",E13="CE"),4)))))</f>
        <v>4</v>
      </c>
      <c r="H13" s="414"/>
      <c r="I13" s="245"/>
      <c r="J13" s="250" t="str">
        <f t="shared" ref="J13:J82" si="2">IF(I13="","",IF(I13="ALI",7,IF(I13="AIE",5,IF(I13="SE",5,IF(OR(I13="EE",I13="CE"),4)))))</f>
        <v/>
      </c>
      <c r="K13" s="246"/>
      <c r="L13" s="217"/>
      <c r="M13" s="225" t="str">
        <f t="shared" ref="M13:M82" si="3">IF(L13="","",IF(L13="ALI",7,IF(L13="AIE",5,IF(L13="SE",5,IF(OR(L13="EE",L13="CE"),4)))))</f>
        <v/>
      </c>
      <c r="N13" s="231"/>
    </row>
    <row r="14" spans="1:14" ht="15.75" customHeight="1">
      <c r="B14" s="309">
        <v>4</v>
      </c>
      <c r="C14" s="226" t="s">
        <v>323</v>
      </c>
      <c r="D14" s="315" t="s">
        <v>281</v>
      </c>
      <c r="E14" s="314" t="s">
        <v>37</v>
      </c>
      <c r="F14" s="313" t="str">
        <f t="shared" ref="F14" si="4">IF(E14="","",IF(E14="EE","Média",IF(E14="CE","Média",IF(E14="SE","Média","Baixa"))))</f>
        <v>Média</v>
      </c>
      <c r="G14" s="310">
        <f t="shared" ref="G14" si="5">IF(E14="","",IF(E14="ALI",7,IF(E14="AIE",5,IF(E14="SE",5,IF(OR(E14="EE",E14="CE"),4)))))</f>
        <v>4</v>
      </c>
      <c r="H14" s="414"/>
      <c r="I14" s="308"/>
      <c r="J14" s="250" t="str">
        <f t="shared" ref="J14" si="6">IF(I14="","",IF(I14="ALI",7,IF(I14="AIE",5,IF(I14="SE",5,IF(OR(I14="EE",I14="CE"),4)))))</f>
        <v/>
      </c>
      <c r="K14" s="246"/>
      <c r="L14" s="312"/>
      <c r="M14" s="225" t="str">
        <f t="shared" ref="M14" si="7">IF(L14="","",IF(L14="ALI",7,IF(L14="AIE",5,IF(L14="SE",5,IF(OR(L14="EE",L14="CE"),4)))))</f>
        <v/>
      </c>
      <c r="N14" s="231"/>
    </row>
    <row r="15" spans="1:14" ht="15.75" customHeight="1">
      <c r="B15" s="309">
        <v>5</v>
      </c>
      <c r="C15" s="226" t="s">
        <v>305</v>
      </c>
      <c r="D15" s="315" t="s">
        <v>281</v>
      </c>
      <c r="E15" s="314" t="s">
        <v>37</v>
      </c>
      <c r="F15" s="214" t="str">
        <f t="shared" si="0"/>
        <v>Média</v>
      </c>
      <c r="G15" s="218">
        <f t="shared" si="1"/>
        <v>4</v>
      </c>
      <c r="H15" s="414"/>
      <c r="I15" s="245"/>
      <c r="J15" s="250" t="str">
        <f t="shared" si="2"/>
        <v/>
      </c>
      <c r="K15" s="246"/>
      <c r="L15" s="217"/>
      <c r="M15" s="225" t="str">
        <f t="shared" si="3"/>
        <v/>
      </c>
      <c r="N15" s="231"/>
    </row>
    <row r="16" spans="1:14" ht="15.75" customHeight="1">
      <c r="B16" s="309">
        <v>6</v>
      </c>
      <c r="C16" s="226" t="s">
        <v>324</v>
      </c>
      <c r="D16" s="315" t="s">
        <v>281</v>
      </c>
      <c r="E16" s="314" t="s">
        <v>304</v>
      </c>
      <c r="F16" s="214" t="str">
        <f t="shared" si="0"/>
        <v>Média</v>
      </c>
      <c r="G16" s="218">
        <f t="shared" si="1"/>
        <v>4</v>
      </c>
      <c r="H16" s="414"/>
      <c r="I16" s="245"/>
      <c r="J16" s="250" t="str">
        <f t="shared" si="2"/>
        <v/>
      </c>
      <c r="K16" s="246"/>
      <c r="L16" s="217"/>
      <c r="M16" s="225" t="str">
        <f t="shared" si="3"/>
        <v/>
      </c>
      <c r="N16" s="231"/>
    </row>
    <row r="17" spans="2:14" ht="15.75" customHeight="1">
      <c r="B17" s="309">
        <v>7</v>
      </c>
      <c r="C17" s="226" t="s">
        <v>325</v>
      </c>
      <c r="D17" s="315" t="s">
        <v>281</v>
      </c>
      <c r="E17" s="314" t="s">
        <v>304</v>
      </c>
      <c r="F17" s="214" t="str">
        <f t="shared" si="0"/>
        <v>Média</v>
      </c>
      <c r="G17" s="218">
        <f t="shared" si="1"/>
        <v>4</v>
      </c>
      <c r="H17" s="414"/>
      <c r="I17" s="245"/>
      <c r="J17" s="250" t="str">
        <f t="shared" si="2"/>
        <v/>
      </c>
      <c r="K17" s="246"/>
      <c r="L17" s="217"/>
      <c r="M17" s="225" t="str">
        <f t="shared" si="3"/>
        <v/>
      </c>
      <c r="N17" s="231"/>
    </row>
    <row r="18" spans="2:14" ht="15.75" customHeight="1">
      <c r="B18" s="309">
        <v>8</v>
      </c>
      <c r="C18" s="226" t="s">
        <v>307</v>
      </c>
      <c r="D18" s="315" t="s">
        <v>281</v>
      </c>
      <c r="E18" s="314" t="s">
        <v>36</v>
      </c>
      <c r="F18" s="214" t="str">
        <f t="shared" si="0"/>
        <v>Baixa</v>
      </c>
      <c r="G18" s="218">
        <f t="shared" si="1"/>
        <v>7</v>
      </c>
      <c r="H18" s="413"/>
      <c r="I18" s="245"/>
      <c r="J18" s="250" t="str">
        <f t="shared" si="2"/>
        <v/>
      </c>
      <c r="K18" s="246"/>
      <c r="L18" s="217"/>
      <c r="M18" s="225" t="str">
        <f t="shared" si="3"/>
        <v/>
      </c>
      <c r="N18" s="231"/>
    </row>
    <row r="19" spans="2:14" ht="50.25" customHeight="1">
      <c r="B19" s="309">
        <v>9</v>
      </c>
      <c r="C19" s="226" t="s">
        <v>372</v>
      </c>
      <c r="D19" s="315" t="s">
        <v>281</v>
      </c>
      <c r="E19" s="314" t="s">
        <v>37</v>
      </c>
      <c r="F19" s="313" t="str">
        <f t="shared" ref="F19" si="8">IF(E19="","",IF(E19="EE","Média",IF(E19="CE","Média",IF(E19="SE","Média","Baixa"))))</f>
        <v>Média</v>
      </c>
      <c r="G19" s="310">
        <f t="shared" ref="G19" si="9">IF(E19="","",IF(E19="ALI",7,IF(E19="AIE",5,IF(E19="SE",5,IF(OR(E19="EE",E19="CE"),4)))))</f>
        <v>4</v>
      </c>
      <c r="H19" s="319" t="s">
        <v>373</v>
      </c>
      <c r="I19" s="308"/>
      <c r="J19" s="250" t="str">
        <f t="shared" ref="J19" si="10">IF(I19="","",IF(I19="ALI",7,IF(I19="AIE",5,IF(I19="SE",5,IF(OR(I19="EE",I19="CE"),4)))))</f>
        <v/>
      </c>
      <c r="K19" s="246"/>
      <c r="L19" s="312"/>
      <c r="M19" s="225" t="str">
        <f t="shared" ref="M19" si="11">IF(L19="","",IF(L19="ALI",7,IF(L19="AIE",5,IF(L19="SE",5,IF(OR(L19="EE",L19="CE"),4)))))</f>
        <v/>
      </c>
      <c r="N19" s="231"/>
    </row>
    <row r="20" spans="2:14" ht="79.5" customHeight="1">
      <c r="B20" s="309">
        <v>10</v>
      </c>
      <c r="C20" s="226" t="s">
        <v>327</v>
      </c>
      <c r="D20" s="315" t="s">
        <v>281</v>
      </c>
      <c r="E20" s="314" t="s">
        <v>35</v>
      </c>
      <c r="F20" s="214" t="str">
        <f t="shared" si="0"/>
        <v>Média</v>
      </c>
      <c r="G20" s="218">
        <f t="shared" si="1"/>
        <v>5</v>
      </c>
      <c r="H20" s="319" t="s">
        <v>330</v>
      </c>
      <c r="I20" s="245"/>
      <c r="J20" s="250" t="str">
        <f t="shared" si="2"/>
        <v/>
      </c>
      <c r="K20" s="246"/>
      <c r="L20" s="217"/>
      <c r="M20" s="225" t="str">
        <f t="shared" si="3"/>
        <v/>
      </c>
      <c r="N20" s="231"/>
    </row>
    <row r="21" spans="2:14" ht="73.5" customHeight="1">
      <c r="B21" s="309">
        <v>11</v>
      </c>
      <c r="C21" s="226" t="s">
        <v>308</v>
      </c>
      <c r="D21" s="315" t="s">
        <v>281</v>
      </c>
      <c r="E21" s="314" t="s">
        <v>38</v>
      </c>
      <c r="F21" s="214" t="str">
        <f t="shared" si="0"/>
        <v>Baixa</v>
      </c>
      <c r="G21" s="218">
        <f t="shared" si="1"/>
        <v>5</v>
      </c>
      <c r="H21" s="320" t="s">
        <v>365</v>
      </c>
      <c r="I21" s="245"/>
      <c r="J21" s="250" t="str">
        <f t="shared" si="2"/>
        <v/>
      </c>
      <c r="K21" s="246"/>
      <c r="L21" s="217"/>
      <c r="M21" s="225" t="str">
        <f t="shared" si="3"/>
        <v/>
      </c>
      <c r="N21" s="231"/>
    </row>
    <row r="22" spans="2:14" ht="34.5" customHeight="1">
      <c r="B22" s="309">
        <v>12</v>
      </c>
      <c r="C22" s="226" t="s">
        <v>306</v>
      </c>
      <c r="D22" s="315" t="s">
        <v>281</v>
      </c>
      <c r="E22" s="314" t="s">
        <v>37</v>
      </c>
      <c r="F22" s="214" t="str">
        <f t="shared" si="0"/>
        <v>Média</v>
      </c>
      <c r="G22" s="218">
        <f t="shared" si="1"/>
        <v>4</v>
      </c>
      <c r="H22" s="228" t="s">
        <v>328</v>
      </c>
      <c r="I22" s="245"/>
      <c r="J22" s="250" t="str">
        <f t="shared" si="2"/>
        <v/>
      </c>
      <c r="K22" s="246"/>
      <c r="L22" s="217"/>
      <c r="M22" s="225" t="str">
        <f t="shared" si="3"/>
        <v/>
      </c>
      <c r="N22" s="231"/>
    </row>
    <row r="23" spans="2:14">
      <c r="B23" s="327">
        <v>13</v>
      </c>
      <c r="C23" s="321" t="s">
        <v>331</v>
      </c>
      <c r="D23" s="322"/>
      <c r="E23" s="323"/>
      <c r="F23" s="324" t="str">
        <f t="shared" si="0"/>
        <v/>
      </c>
      <c r="G23" s="325" t="str">
        <f t="shared" si="1"/>
        <v/>
      </c>
      <c r="H23" s="326"/>
      <c r="I23" s="245"/>
      <c r="J23" s="250" t="str">
        <f t="shared" si="2"/>
        <v/>
      </c>
      <c r="K23" s="246"/>
      <c r="L23" s="217"/>
      <c r="M23" s="225" t="str">
        <f t="shared" si="3"/>
        <v/>
      </c>
      <c r="N23" s="231"/>
    </row>
    <row r="24" spans="2:14" ht="53.25" customHeight="1">
      <c r="B24" s="309">
        <v>14</v>
      </c>
      <c r="C24" s="226" t="s">
        <v>332</v>
      </c>
      <c r="D24" s="315" t="s">
        <v>281</v>
      </c>
      <c r="E24" s="314" t="s">
        <v>304</v>
      </c>
      <c r="F24" s="214" t="str">
        <f t="shared" si="0"/>
        <v>Média</v>
      </c>
      <c r="G24" s="218">
        <f t="shared" si="1"/>
        <v>4</v>
      </c>
      <c r="H24" s="412" t="s">
        <v>334</v>
      </c>
      <c r="I24" s="245"/>
      <c r="J24" s="250" t="str">
        <f t="shared" si="2"/>
        <v/>
      </c>
      <c r="K24" s="246"/>
      <c r="L24" s="217"/>
      <c r="M24" s="225" t="str">
        <f t="shared" si="3"/>
        <v/>
      </c>
      <c r="N24" s="231"/>
    </row>
    <row r="25" spans="2:14" ht="53.25" customHeight="1">
      <c r="B25" s="309">
        <v>15</v>
      </c>
      <c r="C25" s="299" t="s">
        <v>335</v>
      </c>
      <c r="D25" s="315" t="s">
        <v>281</v>
      </c>
      <c r="E25" s="314" t="s">
        <v>304</v>
      </c>
      <c r="F25" s="214" t="str">
        <f t="shared" si="0"/>
        <v>Média</v>
      </c>
      <c r="G25" s="218">
        <f t="shared" si="1"/>
        <v>4</v>
      </c>
      <c r="H25" s="414"/>
      <c r="I25" s="245"/>
      <c r="J25" s="250" t="str">
        <f t="shared" si="2"/>
        <v/>
      </c>
      <c r="K25" s="246"/>
      <c r="L25" s="217"/>
      <c r="M25" s="225" t="str">
        <f t="shared" si="3"/>
        <v/>
      </c>
      <c r="N25" s="231"/>
    </row>
    <row r="26" spans="2:14" ht="53.25" customHeight="1">
      <c r="B26" s="309">
        <v>16</v>
      </c>
      <c r="C26" s="226" t="s">
        <v>333</v>
      </c>
      <c r="D26" s="315" t="s">
        <v>281</v>
      </c>
      <c r="E26" s="314" t="s">
        <v>36</v>
      </c>
      <c r="F26" s="214" t="str">
        <f t="shared" si="0"/>
        <v>Baixa</v>
      </c>
      <c r="G26" s="218">
        <f t="shared" si="1"/>
        <v>7</v>
      </c>
      <c r="H26" s="413"/>
      <c r="I26" s="245"/>
      <c r="J26" s="250" t="str">
        <f t="shared" si="2"/>
        <v/>
      </c>
      <c r="K26" s="246"/>
      <c r="L26" s="217"/>
      <c r="M26" s="225" t="str">
        <f t="shared" si="3"/>
        <v/>
      </c>
      <c r="N26" s="231"/>
    </row>
    <row r="27" spans="2:14" ht="67.5" customHeight="1">
      <c r="B27" s="309">
        <v>17</v>
      </c>
      <c r="C27" s="226" t="s">
        <v>317</v>
      </c>
      <c r="D27" s="315" t="s">
        <v>281</v>
      </c>
      <c r="E27" s="314" t="s">
        <v>36</v>
      </c>
      <c r="F27" s="214" t="str">
        <f t="shared" si="0"/>
        <v>Baixa</v>
      </c>
      <c r="G27" s="218">
        <f t="shared" si="1"/>
        <v>7</v>
      </c>
      <c r="H27" s="412" t="s">
        <v>336</v>
      </c>
      <c r="I27" s="245"/>
      <c r="J27" s="250" t="str">
        <f t="shared" si="2"/>
        <v/>
      </c>
      <c r="K27" s="246"/>
      <c r="L27" s="217"/>
      <c r="M27" s="225" t="str">
        <f t="shared" si="3"/>
        <v/>
      </c>
      <c r="N27" s="231"/>
    </row>
    <row r="28" spans="2:14" ht="67.5" customHeight="1">
      <c r="B28" s="309">
        <v>18</v>
      </c>
      <c r="C28" s="226" t="s">
        <v>318</v>
      </c>
      <c r="D28" s="315" t="s">
        <v>281</v>
      </c>
      <c r="E28" s="314" t="s">
        <v>37</v>
      </c>
      <c r="F28" s="289" t="str">
        <f t="shared" ref="F28" si="12">IF(E28="","",IF(E28="EE","Média",IF(E28="CE","Média",IF(E28="SE","Média","Baixa"))))</f>
        <v>Média</v>
      </c>
      <c r="G28" s="287">
        <f t="shared" ref="G28" si="13">IF(E28="","",IF(E28="ALI",7,IF(E28="AIE",5,IF(E28="SE",5,IF(OR(E28="EE",E28="CE"),4)))))</f>
        <v>4</v>
      </c>
      <c r="H28" s="413"/>
      <c r="I28" s="286"/>
      <c r="J28" s="250" t="str">
        <f t="shared" ref="J28" si="14">IF(I28="","",IF(I28="ALI",7,IF(I28="AIE",5,IF(I28="SE",5,IF(OR(I28="EE",I28="CE"),4)))))</f>
        <v/>
      </c>
      <c r="K28" s="246"/>
      <c r="L28" s="288"/>
      <c r="M28" s="225" t="str">
        <f t="shared" ref="M28" si="15">IF(L28="","",IF(L28="ALI",7,IF(L28="AIE",5,IF(L28="SE",5,IF(OR(L28="EE",L28="CE"),4)))))</f>
        <v/>
      </c>
      <c r="N28" s="231"/>
    </row>
    <row r="29" spans="2:14" ht="54.75" customHeight="1">
      <c r="B29" s="309">
        <v>19</v>
      </c>
      <c r="C29" s="226" t="s">
        <v>338</v>
      </c>
      <c r="D29" s="315" t="s">
        <v>281</v>
      </c>
      <c r="E29" s="314" t="s">
        <v>304</v>
      </c>
      <c r="F29" s="214" t="str">
        <f t="shared" si="0"/>
        <v>Média</v>
      </c>
      <c r="G29" s="218">
        <f t="shared" si="1"/>
        <v>4</v>
      </c>
      <c r="H29" s="412" t="s">
        <v>337</v>
      </c>
      <c r="I29" s="245"/>
      <c r="J29" s="250" t="str">
        <f t="shared" si="2"/>
        <v/>
      </c>
      <c r="K29" s="246"/>
      <c r="L29" s="217"/>
      <c r="M29" s="225" t="str">
        <f t="shared" si="3"/>
        <v/>
      </c>
      <c r="N29" s="231"/>
    </row>
    <row r="30" spans="2:14" ht="54.75" customHeight="1">
      <c r="B30" s="309">
        <v>20</v>
      </c>
      <c r="C30" s="226" t="s">
        <v>339</v>
      </c>
      <c r="D30" s="315" t="s">
        <v>281</v>
      </c>
      <c r="E30" s="314" t="s">
        <v>36</v>
      </c>
      <c r="F30" s="214" t="str">
        <f t="shared" si="0"/>
        <v>Baixa</v>
      </c>
      <c r="G30" s="218">
        <f t="shared" si="1"/>
        <v>7</v>
      </c>
      <c r="H30" s="413"/>
      <c r="I30" s="245"/>
      <c r="J30" s="250" t="str">
        <f t="shared" si="2"/>
        <v/>
      </c>
      <c r="K30" s="246"/>
      <c r="L30" s="217"/>
      <c r="M30" s="225" t="str">
        <f t="shared" si="3"/>
        <v/>
      </c>
      <c r="N30" s="231"/>
    </row>
    <row r="31" spans="2:14">
      <c r="B31" s="327">
        <v>21</v>
      </c>
      <c r="C31" s="321" t="s">
        <v>340</v>
      </c>
      <c r="D31" s="322"/>
      <c r="E31" s="323"/>
      <c r="F31" s="324" t="str">
        <f t="shared" si="0"/>
        <v/>
      </c>
      <c r="G31" s="325" t="str">
        <f t="shared" si="1"/>
        <v/>
      </c>
      <c r="H31" s="326"/>
      <c r="I31" s="245"/>
      <c r="J31" s="250" t="str">
        <f t="shared" si="2"/>
        <v/>
      </c>
      <c r="K31" s="246"/>
      <c r="L31" s="217"/>
      <c r="M31" s="225" t="str">
        <f t="shared" si="3"/>
        <v/>
      </c>
      <c r="N31" s="231"/>
    </row>
    <row r="32" spans="2:14" ht="170.25" customHeight="1">
      <c r="B32" s="309">
        <v>22</v>
      </c>
      <c r="C32" s="226" t="s">
        <v>309</v>
      </c>
      <c r="D32" s="315" t="s">
        <v>281</v>
      </c>
      <c r="E32" s="314" t="s">
        <v>38</v>
      </c>
      <c r="F32" s="214" t="str">
        <f t="shared" si="0"/>
        <v>Baixa</v>
      </c>
      <c r="G32" s="218">
        <f t="shared" si="1"/>
        <v>5</v>
      </c>
      <c r="H32" s="228" t="s">
        <v>364</v>
      </c>
      <c r="I32" s="245"/>
      <c r="J32" s="250" t="str">
        <f t="shared" si="2"/>
        <v/>
      </c>
      <c r="K32" s="246"/>
      <c r="L32" s="217"/>
      <c r="M32" s="225" t="str">
        <f t="shared" si="3"/>
        <v/>
      </c>
      <c r="N32" s="231"/>
    </row>
    <row r="33" spans="2:14" ht="70.5" customHeight="1">
      <c r="B33" s="309">
        <v>23</v>
      </c>
      <c r="C33" s="226" t="s">
        <v>310</v>
      </c>
      <c r="D33" s="315" t="s">
        <v>281</v>
      </c>
      <c r="E33" s="314" t="s">
        <v>38</v>
      </c>
      <c r="F33" s="214" t="str">
        <f t="shared" si="0"/>
        <v>Baixa</v>
      </c>
      <c r="G33" s="218">
        <f t="shared" si="1"/>
        <v>5</v>
      </c>
      <c r="H33" s="228" t="s">
        <v>366</v>
      </c>
      <c r="I33" s="245"/>
      <c r="J33" s="250" t="str">
        <f t="shared" si="2"/>
        <v/>
      </c>
      <c r="K33" s="246"/>
      <c r="L33" s="217"/>
      <c r="M33" s="225" t="str">
        <f t="shared" si="3"/>
        <v/>
      </c>
      <c r="N33" s="231"/>
    </row>
    <row r="34" spans="2:14" ht="57.75" customHeight="1">
      <c r="B34" s="309">
        <v>24</v>
      </c>
      <c r="C34" s="316" t="s">
        <v>370</v>
      </c>
      <c r="D34" s="315" t="s">
        <v>281</v>
      </c>
      <c r="E34" s="314" t="s">
        <v>304</v>
      </c>
      <c r="F34" s="317" t="str">
        <f t="shared" si="0"/>
        <v>Média</v>
      </c>
      <c r="G34" s="310">
        <f t="shared" si="1"/>
        <v>4</v>
      </c>
      <c r="H34" s="412" t="s">
        <v>367</v>
      </c>
      <c r="I34" s="308"/>
      <c r="J34" s="250" t="str">
        <f t="shared" si="2"/>
        <v/>
      </c>
      <c r="K34" s="246"/>
      <c r="L34" s="312"/>
      <c r="M34" s="225" t="str">
        <f t="shared" si="3"/>
        <v/>
      </c>
      <c r="N34" s="231"/>
    </row>
    <row r="35" spans="2:14" ht="57.75" customHeight="1">
      <c r="B35" s="309">
        <v>25</v>
      </c>
      <c r="C35" s="316" t="s">
        <v>368</v>
      </c>
      <c r="D35" s="315" t="s">
        <v>281</v>
      </c>
      <c r="E35" s="314" t="s">
        <v>304</v>
      </c>
      <c r="F35" s="317" t="str">
        <f t="shared" si="0"/>
        <v>Média</v>
      </c>
      <c r="G35" s="310">
        <f t="shared" si="1"/>
        <v>4</v>
      </c>
      <c r="H35" s="414"/>
      <c r="I35" s="308"/>
      <c r="J35" s="250" t="str">
        <f t="shared" si="2"/>
        <v/>
      </c>
      <c r="K35" s="246"/>
      <c r="L35" s="312"/>
      <c r="M35" s="225" t="str">
        <f t="shared" si="3"/>
        <v/>
      </c>
      <c r="N35" s="231"/>
    </row>
    <row r="36" spans="2:14" ht="57.75" customHeight="1">
      <c r="B36" s="309">
        <v>26</v>
      </c>
      <c r="C36" s="316" t="s">
        <v>369</v>
      </c>
      <c r="D36" s="315" t="s">
        <v>281</v>
      </c>
      <c r="E36" s="314" t="s">
        <v>304</v>
      </c>
      <c r="F36" s="317" t="str">
        <f t="shared" si="0"/>
        <v>Média</v>
      </c>
      <c r="G36" s="310">
        <f t="shared" si="1"/>
        <v>4</v>
      </c>
      <c r="H36" s="413"/>
      <c r="I36" s="308"/>
      <c r="J36" s="250" t="str">
        <f t="shared" si="2"/>
        <v/>
      </c>
      <c r="K36" s="246"/>
      <c r="L36" s="312"/>
      <c r="M36" s="225" t="str">
        <f t="shared" si="3"/>
        <v/>
      </c>
      <c r="N36" s="231"/>
    </row>
    <row r="37" spans="2:14" ht="103.5" customHeight="1">
      <c r="B37" s="309">
        <v>27</v>
      </c>
      <c r="C37" s="226" t="s">
        <v>341</v>
      </c>
      <c r="D37" s="315" t="s">
        <v>281</v>
      </c>
      <c r="E37" s="314" t="s">
        <v>37</v>
      </c>
      <c r="F37" s="214" t="str">
        <f t="shared" si="0"/>
        <v>Média</v>
      </c>
      <c r="G37" s="218">
        <f t="shared" si="1"/>
        <v>4</v>
      </c>
      <c r="H37" s="228" t="s">
        <v>342</v>
      </c>
      <c r="I37" s="245"/>
      <c r="J37" s="250" t="str">
        <f t="shared" si="2"/>
        <v/>
      </c>
      <c r="K37" s="246"/>
      <c r="L37" s="217"/>
      <c r="M37" s="225" t="str">
        <f t="shared" si="3"/>
        <v/>
      </c>
      <c r="N37" s="231"/>
    </row>
    <row r="38" spans="2:14" ht="49.5" customHeight="1">
      <c r="B38" s="309">
        <v>28</v>
      </c>
      <c r="C38" s="226" t="s">
        <v>343</v>
      </c>
      <c r="D38" s="315" t="s">
        <v>281</v>
      </c>
      <c r="E38" s="314" t="s">
        <v>304</v>
      </c>
      <c r="F38" s="214" t="str">
        <f t="shared" si="0"/>
        <v>Média</v>
      </c>
      <c r="G38" s="218">
        <f t="shared" si="1"/>
        <v>4</v>
      </c>
      <c r="H38" s="228" t="s">
        <v>344</v>
      </c>
      <c r="I38" s="245"/>
      <c r="J38" s="250" t="str">
        <f t="shared" si="2"/>
        <v/>
      </c>
      <c r="K38" s="246"/>
      <c r="L38" s="217"/>
      <c r="M38" s="225" t="str">
        <f t="shared" si="3"/>
        <v/>
      </c>
      <c r="N38" s="231"/>
    </row>
    <row r="39" spans="2:14" ht="53.25" customHeight="1">
      <c r="B39" s="309">
        <v>29</v>
      </c>
      <c r="C39" s="226" t="s">
        <v>346</v>
      </c>
      <c r="D39" s="315" t="s">
        <v>281</v>
      </c>
      <c r="E39" s="314" t="s">
        <v>304</v>
      </c>
      <c r="F39" s="214" t="str">
        <f t="shared" si="0"/>
        <v>Média</v>
      </c>
      <c r="G39" s="218">
        <f t="shared" si="1"/>
        <v>4</v>
      </c>
      <c r="H39" s="228" t="s">
        <v>345</v>
      </c>
      <c r="I39" s="245"/>
      <c r="J39" s="250" t="str">
        <f t="shared" si="2"/>
        <v/>
      </c>
      <c r="K39" s="246"/>
      <c r="L39" s="217"/>
      <c r="M39" s="225" t="str">
        <f t="shared" si="3"/>
        <v/>
      </c>
      <c r="N39" s="231"/>
    </row>
    <row r="40" spans="2:14" ht="88.5" customHeight="1">
      <c r="B40" s="309">
        <v>30</v>
      </c>
      <c r="C40" s="226" t="s">
        <v>347</v>
      </c>
      <c r="D40" s="315" t="s">
        <v>281</v>
      </c>
      <c r="E40" s="314" t="s">
        <v>37</v>
      </c>
      <c r="F40" s="214" t="str">
        <f t="shared" si="0"/>
        <v>Média</v>
      </c>
      <c r="G40" s="218">
        <f t="shared" si="1"/>
        <v>4</v>
      </c>
      <c r="H40" s="228" t="s">
        <v>348</v>
      </c>
      <c r="I40" s="245"/>
      <c r="J40" s="250" t="str">
        <f t="shared" si="2"/>
        <v/>
      </c>
      <c r="K40" s="246"/>
      <c r="L40" s="217"/>
      <c r="M40" s="225" t="str">
        <f t="shared" si="3"/>
        <v/>
      </c>
      <c r="N40" s="231"/>
    </row>
    <row r="41" spans="2:14" ht="60.75" customHeight="1">
      <c r="B41" s="309">
        <v>31</v>
      </c>
      <c r="C41" s="226" t="s">
        <v>371</v>
      </c>
      <c r="D41" s="315" t="s">
        <v>281</v>
      </c>
      <c r="E41" s="314" t="s">
        <v>304</v>
      </c>
      <c r="F41" s="214" t="str">
        <f t="shared" si="0"/>
        <v>Média</v>
      </c>
      <c r="G41" s="218">
        <f t="shared" si="1"/>
        <v>4</v>
      </c>
      <c r="H41" s="228" t="s">
        <v>349</v>
      </c>
      <c r="I41" s="245"/>
      <c r="J41" s="250" t="str">
        <f t="shared" si="2"/>
        <v/>
      </c>
      <c r="K41" s="246"/>
      <c r="L41" s="217"/>
      <c r="M41" s="225" t="str">
        <f t="shared" si="3"/>
        <v/>
      </c>
      <c r="N41" s="231"/>
    </row>
    <row r="42" spans="2:14" ht="50.25" customHeight="1">
      <c r="B42" s="309">
        <v>32</v>
      </c>
      <c r="C42" s="226" t="s">
        <v>374</v>
      </c>
      <c r="D42" s="315" t="s">
        <v>281</v>
      </c>
      <c r="E42" s="314" t="s">
        <v>37</v>
      </c>
      <c r="F42" s="214" t="str">
        <f t="shared" si="0"/>
        <v>Média</v>
      </c>
      <c r="G42" s="218">
        <f t="shared" si="1"/>
        <v>4</v>
      </c>
      <c r="H42" s="228" t="s">
        <v>350</v>
      </c>
      <c r="I42" s="245"/>
      <c r="J42" s="250" t="str">
        <f t="shared" si="2"/>
        <v/>
      </c>
      <c r="K42" s="246"/>
      <c r="L42" s="217"/>
      <c r="M42" s="225" t="str">
        <f t="shared" si="3"/>
        <v/>
      </c>
      <c r="N42" s="231"/>
    </row>
    <row r="43" spans="2:14" ht="21.75" customHeight="1">
      <c r="B43" s="309">
        <v>33</v>
      </c>
      <c r="C43" s="226" t="s">
        <v>351</v>
      </c>
      <c r="D43" s="315" t="s">
        <v>281</v>
      </c>
      <c r="E43" s="314" t="s">
        <v>304</v>
      </c>
      <c r="F43" s="214" t="str">
        <f t="shared" si="0"/>
        <v>Média</v>
      </c>
      <c r="G43" s="218">
        <f t="shared" si="1"/>
        <v>4</v>
      </c>
      <c r="H43" s="412" t="s">
        <v>353</v>
      </c>
      <c r="I43" s="245"/>
      <c r="J43" s="250" t="str">
        <f t="shared" si="2"/>
        <v/>
      </c>
      <c r="K43" s="246"/>
      <c r="L43" s="217"/>
      <c r="M43" s="225" t="str">
        <f t="shared" si="3"/>
        <v/>
      </c>
      <c r="N43" s="231"/>
    </row>
    <row r="44" spans="2:14" ht="21.75" customHeight="1">
      <c r="B44" s="309">
        <v>34</v>
      </c>
      <c r="C44" s="226" t="s">
        <v>352</v>
      </c>
      <c r="D44" s="315" t="s">
        <v>281</v>
      </c>
      <c r="E44" s="314" t="s">
        <v>37</v>
      </c>
      <c r="F44" s="214" t="str">
        <f t="shared" si="0"/>
        <v>Média</v>
      </c>
      <c r="G44" s="218">
        <f t="shared" si="1"/>
        <v>4</v>
      </c>
      <c r="H44" s="413"/>
      <c r="I44" s="245"/>
      <c r="J44" s="250" t="str">
        <f t="shared" si="2"/>
        <v/>
      </c>
      <c r="K44" s="246"/>
      <c r="L44" s="217"/>
      <c r="M44" s="225" t="str">
        <f t="shared" si="3"/>
        <v/>
      </c>
      <c r="N44" s="231"/>
    </row>
    <row r="45" spans="2:14" ht="100.5" customHeight="1">
      <c r="B45" s="309">
        <v>35</v>
      </c>
      <c r="C45" s="226" t="s">
        <v>354</v>
      </c>
      <c r="D45" s="315" t="s">
        <v>281</v>
      </c>
      <c r="E45" s="314" t="s">
        <v>37</v>
      </c>
      <c r="F45" s="214" t="str">
        <f t="shared" si="0"/>
        <v>Média</v>
      </c>
      <c r="G45" s="218">
        <f t="shared" si="1"/>
        <v>4</v>
      </c>
      <c r="H45" s="228" t="s">
        <v>358</v>
      </c>
      <c r="I45" s="245"/>
      <c r="J45" s="250" t="str">
        <f t="shared" si="2"/>
        <v/>
      </c>
      <c r="K45" s="246"/>
      <c r="L45" s="217"/>
      <c r="M45" s="225" t="str">
        <f t="shared" si="3"/>
        <v/>
      </c>
      <c r="N45" s="231"/>
    </row>
    <row r="46" spans="2:14" ht="37.5" customHeight="1">
      <c r="B46" s="309">
        <v>36</v>
      </c>
      <c r="C46" s="226" t="s">
        <v>355</v>
      </c>
      <c r="D46" s="315" t="s">
        <v>281</v>
      </c>
      <c r="E46" s="314" t="s">
        <v>37</v>
      </c>
      <c r="F46" s="313" t="str">
        <f t="shared" si="0"/>
        <v>Média</v>
      </c>
      <c r="G46" s="310">
        <f t="shared" si="1"/>
        <v>4</v>
      </c>
      <c r="H46" s="228" t="s">
        <v>356</v>
      </c>
      <c r="I46" s="308"/>
      <c r="J46" s="250" t="str">
        <f t="shared" si="2"/>
        <v/>
      </c>
      <c r="K46" s="246"/>
      <c r="L46" s="312"/>
      <c r="M46" s="225" t="str">
        <f t="shared" si="3"/>
        <v/>
      </c>
      <c r="N46" s="231"/>
    </row>
    <row r="47" spans="2:14" ht="47.25" customHeight="1">
      <c r="B47" s="309">
        <v>37</v>
      </c>
      <c r="C47" s="226" t="s">
        <v>357</v>
      </c>
      <c r="D47" s="315" t="s">
        <v>281</v>
      </c>
      <c r="E47" s="314" t="s">
        <v>37</v>
      </c>
      <c r="F47" s="313" t="str">
        <f t="shared" ref="F47" si="16">IF(E47="","",IF(E47="EE","Média",IF(E47="CE","Média",IF(E47="SE","Média","Baixa"))))</f>
        <v>Média</v>
      </c>
      <c r="G47" s="310">
        <f t="shared" ref="G47" si="17">IF(E47="","",IF(E47="ALI",7,IF(E47="AIE",5,IF(E47="SE",5,IF(OR(E47="EE",E47="CE"),4)))))</f>
        <v>4</v>
      </c>
      <c r="H47" s="228" t="s">
        <v>360</v>
      </c>
      <c r="I47" s="308"/>
      <c r="J47" s="250" t="str">
        <f t="shared" ref="J47" si="18">IF(I47="","",IF(I47="ALI",7,IF(I47="AIE",5,IF(I47="SE",5,IF(OR(I47="EE",I47="CE"),4)))))</f>
        <v/>
      </c>
      <c r="K47" s="246"/>
      <c r="L47" s="312"/>
      <c r="M47" s="225" t="str">
        <f t="shared" ref="M47" si="19">IF(L47="","",IF(L47="ALI",7,IF(L47="AIE",5,IF(L47="SE",5,IF(OR(L47="EE",L47="CE"),4)))))</f>
        <v/>
      </c>
      <c r="N47" s="231"/>
    </row>
    <row r="48" spans="2:14">
      <c r="B48" s="309">
        <v>38</v>
      </c>
      <c r="C48" s="226" t="s">
        <v>311</v>
      </c>
      <c r="D48" s="315" t="s">
        <v>281</v>
      </c>
      <c r="E48" s="314" t="s">
        <v>36</v>
      </c>
      <c r="F48" s="313" t="str">
        <f t="shared" si="0"/>
        <v>Baixa</v>
      </c>
      <c r="G48" s="310">
        <f t="shared" si="1"/>
        <v>7</v>
      </c>
      <c r="H48" s="228"/>
      <c r="I48" s="308"/>
      <c r="J48" s="250" t="str">
        <f t="shared" si="2"/>
        <v/>
      </c>
      <c r="K48" s="246"/>
      <c r="L48" s="312"/>
      <c r="M48" s="225" t="str">
        <f t="shared" si="3"/>
        <v/>
      </c>
      <c r="N48" s="231"/>
    </row>
    <row r="49" spans="2:14" ht="72.75" customHeight="1">
      <c r="B49" s="309">
        <v>39</v>
      </c>
      <c r="C49" s="226" t="s">
        <v>359</v>
      </c>
      <c r="D49" s="315" t="s">
        <v>281</v>
      </c>
      <c r="E49" s="314" t="s">
        <v>37</v>
      </c>
      <c r="F49" s="313" t="str">
        <f t="shared" si="0"/>
        <v>Média</v>
      </c>
      <c r="G49" s="310">
        <f t="shared" si="1"/>
        <v>4</v>
      </c>
      <c r="H49" s="228" t="s">
        <v>361</v>
      </c>
      <c r="I49" s="308"/>
      <c r="J49" s="250" t="str">
        <f t="shared" si="2"/>
        <v/>
      </c>
      <c r="K49" s="246"/>
      <c r="L49" s="312"/>
      <c r="M49" s="225" t="str">
        <f t="shared" si="3"/>
        <v/>
      </c>
      <c r="N49" s="231"/>
    </row>
    <row r="50" spans="2:14" ht="34.5" customHeight="1">
      <c r="B50" s="309">
        <v>40</v>
      </c>
      <c r="C50" s="316" t="s">
        <v>320</v>
      </c>
      <c r="D50" s="315" t="s">
        <v>281</v>
      </c>
      <c r="E50" s="314" t="s">
        <v>38</v>
      </c>
      <c r="F50" s="214" t="str">
        <f t="shared" si="0"/>
        <v>Baixa</v>
      </c>
      <c r="G50" s="218">
        <f t="shared" si="1"/>
        <v>5</v>
      </c>
      <c r="H50" s="228" t="s">
        <v>362</v>
      </c>
      <c r="I50" s="245"/>
      <c r="J50" s="250" t="str">
        <f t="shared" si="2"/>
        <v/>
      </c>
      <c r="K50" s="246"/>
      <c r="L50" s="217"/>
      <c r="M50" s="225" t="str">
        <f t="shared" si="3"/>
        <v/>
      </c>
      <c r="N50" s="231"/>
    </row>
    <row r="51" spans="2:14" ht="30" customHeight="1">
      <c r="B51" s="309">
        <v>41</v>
      </c>
      <c r="C51" s="316" t="s">
        <v>319</v>
      </c>
      <c r="D51" s="315" t="s">
        <v>281</v>
      </c>
      <c r="E51" s="314" t="s">
        <v>38</v>
      </c>
      <c r="F51" s="214" t="str">
        <f t="shared" si="0"/>
        <v>Baixa</v>
      </c>
      <c r="G51" s="218">
        <f t="shared" si="1"/>
        <v>5</v>
      </c>
      <c r="H51" s="228" t="s">
        <v>363</v>
      </c>
      <c r="I51" s="245"/>
      <c r="J51" s="250" t="str">
        <f t="shared" si="2"/>
        <v/>
      </c>
      <c r="K51" s="246"/>
      <c r="L51" s="217"/>
      <c r="M51" s="225" t="str">
        <f t="shared" si="3"/>
        <v/>
      </c>
      <c r="N51" s="231"/>
    </row>
    <row r="52" spans="2:14">
      <c r="B52" s="309">
        <v>42</v>
      </c>
      <c r="C52" s="226" t="s">
        <v>313</v>
      </c>
      <c r="D52" s="315" t="s">
        <v>281</v>
      </c>
      <c r="E52" s="314" t="s">
        <v>304</v>
      </c>
      <c r="F52" s="214" t="str">
        <f t="shared" si="0"/>
        <v>Média</v>
      </c>
      <c r="G52" s="218">
        <f t="shared" si="1"/>
        <v>4</v>
      </c>
      <c r="H52" s="412" t="s">
        <v>375</v>
      </c>
      <c r="I52" s="245"/>
      <c r="J52" s="250" t="str">
        <f t="shared" si="2"/>
        <v/>
      </c>
      <c r="K52" s="246"/>
      <c r="L52" s="217"/>
      <c r="M52" s="225" t="str">
        <f t="shared" si="3"/>
        <v/>
      </c>
      <c r="N52" s="231"/>
    </row>
    <row r="53" spans="2:14">
      <c r="B53" s="309">
        <v>43</v>
      </c>
      <c r="C53" s="226" t="s">
        <v>314</v>
      </c>
      <c r="D53" s="315" t="s">
        <v>281</v>
      </c>
      <c r="E53" s="314" t="s">
        <v>304</v>
      </c>
      <c r="F53" s="214" t="str">
        <f t="shared" si="0"/>
        <v>Média</v>
      </c>
      <c r="G53" s="218">
        <f t="shared" si="1"/>
        <v>4</v>
      </c>
      <c r="H53" s="414"/>
      <c r="I53" s="245"/>
      <c r="J53" s="250" t="str">
        <f t="shared" si="2"/>
        <v/>
      </c>
      <c r="K53" s="246"/>
      <c r="L53" s="217"/>
      <c r="M53" s="225" t="str">
        <f t="shared" si="3"/>
        <v/>
      </c>
      <c r="N53" s="231"/>
    </row>
    <row r="54" spans="2:14">
      <c r="B54" s="309">
        <v>44</v>
      </c>
      <c r="C54" s="226" t="s">
        <v>312</v>
      </c>
      <c r="D54" s="315" t="s">
        <v>281</v>
      </c>
      <c r="E54" s="314" t="s">
        <v>37</v>
      </c>
      <c r="F54" s="214" t="str">
        <f t="shared" si="0"/>
        <v>Média</v>
      </c>
      <c r="G54" s="218">
        <f t="shared" si="1"/>
        <v>4</v>
      </c>
      <c r="H54" s="414"/>
      <c r="I54" s="245"/>
      <c r="J54" s="250" t="str">
        <f t="shared" si="2"/>
        <v/>
      </c>
      <c r="K54" s="246"/>
      <c r="L54" s="217"/>
      <c r="M54" s="225" t="str">
        <f t="shared" si="3"/>
        <v/>
      </c>
      <c r="N54" s="231"/>
    </row>
    <row r="55" spans="2:14">
      <c r="B55" s="309">
        <v>45</v>
      </c>
      <c r="C55" s="226" t="s">
        <v>315</v>
      </c>
      <c r="D55" s="315" t="s">
        <v>281</v>
      </c>
      <c r="E55" s="314" t="s">
        <v>304</v>
      </c>
      <c r="F55" s="214" t="str">
        <f t="shared" si="0"/>
        <v>Média</v>
      </c>
      <c r="G55" s="218">
        <f t="shared" si="1"/>
        <v>4</v>
      </c>
      <c r="H55" s="414"/>
      <c r="I55" s="245"/>
      <c r="J55" s="250" t="str">
        <f t="shared" si="2"/>
        <v/>
      </c>
      <c r="K55" s="246"/>
      <c r="L55" s="217"/>
      <c r="M55" s="225" t="str">
        <f t="shared" si="3"/>
        <v/>
      </c>
      <c r="N55" s="231"/>
    </row>
    <row r="56" spans="2:14">
      <c r="B56" s="309">
        <v>46</v>
      </c>
      <c r="C56" s="226" t="s">
        <v>316</v>
      </c>
      <c r="D56" s="315" t="s">
        <v>281</v>
      </c>
      <c r="E56" s="314" t="s">
        <v>36</v>
      </c>
      <c r="F56" s="214" t="str">
        <f t="shared" si="0"/>
        <v>Baixa</v>
      </c>
      <c r="G56" s="218">
        <f t="shared" si="1"/>
        <v>7</v>
      </c>
      <c r="H56" s="413"/>
      <c r="I56" s="245"/>
      <c r="J56" s="250" t="str">
        <f t="shared" si="2"/>
        <v/>
      </c>
      <c r="K56" s="246"/>
      <c r="L56" s="217"/>
      <c r="M56" s="225" t="str">
        <f t="shared" si="3"/>
        <v/>
      </c>
      <c r="N56" s="231"/>
    </row>
    <row r="57" spans="2:14">
      <c r="B57" s="309">
        <v>47</v>
      </c>
      <c r="C57" s="226"/>
      <c r="D57" s="315"/>
      <c r="E57" s="290"/>
      <c r="F57" s="214" t="str">
        <f t="shared" si="0"/>
        <v/>
      </c>
      <c r="G57" s="218" t="str">
        <f t="shared" si="1"/>
        <v/>
      </c>
      <c r="H57" s="228"/>
      <c r="I57" s="245"/>
      <c r="J57" s="250" t="str">
        <f t="shared" si="2"/>
        <v/>
      </c>
      <c r="K57" s="246"/>
      <c r="L57" s="217"/>
      <c r="M57" s="225" t="str">
        <f t="shared" si="3"/>
        <v/>
      </c>
      <c r="N57" s="231"/>
    </row>
    <row r="58" spans="2:14">
      <c r="B58" s="309">
        <v>48</v>
      </c>
      <c r="C58" s="226"/>
      <c r="D58" s="315"/>
      <c r="E58" s="290"/>
      <c r="F58" s="214" t="str">
        <f t="shared" si="0"/>
        <v/>
      </c>
      <c r="G58" s="218" t="str">
        <f t="shared" si="1"/>
        <v/>
      </c>
      <c r="H58" s="228"/>
      <c r="I58" s="245"/>
      <c r="J58" s="250" t="str">
        <f t="shared" si="2"/>
        <v/>
      </c>
      <c r="K58" s="246"/>
      <c r="L58" s="217"/>
      <c r="M58" s="225" t="str">
        <f t="shared" si="3"/>
        <v/>
      </c>
      <c r="N58" s="231"/>
    </row>
    <row r="59" spans="2:14">
      <c r="B59" s="309">
        <v>49</v>
      </c>
      <c r="C59" s="226"/>
      <c r="D59" s="315"/>
      <c r="E59" s="290"/>
      <c r="F59" s="214" t="str">
        <f t="shared" si="0"/>
        <v/>
      </c>
      <c r="G59" s="218" t="str">
        <f t="shared" si="1"/>
        <v/>
      </c>
      <c r="H59" s="228"/>
      <c r="I59" s="245"/>
      <c r="J59" s="250" t="str">
        <f t="shared" si="2"/>
        <v/>
      </c>
      <c r="K59" s="246"/>
      <c r="L59" s="217"/>
      <c r="M59" s="225" t="str">
        <f t="shared" si="3"/>
        <v/>
      </c>
      <c r="N59" s="231"/>
    </row>
    <row r="60" spans="2:14">
      <c r="B60" s="309">
        <v>50</v>
      </c>
      <c r="C60" s="226"/>
      <c r="D60" s="315"/>
      <c r="E60" s="290"/>
      <c r="F60" s="214" t="str">
        <f t="shared" si="0"/>
        <v/>
      </c>
      <c r="G60" s="218" t="str">
        <f t="shared" si="1"/>
        <v/>
      </c>
      <c r="H60" s="228"/>
      <c r="I60" s="245"/>
      <c r="J60" s="250" t="str">
        <f t="shared" si="2"/>
        <v/>
      </c>
      <c r="K60" s="246"/>
      <c r="L60" s="217"/>
      <c r="M60" s="225" t="str">
        <f t="shared" si="3"/>
        <v/>
      </c>
      <c r="N60" s="231"/>
    </row>
    <row r="61" spans="2:14">
      <c r="B61" s="309">
        <v>51</v>
      </c>
      <c r="C61" s="226"/>
      <c r="D61" s="315"/>
      <c r="E61" s="290"/>
      <c r="F61" s="214" t="str">
        <f t="shared" si="0"/>
        <v/>
      </c>
      <c r="G61" s="218" t="str">
        <f t="shared" si="1"/>
        <v/>
      </c>
      <c r="H61" s="228"/>
      <c r="I61" s="245"/>
      <c r="J61" s="250" t="str">
        <f t="shared" si="2"/>
        <v/>
      </c>
      <c r="K61" s="246"/>
      <c r="L61" s="217"/>
      <c r="M61" s="225" t="str">
        <f t="shared" si="3"/>
        <v/>
      </c>
      <c r="N61" s="231"/>
    </row>
    <row r="62" spans="2:14">
      <c r="B62" s="309">
        <v>52</v>
      </c>
      <c r="C62" s="226"/>
      <c r="D62" s="315"/>
      <c r="E62" s="290"/>
      <c r="F62" s="214" t="str">
        <f t="shared" si="0"/>
        <v/>
      </c>
      <c r="G62" s="218" t="str">
        <f t="shared" si="1"/>
        <v/>
      </c>
      <c r="H62" s="228"/>
      <c r="I62" s="245"/>
      <c r="J62" s="250" t="str">
        <f t="shared" si="2"/>
        <v/>
      </c>
      <c r="K62" s="246"/>
      <c r="L62" s="217"/>
      <c r="M62" s="225" t="str">
        <f t="shared" si="3"/>
        <v/>
      </c>
      <c r="N62" s="231"/>
    </row>
    <row r="63" spans="2:14">
      <c r="B63" s="309">
        <v>53</v>
      </c>
      <c r="C63" s="226"/>
      <c r="D63" s="315"/>
      <c r="E63" s="220"/>
      <c r="F63" s="214" t="str">
        <f t="shared" si="0"/>
        <v/>
      </c>
      <c r="G63" s="218" t="str">
        <f t="shared" si="1"/>
        <v/>
      </c>
      <c r="H63" s="228"/>
      <c r="I63" s="245"/>
      <c r="J63" s="250" t="str">
        <f t="shared" si="2"/>
        <v/>
      </c>
      <c r="K63" s="246"/>
      <c r="L63" s="217"/>
      <c r="M63" s="225" t="str">
        <f t="shared" si="3"/>
        <v/>
      </c>
      <c r="N63" s="231"/>
    </row>
    <row r="64" spans="2:14">
      <c r="B64" s="309">
        <v>54</v>
      </c>
      <c r="C64" s="226"/>
      <c r="D64" s="315"/>
      <c r="E64" s="220"/>
      <c r="F64" s="214" t="str">
        <f t="shared" si="0"/>
        <v/>
      </c>
      <c r="G64" s="218" t="str">
        <f t="shared" si="1"/>
        <v/>
      </c>
      <c r="H64" s="228"/>
      <c r="I64" s="245"/>
      <c r="J64" s="250" t="str">
        <f t="shared" si="2"/>
        <v/>
      </c>
      <c r="K64" s="246"/>
      <c r="L64" s="217"/>
      <c r="M64" s="225" t="str">
        <f t="shared" si="3"/>
        <v/>
      </c>
      <c r="N64" s="231"/>
    </row>
    <row r="65" spans="2:14">
      <c r="B65" s="309">
        <v>55</v>
      </c>
      <c r="C65" s="226"/>
      <c r="D65" s="315"/>
      <c r="E65" s="220"/>
      <c r="F65" s="214" t="str">
        <f t="shared" si="0"/>
        <v/>
      </c>
      <c r="G65" s="218" t="str">
        <f t="shared" si="1"/>
        <v/>
      </c>
      <c r="H65" s="228"/>
      <c r="I65" s="245"/>
      <c r="J65" s="250" t="str">
        <f t="shared" si="2"/>
        <v/>
      </c>
      <c r="K65" s="246"/>
      <c r="L65" s="217"/>
      <c r="M65" s="225" t="str">
        <f t="shared" si="3"/>
        <v/>
      </c>
      <c r="N65" s="231"/>
    </row>
    <row r="66" spans="2:14">
      <c r="B66" s="309">
        <v>56</v>
      </c>
      <c r="C66" s="226"/>
      <c r="D66" s="315"/>
      <c r="E66" s="220"/>
      <c r="F66" s="214" t="str">
        <f t="shared" si="0"/>
        <v/>
      </c>
      <c r="G66" s="218" t="str">
        <f t="shared" si="1"/>
        <v/>
      </c>
      <c r="H66" s="228"/>
      <c r="I66" s="245"/>
      <c r="J66" s="250" t="str">
        <f t="shared" si="2"/>
        <v/>
      </c>
      <c r="K66" s="246"/>
      <c r="L66" s="217"/>
      <c r="M66" s="225" t="str">
        <f t="shared" si="3"/>
        <v/>
      </c>
      <c r="N66" s="231"/>
    </row>
    <row r="67" spans="2:14">
      <c r="B67" s="309">
        <v>57</v>
      </c>
      <c r="C67" s="226"/>
      <c r="D67" s="315"/>
      <c r="E67" s="220"/>
      <c r="F67" s="214" t="str">
        <f t="shared" si="0"/>
        <v/>
      </c>
      <c r="G67" s="218" t="str">
        <f t="shared" si="1"/>
        <v/>
      </c>
      <c r="H67" s="228"/>
      <c r="I67" s="245"/>
      <c r="J67" s="250" t="str">
        <f t="shared" si="2"/>
        <v/>
      </c>
      <c r="K67" s="246"/>
      <c r="L67" s="217"/>
      <c r="M67" s="225" t="str">
        <f t="shared" si="3"/>
        <v/>
      </c>
      <c r="N67" s="231"/>
    </row>
    <row r="68" spans="2:14">
      <c r="B68" s="309">
        <v>58</v>
      </c>
      <c r="C68" s="226"/>
      <c r="D68" s="315"/>
      <c r="E68" s="220"/>
      <c r="F68" s="214" t="str">
        <f t="shared" si="0"/>
        <v/>
      </c>
      <c r="G68" s="218" t="str">
        <f t="shared" si="1"/>
        <v/>
      </c>
      <c r="H68" s="228"/>
      <c r="I68" s="245"/>
      <c r="J68" s="250" t="str">
        <f t="shared" si="2"/>
        <v/>
      </c>
      <c r="K68" s="246"/>
      <c r="L68" s="217"/>
      <c r="M68" s="225" t="str">
        <f t="shared" si="3"/>
        <v/>
      </c>
      <c r="N68" s="231"/>
    </row>
    <row r="69" spans="2:14">
      <c r="B69" s="309">
        <v>59</v>
      </c>
      <c r="C69" s="226"/>
      <c r="D69" s="315"/>
      <c r="E69" s="220"/>
      <c r="F69" s="214" t="str">
        <f t="shared" si="0"/>
        <v/>
      </c>
      <c r="G69" s="218" t="str">
        <f t="shared" si="1"/>
        <v/>
      </c>
      <c r="H69" s="228"/>
      <c r="I69" s="245"/>
      <c r="J69" s="250" t="str">
        <f t="shared" si="2"/>
        <v/>
      </c>
      <c r="K69" s="246"/>
      <c r="L69" s="217"/>
      <c r="M69" s="225" t="str">
        <f t="shared" si="3"/>
        <v/>
      </c>
      <c r="N69" s="231"/>
    </row>
    <row r="70" spans="2:14">
      <c r="B70" s="309">
        <v>60</v>
      </c>
      <c r="C70" s="226"/>
      <c r="D70" s="315"/>
      <c r="E70" s="220"/>
      <c r="F70" s="214" t="str">
        <f t="shared" si="0"/>
        <v/>
      </c>
      <c r="G70" s="218" t="str">
        <f t="shared" si="1"/>
        <v/>
      </c>
      <c r="H70" s="228"/>
      <c r="I70" s="245"/>
      <c r="J70" s="250" t="str">
        <f t="shared" si="2"/>
        <v/>
      </c>
      <c r="K70" s="246"/>
      <c r="L70" s="217"/>
      <c r="M70" s="225" t="str">
        <f t="shared" si="3"/>
        <v/>
      </c>
      <c r="N70" s="231"/>
    </row>
    <row r="71" spans="2:14">
      <c r="B71" s="309">
        <v>61</v>
      </c>
      <c r="C71" s="226"/>
      <c r="D71" s="315"/>
      <c r="E71" s="220"/>
      <c r="F71" s="214" t="str">
        <f t="shared" si="0"/>
        <v/>
      </c>
      <c r="G71" s="218" t="str">
        <f t="shared" si="1"/>
        <v/>
      </c>
      <c r="H71" s="228"/>
      <c r="I71" s="245"/>
      <c r="J71" s="250" t="str">
        <f t="shared" si="2"/>
        <v/>
      </c>
      <c r="K71" s="246"/>
      <c r="L71" s="217"/>
      <c r="M71" s="225" t="str">
        <f t="shared" si="3"/>
        <v/>
      </c>
      <c r="N71" s="231"/>
    </row>
    <row r="72" spans="2:14">
      <c r="B72" s="309">
        <v>62</v>
      </c>
      <c r="C72" s="226"/>
      <c r="D72" s="315"/>
      <c r="E72" s="220"/>
      <c r="F72" s="214" t="str">
        <f t="shared" si="0"/>
        <v/>
      </c>
      <c r="G72" s="218" t="str">
        <f t="shared" si="1"/>
        <v/>
      </c>
      <c r="H72" s="228"/>
      <c r="I72" s="245"/>
      <c r="J72" s="250" t="str">
        <f t="shared" si="2"/>
        <v/>
      </c>
      <c r="K72" s="246"/>
      <c r="L72" s="217"/>
      <c r="M72" s="225" t="str">
        <f t="shared" si="3"/>
        <v/>
      </c>
      <c r="N72" s="231"/>
    </row>
    <row r="73" spans="2:14">
      <c r="B73" s="309">
        <v>63</v>
      </c>
      <c r="C73" s="226"/>
      <c r="D73" s="315"/>
      <c r="E73" s="220"/>
      <c r="F73" s="214" t="str">
        <f t="shared" si="0"/>
        <v/>
      </c>
      <c r="G73" s="218" t="str">
        <f t="shared" si="1"/>
        <v/>
      </c>
      <c r="H73" s="228"/>
      <c r="I73" s="245"/>
      <c r="J73" s="250" t="str">
        <f t="shared" si="2"/>
        <v/>
      </c>
      <c r="K73" s="246"/>
      <c r="L73" s="217"/>
      <c r="M73" s="225" t="str">
        <f t="shared" si="3"/>
        <v/>
      </c>
      <c r="N73" s="231"/>
    </row>
    <row r="74" spans="2:14">
      <c r="B74" s="309">
        <v>64</v>
      </c>
      <c r="C74" s="226"/>
      <c r="D74" s="315"/>
      <c r="E74" s="220"/>
      <c r="F74" s="214" t="str">
        <f t="shared" si="0"/>
        <v/>
      </c>
      <c r="G74" s="218" t="str">
        <f t="shared" si="1"/>
        <v/>
      </c>
      <c r="H74" s="228"/>
      <c r="I74" s="245"/>
      <c r="J74" s="250" t="str">
        <f t="shared" si="2"/>
        <v/>
      </c>
      <c r="K74" s="246"/>
      <c r="L74" s="217"/>
      <c r="M74" s="225" t="str">
        <f t="shared" si="3"/>
        <v/>
      </c>
      <c r="N74" s="231"/>
    </row>
    <row r="75" spans="2:14">
      <c r="B75" s="309">
        <v>65</v>
      </c>
      <c r="C75" s="226"/>
      <c r="D75" s="315"/>
      <c r="E75" s="220"/>
      <c r="F75" s="214" t="str">
        <f t="shared" si="0"/>
        <v/>
      </c>
      <c r="G75" s="218" t="str">
        <f t="shared" si="1"/>
        <v/>
      </c>
      <c r="H75" s="228"/>
      <c r="I75" s="245"/>
      <c r="J75" s="250" t="str">
        <f t="shared" si="2"/>
        <v/>
      </c>
      <c r="K75" s="246"/>
      <c r="L75" s="217"/>
      <c r="M75" s="225" t="str">
        <f t="shared" si="3"/>
        <v/>
      </c>
      <c r="N75" s="231"/>
    </row>
    <row r="76" spans="2:14">
      <c r="B76" s="309">
        <v>66</v>
      </c>
      <c r="C76" s="226"/>
      <c r="D76" s="315"/>
      <c r="E76" s="220"/>
      <c r="F76" s="214" t="str">
        <f t="shared" si="0"/>
        <v/>
      </c>
      <c r="G76" s="218" t="str">
        <f t="shared" si="1"/>
        <v/>
      </c>
      <c r="H76" s="228"/>
      <c r="I76" s="245"/>
      <c r="J76" s="250" t="str">
        <f t="shared" si="2"/>
        <v/>
      </c>
      <c r="K76" s="246"/>
      <c r="L76" s="217"/>
      <c r="M76" s="225" t="str">
        <f t="shared" si="3"/>
        <v/>
      </c>
      <c r="N76" s="231"/>
    </row>
    <row r="77" spans="2:14">
      <c r="B77" s="309">
        <v>67</v>
      </c>
      <c r="C77" s="226"/>
      <c r="D77" s="315"/>
      <c r="E77" s="220"/>
      <c r="F77" s="214" t="str">
        <f t="shared" si="0"/>
        <v/>
      </c>
      <c r="G77" s="218" t="str">
        <f t="shared" si="1"/>
        <v/>
      </c>
      <c r="H77" s="228"/>
      <c r="I77" s="245"/>
      <c r="J77" s="250" t="str">
        <f t="shared" si="2"/>
        <v/>
      </c>
      <c r="K77" s="246"/>
      <c r="L77" s="217"/>
      <c r="M77" s="225" t="str">
        <f t="shared" si="3"/>
        <v/>
      </c>
      <c r="N77" s="231"/>
    </row>
    <row r="78" spans="2:14">
      <c r="B78" s="309">
        <v>68</v>
      </c>
      <c r="C78" s="226"/>
      <c r="D78" s="315"/>
      <c r="E78" s="220"/>
      <c r="F78" s="214" t="str">
        <f t="shared" si="0"/>
        <v/>
      </c>
      <c r="G78" s="218" t="str">
        <f t="shared" si="1"/>
        <v/>
      </c>
      <c r="H78" s="228"/>
      <c r="I78" s="245"/>
      <c r="J78" s="250" t="str">
        <f t="shared" si="2"/>
        <v/>
      </c>
      <c r="K78" s="246"/>
      <c r="L78" s="217"/>
      <c r="M78" s="225" t="str">
        <f t="shared" si="3"/>
        <v/>
      </c>
      <c r="N78" s="231"/>
    </row>
    <row r="79" spans="2:14">
      <c r="B79" s="309">
        <v>69</v>
      </c>
      <c r="C79" s="226"/>
      <c r="D79" s="315"/>
      <c r="E79" s="220"/>
      <c r="F79" s="214" t="str">
        <f t="shared" si="0"/>
        <v/>
      </c>
      <c r="G79" s="218" t="str">
        <f t="shared" si="1"/>
        <v/>
      </c>
      <c r="H79" s="228"/>
      <c r="I79" s="245"/>
      <c r="J79" s="250" t="str">
        <f t="shared" si="2"/>
        <v/>
      </c>
      <c r="K79" s="246"/>
      <c r="L79" s="217"/>
      <c r="M79" s="225" t="str">
        <f t="shared" si="3"/>
        <v/>
      </c>
      <c r="N79" s="231"/>
    </row>
    <row r="80" spans="2:14">
      <c r="B80" s="309">
        <v>70</v>
      </c>
      <c r="C80" s="226"/>
      <c r="D80" s="315"/>
      <c r="E80" s="220"/>
      <c r="F80" s="214" t="str">
        <f t="shared" si="0"/>
        <v/>
      </c>
      <c r="G80" s="218" t="str">
        <f t="shared" si="1"/>
        <v/>
      </c>
      <c r="H80" s="228"/>
      <c r="I80" s="245"/>
      <c r="J80" s="250" t="str">
        <f t="shared" si="2"/>
        <v/>
      </c>
      <c r="K80" s="246"/>
      <c r="L80" s="217"/>
      <c r="M80" s="225" t="str">
        <f t="shared" si="3"/>
        <v/>
      </c>
      <c r="N80" s="231"/>
    </row>
    <row r="81" spans="2:14">
      <c r="B81" s="309">
        <v>71</v>
      </c>
      <c r="C81" s="226"/>
      <c r="D81" s="315"/>
      <c r="E81" s="220"/>
      <c r="F81" s="214" t="str">
        <f t="shared" si="0"/>
        <v/>
      </c>
      <c r="G81" s="218" t="str">
        <f t="shared" si="1"/>
        <v/>
      </c>
      <c r="H81" s="228"/>
      <c r="I81" s="245"/>
      <c r="J81" s="250" t="str">
        <f t="shared" si="2"/>
        <v/>
      </c>
      <c r="K81" s="246"/>
      <c r="L81" s="217"/>
      <c r="M81" s="225" t="str">
        <f t="shared" si="3"/>
        <v/>
      </c>
      <c r="N81" s="231"/>
    </row>
    <row r="82" spans="2:14">
      <c r="B82" s="309">
        <v>72</v>
      </c>
      <c r="C82" s="226"/>
      <c r="D82" s="315"/>
      <c r="E82" s="220"/>
      <c r="F82" s="214" t="str">
        <f t="shared" si="0"/>
        <v/>
      </c>
      <c r="G82" s="218" t="str">
        <f t="shared" si="1"/>
        <v/>
      </c>
      <c r="H82" s="228"/>
      <c r="I82" s="245"/>
      <c r="J82" s="250" t="str">
        <f t="shared" si="2"/>
        <v/>
      </c>
      <c r="K82" s="246"/>
      <c r="L82" s="217"/>
      <c r="M82" s="225" t="str">
        <f t="shared" si="3"/>
        <v/>
      </c>
      <c r="N82" s="231"/>
    </row>
    <row r="83" spans="2:14">
      <c r="B83" s="309">
        <v>73</v>
      </c>
      <c r="C83" s="226"/>
      <c r="D83" s="315"/>
      <c r="E83" s="220"/>
      <c r="F83" s="214" t="str">
        <f t="shared" ref="F83:F91" si="20">IF(E83="","",IF(E83="EE","Média",IF(E83="CE","Média",IF(E83="SE","Média","Baixa"))))</f>
        <v/>
      </c>
      <c r="G83" s="218" t="str">
        <f t="shared" ref="G83:G91" si="21">IF(E83="","",IF(E83="ALI",7,IF(E83="AIE",5,IF(E83="SE",5,IF(OR(E83="EE",E83="CE"),4)))))</f>
        <v/>
      </c>
      <c r="H83" s="228"/>
      <c r="I83" s="245"/>
      <c r="J83" s="250" t="str">
        <f t="shared" ref="J83:J91" si="22">IF(I83="","",IF(I83="ALI",7,IF(I83="AIE",5,IF(I83="SE",5,IF(OR(I83="EE",I83="CE"),4)))))</f>
        <v/>
      </c>
      <c r="K83" s="246"/>
      <c r="L83" s="217"/>
      <c r="M83" s="225" t="str">
        <f t="shared" ref="M83:M91" si="23">IF(L83="","",IF(L83="ALI",7,IF(L83="AIE",5,IF(L83="SE",5,IF(OR(L83="EE",L83="CE"),4)))))</f>
        <v/>
      </c>
      <c r="N83" s="231"/>
    </row>
    <row r="84" spans="2:14">
      <c r="B84" s="309">
        <v>74</v>
      </c>
      <c r="C84" s="226"/>
      <c r="D84" s="315"/>
      <c r="E84" s="220"/>
      <c r="F84" s="214" t="str">
        <f t="shared" si="20"/>
        <v/>
      </c>
      <c r="G84" s="218" t="str">
        <f t="shared" si="21"/>
        <v/>
      </c>
      <c r="H84" s="228"/>
      <c r="I84" s="245"/>
      <c r="J84" s="250" t="str">
        <f t="shared" si="22"/>
        <v/>
      </c>
      <c r="K84" s="246"/>
      <c r="L84" s="217"/>
      <c r="M84" s="225" t="str">
        <f t="shared" si="23"/>
        <v/>
      </c>
      <c r="N84" s="231"/>
    </row>
    <row r="85" spans="2:14">
      <c r="B85" s="309">
        <v>75</v>
      </c>
      <c r="C85" s="226"/>
      <c r="D85" s="315"/>
      <c r="E85" s="220"/>
      <c r="F85" s="214" t="str">
        <f t="shared" si="20"/>
        <v/>
      </c>
      <c r="G85" s="218" t="str">
        <f t="shared" si="21"/>
        <v/>
      </c>
      <c r="H85" s="228"/>
      <c r="I85" s="245"/>
      <c r="J85" s="250" t="str">
        <f t="shared" si="22"/>
        <v/>
      </c>
      <c r="K85" s="246"/>
      <c r="L85" s="217"/>
      <c r="M85" s="225" t="str">
        <f t="shared" si="23"/>
        <v/>
      </c>
      <c r="N85" s="231"/>
    </row>
    <row r="86" spans="2:14">
      <c r="B86" s="309">
        <v>76</v>
      </c>
      <c r="C86" s="226"/>
      <c r="D86" s="227"/>
      <c r="E86" s="220"/>
      <c r="F86" s="214" t="str">
        <f t="shared" si="20"/>
        <v/>
      </c>
      <c r="G86" s="218" t="str">
        <f t="shared" si="21"/>
        <v/>
      </c>
      <c r="H86" s="228"/>
      <c r="I86" s="245"/>
      <c r="J86" s="250" t="str">
        <f t="shared" si="22"/>
        <v/>
      </c>
      <c r="K86" s="246"/>
      <c r="L86" s="217"/>
      <c r="M86" s="225" t="str">
        <f t="shared" si="23"/>
        <v/>
      </c>
      <c r="N86" s="231"/>
    </row>
    <row r="87" spans="2:14">
      <c r="B87" s="309">
        <v>77</v>
      </c>
      <c r="C87" s="226"/>
      <c r="D87" s="227"/>
      <c r="E87" s="220"/>
      <c r="F87" s="214" t="str">
        <f t="shared" si="20"/>
        <v/>
      </c>
      <c r="G87" s="218" t="str">
        <f t="shared" si="21"/>
        <v/>
      </c>
      <c r="H87" s="228"/>
      <c r="I87" s="245"/>
      <c r="J87" s="250" t="str">
        <f t="shared" si="22"/>
        <v/>
      </c>
      <c r="K87" s="246"/>
      <c r="L87" s="217"/>
      <c r="M87" s="225" t="str">
        <f t="shared" si="23"/>
        <v/>
      </c>
      <c r="N87" s="231"/>
    </row>
    <row r="88" spans="2:14">
      <c r="B88" s="309">
        <v>78</v>
      </c>
      <c r="C88" s="226"/>
      <c r="D88" s="227"/>
      <c r="E88" s="220"/>
      <c r="F88" s="214" t="str">
        <f t="shared" si="20"/>
        <v/>
      </c>
      <c r="G88" s="218" t="str">
        <f t="shared" si="21"/>
        <v/>
      </c>
      <c r="H88" s="228"/>
      <c r="I88" s="245"/>
      <c r="J88" s="250" t="str">
        <f t="shared" si="22"/>
        <v/>
      </c>
      <c r="K88" s="246"/>
      <c r="L88" s="217"/>
      <c r="M88" s="225" t="str">
        <f t="shared" si="23"/>
        <v/>
      </c>
      <c r="N88" s="231"/>
    </row>
    <row r="89" spans="2:14">
      <c r="B89" s="309">
        <v>79</v>
      </c>
      <c r="C89" s="226"/>
      <c r="D89" s="227"/>
      <c r="E89" s="220"/>
      <c r="F89" s="214" t="str">
        <f t="shared" si="20"/>
        <v/>
      </c>
      <c r="G89" s="218" t="str">
        <f t="shared" si="21"/>
        <v/>
      </c>
      <c r="H89" s="228"/>
      <c r="I89" s="245"/>
      <c r="J89" s="250" t="str">
        <f t="shared" si="22"/>
        <v/>
      </c>
      <c r="K89" s="246"/>
      <c r="L89" s="217"/>
      <c r="M89" s="225" t="str">
        <f t="shared" si="23"/>
        <v/>
      </c>
      <c r="N89" s="231"/>
    </row>
    <row r="90" spans="2:14">
      <c r="B90" s="309">
        <v>80</v>
      </c>
      <c r="C90" s="226"/>
      <c r="D90" s="227"/>
      <c r="E90" s="220"/>
      <c r="F90" s="214" t="str">
        <f t="shared" si="20"/>
        <v/>
      </c>
      <c r="G90" s="218" t="str">
        <f t="shared" si="21"/>
        <v/>
      </c>
      <c r="H90" s="228"/>
      <c r="I90" s="245"/>
      <c r="J90" s="250" t="str">
        <f t="shared" si="22"/>
        <v/>
      </c>
      <c r="K90" s="246"/>
      <c r="L90" s="217"/>
      <c r="M90" s="225" t="str">
        <f t="shared" si="23"/>
        <v/>
      </c>
      <c r="N90" s="231"/>
    </row>
    <row r="91" spans="2:14">
      <c r="B91" s="309">
        <v>81</v>
      </c>
      <c r="C91" s="226"/>
      <c r="D91" s="227"/>
      <c r="E91" s="220"/>
      <c r="F91" s="214" t="str">
        <f t="shared" si="20"/>
        <v/>
      </c>
      <c r="G91" s="218" t="str">
        <f t="shared" si="21"/>
        <v/>
      </c>
      <c r="H91" s="228"/>
      <c r="I91" s="245"/>
      <c r="J91" s="250" t="str">
        <f t="shared" si="22"/>
        <v/>
      </c>
      <c r="K91" s="246"/>
      <c r="L91" s="217"/>
      <c r="M91" s="225" t="str">
        <f t="shared" si="23"/>
        <v/>
      </c>
      <c r="N91" s="231"/>
    </row>
    <row r="92" spans="2:14">
      <c r="B92" s="309">
        <v>82</v>
      </c>
      <c r="C92" s="226"/>
      <c r="D92" s="227"/>
      <c r="E92" s="220"/>
      <c r="F92" s="214" t="str">
        <f t="shared" ref="F92:F155" si="24">IF(E92="","",IF(E92="EE","Média",IF(E92="CE","Média",IF(E92="SE","Média","Baixa"))))</f>
        <v/>
      </c>
      <c r="G92" s="218" t="str">
        <f t="shared" ref="G92:G155" si="25">IF(E92="","",IF(E92="ALI",7,IF(E92="AIE",5,IF(E92="SE",5,IF(OR(E92="EE",E92="CE"),4)))))</f>
        <v/>
      </c>
      <c r="H92" s="228"/>
      <c r="I92" s="245"/>
      <c r="J92" s="250" t="str">
        <f t="shared" ref="J92:J155" si="26">IF(I92="","",IF(I92="ALI",7,IF(I92="AIE",5,IF(I92="SE",5,IF(OR(I92="EE",I92="CE"),4)))))</f>
        <v/>
      </c>
      <c r="K92" s="246"/>
      <c r="L92" s="217"/>
      <c r="M92" s="225" t="str">
        <f t="shared" ref="M92:M155" si="27">IF(L92="","",IF(L92="ALI",7,IF(L92="AIE",5,IF(L92="SE",5,IF(OR(L92="EE",L92="CE"),4)))))</f>
        <v/>
      </c>
      <c r="N92" s="231"/>
    </row>
    <row r="93" spans="2:14">
      <c r="B93" s="309">
        <v>83</v>
      </c>
      <c r="C93" s="226"/>
      <c r="D93" s="227"/>
      <c r="E93" s="220"/>
      <c r="F93" s="214" t="str">
        <f t="shared" si="24"/>
        <v/>
      </c>
      <c r="G93" s="218" t="str">
        <f t="shared" si="25"/>
        <v/>
      </c>
      <c r="H93" s="228"/>
      <c r="I93" s="245"/>
      <c r="J93" s="250" t="str">
        <f t="shared" si="26"/>
        <v/>
      </c>
      <c r="K93" s="246"/>
      <c r="L93" s="217"/>
      <c r="M93" s="225" t="str">
        <f t="shared" si="27"/>
        <v/>
      </c>
      <c r="N93" s="231"/>
    </row>
    <row r="94" spans="2:14">
      <c r="B94" s="309">
        <v>84</v>
      </c>
      <c r="C94" s="226"/>
      <c r="D94" s="227"/>
      <c r="E94" s="220"/>
      <c r="F94" s="214" t="str">
        <f t="shared" si="24"/>
        <v/>
      </c>
      <c r="G94" s="218" t="str">
        <f t="shared" si="25"/>
        <v/>
      </c>
      <c r="H94" s="228"/>
      <c r="I94" s="245"/>
      <c r="J94" s="250" t="str">
        <f t="shared" si="26"/>
        <v/>
      </c>
      <c r="K94" s="246"/>
      <c r="L94" s="217"/>
      <c r="M94" s="225" t="str">
        <f t="shared" si="27"/>
        <v/>
      </c>
      <c r="N94" s="231"/>
    </row>
    <row r="95" spans="2:14">
      <c r="B95" s="309">
        <v>85</v>
      </c>
      <c r="C95" s="226"/>
      <c r="D95" s="227"/>
      <c r="E95" s="220"/>
      <c r="F95" s="214" t="str">
        <f t="shared" si="24"/>
        <v/>
      </c>
      <c r="G95" s="218" t="str">
        <f t="shared" si="25"/>
        <v/>
      </c>
      <c r="H95" s="228"/>
      <c r="I95" s="245"/>
      <c r="J95" s="250" t="str">
        <f t="shared" si="26"/>
        <v/>
      </c>
      <c r="K95" s="246"/>
      <c r="L95" s="217"/>
      <c r="M95" s="225" t="str">
        <f t="shared" si="27"/>
        <v/>
      </c>
      <c r="N95" s="231"/>
    </row>
    <row r="96" spans="2:14">
      <c r="B96" s="309">
        <v>86</v>
      </c>
      <c r="C96" s="226"/>
      <c r="D96" s="227"/>
      <c r="E96" s="220"/>
      <c r="F96" s="214" t="str">
        <f t="shared" si="24"/>
        <v/>
      </c>
      <c r="G96" s="218" t="str">
        <f t="shared" si="25"/>
        <v/>
      </c>
      <c r="H96" s="228"/>
      <c r="I96" s="245"/>
      <c r="J96" s="250" t="str">
        <f t="shared" si="26"/>
        <v/>
      </c>
      <c r="K96" s="246"/>
      <c r="L96" s="217"/>
      <c r="M96" s="225" t="str">
        <f t="shared" si="27"/>
        <v/>
      </c>
      <c r="N96" s="231"/>
    </row>
    <row r="97" spans="2:14">
      <c r="B97" s="309">
        <v>87</v>
      </c>
      <c r="C97" s="226"/>
      <c r="D97" s="227"/>
      <c r="E97" s="220"/>
      <c r="F97" s="214" t="str">
        <f t="shared" si="24"/>
        <v/>
      </c>
      <c r="G97" s="218" t="str">
        <f t="shared" si="25"/>
        <v/>
      </c>
      <c r="H97" s="228"/>
      <c r="I97" s="245"/>
      <c r="J97" s="250" t="str">
        <f t="shared" si="26"/>
        <v/>
      </c>
      <c r="K97" s="246"/>
      <c r="L97" s="217"/>
      <c r="M97" s="225" t="str">
        <f t="shared" si="27"/>
        <v/>
      </c>
      <c r="N97" s="231"/>
    </row>
    <row r="98" spans="2:14">
      <c r="B98" s="309">
        <v>88</v>
      </c>
      <c r="C98" s="226"/>
      <c r="D98" s="227"/>
      <c r="E98" s="220"/>
      <c r="F98" s="214" t="str">
        <f t="shared" si="24"/>
        <v/>
      </c>
      <c r="G98" s="218" t="str">
        <f t="shared" si="25"/>
        <v/>
      </c>
      <c r="H98" s="228"/>
      <c r="I98" s="245"/>
      <c r="J98" s="250" t="str">
        <f t="shared" si="26"/>
        <v/>
      </c>
      <c r="K98" s="246"/>
      <c r="L98" s="217"/>
      <c r="M98" s="225" t="str">
        <f t="shared" si="27"/>
        <v/>
      </c>
      <c r="N98" s="231"/>
    </row>
    <row r="99" spans="2:14">
      <c r="B99" s="309">
        <v>89</v>
      </c>
      <c r="C99" s="226"/>
      <c r="D99" s="227"/>
      <c r="E99" s="220"/>
      <c r="F99" s="214" t="str">
        <f t="shared" si="24"/>
        <v/>
      </c>
      <c r="G99" s="218" t="str">
        <f t="shared" si="25"/>
        <v/>
      </c>
      <c r="H99" s="228"/>
      <c r="I99" s="245"/>
      <c r="J99" s="250" t="str">
        <f t="shared" si="26"/>
        <v/>
      </c>
      <c r="K99" s="246"/>
      <c r="L99" s="217"/>
      <c r="M99" s="225" t="str">
        <f t="shared" si="27"/>
        <v/>
      </c>
      <c r="N99" s="231"/>
    </row>
    <row r="100" spans="2:14">
      <c r="B100" s="309">
        <v>90</v>
      </c>
      <c r="C100" s="226"/>
      <c r="D100" s="227"/>
      <c r="E100" s="220"/>
      <c r="F100" s="214" t="str">
        <f t="shared" si="24"/>
        <v/>
      </c>
      <c r="G100" s="218" t="str">
        <f t="shared" si="25"/>
        <v/>
      </c>
      <c r="H100" s="228"/>
      <c r="I100" s="245"/>
      <c r="J100" s="250" t="str">
        <f t="shared" si="26"/>
        <v/>
      </c>
      <c r="K100" s="246"/>
      <c r="L100" s="217"/>
      <c r="M100" s="225" t="str">
        <f t="shared" si="27"/>
        <v/>
      </c>
      <c r="N100" s="231"/>
    </row>
    <row r="101" spans="2:14">
      <c r="B101" s="309">
        <v>91</v>
      </c>
      <c r="C101" s="226"/>
      <c r="D101" s="227"/>
      <c r="E101" s="220"/>
      <c r="F101" s="214" t="str">
        <f t="shared" si="24"/>
        <v/>
      </c>
      <c r="G101" s="218" t="str">
        <f t="shared" si="25"/>
        <v/>
      </c>
      <c r="H101" s="228"/>
      <c r="I101" s="245"/>
      <c r="J101" s="250" t="str">
        <f t="shared" si="26"/>
        <v/>
      </c>
      <c r="K101" s="246"/>
      <c r="L101" s="217"/>
      <c r="M101" s="225" t="str">
        <f t="shared" si="27"/>
        <v/>
      </c>
      <c r="N101" s="231"/>
    </row>
    <row r="102" spans="2:14">
      <c r="B102" s="309">
        <v>92</v>
      </c>
      <c r="C102" s="226"/>
      <c r="D102" s="227"/>
      <c r="E102" s="220"/>
      <c r="F102" s="214" t="str">
        <f t="shared" si="24"/>
        <v/>
      </c>
      <c r="G102" s="218" t="str">
        <f t="shared" si="25"/>
        <v/>
      </c>
      <c r="H102" s="228"/>
      <c r="I102" s="245"/>
      <c r="J102" s="250" t="str">
        <f t="shared" si="26"/>
        <v/>
      </c>
      <c r="K102" s="246"/>
      <c r="L102" s="217"/>
      <c r="M102" s="225" t="str">
        <f t="shared" si="27"/>
        <v/>
      </c>
      <c r="N102" s="231"/>
    </row>
    <row r="103" spans="2:14">
      <c r="B103" s="309">
        <v>93</v>
      </c>
      <c r="C103" s="226"/>
      <c r="D103" s="227"/>
      <c r="E103" s="220"/>
      <c r="F103" s="214" t="str">
        <f t="shared" si="24"/>
        <v/>
      </c>
      <c r="G103" s="218" t="str">
        <f t="shared" si="25"/>
        <v/>
      </c>
      <c r="H103" s="228"/>
      <c r="I103" s="245"/>
      <c r="J103" s="250" t="str">
        <f t="shared" si="26"/>
        <v/>
      </c>
      <c r="K103" s="246"/>
      <c r="L103" s="217"/>
      <c r="M103" s="225" t="str">
        <f t="shared" si="27"/>
        <v/>
      </c>
      <c r="N103" s="231"/>
    </row>
    <row r="104" spans="2:14">
      <c r="B104" s="309">
        <v>94</v>
      </c>
      <c r="C104" s="226"/>
      <c r="D104" s="227"/>
      <c r="E104" s="220"/>
      <c r="F104" s="214" t="str">
        <f t="shared" si="24"/>
        <v/>
      </c>
      <c r="G104" s="218" t="str">
        <f t="shared" si="25"/>
        <v/>
      </c>
      <c r="H104" s="228"/>
      <c r="I104" s="245"/>
      <c r="J104" s="250" t="str">
        <f t="shared" si="26"/>
        <v/>
      </c>
      <c r="K104" s="246"/>
      <c r="L104" s="217"/>
      <c r="M104" s="225" t="str">
        <f t="shared" si="27"/>
        <v/>
      </c>
      <c r="N104" s="231"/>
    </row>
    <row r="105" spans="2:14">
      <c r="B105" s="309">
        <v>95</v>
      </c>
      <c r="C105" s="226"/>
      <c r="D105" s="227"/>
      <c r="E105" s="220"/>
      <c r="F105" s="214" t="str">
        <f t="shared" si="24"/>
        <v/>
      </c>
      <c r="G105" s="218" t="str">
        <f t="shared" si="25"/>
        <v/>
      </c>
      <c r="H105" s="228"/>
      <c r="I105" s="245"/>
      <c r="J105" s="250" t="str">
        <f t="shared" si="26"/>
        <v/>
      </c>
      <c r="K105" s="246"/>
      <c r="L105" s="217"/>
      <c r="M105" s="225" t="str">
        <f t="shared" si="27"/>
        <v/>
      </c>
      <c r="N105" s="231"/>
    </row>
    <row r="106" spans="2:14">
      <c r="B106" s="309">
        <v>96</v>
      </c>
      <c r="C106" s="226"/>
      <c r="D106" s="227"/>
      <c r="E106" s="220"/>
      <c r="F106" s="214" t="str">
        <f t="shared" si="24"/>
        <v/>
      </c>
      <c r="G106" s="218" t="str">
        <f t="shared" si="25"/>
        <v/>
      </c>
      <c r="H106" s="228"/>
      <c r="I106" s="245"/>
      <c r="J106" s="250" t="str">
        <f t="shared" si="26"/>
        <v/>
      </c>
      <c r="K106" s="246"/>
      <c r="L106" s="217"/>
      <c r="M106" s="225" t="str">
        <f t="shared" si="27"/>
        <v/>
      </c>
      <c r="N106" s="231"/>
    </row>
    <row r="107" spans="2:14">
      <c r="B107" s="309">
        <v>97</v>
      </c>
      <c r="C107" s="226"/>
      <c r="D107" s="227"/>
      <c r="E107" s="220"/>
      <c r="F107" s="214" t="str">
        <f t="shared" si="24"/>
        <v/>
      </c>
      <c r="G107" s="218" t="str">
        <f t="shared" si="25"/>
        <v/>
      </c>
      <c r="H107" s="228"/>
      <c r="I107" s="245"/>
      <c r="J107" s="250" t="str">
        <f t="shared" si="26"/>
        <v/>
      </c>
      <c r="K107" s="246"/>
      <c r="L107" s="217"/>
      <c r="M107" s="225" t="str">
        <f t="shared" si="27"/>
        <v/>
      </c>
      <c r="N107" s="231"/>
    </row>
    <row r="108" spans="2:14">
      <c r="B108" s="309">
        <v>98</v>
      </c>
      <c r="C108" s="226"/>
      <c r="D108" s="227"/>
      <c r="E108" s="220"/>
      <c r="F108" s="214" t="str">
        <f t="shared" si="24"/>
        <v/>
      </c>
      <c r="G108" s="218" t="str">
        <f t="shared" si="25"/>
        <v/>
      </c>
      <c r="H108" s="228"/>
      <c r="I108" s="245"/>
      <c r="J108" s="250" t="str">
        <f t="shared" si="26"/>
        <v/>
      </c>
      <c r="K108" s="246"/>
      <c r="L108" s="217"/>
      <c r="M108" s="225" t="str">
        <f t="shared" si="27"/>
        <v/>
      </c>
      <c r="N108" s="231"/>
    </row>
    <row r="109" spans="2:14">
      <c r="B109" s="309">
        <v>99</v>
      </c>
      <c r="C109" s="226"/>
      <c r="D109" s="227"/>
      <c r="E109" s="220"/>
      <c r="F109" s="214" t="str">
        <f t="shared" si="24"/>
        <v/>
      </c>
      <c r="G109" s="218" t="str">
        <f t="shared" si="25"/>
        <v/>
      </c>
      <c r="H109" s="228"/>
      <c r="I109" s="245"/>
      <c r="J109" s="250" t="str">
        <f t="shared" si="26"/>
        <v/>
      </c>
      <c r="K109" s="246"/>
      <c r="L109" s="217"/>
      <c r="M109" s="225" t="str">
        <f t="shared" si="27"/>
        <v/>
      </c>
      <c r="N109" s="231"/>
    </row>
    <row r="110" spans="2:14">
      <c r="B110" s="309">
        <v>100</v>
      </c>
      <c r="C110" s="226"/>
      <c r="D110" s="227"/>
      <c r="E110" s="220"/>
      <c r="F110" s="214" t="str">
        <f t="shared" si="24"/>
        <v/>
      </c>
      <c r="G110" s="218" t="str">
        <f t="shared" si="25"/>
        <v/>
      </c>
      <c r="H110" s="228"/>
      <c r="I110" s="245"/>
      <c r="J110" s="250" t="str">
        <f t="shared" si="26"/>
        <v/>
      </c>
      <c r="K110" s="246"/>
      <c r="L110" s="217"/>
      <c r="M110" s="225" t="str">
        <f t="shared" si="27"/>
        <v/>
      </c>
      <c r="N110" s="231"/>
    </row>
    <row r="111" spans="2:14">
      <c r="B111" s="309">
        <v>101</v>
      </c>
      <c r="C111" s="226"/>
      <c r="D111" s="227"/>
      <c r="E111" s="220"/>
      <c r="F111" s="214" t="str">
        <f t="shared" si="24"/>
        <v/>
      </c>
      <c r="G111" s="218" t="str">
        <f t="shared" si="25"/>
        <v/>
      </c>
      <c r="H111" s="228"/>
      <c r="I111" s="245"/>
      <c r="J111" s="250" t="str">
        <f t="shared" si="26"/>
        <v/>
      </c>
      <c r="K111" s="246"/>
      <c r="L111" s="217"/>
      <c r="M111" s="225" t="str">
        <f t="shared" si="27"/>
        <v/>
      </c>
      <c r="N111" s="231"/>
    </row>
    <row r="112" spans="2:14">
      <c r="B112" s="309">
        <v>102</v>
      </c>
      <c r="C112" s="226"/>
      <c r="D112" s="227"/>
      <c r="E112" s="220"/>
      <c r="F112" s="214" t="str">
        <f t="shared" si="24"/>
        <v/>
      </c>
      <c r="G112" s="218" t="str">
        <f t="shared" si="25"/>
        <v/>
      </c>
      <c r="H112" s="228"/>
      <c r="I112" s="245"/>
      <c r="J112" s="250" t="str">
        <f t="shared" si="26"/>
        <v/>
      </c>
      <c r="K112" s="246"/>
      <c r="L112" s="217"/>
      <c r="M112" s="225" t="str">
        <f t="shared" si="27"/>
        <v/>
      </c>
      <c r="N112" s="231"/>
    </row>
    <row r="113" spans="2:14">
      <c r="B113" s="309">
        <v>103</v>
      </c>
      <c r="C113" s="226"/>
      <c r="D113" s="227"/>
      <c r="E113" s="220"/>
      <c r="F113" s="214" t="str">
        <f t="shared" si="24"/>
        <v/>
      </c>
      <c r="G113" s="218" t="str">
        <f t="shared" si="25"/>
        <v/>
      </c>
      <c r="H113" s="228"/>
      <c r="I113" s="245"/>
      <c r="J113" s="250" t="str">
        <f t="shared" si="26"/>
        <v/>
      </c>
      <c r="K113" s="246"/>
      <c r="L113" s="217"/>
      <c r="M113" s="225" t="str">
        <f t="shared" si="27"/>
        <v/>
      </c>
      <c r="N113" s="231"/>
    </row>
    <row r="114" spans="2:14">
      <c r="B114" s="309">
        <v>104</v>
      </c>
      <c r="C114" s="226"/>
      <c r="D114" s="227"/>
      <c r="E114" s="220"/>
      <c r="F114" s="214" t="str">
        <f t="shared" si="24"/>
        <v/>
      </c>
      <c r="G114" s="218" t="str">
        <f t="shared" si="25"/>
        <v/>
      </c>
      <c r="H114" s="228"/>
      <c r="I114" s="245"/>
      <c r="J114" s="250" t="str">
        <f t="shared" si="26"/>
        <v/>
      </c>
      <c r="K114" s="246"/>
      <c r="L114" s="217"/>
      <c r="M114" s="225" t="str">
        <f t="shared" si="27"/>
        <v/>
      </c>
      <c r="N114" s="231"/>
    </row>
    <row r="115" spans="2:14">
      <c r="B115" s="309">
        <v>105</v>
      </c>
      <c r="C115" s="226"/>
      <c r="D115" s="227"/>
      <c r="E115" s="220"/>
      <c r="F115" s="214" t="str">
        <f t="shared" si="24"/>
        <v/>
      </c>
      <c r="G115" s="218" t="str">
        <f t="shared" si="25"/>
        <v/>
      </c>
      <c r="H115" s="228"/>
      <c r="I115" s="245"/>
      <c r="J115" s="250" t="str">
        <f t="shared" si="26"/>
        <v/>
      </c>
      <c r="K115" s="246"/>
      <c r="L115" s="217"/>
      <c r="M115" s="225" t="str">
        <f t="shared" si="27"/>
        <v/>
      </c>
      <c r="N115" s="231"/>
    </row>
    <row r="116" spans="2:14">
      <c r="B116" s="309">
        <v>106</v>
      </c>
      <c r="C116" s="226"/>
      <c r="D116" s="227"/>
      <c r="E116" s="220"/>
      <c r="F116" s="214" t="str">
        <f t="shared" si="24"/>
        <v/>
      </c>
      <c r="G116" s="218" t="str">
        <f t="shared" si="25"/>
        <v/>
      </c>
      <c r="H116" s="228"/>
      <c r="I116" s="245"/>
      <c r="J116" s="250" t="str">
        <f t="shared" si="26"/>
        <v/>
      </c>
      <c r="K116" s="246"/>
      <c r="L116" s="217"/>
      <c r="M116" s="225" t="str">
        <f t="shared" si="27"/>
        <v/>
      </c>
      <c r="N116" s="231"/>
    </row>
    <row r="117" spans="2:14">
      <c r="B117" s="309">
        <v>107</v>
      </c>
      <c r="C117" s="226"/>
      <c r="D117" s="227"/>
      <c r="E117" s="220"/>
      <c r="F117" s="214" t="str">
        <f t="shared" si="24"/>
        <v/>
      </c>
      <c r="G117" s="218" t="str">
        <f t="shared" si="25"/>
        <v/>
      </c>
      <c r="H117" s="228"/>
      <c r="I117" s="245"/>
      <c r="J117" s="250" t="str">
        <f t="shared" si="26"/>
        <v/>
      </c>
      <c r="K117" s="246"/>
      <c r="L117" s="217"/>
      <c r="M117" s="225" t="str">
        <f t="shared" si="27"/>
        <v/>
      </c>
      <c r="N117" s="231"/>
    </row>
    <row r="118" spans="2:14">
      <c r="B118" s="309">
        <v>108</v>
      </c>
      <c r="C118" s="226"/>
      <c r="D118" s="227"/>
      <c r="E118" s="220"/>
      <c r="F118" s="214" t="str">
        <f t="shared" si="24"/>
        <v/>
      </c>
      <c r="G118" s="218" t="str">
        <f t="shared" si="25"/>
        <v/>
      </c>
      <c r="H118" s="228"/>
      <c r="I118" s="245"/>
      <c r="J118" s="250" t="str">
        <f t="shared" si="26"/>
        <v/>
      </c>
      <c r="K118" s="246"/>
      <c r="L118" s="217"/>
      <c r="M118" s="225" t="str">
        <f t="shared" si="27"/>
        <v/>
      </c>
      <c r="N118" s="231"/>
    </row>
    <row r="119" spans="2:14">
      <c r="B119" s="309">
        <v>109</v>
      </c>
      <c r="C119" s="226"/>
      <c r="D119" s="227"/>
      <c r="E119" s="220"/>
      <c r="F119" s="214" t="str">
        <f t="shared" si="24"/>
        <v/>
      </c>
      <c r="G119" s="218" t="str">
        <f t="shared" si="25"/>
        <v/>
      </c>
      <c r="H119" s="228"/>
      <c r="I119" s="245"/>
      <c r="J119" s="250" t="str">
        <f t="shared" si="26"/>
        <v/>
      </c>
      <c r="K119" s="246"/>
      <c r="L119" s="217"/>
      <c r="M119" s="225" t="str">
        <f t="shared" si="27"/>
        <v/>
      </c>
      <c r="N119" s="231"/>
    </row>
    <row r="120" spans="2:14">
      <c r="B120" s="309">
        <v>110</v>
      </c>
      <c r="C120" s="226"/>
      <c r="D120" s="227"/>
      <c r="E120" s="220"/>
      <c r="F120" s="214" t="str">
        <f t="shared" si="24"/>
        <v/>
      </c>
      <c r="G120" s="218" t="str">
        <f t="shared" si="25"/>
        <v/>
      </c>
      <c r="H120" s="228"/>
      <c r="I120" s="245"/>
      <c r="J120" s="250" t="str">
        <f t="shared" si="26"/>
        <v/>
      </c>
      <c r="K120" s="246"/>
      <c r="L120" s="217"/>
      <c r="M120" s="225" t="str">
        <f t="shared" si="27"/>
        <v/>
      </c>
      <c r="N120" s="231"/>
    </row>
    <row r="121" spans="2:14">
      <c r="B121" s="309">
        <v>111</v>
      </c>
      <c r="C121" s="226"/>
      <c r="D121" s="227"/>
      <c r="E121" s="220"/>
      <c r="F121" s="214" t="str">
        <f t="shared" si="24"/>
        <v/>
      </c>
      <c r="G121" s="218" t="str">
        <f t="shared" si="25"/>
        <v/>
      </c>
      <c r="H121" s="228"/>
      <c r="I121" s="245"/>
      <c r="J121" s="250" t="str">
        <f t="shared" si="26"/>
        <v/>
      </c>
      <c r="K121" s="246"/>
      <c r="L121" s="217"/>
      <c r="M121" s="225" t="str">
        <f t="shared" si="27"/>
        <v/>
      </c>
      <c r="N121" s="231"/>
    </row>
    <row r="122" spans="2:14">
      <c r="B122" s="309">
        <v>112</v>
      </c>
      <c r="C122" s="226"/>
      <c r="D122" s="227"/>
      <c r="E122" s="220"/>
      <c r="F122" s="214" t="str">
        <f t="shared" si="24"/>
        <v/>
      </c>
      <c r="G122" s="218" t="str">
        <f t="shared" si="25"/>
        <v/>
      </c>
      <c r="H122" s="228"/>
      <c r="I122" s="245"/>
      <c r="J122" s="250" t="str">
        <f t="shared" si="26"/>
        <v/>
      </c>
      <c r="K122" s="246"/>
      <c r="L122" s="217"/>
      <c r="M122" s="225" t="str">
        <f t="shared" si="27"/>
        <v/>
      </c>
      <c r="N122" s="231"/>
    </row>
    <row r="123" spans="2:14">
      <c r="B123" s="309">
        <v>113</v>
      </c>
      <c r="C123" s="226"/>
      <c r="D123" s="227"/>
      <c r="E123" s="220"/>
      <c r="F123" s="214" t="str">
        <f t="shared" si="24"/>
        <v/>
      </c>
      <c r="G123" s="218" t="str">
        <f t="shared" si="25"/>
        <v/>
      </c>
      <c r="H123" s="228"/>
      <c r="I123" s="245"/>
      <c r="J123" s="250" t="str">
        <f t="shared" si="26"/>
        <v/>
      </c>
      <c r="K123" s="246"/>
      <c r="L123" s="217"/>
      <c r="M123" s="225" t="str">
        <f t="shared" si="27"/>
        <v/>
      </c>
      <c r="N123" s="231"/>
    </row>
    <row r="124" spans="2:14">
      <c r="B124" s="309">
        <v>114</v>
      </c>
      <c r="C124" s="226"/>
      <c r="D124" s="227"/>
      <c r="E124" s="220"/>
      <c r="F124" s="214" t="str">
        <f t="shared" si="24"/>
        <v/>
      </c>
      <c r="G124" s="218" t="str">
        <f t="shared" si="25"/>
        <v/>
      </c>
      <c r="H124" s="228"/>
      <c r="I124" s="245"/>
      <c r="J124" s="250" t="str">
        <f t="shared" si="26"/>
        <v/>
      </c>
      <c r="K124" s="246"/>
      <c r="L124" s="217"/>
      <c r="M124" s="225" t="str">
        <f t="shared" si="27"/>
        <v/>
      </c>
      <c r="N124" s="231"/>
    </row>
    <row r="125" spans="2:14">
      <c r="B125" s="309">
        <v>115</v>
      </c>
      <c r="C125" s="226"/>
      <c r="D125" s="227"/>
      <c r="E125" s="220"/>
      <c r="F125" s="214" t="str">
        <f t="shared" si="24"/>
        <v/>
      </c>
      <c r="G125" s="218" t="str">
        <f t="shared" si="25"/>
        <v/>
      </c>
      <c r="H125" s="228"/>
      <c r="I125" s="245"/>
      <c r="J125" s="250" t="str">
        <f t="shared" si="26"/>
        <v/>
      </c>
      <c r="K125" s="246"/>
      <c r="L125" s="217"/>
      <c r="M125" s="225" t="str">
        <f t="shared" si="27"/>
        <v/>
      </c>
      <c r="N125" s="231"/>
    </row>
    <row r="126" spans="2:14">
      <c r="B126" s="309">
        <v>116</v>
      </c>
      <c r="C126" s="226"/>
      <c r="D126" s="227"/>
      <c r="E126" s="220"/>
      <c r="F126" s="214" t="str">
        <f t="shared" si="24"/>
        <v/>
      </c>
      <c r="G126" s="218" t="str">
        <f t="shared" si="25"/>
        <v/>
      </c>
      <c r="H126" s="228"/>
      <c r="I126" s="245"/>
      <c r="J126" s="250" t="str">
        <f t="shared" si="26"/>
        <v/>
      </c>
      <c r="K126" s="246"/>
      <c r="L126" s="217"/>
      <c r="M126" s="225" t="str">
        <f t="shared" si="27"/>
        <v/>
      </c>
      <c r="N126" s="231"/>
    </row>
    <row r="127" spans="2:14">
      <c r="B127" s="309">
        <v>117</v>
      </c>
      <c r="C127" s="226"/>
      <c r="D127" s="227"/>
      <c r="E127" s="220"/>
      <c r="F127" s="214" t="str">
        <f t="shared" si="24"/>
        <v/>
      </c>
      <c r="G127" s="218" t="str">
        <f t="shared" si="25"/>
        <v/>
      </c>
      <c r="H127" s="228"/>
      <c r="I127" s="245"/>
      <c r="J127" s="250" t="str">
        <f t="shared" si="26"/>
        <v/>
      </c>
      <c r="K127" s="246"/>
      <c r="L127" s="217"/>
      <c r="M127" s="225" t="str">
        <f t="shared" si="27"/>
        <v/>
      </c>
      <c r="N127" s="231"/>
    </row>
    <row r="128" spans="2:14">
      <c r="B128" s="309">
        <v>118</v>
      </c>
      <c r="C128" s="226"/>
      <c r="D128" s="227"/>
      <c r="E128" s="220"/>
      <c r="F128" s="214" t="str">
        <f t="shared" si="24"/>
        <v/>
      </c>
      <c r="G128" s="218" t="str">
        <f t="shared" si="25"/>
        <v/>
      </c>
      <c r="H128" s="228"/>
      <c r="I128" s="245"/>
      <c r="J128" s="250" t="str">
        <f t="shared" si="26"/>
        <v/>
      </c>
      <c r="K128" s="246"/>
      <c r="L128" s="217"/>
      <c r="M128" s="225" t="str">
        <f t="shared" si="27"/>
        <v/>
      </c>
      <c r="N128" s="231"/>
    </row>
    <row r="129" spans="2:14">
      <c r="B129" s="309">
        <v>119</v>
      </c>
      <c r="C129" s="226"/>
      <c r="D129" s="227"/>
      <c r="E129" s="220"/>
      <c r="F129" s="214" t="str">
        <f t="shared" si="24"/>
        <v/>
      </c>
      <c r="G129" s="218" t="str">
        <f t="shared" si="25"/>
        <v/>
      </c>
      <c r="H129" s="228"/>
      <c r="I129" s="245"/>
      <c r="J129" s="250" t="str">
        <f t="shared" si="26"/>
        <v/>
      </c>
      <c r="K129" s="246"/>
      <c r="L129" s="217"/>
      <c r="M129" s="225" t="str">
        <f t="shared" si="27"/>
        <v/>
      </c>
      <c r="N129" s="231"/>
    </row>
    <row r="130" spans="2:14">
      <c r="B130" s="309">
        <v>120</v>
      </c>
      <c r="C130" s="226"/>
      <c r="D130" s="227"/>
      <c r="E130" s="220"/>
      <c r="F130" s="214" t="str">
        <f t="shared" si="24"/>
        <v/>
      </c>
      <c r="G130" s="218" t="str">
        <f t="shared" si="25"/>
        <v/>
      </c>
      <c r="H130" s="228"/>
      <c r="I130" s="245"/>
      <c r="J130" s="250" t="str">
        <f t="shared" si="26"/>
        <v/>
      </c>
      <c r="K130" s="246"/>
      <c r="L130" s="217"/>
      <c r="M130" s="225" t="str">
        <f t="shared" si="27"/>
        <v/>
      </c>
      <c r="N130" s="231"/>
    </row>
    <row r="131" spans="2:14">
      <c r="B131" s="309">
        <v>121</v>
      </c>
      <c r="C131" s="226"/>
      <c r="D131" s="227"/>
      <c r="E131" s="220"/>
      <c r="F131" s="214" t="str">
        <f t="shared" si="24"/>
        <v/>
      </c>
      <c r="G131" s="218" t="str">
        <f t="shared" si="25"/>
        <v/>
      </c>
      <c r="H131" s="228"/>
      <c r="I131" s="245"/>
      <c r="J131" s="250" t="str">
        <f t="shared" si="26"/>
        <v/>
      </c>
      <c r="K131" s="246"/>
      <c r="L131" s="217"/>
      <c r="M131" s="225" t="str">
        <f t="shared" si="27"/>
        <v/>
      </c>
      <c r="N131" s="231"/>
    </row>
    <row r="132" spans="2:14">
      <c r="B132" s="309">
        <v>122</v>
      </c>
      <c r="C132" s="226"/>
      <c r="D132" s="227"/>
      <c r="E132" s="220"/>
      <c r="F132" s="214" t="str">
        <f t="shared" si="24"/>
        <v/>
      </c>
      <c r="G132" s="218" t="str">
        <f t="shared" si="25"/>
        <v/>
      </c>
      <c r="H132" s="228"/>
      <c r="I132" s="245"/>
      <c r="J132" s="250" t="str">
        <f t="shared" si="26"/>
        <v/>
      </c>
      <c r="K132" s="246"/>
      <c r="L132" s="217"/>
      <c r="M132" s="225" t="str">
        <f t="shared" si="27"/>
        <v/>
      </c>
      <c r="N132" s="231"/>
    </row>
    <row r="133" spans="2:14">
      <c r="B133" s="309">
        <v>123</v>
      </c>
      <c r="C133" s="226"/>
      <c r="D133" s="227"/>
      <c r="E133" s="220"/>
      <c r="F133" s="214" t="str">
        <f t="shared" si="24"/>
        <v/>
      </c>
      <c r="G133" s="218" t="str">
        <f t="shared" si="25"/>
        <v/>
      </c>
      <c r="H133" s="228"/>
      <c r="I133" s="245"/>
      <c r="J133" s="250" t="str">
        <f t="shared" si="26"/>
        <v/>
      </c>
      <c r="K133" s="246"/>
      <c r="L133" s="217"/>
      <c r="M133" s="225" t="str">
        <f t="shared" si="27"/>
        <v/>
      </c>
      <c r="N133" s="231"/>
    </row>
    <row r="134" spans="2:14">
      <c r="B134" s="309">
        <v>124</v>
      </c>
      <c r="C134" s="226"/>
      <c r="D134" s="227"/>
      <c r="E134" s="220"/>
      <c r="F134" s="214" t="str">
        <f t="shared" si="24"/>
        <v/>
      </c>
      <c r="G134" s="218" t="str">
        <f t="shared" si="25"/>
        <v/>
      </c>
      <c r="H134" s="228"/>
      <c r="I134" s="245"/>
      <c r="J134" s="250" t="str">
        <f t="shared" si="26"/>
        <v/>
      </c>
      <c r="K134" s="246"/>
      <c r="L134" s="217"/>
      <c r="M134" s="225" t="str">
        <f t="shared" si="27"/>
        <v/>
      </c>
      <c r="N134" s="231"/>
    </row>
    <row r="135" spans="2:14">
      <c r="B135" s="309">
        <v>125</v>
      </c>
      <c r="C135" s="226"/>
      <c r="D135" s="227"/>
      <c r="E135" s="220"/>
      <c r="F135" s="214" t="str">
        <f t="shared" si="24"/>
        <v/>
      </c>
      <c r="G135" s="218" t="str">
        <f t="shared" si="25"/>
        <v/>
      </c>
      <c r="H135" s="228"/>
      <c r="I135" s="245"/>
      <c r="J135" s="250" t="str">
        <f t="shared" si="26"/>
        <v/>
      </c>
      <c r="K135" s="246"/>
      <c r="L135" s="217"/>
      <c r="M135" s="225" t="str">
        <f t="shared" si="27"/>
        <v/>
      </c>
      <c r="N135" s="231"/>
    </row>
    <row r="136" spans="2:14">
      <c r="B136" s="309">
        <v>126</v>
      </c>
      <c r="C136" s="226"/>
      <c r="D136" s="227"/>
      <c r="E136" s="220"/>
      <c r="F136" s="214" t="str">
        <f t="shared" si="24"/>
        <v/>
      </c>
      <c r="G136" s="218" t="str">
        <f t="shared" si="25"/>
        <v/>
      </c>
      <c r="H136" s="228"/>
      <c r="I136" s="245"/>
      <c r="J136" s="250" t="str">
        <f t="shared" si="26"/>
        <v/>
      </c>
      <c r="K136" s="246"/>
      <c r="L136" s="217"/>
      <c r="M136" s="225" t="str">
        <f t="shared" si="27"/>
        <v/>
      </c>
      <c r="N136" s="231"/>
    </row>
    <row r="137" spans="2:14">
      <c r="B137" s="309">
        <v>127</v>
      </c>
      <c r="C137" s="226"/>
      <c r="D137" s="227"/>
      <c r="E137" s="220"/>
      <c r="F137" s="214" t="str">
        <f t="shared" si="24"/>
        <v/>
      </c>
      <c r="G137" s="218" t="str">
        <f t="shared" si="25"/>
        <v/>
      </c>
      <c r="H137" s="228"/>
      <c r="I137" s="245"/>
      <c r="J137" s="250" t="str">
        <f t="shared" si="26"/>
        <v/>
      </c>
      <c r="K137" s="246"/>
      <c r="L137" s="217"/>
      <c r="M137" s="225" t="str">
        <f t="shared" si="27"/>
        <v/>
      </c>
      <c r="N137" s="231"/>
    </row>
    <row r="138" spans="2:14">
      <c r="B138" s="309">
        <v>128</v>
      </c>
      <c r="C138" s="226"/>
      <c r="D138" s="227"/>
      <c r="E138" s="220"/>
      <c r="F138" s="214" t="str">
        <f t="shared" si="24"/>
        <v/>
      </c>
      <c r="G138" s="218" t="str">
        <f t="shared" si="25"/>
        <v/>
      </c>
      <c r="H138" s="228"/>
      <c r="I138" s="245"/>
      <c r="J138" s="250" t="str">
        <f t="shared" si="26"/>
        <v/>
      </c>
      <c r="K138" s="246"/>
      <c r="L138" s="217"/>
      <c r="M138" s="225" t="str">
        <f t="shared" si="27"/>
        <v/>
      </c>
      <c r="N138" s="231"/>
    </row>
    <row r="139" spans="2:14">
      <c r="B139" s="309">
        <v>129</v>
      </c>
      <c r="C139" s="226"/>
      <c r="D139" s="227"/>
      <c r="E139" s="220"/>
      <c r="F139" s="214" t="str">
        <f t="shared" si="24"/>
        <v/>
      </c>
      <c r="G139" s="218" t="str">
        <f t="shared" si="25"/>
        <v/>
      </c>
      <c r="H139" s="228"/>
      <c r="I139" s="245"/>
      <c r="J139" s="250" t="str">
        <f t="shared" si="26"/>
        <v/>
      </c>
      <c r="K139" s="246"/>
      <c r="L139" s="217"/>
      <c r="M139" s="225" t="str">
        <f t="shared" si="27"/>
        <v/>
      </c>
      <c r="N139" s="231"/>
    </row>
    <row r="140" spans="2:14">
      <c r="B140" s="309">
        <v>130</v>
      </c>
      <c r="C140" s="226"/>
      <c r="D140" s="227"/>
      <c r="E140" s="220"/>
      <c r="F140" s="214" t="str">
        <f t="shared" si="24"/>
        <v/>
      </c>
      <c r="G140" s="218" t="str">
        <f t="shared" si="25"/>
        <v/>
      </c>
      <c r="H140" s="228"/>
      <c r="I140" s="245"/>
      <c r="J140" s="250" t="str">
        <f t="shared" si="26"/>
        <v/>
      </c>
      <c r="K140" s="246"/>
      <c r="L140" s="217"/>
      <c r="M140" s="225" t="str">
        <f t="shared" si="27"/>
        <v/>
      </c>
      <c r="N140" s="231"/>
    </row>
    <row r="141" spans="2:14">
      <c r="B141" s="309">
        <v>131</v>
      </c>
      <c r="C141" s="226"/>
      <c r="D141" s="227"/>
      <c r="E141" s="220"/>
      <c r="F141" s="214" t="str">
        <f t="shared" si="24"/>
        <v/>
      </c>
      <c r="G141" s="218" t="str">
        <f t="shared" si="25"/>
        <v/>
      </c>
      <c r="H141" s="228"/>
      <c r="I141" s="245"/>
      <c r="J141" s="250" t="str">
        <f t="shared" si="26"/>
        <v/>
      </c>
      <c r="K141" s="246"/>
      <c r="L141" s="217"/>
      <c r="M141" s="225" t="str">
        <f t="shared" si="27"/>
        <v/>
      </c>
      <c r="N141" s="231"/>
    </row>
    <row r="142" spans="2:14">
      <c r="B142" s="309">
        <v>132</v>
      </c>
      <c r="C142" s="226"/>
      <c r="D142" s="227"/>
      <c r="E142" s="220"/>
      <c r="F142" s="214" t="str">
        <f t="shared" si="24"/>
        <v/>
      </c>
      <c r="G142" s="218" t="str">
        <f t="shared" si="25"/>
        <v/>
      </c>
      <c r="H142" s="228"/>
      <c r="I142" s="245"/>
      <c r="J142" s="250" t="str">
        <f t="shared" si="26"/>
        <v/>
      </c>
      <c r="K142" s="246"/>
      <c r="L142" s="217"/>
      <c r="M142" s="225" t="str">
        <f t="shared" si="27"/>
        <v/>
      </c>
      <c r="N142" s="231"/>
    </row>
    <row r="143" spans="2:14">
      <c r="B143" s="309">
        <v>133</v>
      </c>
      <c r="C143" s="226"/>
      <c r="D143" s="227"/>
      <c r="E143" s="220"/>
      <c r="F143" s="214" t="str">
        <f t="shared" si="24"/>
        <v/>
      </c>
      <c r="G143" s="218" t="str">
        <f t="shared" si="25"/>
        <v/>
      </c>
      <c r="H143" s="228"/>
      <c r="I143" s="245"/>
      <c r="J143" s="250" t="str">
        <f t="shared" si="26"/>
        <v/>
      </c>
      <c r="K143" s="246"/>
      <c r="L143" s="217"/>
      <c r="M143" s="225" t="str">
        <f t="shared" si="27"/>
        <v/>
      </c>
      <c r="N143" s="231"/>
    </row>
    <row r="144" spans="2:14">
      <c r="B144" s="309">
        <v>134</v>
      </c>
      <c r="C144" s="226"/>
      <c r="D144" s="227"/>
      <c r="E144" s="220"/>
      <c r="F144" s="214" t="str">
        <f t="shared" si="24"/>
        <v/>
      </c>
      <c r="G144" s="218" t="str">
        <f t="shared" si="25"/>
        <v/>
      </c>
      <c r="H144" s="228"/>
      <c r="I144" s="245"/>
      <c r="J144" s="250" t="str">
        <f t="shared" si="26"/>
        <v/>
      </c>
      <c r="K144" s="246"/>
      <c r="L144" s="217"/>
      <c r="M144" s="225" t="str">
        <f t="shared" si="27"/>
        <v/>
      </c>
      <c r="N144" s="231"/>
    </row>
    <row r="145" spans="2:14">
      <c r="B145" s="309">
        <v>135</v>
      </c>
      <c r="C145" s="226"/>
      <c r="D145" s="227"/>
      <c r="E145" s="220"/>
      <c r="F145" s="214" t="str">
        <f t="shared" si="24"/>
        <v/>
      </c>
      <c r="G145" s="218" t="str">
        <f t="shared" si="25"/>
        <v/>
      </c>
      <c r="H145" s="228"/>
      <c r="I145" s="245"/>
      <c r="J145" s="250" t="str">
        <f t="shared" si="26"/>
        <v/>
      </c>
      <c r="K145" s="246"/>
      <c r="L145" s="217"/>
      <c r="M145" s="225" t="str">
        <f t="shared" si="27"/>
        <v/>
      </c>
      <c r="N145" s="231"/>
    </row>
    <row r="146" spans="2:14">
      <c r="B146" s="309">
        <v>136</v>
      </c>
      <c r="C146" s="226"/>
      <c r="D146" s="227"/>
      <c r="E146" s="220"/>
      <c r="F146" s="214" t="str">
        <f t="shared" si="24"/>
        <v/>
      </c>
      <c r="G146" s="218" t="str">
        <f t="shared" si="25"/>
        <v/>
      </c>
      <c r="H146" s="228"/>
      <c r="I146" s="245"/>
      <c r="J146" s="250" t="str">
        <f t="shared" si="26"/>
        <v/>
      </c>
      <c r="K146" s="246"/>
      <c r="L146" s="217"/>
      <c r="M146" s="225" t="str">
        <f t="shared" si="27"/>
        <v/>
      </c>
      <c r="N146" s="231"/>
    </row>
    <row r="147" spans="2:14">
      <c r="B147" s="309">
        <v>137</v>
      </c>
      <c r="C147" s="226"/>
      <c r="D147" s="227"/>
      <c r="E147" s="220"/>
      <c r="F147" s="214" t="str">
        <f t="shared" si="24"/>
        <v/>
      </c>
      <c r="G147" s="218" t="str">
        <f t="shared" si="25"/>
        <v/>
      </c>
      <c r="H147" s="228"/>
      <c r="I147" s="245"/>
      <c r="J147" s="250" t="str">
        <f t="shared" si="26"/>
        <v/>
      </c>
      <c r="K147" s="246"/>
      <c r="L147" s="217"/>
      <c r="M147" s="225" t="str">
        <f t="shared" si="27"/>
        <v/>
      </c>
      <c r="N147" s="231"/>
    </row>
    <row r="148" spans="2:14">
      <c r="B148" s="309">
        <v>138</v>
      </c>
      <c r="C148" s="226"/>
      <c r="D148" s="227"/>
      <c r="E148" s="220"/>
      <c r="F148" s="214" t="str">
        <f t="shared" si="24"/>
        <v/>
      </c>
      <c r="G148" s="218" t="str">
        <f t="shared" si="25"/>
        <v/>
      </c>
      <c r="H148" s="228"/>
      <c r="I148" s="245"/>
      <c r="J148" s="250" t="str">
        <f t="shared" si="26"/>
        <v/>
      </c>
      <c r="K148" s="246"/>
      <c r="L148" s="217"/>
      <c r="M148" s="225" t="str">
        <f t="shared" si="27"/>
        <v/>
      </c>
      <c r="N148" s="231"/>
    </row>
    <row r="149" spans="2:14">
      <c r="B149" s="309">
        <v>139</v>
      </c>
      <c r="C149" s="226"/>
      <c r="D149" s="227"/>
      <c r="E149" s="220"/>
      <c r="F149" s="214" t="str">
        <f t="shared" si="24"/>
        <v/>
      </c>
      <c r="G149" s="218" t="str">
        <f t="shared" si="25"/>
        <v/>
      </c>
      <c r="H149" s="228"/>
      <c r="I149" s="245"/>
      <c r="J149" s="250" t="str">
        <f t="shared" si="26"/>
        <v/>
      </c>
      <c r="K149" s="246"/>
      <c r="L149" s="217"/>
      <c r="M149" s="225" t="str">
        <f t="shared" si="27"/>
        <v/>
      </c>
      <c r="N149" s="231"/>
    </row>
    <row r="150" spans="2:14">
      <c r="B150" s="309">
        <v>140</v>
      </c>
      <c r="C150" s="226"/>
      <c r="D150" s="227"/>
      <c r="E150" s="220"/>
      <c r="F150" s="214" t="str">
        <f t="shared" si="24"/>
        <v/>
      </c>
      <c r="G150" s="218" t="str">
        <f t="shared" si="25"/>
        <v/>
      </c>
      <c r="H150" s="228"/>
      <c r="I150" s="245"/>
      <c r="J150" s="250" t="str">
        <f t="shared" si="26"/>
        <v/>
      </c>
      <c r="K150" s="246"/>
      <c r="L150" s="217"/>
      <c r="M150" s="225" t="str">
        <f t="shared" si="27"/>
        <v/>
      </c>
      <c r="N150" s="231"/>
    </row>
    <row r="151" spans="2:14">
      <c r="B151" s="309">
        <v>141</v>
      </c>
      <c r="C151" s="226"/>
      <c r="D151" s="227"/>
      <c r="E151" s="220"/>
      <c r="F151" s="214" t="str">
        <f t="shared" si="24"/>
        <v/>
      </c>
      <c r="G151" s="218" t="str">
        <f t="shared" si="25"/>
        <v/>
      </c>
      <c r="H151" s="228"/>
      <c r="I151" s="245"/>
      <c r="J151" s="250" t="str">
        <f t="shared" si="26"/>
        <v/>
      </c>
      <c r="K151" s="246"/>
      <c r="L151" s="217"/>
      <c r="M151" s="225" t="str">
        <f t="shared" si="27"/>
        <v/>
      </c>
      <c r="N151" s="231"/>
    </row>
    <row r="152" spans="2:14">
      <c r="B152" s="309">
        <v>142</v>
      </c>
      <c r="C152" s="226"/>
      <c r="D152" s="227"/>
      <c r="E152" s="220"/>
      <c r="F152" s="214" t="str">
        <f t="shared" si="24"/>
        <v/>
      </c>
      <c r="G152" s="218" t="str">
        <f t="shared" si="25"/>
        <v/>
      </c>
      <c r="H152" s="228"/>
      <c r="I152" s="245"/>
      <c r="J152" s="250" t="str">
        <f t="shared" si="26"/>
        <v/>
      </c>
      <c r="K152" s="246"/>
      <c r="L152" s="217"/>
      <c r="M152" s="225" t="str">
        <f t="shared" si="27"/>
        <v/>
      </c>
      <c r="N152" s="231"/>
    </row>
    <row r="153" spans="2:14">
      <c r="B153" s="309">
        <v>143</v>
      </c>
      <c r="C153" s="226"/>
      <c r="D153" s="227"/>
      <c r="E153" s="220"/>
      <c r="F153" s="214" t="str">
        <f t="shared" si="24"/>
        <v/>
      </c>
      <c r="G153" s="218" t="str">
        <f t="shared" si="25"/>
        <v/>
      </c>
      <c r="H153" s="228"/>
      <c r="I153" s="245"/>
      <c r="J153" s="250" t="str">
        <f t="shared" si="26"/>
        <v/>
      </c>
      <c r="K153" s="246"/>
      <c r="L153" s="217"/>
      <c r="M153" s="225" t="str">
        <f t="shared" si="27"/>
        <v/>
      </c>
      <c r="N153" s="231"/>
    </row>
    <row r="154" spans="2:14">
      <c r="B154" s="309">
        <v>144</v>
      </c>
      <c r="C154" s="226"/>
      <c r="D154" s="227"/>
      <c r="E154" s="220"/>
      <c r="F154" s="214" t="str">
        <f t="shared" si="24"/>
        <v/>
      </c>
      <c r="G154" s="218" t="str">
        <f t="shared" si="25"/>
        <v/>
      </c>
      <c r="H154" s="228"/>
      <c r="I154" s="245"/>
      <c r="J154" s="250" t="str">
        <f t="shared" si="26"/>
        <v/>
      </c>
      <c r="K154" s="246"/>
      <c r="L154" s="217"/>
      <c r="M154" s="225" t="str">
        <f t="shared" si="27"/>
        <v/>
      </c>
      <c r="N154" s="231"/>
    </row>
    <row r="155" spans="2:14">
      <c r="B155" s="309">
        <v>145</v>
      </c>
      <c r="C155" s="226"/>
      <c r="D155" s="227"/>
      <c r="E155" s="220"/>
      <c r="F155" s="214" t="str">
        <f t="shared" si="24"/>
        <v/>
      </c>
      <c r="G155" s="218" t="str">
        <f t="shared" si="25"/>
        <v/>
      </c>
      <c r="H155" s="228"/>
      <c r="I155" s="245"/>
      <c r="J155" s="250" t="str">
        <f t="shared" si="26"/>
        <v/>
      </c>
      <c r="K155" s="246"/>
      <c r="L155" s="217"/>
      <c r="M155" s="225" t="str">
        <f t="shared" si="27"/>
        <v/>
      </c>
      <c r="N155" s="231"/>
    </row>
    <row r="156" spans="2:14">
      <c r="B156" s="309">
        <v>146</v>
      </c>
      <c r="C156" s="226"/>
      <c r="D156" s="227"/>
      <c r="E156" s="220"/>
      <c r="F156" s="214" t="str">
        <f t="shared" ref="F156:F160" si="28">IF(E156="","",IF(E156="EE","Média",IF(E156="CE","Média",IF(E156="SE","Média","Baixa"))))</f>
        <v/>
      </c>
      <c r="G156" s="218" t="str">
        <f t="shared" ref="G156:G160" si="29">IF(E156="","",IF(E156="ALI",7,IF(E156="AIE",5,IF(E156="SE",5,IF(OR(E156="EE",E156="CE"),4)))))</f>
        <v/>
      </c>
      <c r="H156" s="228"/>
      <c r="I156" s="245"/>
      <c r="J156" s="250" t="str">
        <f t="shared" ref="J156:J160" si="30">IF(I156="","",IF(I156="ALI",7,IF(I156="AIE",5,IF(I156="SE",5,IF(OR(I156="EE",I156="CE"),4)))))</f>
        <v/>
      </c>
      <c r="K156" s="246"/>
      <c r="L156" s="217"/>
      <c r="M156" s="225" t="str">
        <f t="shared" ref="M156:M160" si="31">IF(L156="","",IF(L156="ALI",7,IF(L156="AIE",5,IF(L156="SE",5,IF(OR(L156="EE",L156="CE"),4)))))</f>
        <v/>
      </c>
      <c r="N156" s="231"/>
    </row>
    <row r="157" spans="2:14">
      <c r="B157" s="309">
        <v>147</v>
      </c>
      <c r="C157" s="226"/>
      <c r="D157" s="227"/>
      <c r="E157" s="220"/>
      <c r="F157" s="214" t="str">
        <f t="shared" si="28"/>
        <v/>
      </c>
      <c r="G157" s="218" t="str">
        <f t="shared" si="29"/>
        <v/>
      </c>
      <c r="H157" s="228"/>
      <c r="I157" s="245"/>
      <c r="J157" s="250" t="str">
        <f t="shared" si="30"/>
        <v/>
      </c>
      <c r="K157" s="246"/>
      <c r="L157" s="217"/>
      <c r="M157" s="225" t="str">
        <f t="shared" si="31"/>
        <v/>
      </c>
      <c r="N157" s="231"/>
    </row>
    <row r="158" spans="2:14">
      <c r="B158" s="309">
        <v>148</v>
      </c>
      <c r="C158" s="226"/>
      <c r="D158" s="227"/>
      <c r="E158" s="220"/>
      <c r="F158" s="214" t="str">
        <f t="shared" si="28"/>
        <v/>
      </c>
      <c r="G158" s="218" t="str">
        <f t="shared" si="29"/>
        <v/>
      </c>
      <c r="H158" s="228"/>
      <c r="I158" s="245"/>
      <c r="J158" s="250" t="str">
        <f t="shared" si="30"/>
        <v/>
      </c>
      <c r="K158" s="246"/>
      <c r="L158" s="217"/>
      <c r="M158" s="225" t="str">
        <f t="shared" si="31"/>
        <v/>
      </c>
      <c r="N158" s="231"/>
    </row>
    <row r="159" spans="2:14">
      <c r="B159" s="309">
        <v>149</v>
      </c>
      <c r="C159" s="226"/>
      <c r="D159" s="227"/>
      <c r="E159" s="220"/>
      <c r="F159" s="214" t="str">
        <f t="shared" si="28"/>
        <v/>
      </c>
      <c r="G159" s="218" t="str">
        <f t="shared" si="29"/>
        <v/>
      </c>
      <c r="H159" s="228"/>
      <c r="I159" s="245"/>
      <c r="J159" s="250" t="str">
        <f t="shared" si="30"/>
        <v/>
      </c>
      <c r="K159" s="246"/>
      <c r="L159" s="217"/>
      <c r="M159" s="225" t="str">
        <f t="shared" si="31"/>
        <v/>
      </c>
      <c r="N159" s="231"/>
    </row>
    <row r="160" spans="2:14" ht="13.5" thickBot="1">
      <c r="B160" s="309">
        <v>150</v>
      </c>
      <c r="C160" s="222"/>
      <c r="D160" s="223"/>
      <c r="E160" s="232"/>
      <c r="F160" s="215" t="str">
        <f t="shared" si="28"/>
        <v/>
      </c>
      <c r="G160" s="216" t="str">
        <f t="shared" si="29"/>
        <v/>
      </c>
      <c r="H160" s="233"/>
      <c r="I160" s="247"/>
      <c r="J160" s="251" t="str">
        <f t="shared" si="30"/>
        <v/>
      </c>
      <c r="K160" s="248"/>
      <c r="L160" s="221"/>
      <c r="M160" s="224" t="str">
        <f t="shared" si="31"/>
        <v/>
      </c>
      <c r="N160" s="213"/>
    </row>
  </sheetData>
  <mergeCells count="23">
    <mergeCell ref="C2:F2"/>
    <mergeCell ref="H43:H44"/>
    <mergeCell ref="H34:H36"/>
    <mergeCell ref="H52:H56"/>
    <mergeCell ref="H12:H18"/>
    <mergeCell ref="H24:H26"/>
    <mergeCell ref="H27:H28"/>
    <mergeCell ref="H29:H30"/>
    <mergeCell ref="B9:B10"/>
    <mergeCell ref="C9:C10"/>
    <mergeCell ref="D9:D10"/>
    <mergeCell ref="E9:E10"/>
    <mergeCell ref="C4:M4"/>
    <mergeCell ref="B6:N6"/>
    <mergeCell ref="B7:D7"/>
    <mergeCell ref="E7:E8"/>
    <mergeCell ref="F7:N8"/>
    <mergeCell ref="B8:D8"/>
    <mergeCell ref="G9:G10"/>
    <mergeCell ref="H9:H10"/>
    <mergeCell ref="I9:K9"/>
    <mergeCell ref="L9:N9"/>
    <mergeCell ref="F9:F10"/>
  </mergeCells>
  <dataValidations count="2">
    <dataValidation allowBlank="1" showDropDown="1" showInputMessage="1" showErrorMessage="1" sqref="F11:F160"/>
    <dataValidation type="list" allowBlank="1" showInputMessage="1" showErrorMessage="1" sqref="L11:L160 E11:E160 I11:I160">
      <formula1>"ALI,AIE,EE,SE,CE,N/A"</formula1>
    </dataValidation>
  </dataValidations>
  <pageMargins left="0.28000000000000003" right="0.2" top="0.32" bottom="0.3" header="0.31496062992125984" footer="0.31496062992125984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9"/>
  <dimension ref="B1:E21"/>
  <sheetViews>
    <sheetView showGridLines="0" zoomScale="85" zoomScaleNormal="85" workbookViewId="0">
      <selection activeCell="G41" sqref="G41"/>
    </sheetView>
  </sheetViews>
  <sheetFormatPr defaultRowHeight="12.75"/>
  <cols>
    <col min="1" max="1" width="4.5703125" style="62" customWidth="1"/>
    <col min="2" max="2" width="23.28515625" style="62" customWidth="1"/>
    <col min="3" max="3" width="44" style="62" customWidth="1"/>
    <col min="4" max="4" width="22" style="62" customWidth="1"/>
    <col min="5" max="5" width="4.7109375" style="62" customWidth="1"/>
    <col min="6" max="16384" width="9.140625" style="62"/>
  </cols>
  <sheetData>
    <row r="1" spans="2:5" s="252" customFormat="1" ht="21" customHeight="1">
      <c r="B1" s="253" t="s">
        <v>290</v>
      </c>
      <c r="C1" s="283"/>
      <c r="D1" s="283"/>
      <c r="E1" s="284"/>
    </row>
    <row r="2" spans="2:5" s="256" customFormat="1" ht="18.75" customHeight="1">
      <c r="B2" s="257" t="s">
        <v>282</v>
      </c>
      <c r="C2" s="264" t="str">
        <f>'Histórico de Revisão'!C2</f>
        <v>SAAD - Sistema de Acompanhamento Administrativo de Documentos</v>
      </c>
      <c r="D2" s="259" t="s">
        <v>283</v>
      </c>
      <c r="E2" s="282" t="s">
        <v>286</v>
      </c>
    </row>
    <row r="3" spans="2:5">
      <c r="C3" s="420"/>
      <c r="D3" s="420"/>
      <c r="E3" s="420"/>
    </row>
    <row r="4" spans="2:5" s="36" customFormat="1" ht="45" customHeight="1">
      <c r="B4" s="387" t="s">
        <v>273</v>
      </c>
      <c r="C4" s="387"/>
      <c r="D4" s="387"/>
      <c r="E4" s="111"/>
    </row>
    <row r="5" spans="2:5" ht="13.5" thickBot="1"/>
    <row r="6" spans="2:5" ht="15.75" thickBot="1">
      <c r="B6" s="421" t="s">
        <v>276</v>
      </c>
      <c r="C6" s="422"/>
      <c r="D6" s="422"/>
      <c r="E6" s="423"/>
    </row>
    <row r="7" spans="2:5" ht="15">
      <c r="B7" s="242" t="s">
        <v>59</v>
      </c>
      <c r="C7" s="424" t="str">
        <f>NomeCliente</f>
        <v>STJ - Superior Tribunal de Justiça</v>
      </c>
      <c r="D7" s="424"/>
      <c r="E7" s="425"/>
    </row>
    <row r="8" spans="2:5" ht="15">
      <c r="B8" s="234" t="s">
        <v>60</v>
      </c>
      <c r="C8" s="426" t="str">
        <f>NomeProjeto</f>
        <v>SAAD - Sistema de Acompanhamento Administrativo de Documentos</v>
      </c>
      <c r="D8" s="426"/>
      <c r="E8" s="427"/>
    </row>
    <row r="9" spans="2:5" ht="15">
      <c r="B9" s="234" t="s">
        <v>61</v>
      </c>
      <c r="C9" s="415" t="str">
        <f>FaseProjeto</f>
        <v>Avaliação Técnica</v>
      </c>
      <c r="D9" s="415"/>
      <c r="E9" s="416"/>
    </row>
    <row r="10" spans="2:5" ht="15">
      <c r="B10" s="243" t="s">
        <v>62</v>
      </c>
      <c r="C10" s="428">
        <f>Capa!C17</f>
        <v>41834</v>
      </c>
      <c r="D10" s="428"/>
      <c r="E10" s="429"/>
    </row>
    <row r="11" spans="2:5" ht="15">
      <c r="B11" s="234" t="s">
        <v>63</v>
      </c>
      <c r="C11" s="415" t="str">
        <f>TipoContagem</f>
        <v>Desenvolvimento</v>
      </c>
      <c r="D11" s="415"/>
      <c r="E11" s="416"/>
    </row>
    <row r="12" spans="2:5" ht="15">
      <c r="B12" s="234" t="str">
        <f>"Responsável: "</f>
        <v xml:space="preserve">Responsável: </v>
      </c>
      <c r="C12" s="415" t="str">
        <f>Responsavel</f>
        <v>Márcia Silva de Morais</v>
      </c>
      <c r="D12" s="415"/>
      <c r="E12" s="416"/>
    </row>
    <row r="13" spans="2:5" ht="15">
      <c r="B13" s="234" t="str">
        <f>"Propósito: "</f>
        <v xml:space="preserve">Propósito: </v>
      </c>
      <c r="C13" s="415" t="str">
        <f>PropositoDaContagem</f>
        <v>Estimar em Pontos de Função o tamanho do projeto SAAD - Sistema de Acompanhamento Administrativo de Documentos como uma entrada para o processo de Iniciação e Planejamento da Gerência do Projeto.</v>
      </c>
      <c r="D13" s="415"/>
      <c r="E13" s="416"/>
    </row>
    <row r="14" spans="2:5" ht="58.5" customHeight="1">
      <c r="B14" s="234" t="str">
        <f>"Escopo: "</f>
        <v xml:space="preserve">Escopo: </v>
      </c>
      <c r="C14" s="415" t="str">
        <f>EscopoDaContagem</f>
        <v>Todas as funções transacionais e de dados identificadas no documento de visão, especificações suplementares, modelo conceitual  e ainda todas as funções identificadas através de integrações com os sistemas internos do STJ - Superior Tribunal de Justiça e sistemas Externos, que estejam devidamente registrados na documentação utilizada para esta contagem.</v>
      </c>
      <c r="D14" s="415"/>
      <c r="E14" s="416"/>
    </row>
    <row r="15" spans="2:5" ht="30">
      <c r="B15" s="234" t="s">
        <v>64</v>
      </c>
      <c r="C15" s="417" t="str">
        <f>Documentação</f>
        <v>saad_dovs_visao_inicial_do_sistema_visão - Versão 0.03</v>
      </c>
      <c r="D15" s="418"/>
      <c r="E15" s="419"/>
    </row>
    <row r="16" spans="2:5" ht="15">
      <c r="B16" s="234" t="s">
        <v>65</v>
      </c>
      <c r="C16" s="415" t="str">
        <f>Observações</f>
        <v>Não se aplica.</v>
      </c>
      <c r="D16" s="415"/>
      <c r="E16" s="416"/>
    </row>
    <row r="17" spans="2:5" ht="16.5" customHeight="1">
      <c r="B17" s="234" t="s">
        <v>66</v>
      </c>
      <c r="C17" s="430">
        <f>Capa!F14+Capa!F15</f>
        <v>2</v>
      </c>
      <c r="D17" s="430"/>
      <c r="E17" s="431"/>
    </row>
    <row r="18" spans="2:5" ht="16.5" customHeight="1">
      <c r="B18" s="234" t="s">
        <v>68</v>
      </c>
      <c r="C18" s="415">
        <f>VAF</f>
        <v>1</v>
      </c>
      <c r="D18" s="415"/>
      <c r="E18" s="416"/>
    </row>
    <row r="19" spans="2:5" ht="16.5" customHeight="1">
      <c r="B19" s="432" t="s">
        <v>278</v>
      </c>
      <c r="C19" s="433"/>
      <c r="D19" s="433"/>
      <c r="E19" s="434"/>
    </row>
    <row r="20" spans="2:5" ht="30">
      <c r="B20" s="127" t="s">
        <v>203</v>
      </c>
      <c r="C20" s="435">
        <f>SUM(Total_PF_NMensuraveis)</f>
        <v>0</v>
      </c>
      <c r="D20" s="435"/>
      <c r="E20" s="435"/>
    </row>
    <row r="21" spans="2:5" ht="16.5" customHeight="1" thickBot="1">
      <c r="B21" s="235" t="s">
        <v>277</v>
      </c>
      <c r="C21" s="436">
        <f>SUM(Estimativa!G12:G160)+C20</f>
        <v>196</v>
      </c>
      <c r="D21" s="436"/>
      <c r="E21" s="437"/>
    </row>
  </sheetData>
  <mergeCells count="18">
    <mergeCell ref="C17:E17"/>
    <mergeCell ref="C18:E18"/>
    <mergeCell ref="B19:E19"/>
    <mergeCell ref="C20:E20"/>
    <mergeCell ref="C21:E21"/>
    <mergeCell ref="C16:E16"/>
    <mergeCell ref="C15:E15"/>
    <mergeCell ref="C3:E3"/>
    <mergeCell ref="B4:D4"/>
    <mergeCell ref="B6:E6"/>
    <mergeCell ref="C7:E7"/>
    <mergeCell ref="C8:E8"/>
    <mergeCell ref="C9:E9"/>
    <mergeCell ref="C10:E10"/>
    <mergeCell ref="C11:E11"/>
    <mergeCell ref="C12:E12"/>
    <mergeCell ref="C13:E13"/>
    <mergeCell ref="C14:E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0"/>
  <dimension ref="A1:AG143"/>
  <sheetViews>
    <sheetView showGridLines="0" zoomScale="85" zoomScaleNormal="85" workbookViewId="0">
      <selection activeCell="D2" sqref="D2"/>
    </sheetView>
  </sheetViews>
  <sheetFormatPr defaultColWidth="11.7109375" defaultRowHeight="12.75"/>
  <cols>
    <col min="1" max="1" width="2.140625" style="47" bestFit="1" customWidth="1"/>
    <col min="2" max="2" width="6.140625" style="47" customWidth="1"/>
    <col min="3" max="3" width="51.5703125" style="47" customWidth="1"/>
    <col min="4" max="4" width="42.42578125" style="47" customWidth="1"/>
    <col min="5" max="5" width="8.7109375" style="47" bestFit="1" customWidth="1"/>
    <col min="6" max="6" width="6.42578125" style="47" bestFit="1" customWidth="1"/>
    <col min="7" max="7" width="5.7109375" style="48" customWidth="1"/>
    <col min="8" max="8" width="28.140625" style="48" customWidth="1"/>
    <col min="9" max="9" width="7.5703125" style="48" customWidth="1"/>
    <col min="10" max="10" width="14.42578125" style="48" customWidth="1"/>
    <col min="11" max="11" width="4.85546875" style="47" hidden="1" customWidth="1"/>
    <col min="12" max="12" width="2.28515625" style="47" hidden="1" customWidth="1"/>
    <col min="13" max="13" width="9.42578125" style="47" bestFit="1" customWidth="1"/>
    <col min="14" max="14" width="4" style="47" bestFit="1" customWidth="1"/>
    <col min="15" max="15" width="37.140625" style="211" customWidth="1"/>
    <col min="16" max="16" width="6.85546875" style="47" customWidth="1"/>
    <col min="17" max="18" width="6.28515625" style="47" customWidth="1"/>
    <col min="19" max="19" width="5.7109375" style="47" hidden="1" customWidth="1"/>
    <col min="20" max="20" width="4.7109375" style="47" hidden="1" customWidth="1"/>
    <col min="21" max="21" width="6" style="47" customWidth="1"/>
    <col min="22" max="22" width="9.85546875" style="47" customWidth="1"/>
    <col min="23" max="23" width="6" style="47" customWidth="1"/>
    <col min="24" max="24" width="23.28515625" style="47" customWidth="1"/>
    <col min="25" max="25" width="6.85546875" style="47" customWidth="1"/>
    <col min="26" max="26" width="6" style="47" customWidth="1"/>
    <col min="27" max="27" width="7.28515625" style="47" customWidth="1"/>
    <col min="28" max="28" width="5.42578125" style="47" hidden="1" customWidth="1"/>
    <col min="29" max="29" width="3.7109375" style="47" hidden="1" customWidth="1"/>
    <col min="30" max="30" width="6.7109375" style="47" customWidth="1"/>
    <col min="31" max="31" width="9.85546875" style="47" customWidth="1"/>
    <col min="32" max="32" width="5.85546875" style="47" customWidth="1"/>
    <col min="33" max="33" width="23.5703125" style="47" customWidth="1"/>
    <col min="34" max="16384" width="11.7109375" style="47"/>
  </cols>
  <sheetData>
    <row r="1" spans="1:33" s="277" customFormat="1" ht="21" customHeight="1">
      <c r="B1" s="253" t="s">
        <v>290</v>
      </c>
      <c r="C1" s="254"/>
      <c r="D1" s="254"/>
      <c r="E1" s="254"/>
      <c r="F1" s="254"/>
      <c r="G1" s="254"/>
      <c r="H1" s="262"/>
      <c r="I1" s="262"/>
      <c r="J1" s="263"/>
    </row>
    <row r="2" spans="1:33" s="278" customFormat="1" ht="20.100000000000001" customHeight="1">
      <c r="B2" s="257" t="s">
        <v>282</v>
      </c>
      <c r="C2" s="279"/>
      <c r="D2" s="264" t="str">
        <f>'Histórico de Revisão'!C2</f>
        <v>SAAD - Sistema de Acompanhamento Administrativo de Documentos</v>
      </c>
      <c r="E2" s="258"/>
      <c r="F2" s="258"/>
      <c r="G2" s="258"/>
      <c r="H2" s="281"/>
      <c r="I2" s="259" t="s">
        <v>283</v>
      </c>
      <c r="J2" s="282" t="s">
        <v>286</v>
      </c>
    </row>
    <row r="4" spans="1:33" s="36" customFormat="1" ht="45" customHeight="1">
      <c r="B4" s="109"/>
      <c r="C4" s="387" t="s">
        <v>0</v>
      </c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111" t="s">
        <v>279</v>
      </c>
    </row>
    <row r="5" spans="1:33" ht="13.5" thickBot="1"/>
    <row r="6" spans="1:33" ht="15.75" thickBot="1">
      <c r="A6" s="49"/>
      <c r="B6" s="388" t="s">
        <v>198</v>
      </c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390"/>
    </row>
    <row r="7" spans="1:33">
      <c r="A7" s="50"/>
      <c r="B7" s="391" t="str">
        <f>CONCATENATE("Projeto  :  ",NomeProjeto)</f>
        <v>Projeto  :  SAAD - Sistema de Acompanhamento Administrativo de Documentos</v>
      </c>
      <c r="C7" s="392"/>
      <c r="D7" s="392"/>
      <c r="E7" s="392"/>
      <c r="F7" s="393" t="s">
        <v>26</v>
      </c>
      <c r="G7" s="395">
        <f>Capa!C17</f>
        <v>41834</v>
      </c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5"/>
      <c r="AG7" s="396"/>
    </row>
    <row r="8" spans="1:33" ht="13.5" thickBot="1">
      <c r="A8" s="50"/>
      <c r="B8" s="399" t="str">
        <f>CONCATENATE("Responsável :  ",Responsavel)</f>
        <v>Responsável :  Márcia Silva de Morais</v>
      </c>
      <c r="C8" s="400"/>
      <c r="D8" s="400"/>
      <c r="E8" s="400"/>
      <c r="F8" s="394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8"/>
    </row>
    <row r="9" spans="1:33" ht="32.25" customHeight="1" thickBot="1">
      <c r="B9" s="383" t="s">
        <v>27</v>
      </c>
      <c r="C9" s="385" t="s">
        <v>211</v>
      </c>
      <c r="D9" s="385" t="s">
        <v>28</v>
      </c>
      <c r="E9" s="385" t="s">
        <v>213</v>
      </c>
      <c r="F9" s="385" t="s">
        <v>29</v>
      </c>
      <c r="G9" s="511" t="s">
        <v>208</v>
      </c>
      <c r="H9" s="401" t="s">
        <v>210</v>
      </c>
      <c r="I9" s="511" t="s">
        <v>209</v>
      </c>
      <c r="J9" s="401" t="s">
        <v>30</v>
      </c>
      <c r="K9" s="401" t="s">
        <v>31</v>
      </c>
      <c r="L9" s="401" t="s">
        <v>32</v>
      </c>
      <c r="M9" s="401" t="s">
        <v>33</v>
      </c>
      <c r="N9" s="401" t="s">
        <v>34</v>
      </c>
      <c r="O9" s="403" t="s">
        <v>25</v>
      </c>
      <c r="P9" s="405" t="s">
        <v>231</v>
      </c>
      <c r="Q9" s="406"/>
      <c r="R9" s="406"/>
      <c r="S9" s="406"/>
      <c r="T9" s="406"/>
      <c r="U9" s="406"/>
      <c r="V9" s="406"/>
      <c r="W9" s="406"/>
      <c r="X9" s="407"/>
      <c r="Y9" s="408" t="s">
        <v>225</v>
      </c>
      <c r="Z9" s="409"/>
      <c r="AA9" s="409"/>
      <c r="AB9" s="409"/>
      <c r="AC9" s="409"/>
      <c r="AD9" s="409"/>
      <c r="AE9" s="409"/>
      <c r="AF9" s="409"/>
      <c r="AG9" s="410"/>
    </row>
    <row r="10" spans="1:33" ht="32.25" customHeight="1" thickBot="1">
      <c r="B10" s="384"/>
      <c r="C10" s="386"/>
      <c r="D10" s="386"/>
      <c r="E10" s="386"/>
      <c r="F10" s="386"/>
      <c r="G10" s="512"/>
      <c r="H10" s="402"/>
      <c r="I10" s="512"/>
      <c r="J10" s="402"/>
      <c r="K10" s="402"/>
      <c r="L10" s="402"/>
      <c r="M10" s="402"/>
      <c r="N10" s="402"/>
      <c r="O10" s="404"/>
      <c r="P10" s="150" t="s">
        <v>29</v>
      </c>
      <c r="Q10" s="149" t="s">
        <v>217</v>
      </c>
      <c r="R10" s="149" t="s">
        <v>30</v>
      </c>
      <c r="S10" s="151" t="s">
        <v>31</v>
      </c>
      <c r="T10" s="151" t="s">
        <v>32</v>
      </c>
      <c r="U10" s="149" t="s">
        <v>34</v>
      </c>
      <c r="V10" s="149" t="s">
        <v>218</v>
      </c>
      <c r="W10" s="149" t="s">
        <v>199</v>
      </c>
      <c r="X10" s="153" t="s">
        <v>220</v>
      </c>
      <c r="Y10" s="150" t="s">
        <v>29</v>
      </c>
      <c r="Z10" s="149" t="s">
        <v>217</v>
      </c>
      <c r="AA10" s="149" t="s">
        <v>30</v>
      </c>
      <c r="AB10" s="125" t="s">
        <v>31</v>
      </c>
      <c r="AC10" s="125" t="s">
        <v>32</v>
      </c>
      <c r="AD10" s="149" t="s">
        <v>34</v>
      </c>
      <c r="AE10" s="149" t="s">
        <v>218</v>
      </c>
      <c r="AF10" s="149" t="s">
        <v>199</v>
      </c>
      <c r="AG10" s="152" t="s">
        <v>224</v>
      </c>
    </row>
    <row r="11" spans="1:33" ht="13.7" customHeight="1">
      <c r="B11" s="466">
        <v>1</v>
      </c>
      <c r="C11" s="469"/>
      <c r="D11" s="496"/>
      <c r="E11" s="474" t="s">
        <v>281</v>
      </c>
      <c r="F11" s="477"/>
      <c r="G11" s="480">
        <f>ROW(H16)-ROW($H11)+1-COUNTBLANK($H11:$H16)</f>
        <v>0</v>
      </c>
      <c r="H11" s="208"/>
      <c r="I11" s="480">
        <f>ROW(J16)-ROW($J11)+1-COUNTBLANK($J11:$J16)</f>
        <v>0</v>
      </c>
      <c r="J11" s="207"/>
      <c r="K11" s="455" t="str">
        <f>CONCATENATE(F11,L11,E11)</f>
        <v>FALSOI</v>
      </c>
      <c r="L11" s="455" t="b">
        <f>IF(ISBLANK(I11),"",IF(OR(F11="EE",F11="EEC"),IF(I11&gt;=3,IF(G11&gt;=5,"H","A"),IF(I11&gt;=2,IF(G11&gt;=16,"H",IF(G11&lt;=4,"L","A")),IF(G11&lt;=15,"L","A"))),IF(OR(F11="SE",F11="CE",F11="CEC",F11="SEC"),IF(I11&gt;=4,IF(G11&gt;=6,"H","A"),IF(I11&gt;=2,IF(G11&gt;=20,"H",IF(G11&lt;=5,"L","A")),IF(G11&lt;=19,"L","A"))),IF(OR(F11="ALI",F11="AIE"),IF(I11&gt;=6,IF(G11&gt;=20,"H","A"),IF(I11&gt;=2,IF(G11&gt;=51,"H",IF(G11&lt;=19,"L","A")),IF(G11&lt;=50,"L","A")))))))</f>
        <v>0</v>
      </c>
      <c r="M11" s="483" t="str">
        <f>IF(F11="","",IF(L11="L","Baixa",IF(L11="A","Média",IF(L11="","","Alta"))))</f>
        <v/>
      </c>
      <c r="N11" s="438" t="str">
        <f>IF(F11="","",IF(ISBLANK(I11),"",IF(F11="ALI",IF(L11="L",7,IF(L11="A",10,15)),IF(F11="AIE",IF(L11="L",5,IF(L11="A",7,10)),IF(OR(F11="SE",F11="SEC"),IF(L11="L",4,IF(L11="A",5,7)),IF(OR(F11="EE",F11="EEC",F11="CE",F11="CEC"),IF(L11="L",3,IF(L11="A",4,6))))))))</f>
        <v/>
      </c>
      <c r="O11" s="486"/>
      <c r="P11" s="489"/>
      <c r="Q11" s="492"/>
      <c r="R11" s="492"/>
      <c r="S11" s="441" t="str">
        <f>CONCATENATE(P11,T11)</f>
        <v/>
      </c>
      <c r="T11" s="441" t="str">
        <f>IF(ISBLANK(R11),"",IF(OR(P11="EE",P11="EEC"),IF(R11&gt;=3,IF(Q11&gt;=5,"H","A"),IF(R11&gt;=2,IF(Q11&gt;=16,"H",IF(Q11&lt;=4,"L","A")),IF(Q11&lt;=15,"L","A"))),IF(OR(P11="SE",P11="CE",P11="CEC",P11="SEC"),IF(R11&gt;=4,IF(Q11&gt;=6,"H","A"),IF(R11&gt;=2,IF(Q11&gt;=20,"H",IF(Q11&lt;=5,"L","A")),IF(Q11&lt;=19,"L","A"))),IF(OR(P11="ALI",P11="AIE"),IF(R11&gt;=6,IF(Q11&gt;=20,"H","A"),IF(R11&gt;=2,IF(Q11&gt;=51,"H",IF(Q11&lt;=19,"L","A")),IF(Q11&lt;=50,"L","A")))))))</f>
        <v/>
      </c>
      <c r="U11" s="494" t="str">
        <f>IF(ISBLANK(R11),"",IF(P11="ALI",IF(T11="L",7,IF(T11="A",10,15)),IF(P11="AIE",IF(T11="L",5,IF(T11="A",7,10)),IF(OR(P11="SE",P11="SEC"),IF(T11="L",4,IF(T11="A",5,7)),IF(OR(P11="EE",P11="EEC",P11="CE",P11="CEC"),IF(T11="L",3,IF(T11="A",4,6)))))))</f>
        <v/>
      </c>
      <c r="V11" s="443"/>
      <c r="W11" s="445" t="str">
        <f>IF(V11="",U11,(U11*V11))</f>
        <v/>
      </c>
      <c r="X11" s="447"/>
      <c r="Y11" s="449"/>
      <c r="Z11" s="452"/>
      <c r="AA11" s="452"/>
      <c r="AB11" s="455" t="str">
        <f>CONCATENATE(Y11,AC11)</f>
        <v/>
      </c>
      <c r="AC11" s="455" t="str">
        <f>IF(ISBLANK(AA11),"",IF(OR(Y11="EE",Y11="EEC"),IF(AA11&gt;=3,IF(Z11&gt;=5,"H","A"),IF(AA11&gt;=2,IF(Z11&gt;=16,"H",IF(Z11&lt;=4,"L","A")),IF(Z11&lt;=15,"L","A"))),IF(OR(Y11="SE",Y11="CE",Y11="CEC",Y11="SEC"),IF(AA11&gt;=4,IF(Z11&gt;=6,"H","A"),IF(AA11&gt;=2,IF(Z11&gt;=20,"H",IF(Z11&lt;=5,"L","A")),IF(Z11&lt;=19,"L","A"))),IF(OR(Y11="ALI",Y11="AIE"),IF(AA11&gt;=6,IF(Z11&gt;=20,"H","A"),IF(AA11&gt;=2,IF(Z11&gt;=51,"H",IF(Z11&lt;=19,"L","A")),IF(Z11&lt;=50,"L","A")))))))</f>
        <v/>
      </c>
      <c r="AD11" s="438" t="str">
        <f>IF(ISBLANK(AA11),"",IF(Y11="ALI",IF(AC11="L",7,IF(AC11="A",10,15)),IF(Y11="AIE",IF(AC11="L",5,IF(AC11="A",7,10)),IF(OR(Y11="SE",Y11="SEC"),IF(AC11="L",4,IF(AC11="A",5,7)),IF(OR(Y11="EE",Y11="EEC",Y11="CE",Y11="CEC"),IF(AC11="L",3,IF(AC11="A",4,6)))))))</f>
        <v/>
      </c>
      <c r="AE11" s="458"/>
      <c r="AF11" s="461" t="str">
        <f>IF(AE11="",AD11,(AD11*AE11))</f>
        <v/>
      </c>
      <c r="AG11" s="464"/>
    </row>
    <row r="12" spans="1:33" ht="13.7" customHeight="1">
      <c r="B12" s="467"/>
      <c r="C12" s="470"/>
      <c r="D12" s="497"/>
      <c r="E12" s="475"/>
      <c r="F12" s="478"/>
      <c r="G12" s="481"/>
      <c r="H12" s="208"/>
      <c r="I12" s="481"/>
      <c r="J12" s="210"/>
      <c r="K12" s="456"/>
      <c r="L12" s="456"/>
      <c r="M12" s="484"/>
      <c r="N12" s="439"/>
      <c r="O12" s="487"/>
      <c r="P12" s="490"/>
      <c r="Q12" s="492"/>
      <c r="R12" s="492"/>
      <c r="S12" s="441"/>
      <c r="T12" s="441"/>
      <c r="U12" s="494"/>
      <c r="V12" s="443"/>
      <c r="W12" s="445"/>
      <c r="X12" s="447"/>
      <c r="Y12" s="450"/>
      <c r="Z12" s="453"/>
      <c r="AA12" s="453"/>
      <c r="AB12" s="456"/>
      <c r="AC12" s="456"/>
      <c r="AD12" s="439"/>
      <c r="AE12" s="459"/>
      <c r="AF12" s="462"/>
      <c r="AG12" s="464"/>
    </row>
    <row r="13" spans="1:33" ht="13.7" customHeight="1">
      <c r="B13" s="467"/>
      <c r="C13" s="470"/>
      <c r="D13" s="497"/>
      <c r="E13" s="475"/>
      <c r="F13" s="478"/>
      <c r="G13" s="481"/>
      <c r="H13" s="208"/>
      <c r="I13" s="481"/>
      <c r="J13" s="210"/>
      <c r="K13" s="456"/>
      <c r="L13" s="456"/>
      <c r="M13" s="484"/>
      <c r="N13" s="439"/>
      <c r="O13" s="487"/>
      <c r="P13" s="490"/>
      <c r="Q13" s="492"/>
      <c r="R13" s="492"/>
      <c r="S13" s="441"/>
      <c r="T13" s="441"/>
      <c r="U13" s="494"/>
      <c r="V13" s="443"/>
      <c r="W13" s="445"/>
      <c r="X13" s="447"/>
      <c r="Y13" s="450"/>
      <c r="Z13" s="453"/>
      <c r="AA13" s="453"/>
      <c r="AB13" s="456"/>
      <c r="AC13" s="456"/>
      <c r="AD13" s="439"/>
      <c r="AE13" s="459"/>
      <c r="AF13" s="462"/>
      <c r="AG13" s="464"/>
    </row>
    <row r="14" spans="1:33" ht="13.7" customHeight="1">
      <c r="B14" s="467"/>
      <c r="C14" s="470"/>
      <c r="D14" s="497"/>
      <c r="E14" s="475"/>
      <c r="F14" s="478"/>
      <c r="G14" s="481"/>
      <c r="H14" s="208"/>
      <c r="I14" s="481"/>
      <c r="J14" s="210"/>
      <c r="K14" s="456"/>
      <c r="L14" s="456"/>
      <c r="M14" s="484"/>
      <c r="N14" s="439"/>
      <c r="O14" s="487"/>
      <c r="P14" s="490"/>
      <c r="Q14" s="492"/>
      <c r="R14" s="492"/>
      <c r="S14" s="441"/>
      <c r="T14" s="441"/>
      <c r="U14" s="494"/>
      <c r="V14" s="443"/>
      <c r="W14" s="445"/>
      <c r="X14" s="447"/>
      <c r="Y14" s="450"/>
      <c r="Z14" s="453"/>
      <c r="AA14" s="453"/>
      <c r="AB14" s="456"/>
      <c r="AC14" s="456"/>
      <c r="AD14" s="439"/>
      <c r="AE14" s="459"/>
      <c r="AF14" s="462"/>
      <c r="AG14" s="464"/>
    </row>
    <row r="15" spans="1:33" ht="13.7" customHeight="1">
      <c r="B15" s="467"/>
      <c r="C15" s="470"/>
      <c r="D15" s="497"/>
      <c r="E15" s="475"/>
      <c r="F15" s="478"/>
      <c r="G15" s="481"/>
      <c r="H15" s="208"/>
      <c r="I15" s="481"/>
      <c r="J15" s="102"/>
      <c r="K15" s="456"/>
      <c r="L15" s="456"/>
      <c r="M15" s="484"/>
      <c r="N15" s="439"/>
      <c r="O15" s="487"/>
      <c r="P15" s="490"/>
      <c r="Q15" s="492"/>
      <c r="R15" s="492"/>
      <c r="S15" s="441"/>
      <c r="T15" s="441"/>
      <c r="U15" s="494"/>
      <c r="V15" s="443"/>
      <c r="W15" s="445"/>
      <c r="X15" s="447"/>
      <c r="Y15" s="450"/>
      <c r="Z15" s="453"/>
      <c r="AA15" s="453"/>
      <c r="AB15" s="456"/>
      <c r="AC15" s="456"/>
      <c r="AD15" s="439"/>
      <c r="AE15" s="459"/>
      <c r="AF15" s="462"/>
      <c r="AG15" s="464"/>
    </row>
    <row r="16" spans="1:33" ht="13.7" customHeight="1" thickBot="1">
      <c r="B16" s="468"/>
      <c r="C16" s="471"/>
      <c r="D16" s="498"/>
      <c r="E16" s="476"/>
      <c r="F16" s="479"/>
      <c r="G16" s="482"/>
      <c r="H16" s="209"/>
      <c r="I16" s="482"/>
      <c r="J16" s="103"/>
      <c r="K16" s="457"/>
      <c r="L16" s="457"/>
      <c r="M16" s="485"/>
      <c r="N16" s="440"/>
      <c r="O16" s="488"/>
      <c r="P16" s="491"/>
      <c r="Q16" s="493"/>
      <c r="R16" s="493"/>
      <c r="S16" s="442"/>
      <c r="T16" s="442"/>
      <c r="U16" s="495"/>
      <c r="V16" s="444"/>
      <c r="W16" s="446"/>
      <c r="X16" s="448"/>
      <c r="Y16" s="451"/>
      <c r="Z16" s="454"/>
      <c r="AA16" s="454"/>
      <c r="AB16" s="457"/>
      <c r="AC16" s="457"/>
      <c r="AD16" s="440"/>
      <c r="AE16" s="460"/>
      <c r="AF16" s="463"/>
      <c r="AG16" s="465"/>
    </row>
    <row r="17" spans="2:33" ht="13.5" customHeight="1">
      <c r="B17" s="466">
        <f>B11+1</f>
        <v>2</v>
      </c>
      <c r="C17" s="469"/>
      <c r="D17" s="469"/>
      <c r="E17" s="474" t="s">
        <v>281</v>
      </c>
      <c r="F17" s="477"/>
      <c r="G17" s="480">
        <f>ROW(H22)-ROW($H17)+1-COUNTBLANK($H17:$H22)</f>
        <v>0</v>
      </c>
      <c r="H17" s="208"/>
      <c r="I17" s="480">
        <f>ROW(J22)-ROW($J17)+1-COUNTBLANK($J17:$J22)</f>
        <v>0</v>
      </c>
      <c r="J17" s="207"/>
      <c r="K17" s="455" t="str">
        <f>CONCATENATE(F17,L17,E17)</f>
        <v>FALSOI</v>
      </c>
      <c r="L17" s="455" t="b">
        <f>IF(ISBLANK(I17),"",IF(OR(F17="EE",F17="EEC"),IF(I17&gt;=3,IF(G17&gt;=5,"H","A"),IF(I17&gt;=2,IF(G17&gt;=16,"H",IF(G17&lt;=4,"L","A")),IF(G17&lt;=15,"L","A"))),IF(OR(F17="SE",F17="CE",F17="CEC",F17="SEC"),IF(I17&gt;=4,IF(G17&gt;=6,"H","A"),IF(I17&gt;=2,IF(G17&gt;=20,"H",IF(G17&lt;=5,"L","A")),IF(G17&lt;=19,"L","A"))),IF(OR(F17="ALI",F17="AIE"),IF(I17&gt;=6,IF(G17&gt;=20,"H","A"),IF(I17&gt;=2,IF(G17&gt;=51,"H",IF(G17&lt;=19,"L","A")),IF(G17&lt;=50,"L","A")))))))</f>
        <v>0</v>
      </c>
      <c r="M17" s="483" t="str">
        <f>IF(F17="","",IF(L17="L","Baixa",IF(L17="A","Média",IF(L17="","","Alta"))))</f>
        <v/>
      </c>
      <c r="N17" s="438" t="str">
        <f>IF(F17="","",IF(ISBLANK(I17),"",IF(F17="ALI",IF(L17="L",7,IF(L17="A",10,15)),IF(F17="AIE",IF(L17="L",5,IF(L17="A",7,10)),IF(OR(F17="SE",F17="SEC"),IF(L17="L",4,IF(L17="A",5,7)),IF(OR(F17="EE",F17="EEC",F17="CE",F17="CEC"),IF(L17="L",3,IF(L17="A",4,6))))))))</f>
        <v/>
      </c>
      <c r="O17" s="486"/>
      <c r="P17" s="489"/>
      <c r="Q17" s="492"/>
      <c r="R17" s="492"/>
      <c r="S17" s="441" t="str">
        <f>CONCATENATE(P17,T17)</f>
        <v/>
      </c>
      <c r="T17" s="441" t="str">
        <f>IF(ISBLANK(R17),"",IF(OR(P17="EE",P17="EEC"),IF(R17&gt;=3,IF(Q17&gt;=5,"H","A"),IF(R17&gt;=2,IF(Q17&gt;=16,"H",IF(Q17&lt;=4,"L","A")),IF(Q17&lt;=15,"L","A"))),IF(OR(P17="SE",P17="CE",P17="CEC",P17="SEC"),IF(R17&gt;=4,IF(Q17&gt;=6,"H","A"),IF(R17&gt;=2,IF(Q17&gt;=20,"H",IF(Q17&lt;=5,"L","A")),IF(Q17&lt;=19,"L","A"))),IF(OR(P17="ALI",P17="AIE"),IF(R17&gt;=6,IF(Q17&gt;=20,"H","A"),IF(R17&gt;=2,IF(Q17&gt;=51,"H",IF(Q17&lt;=19,"L","A")),IF(Q17&lt;=50,"L","A")))))))</f>
        <v/>
      </c>
      <c r="U17" s="494" t="str">
        <f>IF(ISBLANK(R17),"",IF(P17="ALI",IF(T17="L",7,IF(T17="A",10,15)),IF(P17="AIE",IF(T17="L",5,IF(T17="A",7,10)),IF(OR(P17="SE",P17="SEC"),IF(T17="L",4,IF(T17="A",5,7)),IF(OR(P17="EE",P17="EEC",P17="CE",P17="CEC"),IF(T17="L",3,IF(T17="A",4,6)))))))</f>
        <v/>
      </c>
      <c r="V17" s="443"/>
      <c r="W17" s="445" t="str">
        <f>IF(V17="",U17,(U17*V17))</f>
        <v/>
      </c>
      <c r="X17" s="447"/>
      <c r="Y17" s="449"/>
      <c r="Z17" s="452"/>
      <c r="AA17" s="452"/>
      <c r="AB17" s="455" t="str">
        <f>CONCATENATE(Y17,AC17)</f>
        <v/>
      </c>
      <c r="AC17" s="455" t="str">
        <f>IF(ISBLANK(AA17),"",IF(OR(Y17="EE",Y17="EEC"),IF(AA17&gt;=3,IF(Z17&gt;=5,"H","A"),IF(AA17&gt;=2,IF(Z17&gt;=16,"H",IF(Z17&lt;=4,"L","A")),IF(Z17&lt;=15,"L","A"))),IF(OR(Y17="SE",Y17="CE",Y17="CEC",Y17="SEC"),IF(AA17&gt;=4,IF(Z17&gt;=6,"H","A"),IF(AA17&gt;=2,IF(Z17&gt;=20,"H",IF(Z17&lt;=5,"L","A")),IF(Z17&lt;=19,"L","A"))),IF(OR(Y17="ALI",Y17="AIE"),IF(AA17&gt;=6,IF(Z17&gt;=20,"H","A"),IF(AA17&gt;=2,IF(Z17&gt;=51,"H",IF(Z17&lt;=19,"L","A")),IF(Z17&lt;=50,"L","A")))))))</f>
        <v/>
      </c>
      <c r="AD17" s="438" t="str">
        <f>IF(ISBLANK(AA17),"",IF(Y17="ALI",IF(AC17="L",7,IF(AC17="A",10,15)),IF(Y17="AIE",IF(AC17="L",5,IF(AC17="A",7,10)),IF(OR(Y17="SE",Y17="SEC"),IF(AC17="L",4,IF(AC17="A",5,7)),IF(OR(Y17="EE",Y17="EEC",Y17="CE",Y17="CEC"),IF(AC17="L",3,IF(AC17="A",4,6)))))))</f>
        <v/>
      </c>
      <c r="AE17" s="458"/>
      <c r="AF17" s="461" t="str">
        <f>IF(AE17="",AD17,(AD17*AE17))</f>
        <v/>
      </c>
      <c r="AG17" s="464"/>
    </row>
    <row r="18" spans="2:33" ht="13.7" customHeight="1">
      <c r="B18" s="467"/>
      <c r="C18" s="470"/>
      <c r="D18" s="472"/>
      <c r="E18" s="475"/>
      <c r="F18" s="478"/>
      <c r="G18" s="481"/>
      <c r="H18" s="208"/>
      <c r="I18" s="481"/>
      <c r="J18" s="210"/>
      <c r="K18" s="456"/>
      <c r="L18" s="456"/>
      <c r="M18" s="484"/>
      <c r="N18" s="439"/>
      <c r="O18" s="487"/>
      <c r="P18" s="490"/>
      <c r="Q18" s="492"/>
      <c r="R18" s="492"/>
      <c r="S18" s="441"/>
      <c r="T18" s="441"/>
      <c r="U18" s="494"/>
      <c r="V18" s="443"/>
      <c r="W18" s="445"/>
      <c r="X18" s="447"/>
      <c r="Y18" s="450"/>
      <c r="Z18" s="453"/>
      <c r="AA18" s="453"/>
      <c r="AB18" s="456"/>
      <c r="AC18" s="456"/>
      <c r="AD18" s="439"/>
      <c r="AE18" s="459"/>
      <c r="AF18" s="462"/>
      <c r="AG18" s="464"/>
    </row>
    <row r="19" spans="2:33" ht="13.7" customHeight="1">
      <c r="B19" s="467"/>
      <c r="C19" s="470"/>
      <c r="D19" s="472"/>
      <c r="E19" s="475"/>
      <c r="F19" s="478"/>
      <c r="G19" s="481"/>
      <c r="H19" s="208"/>
      <c r="I19" s="481"/>
      <c r="J19" s="210"/>
      <c r="K19" s="456"/>
      <c r="L19" s="456"/>
      <c r="M19" s="484"/>
      <c r="N19" s="439"/>
      <c r="O19" s="487"/>
      <c r="P19" s="490"/>
      <c r="Q19" s="492"/>
      <c r="R19" s="492"/>
      <c r="S19" s="441"/>
      <c r="T19" s="441"/>
      <c r="U19" s="494"/>
      <c r="V19" s="443"/>
      <c r="W19" s="445"/>
      <c r="X19" s="447"/>
      <c r="Y19" s="450"/>
      <c r="Z19" s="453"/>
      <c r="AA19" s="453"/>
      <c r="AB19" s="456"/>
      <c r="AC19" s="456"/>
      <c r="AD19" s="439"/>
      <c r="AE19" s="459"/>
      <c r="AF19" s="462"/>
      <c r="AG19" s="464"/>
    </row>
    <row r="20" spans="2:33" ht="13.7" customHeight="1">
      <c r="B20" s="467"/>
      <c r="C20" s="470"/>
      <c r="D20" s="472"/>
      <c r="E20" s="475"/>
      <c r="F20" s="478"/>
      <c r="G20" s="481"/>
      <c r="H20" s="208"/>
      <c r="I20" s="481"/>
      <c r="J20" s="102"/>
      <c r="K20" s="456"/>
      <c r="L20" s="456"/>
      <c r="M20" s="484"/>
      <c r="N20" s="439"/>
      <c r="O20" s="487"/>
      <c r="P20" s="490"/>
      <c r="Q20" s="492"/>
      <c r="R20" s="492"/>
      <c r="S20" s="441"/>
      <c r="T20" s="441"/>
      <c r="U20" s="494"/>
      <c r="V20" s="443"/>
      <c r="W20" s="445"/>
      <c r="X20" s="447"/>
      <c r="Y20" s="450"/>
      <c r="Z20" s="453"/>
      <c r="AA20" s="453"/>
      <c r="AB20" s="456"/>
      <c r="AC20" s="456"/>
      <c r="AD20" s="439"/>
      <c r="AE20" s="459"/>
      <c r="AF20" s="462"/>
      <c r="AG20" s="464"/>
    </row>
    <row r="21" spans="2:33" ht="13.7" customHeight="1">
      <c r="B21" s="467"/>
      <c r="C21" s="470"/>
      <c r="D21" s="472"/>
      <c r="E21" s="475"/>
      <c r="F21" s="478"/>
      <c r="G21" s="481"/>
      <c r="H21" s="208"/>
      <c r="I21" s="481"/>
      <c r="J21" s="102"/>
      <c r="K21" s="456"/>
      <c r="L21" s="456"/>
      <c r="M21" s="484"/>
      <c r="N21" s="439"/>
      <c r="O21" s="487"/>
      <c r="P21" s="490"/>
      <c r="Q21" s="492"/>
      <c r="R21" s="492"/>
      <c r="S21" s="441"/>
      <c r="T21" s="441"/>
      <c r="U21" s="494"/>
      <c r="V21" s="443"/>
      <c r="W21" s="445"/>
      <c r="X21" s="447"/>
      <c r="Y21" s="450"/>
      <c r="Z21" s="453"/>
      <c r="AA21" s="453"/>
      <c r="AB21" s="456"/>
      <c r="AC21" s="456"/>
      <c r="AD21" s="439"/>
      <c r="AE21" s="459"/>
      <c r="AF21" s="462"/>
      <c r="AG21" s="464"/>
    </row>
    <row r="22" spans="2:33" ht="13.5" customHeight="1" thickBot="1">
      <c r="B22" s="468"/>
      <c r="C22" s="471"/>
      <c r="D22" s="473"/>
      <c r="E22" s="476"/>
      <c r="F22" s="479"/>
      <c r="G22" s="482"/>
      <c r="H22" s="209"/>
      <c r="I22" s="482"/>
      <c r="J22" s="209"/>
      <c r="K22" s="457"/>
      <c r="L22" s="457"/>
      <c r="M22" s="485"/>
      <c r="N22" s="440"/>
      <c r="O22" s="488"/>
      <c r="P22" s="491"/>
      <c r="Q22" s="493"/>
      <c r="R22" s="493"/>
      <c r="S22" s="442"/>
      <c r="T22" s="442"/>
      <c r="U22" s="495"/>
      <c r="V22" s="444"/>
      <c r="W22" s="446"/>
      <c r="X22" s="448"/>
      <c r="Y22" s="451"/>
      <c r="Z22" s="454"/>
      <c r="AA22" s="454"/>
      <c r="AB22" s="457"/>
      <c r="AC22" s="457"/>
      <c r="AD22" s="440"/>
      <c r="AE22" s="460"/>
      <c r="AF22" s="463"/>
      <c r="AG22" s="465"/>
    </row>
    <row r="23" spans="2:33" ht="13.7" customHeight="1">
      <c r="B23" s="466">
        <f t="shared" ref="B23" si="0">B17+1</f>
        <v>3</v>
      </c>
      <c r="C23" s="469"/>
      <c r="D23" s="469"/>
      <c r="E23" s="474" t="s">
        <v>281</v>
      </c>
      <c r="F23" s="477"/>
      <c r="G23" s="480">
        <f>ROW(H28)-ROW($H23)+1-COUNTBLANK($H23:$H28)</f>
        <v>0</v>
      </c>
      <c r="H23" s="208"/>
      <c r="I23" s="480">
        <f>ROW(J28)-ROW($J23)+1-COUNTBLANK($J23:$J28)</f>
        <v>0</v>
      </c>
      <c r="J23" s="207"/>
      <c r="K23" s="455" t="str">
        <f>CONCATENATE(F23,L23,E23)</f>
        <v>FALSOI</v>
      </c>
      <c r="L23" s="455" t="b">
        <f>IF(ISBLANK(I23),"",IF(OR(F23="EE",F23="EEC"),IF(I23&gt;=3,IF(G23&gt;=5,"H","A"),IF(I23&gt;=2,IF(G23&gt;=16,"H",IF(G23&lt;=4,"L","A")),IF(G23&lt;=15,"L","A"))),IF(OR(F23="SE",F23="CE",F23="CEC",F23="SEC"),IF(I23&gt;=4,IF(G23&gt;=6,"H","A"),IF(I23&gt;=2,IF(G23&gt;=20,"H",IF(G23&lt;=5,"L","A")),IF(G23&lt;=19,"L","A"))),IF(OR(F23="ALI",F23="AIE"),IF(I23&gt;=6,IF(G23&gt;=20,"H","A"),IF(I23&gt;=2,IF(G23&gt;=51,"H",IF(G23&lt;=19,"L","A")),IF(G23&lt;=50,"L","A")))))))</f>
        <v>0</v>
      </c>
      <c r="M23" s="483" t="str">
        <f>IF(F23="","",IF(L23="L","Baixa",IF(L23="A","Média",IF(L23="","","Alta"))))</f>
        <v/>
      </c>
      <c r="N23" s="438" t="str">
        <f>IF(F23="","",IF(ISBLANK(I23),"",IF(F23="ALI",IF(L23="L",7,IF(L23="A",10,15)),IF(F23="AIE",IF(L23="L",5,IF(L23="A",7,10)),IF(OR(F23="SE",F23="SEC"),IF(L23="L",4,IF(L23="A",5,7)),IF(OR(F23="EE",F23="EEC",F23="CE",F23="CEC"),IF(L23="L",3,IF(L23="A",4,6))))))))</f>
        <v/>
      </c>
      <c r="O23" s="486"/>
      <c r="P23" s="489"/>
      <c r="Q23" s="492"/>
      <c r="R23" s="492"/>
      <c r="S23" s="441" t="str">
        <f>CONCATENATE(P23,T23)</f>
        <v/>
      </c>
      <c r="T23" s="441" t="str">
        <f>IF(ISBLANK(R23),"",IF(OR(P23="EE",P23="EEC"),IF(R23&gt;=3,IF(Q23&gt;=5,"H","A"),IF(R23&gt;=2,IF(Q23&gt;=16,"H",IF(Q23&lt;=4,"L","A")),IF(Q23&lt;=15,"L","A"))),IF(OR(P23="SE",P23="CE",P23="CEC",P23="SEC"),IF(R23&gt;=4,IF(Q23&gt;=6,"H","A"),IF(R23&gt;=2,IF(Q23&gt;=20,"H",IF(Q23&lt;=5,"L","A")),IF(Q23&lt;=19,"L","A"))),IF(OR(P23="ALI",P23="AIE"),IF(R23&gt;=6,IF(Q23&gt;=20,"H","A"),IF(R23&gt;=2,IF(Q23&gt;=51,"H",IF(Q23&lt;=19,"L","A")),IF(Q23&lt;=50,"L","A")))))))</f>
        <v/>
      </c>
      <c r="U23" s="494" t="str">
        <f>IF(ISBLANK(R23),"",IF(P23="ALI",IF(T23="L",7,IF(T23="A",10,15)),IF(P23="AIE",IF(T23="L",5,IF(T23="A",7,10)),IF(OR(P23="SE",P23="SEC"),IF(T23="L",4,IF(T23="A",5,7)),IF(OR(P23="EE",P23="EEC",P23="CE",P23="CEC"),IF(T23="L",3,IF(T23="A",4,6)))))))</f>
        <v/>
      </c>
      <c r="V23" s="443"/>
      <c r="W23" s="445" t="str">
        <f>IF(V23="",U23,(U23*V23))</f>
        <v/>
      </c>
      <c r="X23" s="447"/>
      <c r="Y23" s="449"/>
      <c r="Z23" s="452"/>
      <c r="AA23" s="452"/>
      <c r="AB23" s="455" t="str">
        <f>CONCATENATE(Y23,AC23)</f>
        <v/>
      </c>
      <c r="AC23" s="455" t="str">
        <f>IF(ISBLANK(AA23),"",IF(OR(Y23="EE",Y23="EEC"),IF(AA23&gt;=3,IF(Z23&gt;=5,"H","A"),IF(AA23&gt;=2,IF(Z23&gt;=16,"H",IF(Z23&lt;=4,"L","A")),IF(Z23&lt;=15,"L","A"))),IF(OR(Y23="SE",Y23="CE",Y23="CEC",Y23="SEC"),IF(AA23&gt;=4,IF(Z23&gt;=6,"H","A"),IF(AA23&gt;=2,IF(Z23&gt;=20,"H",IF(Z23&lt;=5,"L","A")),IF(Z23&lt;=19,"L","A"))),IF(OR(Y23="ALI",Y23="AIE"),IF(AA23&gt;=6,IF(Z23&gt;=20,"H","A"),IF(AA23&gt;=2,IF(Z23&gt;=51,"H",IF(Z23&lt;=19,"L","A")),IF(Z23&lt;=50,"L","A")))))))</f>
        <v/>
      </c>
      <c r="AD23" s="438" t="str">
        <f>IF(ISBLANK(AA23),"",IF(Y23="ALI",IF(AC23="L",7,IF(AC23="A",10,15)),IF(Y23="AIE",IF(AC23="L",5,IF(AC23="A",7,10)),IF(OR(Y23="SE",Y23="SEC"),IF(AC23="L",4,IF(AC23="A",5,7)),IF(OR(Y23="EE",Y23="EEC",Y23="CE",Y23="CEC"),IF(AC23="L",3,IF(AC23="A",4,6)))))))</f>
        <v/>
      </c>
      <c r="AE23" s="458"/>
      <c r="AF23" s="461" t="str">
        <f>IF(AE23="",AD23,(AD23*AE23))</f>
        <v/>
      </c>
      <c r="AG23" s="464"/>
    </row>
    <row r="24" spans="2:33" ht="13.7" customHeight="1">
      <c r="B24" s="504"/>
      <c r="C24" s="505"/>
      <c r="D24" s="505"/>
      <c r="E24" s="475"/>
      <c r="F24" s="506"/>
      <c r="G24" s="507"/>
      <c r="H24" s="208"/>
      <c r="I24" s="507"/>
      <c r="J24" s="210"/>
      <c r="K24" s="499"/>
      <c r="L24" s="499"/>
      <c r="M24" s="484"/>
      <c r="N24" s="500"/>
      <c r="O24" s="414"/>
      <c r="P24" s="508"/>
      <c r="Q24" s="492"/>
      <c r="R24" s="492"/>
      <c r="S24" s="441"/>
      <c r="T24" s="441"/>
      <c r="U24" s="494"/>
      <c r="V24" s="443"/>
      <c r="W24" s="445"/>
      <c r="X24" s="447"/>
      <c r="Y24" s="510"/>
      <c r="Z24" s="509"/>
      <c r="AA24" s="509"/>
      <c r="AB24" s="499"/>
      <c r="AC24" s="499"/>
      <c r="AD24" s="500"/>
      <c r="AE24" s="459"/>
      <c r="AF24" s="462"/>
      <c r="AG24" s="464"/>
    </row>
    <row r="25" spans="2:33" ht="13.7" customHeight="1">
      <c r="B25" s="504"/>
      <c r="C25" s="505"/>
      <c r="D25" s="505"/>
      <c r="E25" s="475"/>
      <c r="F25" s="506"/>
      <c r="G25" s="507"/>
      <c r="H25" s="208"/>
      <c r="I25" s="507"/>
      <c r="J25" s="210"/>
      <c r="K25" s="499"/>
      <c r="L25" s="499"/>
      <c r="M25" s="484"/>
      <c r="N25" s="500"/>
      <c r="O25" s="414"/>
      <c r="P25" s="508"/>
      <c r="Q25" s="492"/>
      <c r="R25" s="492"/>
      <c r="S25" s="441"/>
      <c r="T25" s="441"/>
      <c r="U25" s="494"/>
      <c r="V25" s="443"/>
      <c r="W25" s="445"/>
      <c r="X25" s="447"/>
      <c r="Y25" s="510"/>
      <c r="Z25" s="509"/>
      <c r="AA25" s="509"/>
      <c r="AB25" s="499"/>
      <c r="AC25" s="499"/>
      <c r="AD25" s="500"/>
      <c r="AE25" s="459"/>
      <c r="AF25" s="462"/>
      <c r="AG25" s="464"/>
    </row>
    <row r="26" spans="2:33" ht="13.7" customHeight="1">
      <c r="B26" s="467"/>
      <c r="C26" s="470"/>
      <c r="D26" s="472"/>
      <c r="E26" s="475"/>
      <c r="F26" s="478"/>
      <c r="G26" s="481"/>
      <c r="H26" s="208"/>
      <c r="I26" s="481"/>
      <c r="J26" s="210"/>
      <c r="K26" s="456"/>
      <c r="L26" s="456"/>
      <c r="M26" s="484"/>
      <c r="N26" s="439"/>
      <c r="O26" s="487"/>
      <c r="P26" s="490"/>
      <c r="Q26" s="492"/>
      <c r="R26" s="492"/>
      <c r="S26" s="441"/>
      <c r="T26" s="441"/>
      <c r="U26" s="494"/>
      <c r="V26" s="443"/>
      <c r="W26" s="445"/>
      <c r="X26" s="447"/>
      <c r="Y26" s="450"/>
      <c r="Z26" s="453"/>
      <c r="AA26" s="453"/>
      <c r="AB26" s="456"/>
      <c r="AC26" s="456"/>
      <c r="AD26" s="439"/>
      <c r="AE26" s="459"/>
      <c r="AF26" s="462"/>
      <c r="AG26" s="464"/>
    </row>
    <row r="27" spans="2:33" ht="13.7" customHeight="1">
      <c r="B27" s="467"/>
      <c r="C27" s="470"/>
      <c r="D27" s="472"/>
      <c r="E27" s="475"/>
      <c r="F27" s="478"/>
      <c r="G27" s="481"/>
      <c r="H27" s="208"/>
      <c r="I27" s="481"/>
      <c r="J27" s="210"/>
      <c r="K27" s="456"/>
      <c r="L27" s="456"/>
      <c r="M27" s="484"/>
      <c r="N27" s="439"/>
      <c r="O27" s="487"/>
      <c r="P27" s="490"/>
      <c r="Q27" s="492"/>
      <c r="R27" s="492"/>
      <c r="S27" s="441"/>
      <c r="T27" s="441"/>
      <c r="U27" s="494"/>
      <c r="V27" s="443"/>
      <c r="W27" s="445"/>
      <c r="X27" s="447"/>
      <c r="Y27" s="450"/>
      <c r="Z27" s="453"/>
      <c r="AA27" s="453"/>
      <c r="AB27" s="456"/>
      <c r="AC27" s="456"/>
      <c r="AD27" s="439"/>
      <c r="AE27" s="459"/>
      <c r="AF27" s="462"/>
      <c r="AG27" s="464"/>
    </row>
    <row r="28" spans="2:33" ht="13.7" customHeight="1" thickBot="1">
      <c r="B28" s="468"/>
      <c r="C28" s="471"/>
      <c r="D28" s="473"/>
      <c r="E28" s="476"/>
      <c r="F28" s="479"/>
      <c r="G28" s="482"/>
      <c r="H28" s="209"/>
      <c r="I28" s="482"/>
      <c r="J28" s="103"/>
      <c r="K28" s="457"/>
      <c r="L28" s="457"/>
      <c r="M28" s="485"/>
      <c r="N28" s="440"/>
      <c r="O28" s="488"/>
      <c r="P28" s="491"/>
      <c r="Q28" s="493"/>
      <c r="R28" s="493"/>
      <c r="S28" s="442"/>
      <c r="T28" s="442"/>
      <c r="U28" s="495"/>
      <c r="V28" s="444"/>
      <c r="W28" s="446"/>
      <c r="X28" s="448"/>
      <c r="Y28" s="451"/>
      <c r="Z28" s="454"/>
      <c r="AA28" s="454"/>
      <c r="AB28" s="457"/>
      <c r="AC28" s="457"/>
      <c r="AD28" s="440"/>
      <c r="AE28" s="460"/>
      <c r="AF28" s="463"/>
      <c r="AG28" s="465"/>
    </row>
    <row r="29" spans="2:33" ht="13.7" customHeight="1">
      <c r="B29" s="466">
        <f>B23+1</f>
        <v>4</v>
      </c>
      <c r="C29" s="469"/>
      <c r="D29" s="496"/>
      <c r="E29" s="474" t="s">
        <v>281</v>
      </c>
      <c r="F29" s="477"/>
      <c r="G29" s="480">
        <f>ROW(H33)-ROW($H29)+1-COUNTBLANK($H29:$H33)</f>
        <v>0</v>
      </c>
      <c r="H29" s="207"/>
      <c r="I29" s="480">
        <f>ROW(J33)-ROW($J29)+1-COUNTBLANK($J29:$J33)</f>
        <v>0</v>
      </c>
      <c r="J29" s="101"/>
      <c r="K29" s="455" t="str">
        <f>CONCATENATE(F29,L29,E29)</f>
        <v>FALSOI</v>
      </c>
      <c r="L29" s="455" t="b">
        <f>IF(ISBLANK(I29),"",IF(OR(F29="EE",F29="EEC"),IF(I29&gt;=3,IF(G29&gt;=5,"H","A"),IF(I29&gt;=2,IF(G29&gt;=16,"H",IF(G29&lt;=4,"L","A")),IF(G29&lt;=15,"L","A"))),IF(OR(F29="SE",F29="CE",F29="CEC",F29="SEC"),IF(I29&gt;=4,IF(G29&gt;=6,"H","A"),IF(I29&gt;=2,IF(G29&gt;=20,"H",IF(G29&lt;=5,"L","A")),IF(G29&lt;=19,"L","A"))),IF(OR(F29="ALI",F29="AIE"),IF(I29&gt;=6,IF(G29&gt;=20,"H","A"),IF(I29&gt;=2,IF(G29&gt;=51,"H",IF(G29&lt;=19,"L","A")),IF(G29&lt;=50,"L","A")))))))</f>
        <v>0</v>
      </c>
      <c r="M29" s="483" t="str">
        <f>IF(F29="","",IF(L29="L","Baixa",IF(L29="A","Média",IF(L29="","","Alta"))))</f>
        <v/>
      </c>
      <c r="N29" s="438" t="str">
        <f>IF(F29="","",IF(ISBLANK(I29),"",IF(F29="ALI",IF(L29="L",7,IF(L29="A",10,15)),IF(F29="AIE",IF(L29="L",5,IF(L29="A",7,10)),IF(OR(F29="SE",F29="SEC"),IF(L29="L",4,IF(L29="A",5,7)),IF(OR(F29="EE",F29="EEC",F29="CE",F29="CEC"),IF(L29="L",3,IF(L29="A",4,6))))))))</f>
        <v/>
      </c>
      <c r="O29" s="501"/>
      <c r="P29" s="489"/>
      <c r="Q29" s="492"/>
      <c r="R29" s="492"/>
      <c r="S29" s="441" t="str">
        <f>CONCATENATE(P29,T29)</f>
        <v/>
      </c>
      <c r="T29" s="441" t="str">
        <f>IF(ISBLANK(R29),"",IF(OR(P29="EE",P29="EEC"),IF(R29&gt;=3,IF(Q29&gt;=5,"H","A"),IF(R29&gt;=2,IF(Q29&gt;=16,"H",IF(Q29&lt;=4,"L","A")),IF(Q29&lt;=15,"L","A"))),IF(OR(P29="SE",P29="CE",P29="CEC",P29="SEC"),IF(R29&gt;=4,IF(Q29&gt;=6,"H","A"),IF(R29&gt;=2,IF(Q29&gt;=20,"H",IF(Q29&lt;=5,"L","A")),IF(Q29&lt;=19,"L","A"))),IF(OR(P29="ALI",P29="AIE"),IF(R29&gt;=6,IF(Q29&gt;=20,"H","A"),IF(R29&gt;=2,IF(Q29&gt;=51,"H",IF(Q29&lt;=19,"L","A")),IF(Q29&lt;=50,"L","A")))))))</f>
        <v/>
      </c>
      <c r="U29" s="494" t="str">
        <f>IF(ISBLANK(R29),"",IF(P29="ALI",IF(T29="L",7,IF(T29="A",10,15)),IF(P29="AIE",IF(T29="L",5,IF(T29="A",7,10)),IF(OR(P29="SE",P29="SEC"),IF(T29="L",4,IF(T29="A",5,7)),IF(OR(P29="EE",P29="EEC",P29="CE",P29="CEC"),IF(T29="L",3,IF(T29="A",4,6)))))))</f>
        <v/>
      </c>
      <c r="V29" s="443"/>
      <c r="W29" s="445" t="str">
        <f>IF(V29="",U29,(U29*V29))</f>
        <v/>
      </c>
      <c r="X29" s="447"/>
      <c r="Y29" s="449"/>
      <c r="Z29" s="452"/>
      <c r="AA29" s="452"/>
      <c r="AB29" s="455" t="str">
        <f>CONCATENATE(Y29,AC29)</f>
        <v/>
      </c>
      <c r="AC29" s="455" t="str">
        <f>IF(ISBLANK(AA29),"",IF(OR(Y29="EE",Y29="EEC"),IF(AA29&gt;=3,IF(Z29&gt;=5,"H","A"),IF(AA29&gt;=2,IF(Z29&gt;=16,"H",IF(Z29&lt;=4,"L","A")),IF(Z29&lt;=15,"L","A"))),IF(OR(Y29="SE",Y29="CE",Y29="CEC",Y29="SEC"),IF(AA29&gt;=4,IF(Z29&gt;=6,"H","A"),IF(AA29&gt;=2,IF(Z29&gt;=20,"H",IF(Z29&lt;=5,"L","A")),IF(Z29&lt;=19,"L","A"))),IF(OR(Y29="ALI",Y29="AIE"),IF(AA29&gt;=6,IF(Z29&gt;=20,"H","A"),IF(AA29&gt;=2,IF(Z29&gt;=51,"H",IF(Z29&lt;=19,"L","A")),IF(Z29&lt;=50,"L","A")))))))</f>
        <v/>
      </c>
      <c r="AD29" s="438" t="str">
        <f>IF(ISBLANK(AA29),"",IF(Y29="ALI",IF(AC29="L",7,IF(AC29="A",10,15)),IF(Y29="AIE",IF(AC29="L",5,IF(AC29="A",7,10)),IF(OR(Y29="SE",Y29="SEC"),IF(AC29="L",4,IF(AC29="A",5,7)),IF(OR(Y29="EE",Y29="EEC",Y29="CE",Y29="CEC"),IF(AC29="L",3,IF(AC29="A",4,6)))))))</f>
        <v/>
      </c>
      <c r="AE29" s="458"/>
      <c r="AF29" s="461" t="str">
        <f>IF(AE29="",AD29,(AD29*AE29))</f>
        <v/>
      </c>
      <c r="AG29" s="464"/>
    </row>
    <row r="30" spans="2:33" ht="13.7" customHeight="1">
      <c r="B30" s="467"/>
      <c r="C30" s="470"/>
      <c r="D30" s="497"/>
      <c r="E30" s="475"/>
      <c r="F30" s="478"/>
      <c r="G30" s="481"/>
      <c r="H30" s="208"/>
      <c r="I30" s="481"/>
      <c r="J30" s="102"/>
      <c r="K30" s="456"/>
      <c r="L30" s="456"/>
      <c r="M30" s="484"/>
      <c r="N30" s="439"/>
      <c r="O30" s="502"/>
      <c r="P30" s="490"/>
      <c r="Q30" s="492"/>
      <c r="R30" s="492"/>
      <c r="S30" s="441"/>
      <c r="T30" s="441"/>
      <c r="U30" s="494"/>
      <c r="V30" s="443"/>
      <c r="W30" s="445"/>
      <c r="X30" s="447"/>
      <c r="Y30" s="450"/>
      <c r="Z30" s="453"/>
      <c r="AA30" s="453"/>
      <c r="AB30" s="456"/>
      <c r="AC30" s="456"/>
      <c r="AD30" s="439"/>
      <c r="AE30" s="459"/>
      <c r="AF30" s="462"/>
      <c r="AG30" s="464"/>
    </row>
    <row r="31" spans="2:33" ht="13.7" customHeight="1">
      <c r="B31" s="467"/>
      <c r="C31" s="470"/>
      <c r="D31" s="497"/>
      <c r="E31" s="475"/>
      <c r="F31" s="478"/>
      <c r="G31" s="481"/>
      <c r="H31" s="208"/>
      <c r="I31" s="481"/>
      <c r="J31" s="102"/>
      <c r="K31" s="456"/>
      <c r="L31" s="456"/>
      <c r="M31" s="484"/>
      <c r="N31" s="439"/>
      <c r="O31" s="502"/>
      <c r="P31" s="490"/>
      <c r="Q31" s="492"/>
      <c r="R31" s="492"/>
      <c r="S31" s="441"/>
      <c r="T31" s="441"/>
      <c r="U31" s="494"/>
      <c r="V31" s="443"/>
      <c r="W31" s="445"/>
      <c r="X31" s="447"/>
      <c r="Y31" s="450"/>
      <c r="Z31" s="453"/>
      <c r="AA31" s="453"/>
      <c r="AB31" s="456"/>
      <c r="AC31" s="456"/>
      <c r="AD31" s="439"/>
      <c r="AE31" s="459"/>
      <c r="AF31" s="462"/>
      <c r="AG31" s="464"/>
    </row>
    <row r="32" spans="2:33" ht="13.7" customHeight="1">
      <c r="B32" s="467"/>
      <c r="C32" s="470"/>
      <c r="D32" s="497"/>
      <c r="E32" s="475"/>
      <c r="F32" s="478"/>
      <c r="G32" s="481"/>
      <c r="H32" s="208"/>
      <c r="I32" s="481"/>
      <c r="J32" s="102"/>
      <c r="K32" s="456"/>
      <c r="L32" s="456"/>
      <c r="M32" s="484"/>
      <c r="N32" s="439"/>
      <c r="O32" s="502"/>
      <c r="P32" s="490"/>
      <c r="Q32" s="492"/>
      <c r="R32" s="492"/>
      <c r="S32" s="441"/>
      <c r="T32" s="441"/>
      <c r="U32" s="494"/>
      <c r="V32" s="443"/>
      <c r="W32" s="445"/>
      <c r="X32" s="447"/>
      <c r="Y32" s="450"/>
      <c r="Z32" s="453"/>
      <c r="AA32" s="453"/>
      <c r="AB32" s="456"/>
      <c r="AC32" s="456"/>
      <c r="AD32" s="439"/>
      <c r="AE32" s="459"/>
      <c r="AF32" s="462"/>
      <c r="AG32" s="464"/>
    </row>
    <row r="33" spans="2:33" ht="13.7" customHeight="1" thickBot="1">
      <c r="B33" s="468"/>
      <c r="C33" s="471"/>
      <c r="D33" s="498"/>
      <c r="E33" s="476"/>
      <c r="F33" s="479"/>
      <c r="G33" s="482"/>
      <c r="H33" s="209"/>
      <c r="I33" s="482"/>
      <c r="J33" s="103"/>
      <c r="K33" s="457"/>
      <c r="L33" s="457"/>
      <c r="M33" s="485"/>
      <c r="N33" s="440"/>
      <c r="O33" s="503"/>
      <c r="P33" s="491"/>
      <c r="Q33" s="493"/>
      <c r="R33" s="493"/>
      <c r="S33" s="442"/>
      <c r="T33" s="442"/>
      <c r="U33" s="495"/>
      <c r="V33" s="444"/>
      <c r="W33" s="446"/>
      <c r="X33" s="448"/>
      <c r="Y33" s="451"/>
      <c r="Z33" s="454"/>
      <c r="AA33" s="454"/>
      <c r="AB33" s="457"/>
      <c r="AC33" s="457"/>
      <c r="AD33" s="440"/>
      <c r="AE33" s="460"/>
      <c r="AF33" s="463"/>
      <c r="AG33" s="465"/>
    </row>
    <row r="34" spans="2:33" ht="13.7" customHeight="1">
      <c r="B34" s="466">
        <f>B29+1</f>
        <v>5</v>
      </c>
      <c r="C34" s="469"/>
      <c r="D34" s="496"/>
      <c r="E34" s="474" t="s">
        <v>281</v>
      </c>
      <c r="F34" s="477"/>
      <c r="G34" s="480">
        <f>ROW(H39)-ROW($H34)+1-COUNTBLANK($H34:$H39)</f>
        <v>0</v>
      </c>
      <c r="H34" s="208"/>
      <c r="I34" s="480">
        <f>ROW(J39)-ROW($J34)+1-COUNTBLANK($J34:$J39)</f>
        <v>0</v>
      </c>
      <c r="J34" s="207"/>
      <c r="K34" s="455" t="str">
        <f>CONCATENATE(F34,L34,E34)</f>
        <v>FALSOI</v>
      </c>
      <c r="L34" s="455" t="b">
        <f>IF(ISBLANK(I34),"",IF(OR(F34="EE",F34="EEC"),IF(I34&gt;=3,IF(G34&gt;=5,"H","A"),IF(I34&gt;=2,IF(G34&gt;=16,"H",IF(G34&lt;=4,"L","A")),IF(G34&lt;=15,"L","A"))),IF(OR(F34="SE",F34="CE",F34="CEC",F34="SEC"),IF(I34&gt;=4,IF(G34&gt;=6,"H","A"),IF(I34&gt;=2,IF(G34&gt;=20,"H",IF(G34&lt;=5,"L","A")),IF(G34&lt;=19,"L","A"))),IF(OR(F34="ALI",F34="AIE"),IF(I34&gt;=6,IF(G34&gt;=20,"H","A"),IF(I34&gt;=2,IF(G34&gt;=51,"H",IF(G34&lt;=19,"L","A")),IF(G34&lt;=50,"L","A")))))))</f>
        <v>0</v>
      </c>
      <c r="M34" s="483" t="str">
        <f>IF(F34="","",IF(L34="L","Baixa",IF(L34="A","Média",IF(L34="","","Alta"))))</f>
        <v/>
      </c>
      <c r="N34" s="438" t="str">
        <f>IF(F34="","",IF(ISBLANK(I34),"",IF(F34="ALI",IF(L34="L",7,IF(L34="A",10,15)),IF(F34="AIE",IF(L34="L",5,IF(L34="A",7,10)),IF(OR(F34="SE",F34="SEC"),IF(L34="L",4,IF(L34="A",5,7)),IF(OR(F34="EE",F34="EEC",F34="CE",F34="CEC"),IF(L34="L",3,IF(L34="A",4,6))))))))</f>
        <v/>
      </c>
      <c r="O34" s="486"/>
      <c r="P34" s="489"/>
      <c r="Q34" s="492"/>
      <c r="R34" s="492"/>
      <c r="S34" s="441" t="str">
        <f>CONCATENATE(P34,T34)</f>
        <v/>
      </c>
      <c r="T34" s="441" t="str">
        <f>IF(ISBLANK(R34),"",IF(OR(P34="EE",P34="EEC"),IF(R34&gt;=3,IF(Q34&gt;=5,"H","A"),IF(R34&gt;=2,IF(Q34&gt;=16,"H",IF(Q34&lt;=4,"L","A")),IF(Q34&lt;=15,"L","A"))),IF(OR(P34="SE",P34="CE",P34="CEC",P34="SEC"),IF(R34&gt;=4,IF(Q34&gt;=6,"H","A"),IF(R34&gt;=2,IF(Q34&gt;=20,"H",IF(Q34&lt;=5,"L","A")),IF(Q34&lt;=19,"L","A"))),IF(OR(P34="ALI",P34="AIE"),IF(R34&gt;=6,IF(Q34&gt;=20,"H","A"),IF(R34&gt;=2,IF(Q34&gt;=51,"H",IF(Q34&lt;=19,"L","A")),IF(Q34&lt;=50,"L","A")))))))</f>
        <v/>
      </c>
      <c r="U34" s="494" t="str">
        <f>IF(ISBLANK(R34),"",IF(P34="ALI",IF(T34="L",7,IF(T34="A",10,15)),IF(P34="AIE",IF(T34="L",5,IF(T34="A",7,10)),IF(OR(P34="SE",P34="SEC"),IF(T34="L",4,IF(T34="A",5,7)),IF(OR(P34="EE",P34="EEC",P34="CE",P34="CEC"),IF(T34="L",3,IF(T34="A",4,6)))))))</f>
        <v/>
      </c>
      <c r="V34" s="443"/>
      <c r="W34" s="445" t="str">
        <f>IF(V34="",U34,(U34*V34))</f>
        <v/>
      </c>
      <c r="X34" s="447"/>
      <c r="Y34" s="449"/>
      <c r="Z34" s="452"/>
      <c r="AA34" s="452"/>
      <c r="AB34" s="455" t="str">
        <f>CONCATENATE(Y34,AC34)</f>
        <v/>
      </c>
      <c r="AC34" s="455" t="str">
        <f>IF(ISBLANK(AA34),"",IF(OR(Y34="EE",Y34="EEC"),IF(AA34&gt;=3,IF(Z34&gt;=5,"H","A"),IF(AA34&gt;=2,IF(Z34&gt;=16,"H",IF(Z34&lt;=4,"L","A")),IF(Z34&lt;=15,"L","A"))),IF(OR(Y34="SE",Y34="CE",Y34="CEC",Y34="SEC"),IF(AA34&gt;=4,IF(Z34&gt;=6,"H","A"),IF(AA34&gt;=2,IF(Z34&gt;=20,"H",IF(Z34&lt;=5,"L","A")),IF(Z34&lt;=19,"L","A"))),IF(OR(Y34="ALI",Y34="AIE"),IF(AA34&gt;=6,IF(Z34&gt;=20,"H","A"),IF(AA34&gt;=2,IF(Z34&gt;=51,"H",IF(Z34&lt;=19,"L","A")),IF(Z34&lt;=50,"L","A")))))))</f>
        <v/>
      </c>
      <c r="AD34" s="438" t="str">
        <f>IF(ISBLANK(AA34),"",IF(Y34="ALI",IF(AC34="L",7,IF(AC34="A",10,15)),IF(Y34="AIE",IF(AC34="L",5,IF(AC34="A",7,10)),IF(OR(Y34="SE",Y34="SEC"),IF(AC34="L",4,IF(AC34="A",5,7)),IF(OR(Y34="EE",Y34="EEC",Y34="CE",Y34="CEC"),IF(AC34="L",3,IF(AC34="A",4,6)))))))</f>
        <v/>
      </c>
      <c r="AE34" s="458"/>
      <c r="AF34" s="461" t="str">
        <f>IF(AE34="",AD34,(AD34*AE34))</f>
        <v/>
      </c>
      <c r="AG34" s="464"/>
    </row>
    <row r="35" spans="2:33" ht="13.7" customHeight="1">
      <c r="B35" s="467"/>
      <c r="C35" s="470"/>
      <c r="D35" s="497"/>
      <c r="E35" s="475"/>
      <c r="F35" s="478"/>
      <c r="G35" s="481"/>
      <c r="H35" s="208"/>
      <c r="I35" s="481"/>
      <c r="J35" s="210"/>
      <c r="K35" s="456"/>
      <c r="L35" s="456"/>
      <c r="M35" s="484"/>
      <c r="N35" s="439"/>
      <c r="O35" s="487"/>
      <c r="P35" s="490"/>
      <c r="Q35" s="492"/>
      <c r="R35" s="492"/>
      <c r="S35" s="441"/>
      <c r="T35" s="441"/>
      <c r="U35" s="494"/>
      <c r="V35" s="443"/>
      <c r="W35" s="445"/>
      <c r="X35" s="447"/>
      <c r="Y35" s="450"/>
      <c r="Z35" s="453"/>
      <c r="AA35" s="453"/>
      <c r="AB35" s="456"/>
      <c r="AC35" s="456"/>
      <c r="AD35" s="439"/>
      <c r="AE35" s="459"/>
      <c r="AF35" s="462"/>
      <c r="AG35" s="464"/>
    </row>
    <row r="36" spans="2:33" ht="13.7" customHeight="1">
      <c r="B36" s="467"/>
      <c r="C36" s="470"/>
      <c r="D36" s="497"/>
      <c r="E36" s="475"/>
      <c r="F36" s="478"/>
      <c r="G36" s="481"/>
      <c r="H36" s="208"/>
      <c r="I36" s="481"/>
      <c r="J36" s="210"/>
      <c r="K36" s="456"/>
      <c r="L36" s="456"/>
      <c r="M36" s="484"/>
      <c r="N36" s="439"/>
      <c r="O36" s="487"/>
      <c r="P36" s="490"/>
      <c r="Q36" s="492"/>
      <c r="R36" s="492"/>
      <c r="S36" s="441"/>
      <c r="T36" s="441"/>
      <c r="U36" s="494"/>
      <c r="V36" s="443"/>
      <c r="W36" s="445"/>
      <c r="X36" s="447"/>
      <c r="Y36" s="450"/>
      <c r="Z36" s="453"/>
      <c r="AA36" s="453"/>
      <c r="AB36" s="456"/>
      <c r="AC36" s="456"/>
      <c r="AD36" s="439"/>
      <c r="AE36" s="459"/>
      <c r="AF36" s="462"/>
      <c r="AG36" s="464"/>
    </row>
    <row r="37" spans="2:33" ht="13.7" customHeight="1">
      <c r="B37" s="467"/>
      <c r="C37" s="470"/>
      <c r="D37" s="497"/>
      <c r="E37" s="475"/>
      <c r="F37" s="478"/>
      <c r="G37" s="481"/>
      <c r="H37" s="208"/>
      <c r="I37" s="481"/>
      <c r="J37" s="210"/>
      <c r="K37" s="456"/>
      <c r="L37" s="456"/>
      <c r="M37" s="484"/>
      <c r="N37" s="439"/>
      <c r="O37" s="487"/>
      <c r="P37" s="490"/>
      <c r="Q37" s="492"/>
      <c r="R37" s="492"/>
      <c r="S37" s="441"/>
      <c r="T37" s="441"/>
      <c r="U37" s="494"/>
      <c r="V37" s="443"/>
      <c r="W37" s="445"/>
      <c r="X37" s="447"/>
      <c r="Y37" s="450"/>
      <c r="Z37" s="453"/>
      <c r="AA37" s="453"/>
      <c r="AB37" s="456"/>
      <c r="AC37" s="456"/>
      <c r="AD37" s="439"/>
      <c r="AE37" s="459"/>
      <c r="AF37" s="462"/>
      <c r="AG37" s="464"/>
    </row>
    <row r="38" spans="2:33" ht="13.7" customHeight="1">
      <c r="B38" s="467"/>
      <c r="C38" s="470"/>
      <c r="D38" s="497"/>
      <c r="E38" s="475"/>
      <c r="F38" s="478"/>
      <c r="G38" s="481"/>
      <c r="H38" s="208"/>
      <c r="I38" s="481"/>
      <c r="J38" s="102"/>
      <c r="K38" s="456"/>
      <c r="L38" s="456"/>
      <c r="M38" s="484"/>
      <c r="N38" s="439"/>
      <c r="O38" s="487"/>
      <c r="P38" s="490"/>
      <c r="Q38" s="492"/>
      <c r="R38" s="492"/>
      <c r="S38" s="441"/>
      <c r="T38" s="441"/>
      <c r="U38" s="494"/>
      <c r="V38" s="443"/>
      <c r="W38" s="445"/>
      <c r="X38" s="447"/>
      <c r="Y38" s="450"/>
      <c r="Z38" s="453"/>
      <c r="AA38" s="453"/>
      <c r="AB38" s="456"/>
      <c r="AC38" s="456"/>
      <c r="AD38" s="439"/>
      <c r="AE38" s="459"/>
      <c r="AF38" s="462"/>
      <c r="AG38" s="464"/>
    </row>
    <row r="39" spans="2:33" ht="13.7" customHeight="1" thickBot="1">
      <c r="B39" s="468"/>
      <c r="C39" s="471"/>
      <c r="D39" s="498"/>
      <c r="E39" s="476"/>
      <c r="F39" s="479"/>
      <c r="G39" s="482"/>
      <c r="H39" s="209"/>
      <c r="I39" s="482"/>
      <c r="J39" s="103"/>
      <c r="K39" s="457"/>
      <c r="L39" s="457"/>
      <c r="M39" s="485"/>
      <c r="N39" s="440"/>
      <c r="O39" s="488"/>
      <c r="P39" s="491"/>
      <c r="Q39" s="493"/>
      <c r="R39" s="493"/>
      <c r="S39" s="442"/>
      <c r="T39" s="442"/>
      <c r="U39" s="495"/>
      <c r="V39" s="444"/>
      <c r="W39" s="446"/>
      <c r="X39" s="448"/>
      <c r="Y39" s="451"/>
      <c r="Z39" s="454"/>
      <c r="AA39" s="454"/>
      <c r="AB39" s="457"/>
      <c r="AC39" s="457"/>
      <c r="AD39" s="440"/>
      <c r="AE39" s="460"/>
      <c r="AF39" s="463"/>
      <c r="AG39" s="465"/>
    </row>
    <row r="40" spans="2:33" ht="13.5" customHeight="1">
      <c r="B40" s="466">
        <f>B34+1</f>
        <v>6</v>
      </c>
      <c r="C40" s="469"/>
      <c r="D40" s="469"/>
      <c r="E40" s="474" t="s">
        <v>281</v>
      </c>
      <c r="F40" s="477"/>
      <c r="G40" s="480">
        <f>ROW(H45)-ROW($H40)+1-COUNTBLANK($H40:$H45)</f>
        <v>0</v>
      </c>
      <c r="H40" s="208"/>
      <c r="I40" s="480">
        <f>ROW(J45)-ROW($J40)+1-COUNTBLANK($J40:$J45)</f>
        <v>0</v>
      </c>
      <c r="J40" s="207"/>
      <c r="K40" s="455" t="str">
        <f>CONCATENATE(F40,L40,E40)</f>
        <v>FALSOI</v>
      </c>
      <c r="L40" s="455" t="b">
        <f>IF(ISBLANK(I40),"",IF(OR(F40="EE",F40="EEC"),IF(I40&gt;=3,IF(G40&gt;=5,"H","A"),IF(I40&gt;=2,IF(G40&gt;=16,"H",IF(G40&lt;=4,"L","A")),IF(G40&lt;=15,"L","A"))),IF(OR(F40="SE",F40="CE",F40="CEC",F40="SEC"),IF(I40&gt;=4,IF(G40&gt;=6,"H","A"),IF(I40&gt;=2,IF(G40&gt;=20,"H",IF(G40&lt;=5,"L","A")),IF(G40&lt;=19,"L","A"))),IF(OR(F40="ALI",F40="AIE"),IF(I40&gt;=6,IF(G40&gt;=20,"H","A"),IF(I40&gt;=2,IF(G40&gt;=51,"H",IF(G40&lt;=19,"L","A")),IF(G40&lt;=50,"L","A")))))))</f>
        <v>0</v>
      </c>
      <c r="M40" s="483" t="str">
        <f>IF(F40="","",IF(L40="L","Baixa",IF(L40="A","Média",IF(L40="","","Alta"))))</f>
        <v/>
      </c>
      <c r="N40" s="438" t="str">
        <f>IF(F40="","",IF(ISBLANK(I40),"",IF(F40="ALI",IF(L40="L",7,IF(L40="A",10,15)),IF(F40="AIE",IF(L40="L",5,IF(L40="A",7,10)),IF(OR(F40="SE",F40="SEC"),IF(L40="L",4,IF(L40="A",5,7)),IF(OR(F40="EE",F40="EEC",F40="CE",F40="CEC"),IF(L40="L",3,IF(L40="A",4,6))))))))</f>
        <v/>
      </c>
      <c r="O40" s="486"/>
      <c r="P40" s="489"/>
      <c r="Q40" s="492"/>
      <c r="R40" s="492"/>
      <c r="S40" s="441" t="str">
        <f>CONCATENATE(P40,T40)</f>
        <v/>
      </c>
      <c r="T40" s="441" t="str">
        <f>IF(ISBLANK(R40),"",IF(OR(P40="EE",P40="EEC"),IF(R40&gt;=3,IF(Q40&gt;=5,"H","A"),IF(R40&gt;=2,IF(Q40&gt;=16,"H",IF(Q40&lt;=4,"L","A")),IF(Q40&lt;=15,"L","A"))),IF(OR(P40="SE",P40="CE",P40="CEC",P40="SEC"),IF(R40&gt;=4,IF(Q40&gt;=6,"H","A"),IF(R40&gt;=2,IF(Q40&gt;=20,"H",IF(Q40&lt;=5,"L","A")),IF(Q40&lt;=19,"L","A"))),IF(OR(P40="ALI",P40="AIE"),IF(R40&gt;=6,IF(Q40&gt;=20,"H","A"),IF(R40&gt;=2,IF(Q40&gt;=51,"H",IF(Q40&lt;=19,"L","A")),IF(Q40&lt;=50,"L","A")))))))</f>
        <v/>
      </c>
      <c r="U40" s="494" t="str">
        <f>IF(ISBLANK(R40),"",IF(P40="ALI",IF(T40="L",7,IF(T40="A",10,15)),IF(P40="AIE",IF(T40="L",5,IF(T40="A",7,10)),IF(OR(P40="SE",P40="SEC"),IF(T40="L",4,IF(T40="A",5,7)),IF(OR(P40="EE",P40="EEC",P40="CE",P40="CEC"),IF(T40="L",3,IF(T40="A",4,6)))))))</f>
        <v/>
      </c>
      <c r="V40" s="443"/>
      <c r="W40" s="445" t="str">
        <f>IF(V40="",U40,(U40*V40))</f>
        <v/>
      </c>
      <c r="X40" s="447"/>
      <c r="Y40" s="449"/>
      <c r="Z40" s="452"/>
      <c r="AA40" s="452"/>
      <c r="AB40" s="455" t="str">
        <f>CONCATENATE(Y40,AC40)</f>
        <v/>
      </c>
      <c r="AC40" s="455" t="str">
        <f>IF(ISBLANK(AA40),"",IF(OR(Y40="EE",Y40="EEC"),IF(AA40&gt;=3,IF(Z40&gt;=5,"H","A"),IF(AA40&gt;=2,IF(Z40&gt;=16,"H",IF(Z40&lt;=4,"L","A")),IF(Z40&lt;=15,"L","A"))),IF(OR(Y40="SE",Y40="CE",Y40="CEC",Y40="SEC"),IF(AA40&gt;=4,IF(Z40&gt;=6,"H","A"),IF(AA40&gt;=2,IF(Z40&gt;=20,"H",IF(Z40&lt;=5,"L","A")),IF(Z40&lt;=19,"L","A"))),IF(OR(Y40="ALI",Y40="AIE"),IF(AA40&gt;=6,IF(Z40&gt;=20,"H","A"),IF(AA40&gt;=2,IF(Z40&gt;=51,"H",IF(Z40&lt;=19,"L","A")),IF(Z40&lt;=50,"L","A")))))))</f>
        <v/>
      </c>
      <c r="AD40" s="438" t="str">
        <f>IF(ISBLANK(AA40),"",IF(Y40="ALI",IF(AC40="L",7,IF(AC40="A",10,15)),IF(Y40="AIE",IF(AC40="L",5,IF(AC40="A",7,10)),IF(OR(Y40="SE",Y40="SEC"),IF(AC40="L",4,IF(AC40="A",5,7)),IF(OR(Y40="EE",Y40="EEC",Y40="CE",Y40="CEC"),IF(AC40="L",3,IF(AC40="A",4,6)))))))</f>
        <v/>
      </c>
      <c r="AE40" s="458"/>
      <c r="AF40" s="461" t="str">
        <f>IF(AE40="",AD40,(AD40*AE40))</f>
        <v/>
      </c>
      <c r="AG40" s="464"/>
    </row>
    <row r="41" spans="2:33" ht="13.7" customHeight="1">
      <c r="B41" s="467"/>
      <c r="C41" s="470"/>
      <c r="D41" s="472"/>
      <c r="E41" s="475"/>
      <c r="F41" s="478"/>
      <c r="G41" s="481"/>
      <c r="H41" s="208"/>
      <c r="I41" s="481"/>
      <c r="J41" s="210"/>
      <c r="K41" s="456"/>
      <c r="L41" s="456"/>
      <c r="M41" s="484"/>
      <c r="N41" s="439"/>
      <c r="O41" s="487"/>
      <c r="P41" s="490"/>
      <c r="Q41" s="492"/>
      <c r="R41" s="492"/>
      <c r="S41" s="441"/>
      <c r="T41" s="441"/>
      <c r="U41" s="494"/>
      <c r="V41" s="443"/>
      <c r="W41" s="445"/>
      <c r="X41" s="447"/>
      <c r="Y41" s="450"/>
      <c r="Z41" s="453"/>
      <c r="AA41" s="453"/>
      <c r="AB41" s="456"/>
      <c r="AC41" s="456"/>
      <c r="AD41" s="439"/>
      <c r="AE41" s="459"/>
      <c r="AF41" s="462"/>
      <c r="AG41" s="464"/>
    </row>
    <row r="42" spans="2:33" ht="13.7" customHeight="1">
      <c r="B42" s="467"/>
      <c r="C42" s="470"/>
      <c r="D42" s="472"/>
      <c r="E42" s="475"/>
      <c r="F42" s="478"/>
      <c r="G42" s="481"/>
      <c r="H42" s="208"/>
      <c r="I42" s="481"/>
      <c r="J42" s="210"/>
      <c r="K42" s="456"/>
      <c r="L42" s="456"/>
      <c r="M42" s="484"/>
      <c r="N42" s="439"/>
      <c r="O42" s="487"/>
      <c r="P42" s="490"/>
      <c r="Q42" s="492"/>
      <c r="R42" s="492"/>
      <c r="S42" s="441"/>
      <c r="T42" s="441"/>
      <c r="U42" s="494"/>
      <c r="V42" s="443"/>
      <c r="W42" s="445"/>
      <c r="X42" s="447"/>
      <c r="Y42" s="450"/>
      <c r="Z42" s="453"/>
      <c r="AA42" s="453"/>
      <c r="AB42" s="456"/>
      <c r="AC42" s="456"/>
      <c r="AD42" s="439"/>
      <c r="AE42" s="459"/>
      <c r="AF42" s="462"/>
      <c r="AG42" s="464"/>
    </row>
    <row r="43" spans="2:33" ht="13.7" customHeight="1">
      <c r="B43" s="467"/>
      <c r="C43" s="470"/>
      <c r="D43" s="472"/>
      <c r="E43" s="475"/>
      <c r="F43" s="478"/>
      <c r="G43" s="481"/>
      <c r="H43" s="208"/>
      <c r="I43" s="481"/>
      <c r="J43" s="102"/>
      <c r="K43" s="456"/>
      <c r="L43" s="456"/>
      <c r="M43" s="484"/>
      <c r="N43" s="439"/>
      <c r="O43" s="487"/>
      <c r="P43" s="490"/>
      <c r="Q43" s="492"/>
      <c r="R43" s="492"/>
      <c r="S43" s="441"/>
      <c r="T43" s="441"/>
      <c r="U43" s="494"/>
      <c r="V43" s="443"/>
      <c r="W43" s="445"/>
      <c r="X43" s="447"/>
      <c r="Y43" s="450"/>
      <c r="Z43" s="453"/>
      <c r="AA43" s="453"/>
      <c r="AB43" s="456"/>
      <c r="AC43" s="456"/>
      <c r="AD43" s="439"/>
      <c r="AE43" s="459"/>
      <c r="AF43" s="462"/>
      <c r="AG43" s="464"/>
    </row>
    <row r="44" spans="2:33" ht="13.7" customHeight="1">
      <c r="B44" s="467"/>
      <c r="C44" s="470"/>
      <c r="D44" s="472"/>
      <c r="E44" s="475"/>
      <c r="F44" s="478"/>
      <c r="G44" s="481"/>
      <c r="H44" s="208"/>
      <c r="I44" s="481"/>
      <c r="J44" s="102"/>
      <c r="K44" s="456"/>
      <c r="L44" s="456"/>
      <c r="M44" s="484"/>
      <c r="N44" s="439"/>
      <c r="O44" s="487"/>
      <c r="P44" s="490"/>
      <c r="Q44" s="492"/>
      <c r="R44" s="492"/>
      <c r="S44" s="441"/>
      <c r="T44" s="441"/>
      <c r="U44" s="494"/>
      <c r="V44" s="443"/>
      <c r="W44" s="445"/>
      <c r="X44" s="447"/>
      <c r="Y44" s="450"/>
      <c r="Z44" s="453"/>
      <c r="AA44" s="453"/>
      <c r="AB44" s="456"/>
      <c r="AC44" s="456"/>
      <c r="AD44" s="439"/>
      <c r="AE44" s="459"/>
      <c r="AF44" s="462"/>
      <c r="AG44" s="464"/>
    </row>
    <row r="45" spans="2:33" ht="13.5" customHeight="1" thickBot="1">
      <c r="B45" s="468"/>
      <c r="C45" s="471"/>
      <c r="D45" s="473"/>
      <c r="E45" s="476"/>
      <c r="F45" s="479"/>
      <c r="G45" s="482"/>
      <c r="H45" s="209"/>
      <c r="I45" s="482"/>
      <c r="J45" s="209"/>
      <c r="K45" s="457"/>
      <c r="L45" s="457"/>
      <c r="M45" s="485"/>
      <c r="N45" s="440"/>
      <c r="O45" s="488"/>
      <c r="P45" s="491"/>
      <c r="Q45" s="493"/>
      <c r="R45" s="493"/>
      <c r="S45" s="442"/>
      <c r="T45" s="442"/>
      <c r="U45" s="495"/>
      <c r="V45" s="444"/>
      <c r="W45" s="446"/>
      <c r="X45" s="448"/>
      <c r="Y45" s="451"/>
      <c r="Z45" s="454"/>
      <c r="AA45" s="454"/>
      <c r="AB45" s="457"/>
      <c r="AC45" s="457"/>
      <c r="AD45" s="440"/>
      <c r="AE45" s="460"/>
      <c r="AF45" s="463"/>
      <c r="AG45" s="465"/>
    </row>
    <row r="46" spans="2:33" ht="13.5" customHeight="1">
      <c r="B46" s="466">
        <f>B40+1</f>
        <v>7</v>
      </c>
      <c r="C46" s="469"/>
      <c r="D46" s="469"/>
      <c r="E46" s="474" t="s">
        <v>281</v>
      </c>
      <c r="F46" s="477"/>
      <c r="G46" s="480">
        <f>ROW(H51)-ROW($H46)+1-COUNTBLANK($H46:$H51)</f>
        <v>0</v>
      </c>
      <c r="H46" s="208"/>
      <c r="I46" s="480">
        <f>ROW(J51)-ROW($J46)+1-COUNTBLANK($J46:$J51)</f>
        <v>0</v>
      </c>
      <c r="J46" s="207"/>
      <c r="K46" s="455" t="str">
        <f>CONCATENATE(F46,L46,E46)</f>
        <v>FALSOI</v>
      </c>
      <c r="L46" s="455" t="b">
        <f>IF(ISBLANK(I46),"",IF(OR(F46="EE",F46="EEC"),IF(I46&gt;=3,IF(G46&gt;=5,"H","A"),IF(I46&gt;=2,IF(G46&gt;=16,"H",IF(G46&lt;=4,"L","A")),IF(G46&lt;=15,"L","A"))),IF(OR(F46="SE",F46="CE",F46="CEC",F46="SEC"),IF(I46&gt;=4,IF(G46&gt;=6,"H","A"),IF(I46&gt;=2,IF(G46&gt;=20,"H",IF(G46&lt;=5,"L","A")),IF(G46&lt;=19,"L","A"))),IF(OR(F46="ALI",F46="AIE"),IF(I46&gt;=6,IF(G46&gt;=20,"H","A"),IF(I46&gt;=2,IF(G46&gt;=51,"H",IF(G46&lt;=19,"L","A")),IF(G46&lt;=50,"L","A")))))))</f>
        <v>0</v>
      </c>
      <c r="M46" s="483" t="str">
        <f>IF(F46="","",IF(L46="L","Baixa",IF(L46="A","Média",IF(L46="","","Alta"))))</f>
        <v/>
      </c>
      <c r="N46" s="438" t="str">
        <f>IF(F46="","",IF(ISBLANK(I46),"",IF(F46="ALI",IF(L46="L",7,IF(L46="A",10,15)),IF(F46="AIE",IF(L46="L",5,IF(L46="A",7,10)),IF(OR(F46="SE",F46="SEC"),IF(L46="L",4,IF(L46="A",5,7)),IF(OR(F46="EE",F46="EEC",F46="CE",F46="CEC"),IF(L46="L",3,IF(L46="A",4,6))))))))</f>
        <v/>
      </c>
      <c r="O46" s="486"/>
      <c r="P46" s="489"/>
      <c r="Q46" s="492"/>
      <c r="R46" s="492"/>
      <c r="S46" s="441" t="str">
        <f>CONCATENATE(P46,T46)</f>
        <v/>
      </c>
      <c r="T46" s="441" t="str">
        <f>IF(ISBLANK(R46),"",IF(OR(P46="EE",P46="EEC"),IF(R46&gt;=3,IF(Q46&gt;=5,"H","A"),IF(R46&gt;=2,IF(Q46&gt;=16,"H",IF(Q46&lt;=4,"L","A")),IF(Q46&lt;=15,"L","A"))),IF(OR(P46="SE",P46="CE",P46="CEC",P46="SEC"),IF(R46&gt;=4,IF(Q46&gt;=6,"H","A"),IF(R46&gt;=2,IF(Q46&gt;=20,"H",IF(Q46&lt;=5,"L","A")),IF(Q46&lt;=19,"L","A"))),IF(OR(P46="ALI",P46="AIE"),IF(R46&gt;=6,IF(Q46&gt;=20,"H","A"),IF(R46&gt;=2,IF(Q46&gt;=51,"H",IF(Q46&lt;=19,"L","A")),IF(Q46&lt;=50,"L","A")))))))</f>
        <v/>
      </c>
      <c r="U46" s="494" t="str">
        <f>IF(ISBLANK(R46),"",IF(P46="ALI",IF(T46="L",7,IF(T46="A",10,15)),IF(P46="AIE",IF(T46="L",5,IF(T46="A",7,10)),IF(OR(P46="SE",P46="SEC"),IF(T46="L",4,IF(T46="A",5,7)),IF(OR(P46="EE",P46="EEC",P46="CE",P46="CEC"),IF(T46="L",3,IF(T46="A",4,6)))))))</f>
        <v/>
      </c>
      <c r="V46" s="443"/>
      <c r="W46" s="445" t="str">
        <f>IF(V46="",U46,(U46*V46))</f>
        <v/>
      </c>
      <c r="X46" s="447"/>
      <c r="Y46" s="449"/>
      <c r="Z46" s="452"/>
      <c r="AA46" s="452"/>
      <c r="AB46" s="455" t="str">
        <f>CONCATENATE(Y46,AC46)</f>
        <v/>
      </c>
      <c r="AC46" s="455" t="str">
        <f>IF(ISBLANK(AA46),"",IF(OR(Y46="EE",Y46="EEC"),IF(AA46&gt;=3,IF(Z46&gt;=5,"H","A"),IF(AA46&gt;=2,IF(Z46&gt;=16,"H",IF(Z46&lt;=4,"L","A")),IF(Z46&lt;=15,"L","A"))),IF(OR(Y46="SE",Y46="CE",Y46="CEC",Y46="SEC"),IF(AA46&gt;=4,IF(Z46&gt;=6,"H","A"),IF(AA46&gt;=2,IF(Z46&gt;=20,"H",IF(Z46&lt;=5,"L","A")),IF(Z46&lt;=19,"L","A"))),IF(OR(Y46="ALI",Y46="AIE"),IF(AA46&gt;=6,IF(Z46&gt;=20,"H","A"),IF(AA46&gt;=2,IF(Z46&gt;=51,"H",IF(Z46&lt;=19,"L","A")),IF(Z46&lt;=50,"L","A")))))))</f>
        <v/>
      </c>
      <c r="AD46" s="438" t="str">
        <f>IF(ISBLANK(AA46),"",IF(Y46="ALI",IF(AC46="L",7,IF(AC46="A",10,15)),IF(Y46="AIE",IF(AC46="L",5,IF(AC46="A",7,10)),IF(OR(Y46="SE",Y46="SEC"),IF(AC46="L",4,IF(AC46="A",5,7)),IF(OR(Y46="EE",Y46="EEC",Y46="CE",Y46="CEC"),IF(AC46="L",3,IF(AC46="A",4,6)))))))</f>
        <v/>
      </c>
      <c r="AE46" s="458"/>
      <c r="AF46" s="461" t="str">
        <f>IF(AE46="",AD46,(AD46*AE46))</f>
        <v/>
      </c>
      <c r="AG46" s="464"/>
    </row>
    <row r="47" spans="2:33" ht="13.7" customHeight="1">
      <c r="B47" s="467"/>
      <c r="C47" s="470"/>
      <c r="D47" s="472"/>
      <c r="E47" s="475"/>
      <c r="F47" s="478"/>
      <c r="G47" s="481"/>
      <c r="H47" s="208"/>
      <c r="I47" s="481"/>
      <c r="J47" s="210"/>
      <c r="K47" s="456"/>
      <c r="L47" s="456"/>
      <c r="M47" s="484"/>
      <c r="N47" s="439"/>
      <c r="O47" s="487"/>
      <c r="P47" s="490"/>
      <c r="Q47" s="492"/>
      <c r="R47" s="492"/>
      <c r="S47" s="441"/>
      <c r="T47" s="441"/>
      <c r="U47" s="494"/>
      <c r="V47" s="443"/>
      <c r="W47" s="445"/>
      <c r="X47" s="447"/>
      <c r="Y47" s="450"/>
      <c r="Z47" s="453"/>
      <c r="AA47" s="453"/>
      <c r="AB47" s="456"/>
      <c r="AC47" s="456"/>
      <c r="AD47" s="439"/>
      <c r="AE47" s="459"/>
      <c r="AF47" s="462"/>
      <c r="AG47" s="464"/>
    </row>
    <row r="48" spans="2:33" ht="13.7" customHeight="1">
      <c r="B48" s="467"/>
      <c r="C48" s="470"/>
      <c r="D48" s="472"/>
      <c r="E48" s="475"/>
      <c r="F48" s="478"/>
      <c r="G48" s="481"/>
      <c r="H48" s="208"/>
      <c r="I48" s="481"/>
      <c r="J48" s="210"/>
      <c r="K48" s="456"/>
      <c r="L48" s="456"/>
      <c r="M48" s="484"/>
      <c r="N48" s="439"/>
      <c r="O48" s="487"/>
      <c r="P48" s="490"/>
      <c r="Q48" s="492"/>
      <c r="R48" s="492"/>
      <c r="S48" s="441"/>
      <c r="T48" s="441"/>
      <c r="U48" s="494"/>
      <c r="V48" s="443"/>
      <c r="W48" s="445"/>
      <c r="X48" s="447"/>
      <c r="Y48" s="450"/>
      <c r="Z48" s="453"/>
      <c r="AA48" s="453"/>
      <c r="AB48" s="456"/>
      <c r="AC48" s="456"/>
      <c r="AD48" s="439"/>
      <c r="AE48" s="459"/>
      <c r="AF48" s="462"/>
      <c r="AG48" s="464"/>
    </row>
    <row r="49" spans="2:33" ht="13.7" customHeight="1">
      <c r="B49" s="467"/>
      <c r="C49" s="470"/>
      <c r="D49" s="472"/>
      <c r="E49" s="475"/>
      <c r="F49" s="478"/>
      <c r="G49" s="481"/>
      <c r="H49" s="208"/>
      <c r="I49" s="481"/>
      <c r="J49" s="102"/>
      <c r="K49" s="456"/>
      <c r="L49" s="456"/>
      <c r="M49" s="484"/>
      <c r="N49" s="439"/>
      <c r="O49" s="487"/>
      <c r="P49" s="490"/>
      <c r="Q49" s="492"/>
      <c r="R49" s="492"/>
      <c r="S49" s="441"/>
      <c r="T49" s="441"/>
      <c r="U49" s="494"/>
      <c r="V49" s="443"/>
      <c r="W49" s="445"/>
      <c r="X49" s="447"/>
      <c r="Y49" s="450"/>
      <c r="Z49" s="453"/>
      <c r="AA49" s="453"/>
      <c r="AB49" s="456"/>
      <c r="AC49" s="456"/>
      <c r="AD49" s="439"/>
      <c r="AE49" s="459"/>
      <c r="AF49" s="462"/>
      <c r="AG49" s="464"/>
    </row>
    <row r="50" spans="2:33" ht="13.7" customHeight="1">
      <c r="B50" s="467"/>
      <c r="C50" s="470"/>
      <c r="D50" s="472"/>
      <c r="E50" s="475"/>
      <c r="F50" s="478"/>
      <c r="G50" s="481"/>
      <c r="H50" s="208"/>
      <c r="I50" s="481"/>
      <c r="J50" s="102"/>
      <c r="K50" s="456"/>
      <c r="L50" s="456"/>
      <c r="M50" s="484"/>
      <c r="N50" s="439"/>
      <c r="O50" s="487"/>
      <c r="P50" s="490"/>
      <c r="Q50" s="492"/>
      <c r="R50" s="492"/>
      <c r="S50" s="441"/>
      <c r="T50" s="441"/>
      <c r="U50" s="494"/>
      <c r="V50" s="443"/>
      <c r="W50" s="445"/>
      <c r="X50" s="447"/>
      <c r="Y50" s="450"/>
      <c r="Z50" s="453"/>
      <c r="AA50" s="453"/>
      <c r="AB50" s="456"/>
      <c r="AC50" s="456"/>
      <c r="AD50" s="439"/>
      <c r="AE50" s="459"/>
      <c r="AF50" s="462"/>
      <c r="AG50" s="464"/>
    </row>
    <row r="51" spans="2:33" ht="13.5" customHeight="1" thickBot="1">
      <c r="B51" s="468"/>
      <c r="C51" s="471"/>
      <c r="D51" s="473"/>
      <c r="E51" s="476"/>
      <c r="F51" s="479"/>
      <c r="G51" s="482"/>
      <c r="H51" s="209"/>
      <c r="I51" s="482"/>
      <c r="J51" s="209"/>
      <c r="K51" s="457"/>
      <c r="L51" s="457"/>
      <c r="M51" s="485"/>
      <c r="N51" s="440"/>
      <c r="O51" s="488"/>
      <c r="P51" s="491"/>
      <c r="Q51" s="493"/>
      <c r="R51" s="493"/>
      <c r="S51" s="442"/>
      <c r="T51" s="442"/>
      <c r="U51" s="495"/>
      <c r="V51" s="444"/>
      <c r="W51" s="446"/>
      <c r="X51" s="448"/>
      <c r="Y51" s="451"/>
      <c r="Z51" s="454"/>
      <c r="AA51" s="454"/>
      <c r="AB51" s="457"/>
      <c r="AC51" s="457"/>
      <c r="AD51" s="440"/>
      <c r="AE51" s="460"/>
      <c r="AF51" s="463"/>
      <c r="AG51" s="465"/>
    </row>
    <row r="52" spans="2:33" ht="13.7" customHeight="1">
      <c r="B52" s="466">
        <f t="shared" ref="B52" si="1">B46+1</f>
        <v>8</v>
      </c>
      <c r="C52" s="469"/>
      <c r="D52" s="469"/>
      <c r="E52" s="474" t="s">
        <v>281</v>
      </c>
      <c r="F52" s="477"/>
      <c r="G52" s="480">
        <f>ROW(H57)-ROW($H52)+1-COUNTBLANK($H52:$H57)</f>
        <v>0</v>
      </c>
      <c r="H52" s="208"/>
      <c r="I52" s="480">
        <f>ROW(J57)-ROW($J52)+1-COUNTBLANK($J52:$J57)</f>
        <v>0</v>
      </c>
      <c r="J52" s="207"/>
      <c r="K52" s="455" t="str">
        <f>CONCATENATE(F52,L52,E52)</f>
        <v>FALSOI</v>
      </c>
      <c r="L52" s="455" t="b">
        <f>IF(ISBLANK(I52),"",IF(OR(F52="EE",F52="EEC"),IF(I52&gt;=3,IF(G52&gt;=5,"H","A"),IF(I52&gt;=2,IF(G52&gt;=16,"H",IF(G52&lt;=4,"L","A")),IF(G52&lt;=15,"L","A"))),IF(OR(F52="SE",F52="CE",F52="CEC",F52="SEC"),IF(I52&gt;=4,IF(G52&gt;=6,"H","A"),IF(I52&gt;=2,IF(G52&gt;=20,"H",IF(G52&lt;=5,"L","A")),IF(G52&lt;=19,"L","A"))),IF(OR(F52="ALI",F52="AIE"),IF(I52&gt;=6,IF(G52&gt;=20,"H","A"),IF(I52&gt;=2,IF(G52&gt;=51,"H",IF(G52&lt;=19,"L","A")),IF(G52&lt;=50,"L","A")))))))</f>
        <v>0</v>
      </c>
      <c r="M52" s="483" t="str">
        <f>IF(F52="","",IF(L52="L","Baixa",IF(L52="A","Média",IF(L52="","","Alta"))))</f>
        <v/>
      </c>
      <c r="N52" s="438" t="str">
        <f>IF(F52="","",IF(ISBLANK(I52),"",IF(F52="ALI",IF(L52="L",7,IF(L52="A",10,15)),IF(F52="AIE",IF(L52="L",5,IF(L52="A",7,10)),IF(OR(F52="SE",F52="SEC"),IF(L52="L",4,IF(L52="A",5,7)),IF(OR(F52="EE",F52="EEC",F52="CE",F52="CEC"),IF(L52="L",3,IF(L52="A",4,6))))))))</f>
        <v/>
      </c>
      <c r="O52" s="486"/>
      <c r="P52" s="489"/>
      <c r="Q52" s="492"/>
      <c r="R52" s="492"/>
      <c r="S52" s="441" t="str">
        <f>CONCATENATE(P52,T52)</f>
        <v/>
      </c>
      <c r="T52" s="441" t="str">
        <f>IF(ISBLANK(R52),"",IF(OR(P52="EE",P52="EEC"),IF(R52&gt;=3,IF(Q52&gt;=5,"H","A"),IF(R52&gt;=2,IF(Q52&gt;=16,"H",IF(Q52&lt;=4,"L","A")),IF(Q52&lt;=15,"L","A"))),IF(OR(P52="SE",P52="CE",P52="CEC",P52="SEC"),IF(R52&gt;=4,IF(Q52&gt;=6,"H","A"),IF(R52&gt;=2,IF(Q52&gt;=20,"H",IF(Q52&lt;=5,"L","A")),IF(Q52&lt;=19,"L","A"))),IF(OR(P52="ALI",P52="AIE"),IF(R52&gt;=6,IF(Q52&gt;=20,"H","A"),IF(R52&gt;=2,IF(Q52&gt;=51,"H",IF(Q52&lt;=19,"L","A")),IF(Q52&lt;=50,"L","A")))))))</f>
        <v/>
      </c>
      <c r="U52" s="494" t="str">
        <f>IF(ISBLANK(R52),"",IF(P52="ALI",IF(T52="L",7,IF(T52="A",10,15)),IF(P52="AIE",IF(T52="L",5,IF(T52="A",7,10)),IF(OR(P52="SE",P52="SEC"),IF(T52="L",4,IF(T52="A",5,7)),IF(OR(P52="EE",P52="EEC",P52="CE",P52="CEC"),IF(T52="L",3,IF(T52="A",4,6)))))))</f>
        <v/>
      </c>
      <c r="V52" s="443"/>
      <c r="W52" s="445" t="str">
        <f>IF(V52="",U52,(U52*V52))</f>
        <v/>
      </c>
      <c r="X52" s="447"/>
      <c r="Y52" s="449"/>
      <c r="Z52" s="452"/>
      <c r="AA52" s="452"/>
      <c r="AB52" s="455" t="str">
        <f>CONCATENATE(Y52,AC52)</f>
        <v/>
      </c>
      <c r="AC52" s="455" t="str">
        <f>IF(ISBLANK(AA52),"",IF(OR(Y52="EE",Y52="EEC"),IF(AA52&gt;=3,IF(Z52&gt;=5,"H","A"),IF(AA52&gt;=2,IF(Z52&gt;=16,"H",IF(Z52&lt;=4,"L","A")),IF(Z52&lt;=15,"L","A"))),IF(OR(Y52="SE",Y52="CE",Y52="CEC",Y52="SEC"),IF(AA52&gt;=4,IF(Z52&gt;=6,"H","A"),IF(AA52&gt;=2,IF(Z52&gt;=20,"H",IF(Z52&lt;=5,"L","A")),IF(Z52&lt;=19,"L","A"))),IF(OR(Y52="ALI",Y52="AIE"),IF(AA52&gt;=6,IF(Z52&gt;=20,"H","A"),IF(AA52&gt;=2,IF(Z52&gt;=51,"H",IF(Z52&lt;=19,"L","A")),IF(Z52&lt;=50,"L","A")))))))</f>
        <v/>
      </c>
      <c r="AD52" s="438" t="str">
        <f>IF(ISBLANK(AA52),"",IF(Y52="ALI",IF(AC52="L",7,IF(AC52="A",10,15)),IF(Y52="AIE",IF(AC52="L",5,IF(AC52="A",7,10)),IF(OR(Y52="SE",Y52="SEC"),IF(AC52="L",4,IF(AC52="A",5,7)),IF(OR(Y52="EE",Y52="EEC",Y52="CE",Y52="CEC"),IF(AC52="L",3,IF(AC52="A",4,6)))))))</f>
        <v/>
      </c>
      <c r="AE52" s="458"/>
      <c r="AF52" s="461" t="str">
        <f>IF(AE52="",AD52,(AD52*AE52))</f>
        <v/>
      </c>
      <c r="AG52" s="464"/>
    </row>
    <row r="53" spans="2:33" ht="13.7" customHeight="1">
      <c r="B53" s="504"/>
      <c r="C53" s="505"/>
      <c r="D53" s="505"/>
      <c r="E53" s="475"/>
      <c r="F53" s="506"/>
      <c r="G53" s="507"/>
      <c r="H53" s="208"/>
      <c r="I53" s="507"/>
      <c r="J53" s="210"/>
      <c r="K53" s="499"/>
      <c r="L53" s="499"/>
      <c r="M53" s="484"/>
      <c r="N53" s="500"/>
      <c r="O53" s="414"/>
      <c r="P53" s="508"/>
      <c r="Q53" s="492"/>
      <c r="R53" s="492"/>
      <c r="S53" s="441"/>
      <c r="T53" s="441"/>
      <c r="U53" s="494"/>
      <c r="V53" s="443"/>
      <c r="W53" s="445"/>
      <c r="X53" s="447"/>
      <c r="Y53" s="510"/>
      <c r="Z53" s="509"/>
      <c r="AA53" s="509"/>
      <c r="AB53" s="499"/>
      <c r="AC53" s="499"/>
      <c r="AD53" s="500"/>
      <c r="AE53" s="459"/>
      <c r="AF53" s="462"/>
      <c r="AG53" s="464"/>
    </row>
    <row r="54" spans="2:33" ht="13.7" customHeight="1">
      <c r="B54" s="504"/>
      <c r="C54" s="505"/>
      <c r="D54" s="505"/>
      <c r="E54" s="475"/>
      <c r="F54" s="506"/>
      <c r="G54" s="507"/>
      <c r="H54" s="208"/>
      <c r="I54" s="507"/>
      <c r="J54" s="210"/>
      <c r="K54" s="499"/>
      <c r="L54" s="499"/>
      <c r="M54" s="484"/>
      <c r="N54" s="500"/>
      <c r="O54" s="414"/>
      <c r="P54" s="508"/>
      <c r="Q54" s="492"/>
      <c r="R54" s="492"/>
      <c r="S54" s="441"/>
      <c r="T54" s="441"/>
      <c r="U54" s="494"/>
      <c r="V54" s="443"/>
      <c r="W54" s="445"/>
      <c r="X54" s="447"/>
      <c r="Y54" s="510"/>
      <c r="Z54" s="509"/>
      <c r="AA54" s="509"/>
      <c r="AB54" s="499"/>
      <c r="AC54" s="499"/>
      <c r="AD54" s="500"/>
      <c r="AE54" s="459"/>
      <c r="AF54" s="462"/>
      <c r="AG54" s="464"/>
    </row>
    <row r="55" spans="2:33" ht="13.7" customHeight="1">
      <c r="B55" s="467"/>
      <c r="C55" s="470"/>
      <c r="D55" s="472"/>
      <c r="E55" s="475"/>
      <c r="F55" s="478"/>
      <c r="G55" s="481"/>
      <c r="H55" s="208"/>
      <c r="I55" s="481"/>
      <c r="J55" s="210"/>
      <c r="K55" s="456"/>
      <c r="L55" s="456"/>
      <c r="M55" s="484"/>
      <c r="N55" s="439"/>
      <c r="O55" s="487"/>
      <c r="P55" s="490"/>
      <c r="Q55" s="492"/>
      <c r="R55" s="492"/>
      <c r="S55" s="441"/>
      <c r="T55" s="441"/>
      <c r="U55" s="494"/>
      <c r="V55" s="443"/>
      <c r="W55" s="445"/>
      <c r="X55" s="447"/>
      <c r="Y55" s="450"/>
      <c r="Z55" s="453"/>
      <c r="AA55" s="453"/>
      <c r="AB55" s="456"/>
      <c r="AC55" s="456"/>
      <c r="AD55" s="439"/>
      <c r="AE55" s="459"/>
      <c r="AF55" s="462"/>
      <c r="AG55" s="464"/>
    </row>
    <row r="56" spans="2:33" ht="13.7" customHeight="1">
      <c r="B56" s="467"/>
      <c r="C56" s="470"/>
      <c r="D56" s="472"/>
      <c r="E56" s="475"/>
      <c r="F56" s="478"/>
      <c r="G56" s="481"/>
      <c r="H56" s="208"/>
      <c r="I56" s="481"/>
      <c r="J56" s="210"/>
      <c r="K56" s="456"/>
      <c r="L56" s="456"/>
      <c r="M56" s="484"/>
      <c r="N56" s="439"/>
      <c r="O56" s="487"/>
      <c r="P56" s="490"/>
      <c r="Q56" s="492"/>
      <c r="R56" s="492"/>
      <c r="S56" s="441"/>
      <c r="T56" s="441"/>
      <c r="U56" s="494"/>
      <c r="V56" s="443"/>
      <c r="W56" s="445"/>
      <c r="X56" s="447"/>
      <c r="Y56" s="450"/>
      <c r="Z56" s="453"/>
      <c r="AA56" s="453"/>
      <c r="AB56" s="456"/>
      <c r="AC56" s="456"/>
      <c r="AD56" s="439"/>
      <c r="AE56" s="459"/>
      <c r="AF56" s="462"/>
      <c r="AG56" s="464"/>
    </row>
    <row r="57" spans="2:33" ht="13.7" customHeight="1" thickBot="1">
      <c r="B57" s="468"/>
      <c r="C57" s="471"/>
      <c r="D57" s="473"/>
      <c r="E57" s="476"/>
      <c r="F57" s="479"/>
      <c r="G57" s="482"/>
      <c r="H57" s="209"/>
      <c r="I57" s="482"/>
      <c r="J57" s="103"/>
      <c r="K57" s="457"/>
      <c r="L57" s="457"/>
      <c r="M57" s="485"/>
      <c r="N57" s="440"/>
      <c r="O57" s="488"/>
      <c r="P57" s="491"/>
      <c r="Q57" s="493"/>
      <c r="R57" s="493"/>
      <c r="S57" s="442"/>
      <c r="T57" s="442"/>
      <c r="U57" s="495"/>
      <c r="V57" s="444"/>
      <c r="W57" s="446"/>
      <c r="X57" s="448"/>
      <c r="Y57" s="451"/>
      <c r="Z57" s="454"/>
      <c r="AA57" s="454"/>
      <c r="AB57" s="457"/>
      <c r="AC57" s="457"/>
      <c r="AD57" s="440"/>
      <c r="AE57" s="460"/>
      <c r="AF57" s="463"/>
      <c r="AG57" s="465"/>
    </row>
    <row r="58" spans="2:33" ht="13.7" customHeight="1">
      <c r="B58" s="466">
        <f>B52+1</f>
        <v>9</v>
      </c>
      <c r="C58" s="469"/>
      <c r="D58" s="496"/>
      <c r="E58" s="474"/>
      <c r="F58" s="477"/>
      <c r="G58" s="480">
        <f>ROW(H62)-ROW($H58)+1-COUNTBLANK($H58:$H62)</f>
        <v>0</v>
      </c>
      <c r="H58" s="207"/>
      <c r="I58" s="480">
        <f>ROW(J62)-ROW($J58)+1-COUNTBLANK($J58:$J62)</f>
        <v>0</v>
      </c>
      <c r="J58" s="101"/>
      <c r="K58" s="455" t="str">
        <f>CONCATENATE(F58,L58,E58)</f>
        <v>FALSO</v>
      </c>
      <c r="L58" s="455" t="b">
        <f>IF(ISBLANK(I58),"",IF(OR(F58="EE",F58="EEC"),IF(I58&gt;=3,IF(G58&gt;=5,"H","A"),IF(I58&gt;=2,IF(G58&gt;=16,"H",IF(G58&lt;=4,"L","A")),IF(G58&lt;=15,"L","A"))),IF(OR(F58="SE",F58="CE",F58="CEC",F58="SEC"),IF(I58&gt;=4,IF(G58&gt;=6,"H","A"),IF(I58&gt;=2,IF(G58&gt;=20,"H",IF(G58&lt;=5,"L","A")),IF(G58&lt;=19,"L","A"))),IF(OR(F58="ALI",F58="AIE"),IF(I58&gt;=6,IF(G58&gt;=20,"H","A"),IF(I58&gt;=2,IF(G58&gt;=51,"H",IF(G58&lt;=19,"L","A")),IF(G58&lt;=50,"L","A")))))))</f>
        <v>0</v>
      </c>
      <c r="M58" s="483" t="str">
        <f>IF(F58="","",IF(L58="L","Baixa",IF(L58="A","Média",IF(L58="","","Alta"))))</f>
        <v/>
      </c>
      <c r="N58" s="438" t="str">
        <f>IF(F58="","",IF(ISBLANK(I58),"",IF(F58="ALI",IF(L58="L",7,IF(L58="A",10,15)),IF(F58="AIE",IF(L58="L",5,IF(L58="A",7,10)),IF(OR(F58="SE",F58="SEC"),IF(L58="L",4,IF(L58="A",5,7)),IF(OR(F58="EE",F58="EEC",F58="CE",F58="CEC"),IF(L58="L",3,IF(L58="A",4,6))))))))</f>
        <v/>
      </c>
      <c r="O58" s="501"/>
      <c r="P58" s="489"/>
      <c r="Q58" s="492"/>
      <c r="R58" s="492"/>
      <c r="S58" s="441" t="str">
        <f>CONCATENATE(P58,T58)</f>
        <v/>
      </c>
      <c r="T58" s="441" t="str">
        <f>IF(ISBLANK(R58),"",IF(OR(P58="EE",P58="EEC"),IF(R58&gt;=3,IF(Q58&gt;=5,"H","A"),IF(R58&gt;=2,IF(Q58&gt;=16,"H",IF(Q58&lt;=4,"L","A")),IF(Q58&lt;=15,"L","A"))),IF(OR(P58="SE",P58="CE",P58="CEC",P58="SEC"),IF(R58&gt;=4,IF(Q58&gt;=6,"H","A"),IF(R58&gt;=2,IF(Q58&gt;=20,"H",IF(Q58&lt;=5,"L","A")),IF(Q58&lt;=19,"L","A"))),IF(OR(P58="ALI",P58="AIE"),IF(R58&gt;=6,IF(Q58&gt;=20,"H","A"),IF(R58&gt;=2,IF(Q58&gt;=51,"H",IF(Q58&lt;=19,"L","A")),IF(Q58&lt;=50,"L","A")))))))</f>
        <v/>
      </c>
      <c r="U58" s="494" t="str">
        <f>IF(ISBLANK(R58),"",IF(P58="ALI",IF(T58="L",7,IF(T58="A",10,15)),IF(P58="AIE",IF(T58="L",5,IF(T58="A",7,10)),IF(OR(P58="SE",P58="SEC"),IF(T58="L",4,IF(T58="A",5,7)),IF(OR(P58="EE",P58="EEC",P58="CE",P58="CEC"),IF(T58="L",3,IF(T58="A",4,6)))))))</f>
        <v/>
      </c>
      <c r="V58" s="443"/>
      <c r="W58" s="445" t="str">
        <f>IF(V58="",U58,(U58*V58))</f>
        <v/>
      </c>
      <c r="X58" s="447"/>
      <c r="Y58" s="449"/>
      <c r="Z58" s="452"/>
      <c r="AA58" s="452"/>
      <c r="AB58" s="455" t="str">
        <f>CONCATENATE(Y58,AC58)</f>
        <v/>
      </c>
      <c r="AC58" s="455" t="str">
        <f>IF(ISBLANK(AA58),"",IF(OR(Y58="EE",Y58="EEC"),IF(AA58&gt;=3,IF(Z58&gt;=5,"H","A"),IF(AA58&gt;=2,IF(Z58&gt;=16,"H",IF(Z58&lt;=4,"L","A")),IF(Z58&lt;=15,"L","A"))),IF(OR(Y58="SE",Y58="CE",Y58="CEC",Y58="SEC"),IF(AA58&gt;=4,IF(Z58&gt;=6,"H","A"),IF(AA58&gt;=2,IF(Z58&gt;=20,"H",IF(Z58&lt;=5,"L","A")),IF(Z58&lt;=19,"L","A"))),IF(OR(Y58="ALI",Y58="AIE"),IF(AA58&gt;=6,IF(Z58&gt;=20,"H","A"),IF(AA58&gt;=2,IF(Z58&gt;=51,"H",IF(Z58&lt;=19,"L","A")),IF(Z58&lt;=50,"L","A")))))))</f>
        <v/>
      </c>
      <c r="AD58" s="438" t="str">
        <f>IF(ISBLANK(AA58),"",IF(Y58="ALI",IF(AC58="L",7,IF(AC58="A",10,15)),IF(Y58="AIE",IF(AC58="L",5,IF(AC58="A",7,10)),IF(OR(Y58="SE",Y58="SEC"),IF(AC58="L",4,IF(AC58="A",5,7)),IF(OR(Y58="EE",Y58="EEC",Y58="CE",Y58="CEC"),IF(AC58="L",3,IF(AC58="A",4,6)))))))</f>
        <v/>
      </c>
      <c r="AE58" s="458"/>
      <c r="AF58" s="461" t="str">
        <f>IF(AE58="",AD58,(AD58*AE58))</f>
        <v/>
      </c>
      <c r="AG58" s="464"/>
    </row>
    <row r="59" spans="2:33" ht="13.7" customHeight="1">
      <c r="B59" s="467"/>
      <c r="C59" s="470"/>
      <c r="D59" s="497"/>
      <c r="E59" s="475"/>
      <c r="F59" s="478"/>
      <c r="G59" s="481"/>
      <c r="H59" s="208"/>
      <c r="I59" s="481"/>
      <c r="J59" s="102"/>
      <c r="K59" s="456"/>
      <c r="L59" s="456"/>
      <c r="M59" s="484"/>
      <c r="N59" s="439"/>
      <c r="O59" s="502"/>
      <c r="P59" s="490"/>
      <c r="Q59" s="492"/>
      <c r="R59" s="492"/>
      <c r="S59" s="441"/>
      <c r="T59" s="441"/>
      <c r="U59" s="494"/>
      <c r="V59" s="443"/>
      <c r="W59" s="445"/>
      <c r="X59" s="447"/>
      <c r="Y59" s="450"/>
      <c r="Z59" s="453"/>
      <c r="AA59" s="453"/>
      <c r="AB59" s="456"/>
      <c r="AC59" s="456"/>
      <c r="AD59" s="439"/>
      <c r="AE59" s="459"/>
      <c r="AF59" s="462"/>
      <c r="AG59" s="464"/>
    </row>
    <row r="60" spans="2:33" ht="13.7" customHeight="1">
      <c r="B60" s="467"/>
      <c r="C60" s="470"/>
      <c r="D60" s="497"/>
      <c r="E60" s="475"/>
      <c r="F60" s="478"/>
      <c r="G60" s="481"/>
      <c r="H60" s="208"/>
      <c r="I60" s="481"/>
      <c r="J60" s="102"/>
      <c r="K60" s="456"/>
      <c r="L60" s="456"/>
      <c r="M60" s="484"/>
      <c r="N60" s="439"/>
      <c r="O60" s="502"/>
      <c r="P60" s="490"/>
      <c r="Q60" s="492"/>
      <c r="R60" s="492"/>
      <c r="S60" s="441"/>
      <c r="T60" s="441"/>
      <c r="U60" s="494"/>
      <c r="V60" s="443"/>
      <c r="W60" s="445"/>
      <c r="X60" s="447"/>
      <c r="Y60" s="450"/>
      <c r="Z60" s="453"/>
      <c r="AA60" s="453"/>
      <c r="AB60" s="456"/>
      <c r="AC60" s="456"/>
      <c r="AD60" s="439"/>
      <c r="AE60" s="459"/>
      <c r="AF60" s="462"/>
      <c r="AG60" s="464"/>
    </row>
    <row r="61" spans="2:33" ht="13.7" customHeight="1">
      <c r="B61" s="467"/>
      <c r="C61" s="470"/>
      <c r="D61" s="497"/>
      <c r="E61" s="475"/>
      <c r="F61" s="478"/>
      <c r="G61" s="481"/>
      <c r="H61" s="208"/>
      <c r="I61" s="481"/>
      <c r="J61" s="102"/>
      <c r="K61" s="456"/>
      <c r="L61" s="456"/>
      <c r="M61" s="484"/>
      <c r="N61" s="439"/>
      <c r="O61" s="502"/>
      <c r="P61" s="490"/>
      <c r="Q61" s="492"/>
      <c r="R61" s="492"/>
      <c r="S61" s="441"/>
      <c r="T61" s="441"/>
      <c r="U61" s="494"/>
      <c r="V61" s="443"/>
      <c r="W61" s="445"/>
      <c r="X61" s="447"/>
      <c r="Y61" s="450"/>
      <c r="Z61" s="453"/>
      <c r="AA61" s="453"/>
      <c r="AB61" s="456"/>
      <c r="AC61" s="456"/>
      <c r="AD61" s="439"/>
      <c r="AE61" s="459"/>
      <c r="AF61" s="462"/>
      <c r="AG61" s="464"/>
    </row>
    <row r="62" spans="2:33" ht="13.7" customHeight="1" thickBot="1">
      <c r="B62" s="468"/>
      <c r="C62" s="471"/>
      <c r="D62" s="498"/>
      <c r="E62" s="476"/>
      <c r="F62" s="479"/>
      <c r="G62" s="482"/>
      <c r="H62" s="209"/>
      <c r="I62" s="482"/>
      <c r="J62" s="103"/>
      <c r="K62" s="457"/>
      <c r="L62" s="457"/>
      <c r="M62" s="485"/>
      <c r="N62" s="440"/>
      <c r="O62" s="503"/>
      <c r="P62" s="491"/>
      <c r="Q62" s="493"/>
      <c r="R62" s="493"/>
      <c r="S62" s="442"/>
      <c r="T62" s="442"/>
      <c r="U62" s="495"/>
      <c r="V62" s="444"/>
      <c r="W62" s="446"/>
      <c r="X62" s="448"/>
      <c r="Y62" s="451"/>
      <c r="Z62" s="454"/>
      <c r="AA62" s="454"/>
      <c r="AB62" s="457"/>
      <c r="AC62" s="457"/>
      <c r="AD62" s="440"/>
      <c r="AE62" s="460"/>
      <c r="AF62" s="463"/>
      <c r="AG62" s="465"/>
    </row>
    <row r="63" spans="2:33" ht="13.7" customHeight="1">
      <c r="B63" s="466">
        <f>B58+1</f>
        <v>10</v>
      </c>
      <c r="C63" s="469"/>
      <c r="D63" s="496"/>
      <c r="E63" s="474"/>
      <c r="F63" s="477"/>
      <c r="G63" s="480">
        <f>ROW(H68)-ROW($H63)+1-COUNTBLANK($H63:$H68)</f>
        <v>0</v>
      </c>
      <c r="H63" s="208"/>
      <c r="I63" s="480">
        <f>ROW(J68)-ROW($J63)+1-COUNTBLANK($J63:$J68)</f>
        <v>0</v>
      </c>
      <c r="J63" s="207"/>
      <c r="K63" s="455" t="str">
        <f>CONCATENATE(F63,L63,E63)</f>
        <v>FALSO</v>
      </c>
      <c r="L63" s="455" t="b">
        <f>IF(ISBLANK(I63),"",IF(OR(F63="EE",F63="EEC"),IF(I63&gt;=3,IF(G63&gt;=5,"H","A"),IF(I63&gt;=2,IF(G63&gt;=16,"H",IF(G63&lt;=4,"L","A")),IF(G63&lt;=15,"L","A"))),IF(OR(F63="SE",F63="CE",F63="CEC",F63="SEC"),IF(I63&gt;=4,IF(G63&gt;=6,"H","A"),IF(I63&gt;=2,IF(G63&gt;=20,"H",IF(G63&lt;=5,"L","A")),IF(G63&lt;=19,"L","A"))),IF(OR(F63="ALI",F63="AIE"),IF(I63&gt;=6,IF(G63&gt;=20,"H","A"),IF(I63&gt;=2,IF(G63&gt;=51,"H",IF(G63&lt;=19,"L","A")),IF(G63&lt;=50,"L","A")))))))</f>
        <v>0</v>
      </c>
      <c r="M63" s="483" t="str">
        <f>IF(F63="","",IF(L63="L","Baixa",IF(L63="A","Média",IF(L63="","","Alta"))))</f>
        <v/>
      </c>
      <c r="N63" s="438" t="str">
        <f>IF(F63="","",IF(ISBLANK(I63),"",IF(F63="ALI",IF(L63="L",7,IF(L63="A",10,15)),IF(F63="AIE",IF(L63="L",5,IF(L63="A",7,10)),IF(OR(F63="SE",F63="SEC"),IF(L63="L",4,IF(L63="A",5,7)),IF(OR(F63="EE",F63="EEC",F63="CE",F63="CEC"),IF(L63="L",3,IF(L63="A",4,6))))))))</f>
        <v/>
      </c>
      <c r="O63" s="486"/>
      <c r="P63" s="489"/>
      <c r="Q63" s="492"/>
      <c r="R63" s="492"/>
      <c r="S63" s="441" t="str">
        <f>CONCATENATE(P63,T63)</f>
        <v/>
      </c>
      <c r="T63" s="441" t="str">
        <f>IF(ISBLANK(R63),"",IF(OR(P63="EE",P63="EEC"),IF(R63&gt;=3,IF(Q63&gt;=5,"H","A"),IF(R63&gt;=2,IF(Q63&gt;=16,"H",IF(Q63&lt;=4,"L","A")),IF(Q63&lt;=15,"L","A"))),IF(OR(P63="SE",P63="CE",P63="CEC",P63="SEC"),IF(R63&gt;=4,IF(Q63&gt;=6,"H","A"),IF(R63&gt;=2,IF(Q63&gt;=20,"H",IF(Q63&lt;=5,"L","A")),IF(Q63&lt;=19,"L","A"))),IF(OR(P63="ALI",P63="AIE"),IF(R63&gt;=6,IF(Q63&gt;=20,"H","A"),IF(R63&gt;=2,IF(Q63&gt;=51,"H",IF(Q63&lt;=19,"L","A")),IF(Q63&lt;=50,"L","A")))))))</f>
        <v/>
      </c>
      <c r="U63" s="494" t="str">
        <f>IF(ISBLANK(R63),"",IF(P63="ALI",IF(T63="L",7,IF(T63="A",10,15)),IF(P63="AIE",IF(T63="L",5,IF(T63="A",7,10)),IF(OR(P63="SE",P63="SEC"),IF(T63="L",4,IF(T63="A",5,7)),IF(OR(P63="EE",P63="EEC",P63="CE",P63="CEC"),IF(T63="L",3,IF(T63="A",4,6)))))))</f>
        <v/>
      </c>
      <c r="V63" s="443"/>
      <c r="W63" s="445" t="str">
        <f>IF(V63="",U63,(U63*V63))</f>
        <v/>
      </c>
      <c r="X63" s="447"/>
      <c r="Y63" s="449"/>
      <c r="Z63" s="452"/>
      <c r="AA63" s="452"/>
      <c r="AB63" s="455" t="str">
        <f>CONCATENATE(Y63,AC63)</f>
        <v/>
      </c>
      <c r="AC63" s="455" t="str">
        <f>IF(ISBLANK(AA63),"",IF(OR(Y63="EE",Y63="EEC"),IF(AA63&gt;=3,IF(Z63&gt;=5,"H","A"),IF(AA63&gt;=2,IF(Z63&gt;=16,"H",IF(Z63&lt;=4,"L","A")),IF(Z63&lt;=15,"L","A"))),IF(OR(Y63="SE",Y63="CE",Y63="CEC",Y63="SEC"),IF(AA63&gt;=4,IF(Z63&gt;=6,"H","A"),IF(AA63&gt;=2,IF(Z63&gt;=20,"H",IF(Z63&lt;=5,"L","A")),IF(Z63&lt;=19,"L","A"))),IF(OR(Y63="ALI",Y63="AIE"),IF(AA63&gt;=6,IF(Z63&gt;=20,"H","A"),IF(AA63&gt;=2,IF(Z63&gt;=51,"H",IF(Z63&lt;=19,"L","A")),IF(Z63&lt;=50,"L","A")))))))</f>
        <v/>
      </c>
      <c r="AD63" s="438" t="str">
        <f>IF(ISBLANK(AA63),"",IF(Y63="ALI",IF(AC63="L",7,IF(AC63="A",10,15)),IF(Y63="AIE",IF(AC63="L",5,IF(AC63="A",7,10)),IF(OR(Y63="SE",Y63="SEC"),IF(AC63="L",4,IF(AC63="A",5,7)),IF(OR(Y63="EE",Y63="EEC",Y63="CE",Y63="CEC"),IF(AC63="L",3,IF(AC63="A",4,6)))))))</f>
        <v/>
      </c>
      <c r="AE63" s="458"/>
      <c r="AF63" s="461" t="str">
        <f>IF(AE63="",AD63,(AD63*AE63))</f>
        <v/>
      </c>
      <c r="AG63" s="464"/>
    </row>
    <row r="64" spans="2:33" ht="13.7" customHeight="1">
      <c r="B64" s="467"/>
      <c r="C64" s="470"/>
      <c r="D64" s="497"/>
      <c r="E64" s="475"/>
      <c r="F64" s="478"/>
      <c r="G64" s="481"/>
      <c r="H64" s="208"/>
      <c r="I64" s="481"/>
      <c r="J64" s="210"/>
      <c r="K64" s="456"/>
      <c r="L64" s="456"/>
      <c r="M64" s="484"/>
      <c r="N64" s="439"/>
      <c r="O64" s="487"/>
      <c r="P64" s="490"/>
      <c r="Q64" s="492"/>
      <c r="R64" s="492"/>
      <c r="S64" s="441"/>
      <c r="T64" s="441"/>
      <c r="U64" s="494"/>
      <c r="V64" s="443"/>
      <c r="W64" s="445"/>
      <c r="X64" s="447"/>
      <c r="Y64" s="450"/>
      <c r="Z64" s="453"/>
      <c r="AA64" s="453"/>
      <c r="AB64" s="456"/>
      <c r="AC64" s="456"/>
      <c r="AD64" s="439"/>
      <c r="AE64" s="459"/>
      <c r="AF64" s="462"/>
      <c r="AG64" s="464"/>
    </row>
    <row r="65" spans="2:33" ht="13.7" customHeight="1">
      <c r="B65" s="467"/>
      <c r="C65" s="470"/>
      <c r="D65" s="497"/>
      <c r="E65" s="475"/>
      <c r="F65" s="478"/>
      <c r="G65" s="481"/>
      <c r="H65" s="208"/>
      <c r="I65" s="481"/>
      <c r="J65" s="210"/>
      <c r="K65" s="456"/>
      <c r="L65" s="456"/>
      <c r="M65" s="484"/>
      <c r="N65" s="439"/>
      <c r="O65" s="487"/>
      <c r="P65" s="490"/>
      <c r="Q65" s="492"/>
      <c r="R65" s="492"/>
      <c r="S65" s="441"/>
      <c r="T65" s="441"/>
      <c r="U65" s="494"/>
      <c r="V65" s="443"/>
      <c r="W65" s="445"/>
      <c r="X65" s="447"/>
      <c r="Y65" s="450"/>
      <c r="Z65" s="453"/>
      <c r="AA65" s="453"/>
      <c r="AB65" s="456"/>
      <c r="AC65" s="456"/>
      <c r="AD65" s="439"/>
      <c r="AE65" s="459"/>
      <c r="AF65" s="462"/>
      <c r="AG65" s="464"/>
    </row>
    <row r="66" spans="2:33" ht="13.7" customHeight="1">
      <c r="B66" s="467"/>
      <c r="C66" s="470"/>
      <c r="D66" s="497"/>
      <c r="E66" s="475"/>
      <c r="F66" s="478"/>
      <c r="G66" s="481"/>
      <c r="H66" s="208"/>
      <c r="I66" s="481"/>
      <c r="J66" s="210"/>
      <c r="K66" s="456"/>
      <c r="L66" s="456"/>
      <c r="M66" s="484"/>
      <c r="N66" s="439"/>
      <c r="O66" s="487"/>
      <c r="P66" s="490"/>
      <c r="Q66" s="492"/>
      <c r="R66" s="492"/>
      <c r="S66" s="441"/>
      <c r="T66" s="441"/>
      <c r="U66" s="494"/>
      <c r="V66" s="443"/>
      <c r="W66" s="445"/>
      <c r="X66" s="447"/>
      <c r="Y66" s="450"/>
      <c r="Z66" s="453"/>
      <c r="AA66" s="453"/>
      <c r="AB66" s="456"/>
      <c r="AC66" s="456"/>
      <c r="AD66" s="439"/>
      <c r="AE66" s="459"/>
      <c r="AF66" s="462"/>
      <c r="AG66" s="464"/>
    </row>
    <row r="67" spans="2:33" ht="13.7" customHeight="1">
      <c r="B67" s="467"/>
      <c r="C67" s="470"/>
      <c r="D67" s="497"/>
      <c r="E67" s="475"/>
      <c r="F67" s="478"/>
      <c r="G67" s="481"/>
      <c r="H67" s="208"/>
      <c r="I67" s="481"/>
      <c r="J67" s="102"/>
      <c r="K67" s="456"/>
      <c r="L67" s="456"/>
      <c r="M67" s="484"/>
      <c r="N67" s="439"/>
      <c r="O67" s="487"/>
      <c r="P67" s="490"/>
      <c r="Q67" s="492"/>
      <c r="R67" s="492"/>
      <c r="S67" s="441"/>
      <c r="T67" s="441"/>
      <c r="U67" s="494"/>
      <c r="V67" s="443"/>
      <c r="W67" s="445"/>
      <c r="X67" s="447"/>
      <c r="Y67" s="450"/>
      <c r="Z67" s="453"/>
      <c r="AA67" s="453"/>
      <c r="AB67" s="456"/>
      <c r="AC67" s="456"/>
      <c r="AD67" s="439"/>
      <c r="AE67" s="459"/>
      <c r="AF67" s="462"/>
      <c r="AG67" s="464"/>
    </row>
    <row r="68" spans="2:33" ht="13.7" customHeight="1" thickBot="1">
      <c r="B68" s="468"/>
      <c r="C68" s="471"/>
      <c r="D68" s="498"/>
      <c r="E68" s="476"/>
      <c r="F68" s="479"/>
      <c r="G68" s="482"/>
      <c r="H68" s="209"/>
      <c r="I68" s="482"/>
      <c r="J68" s="103"/>
      <c r="K68" s="457"/>
      <c r="L68" s="457"/>
      <c r="M68" s="485"/>
      <c r="N68" s="440"/>
      <c r="O68" s="488"/>
      <c r="P68" s="491"/>
      <c r="Q68" s="493"/>
      <c r="R68" s="493"/>
      <c r="S68" s="442"/>
      <c r="T68" s="442"/>
      <c r="U68" s="495"/>
      <c r="V68" s="444"/>
      <c r="W68" s="446"/>
      <c r="X68" s="448"/>
      <c r="Y68" s="451"/>
      <c r="Z68" s="454"/>
      <c r="AA68" s="454"/>
      <c r="AB68" s="457"/>
      <c r="AC68" s="457"/>
      <c r="AD68" s="440"/>
      <c r="AE68" s="460"/>
      <c r="AF68" s="463"/>
      <c r="AG68" s="465"/>
    </row>
    <row r="69" spans="2:33" ht="13.5" customHeight="1">
      <c r="B69" s="466">
        <f>B63+1</f>
        <v>11</v>
      </c>
      <c r="C69" s="469"/>
      <c r="D69" s="469"/>
      <c r="E69" s="474"/>
      <c r="F69" s="477"/>
      <c r="G69" s="480">
        <f>ROW(H74)-ROW($H69)+1-COUNTBLANK($H69:$H74)</f>
        <v>0</v>
      </c>
      <c r="H69" s="208"/>
      <c r="I69" s="480">
        <f>ROW(J74)-ROW($J69)+1-COUNTBLANK($J69:$J74)</f>
        <v>0</v>
      </c>
      <c r="J69" s="207"/>
      <c r="K69" s="455" t="str">
        <f>CONCATENATE(F69,L69,E69)</f>
        <v>FALSO</v>
      </c>
      <c r="L69" s="455" t="b">
        <f>IF(ISBLANK(I69),"",IF(OR(F69="EE",F69="EEC"),IF(I69&gt;=3,IF(G69&gt;=5,"H","A"),IF(I69&gt;=2,IF(G69&gt;=16,"H",IF(G69&lt;=4,"L","A")),IF(G69&lt;=15,"L","A"))),IF(OR(F69="SE",F69="CE",F69="CEC",F69="SEC"),IF(I69&gt;=4,IF(G69&gt;=6,"H","A"),IF(I69&gt;=2,IF(G69&gt;=20,"H",IF(G69&lt;=5,"L","A")),IF(G69&lt;=19,"L","A"))),IF(OR(F69="ALI",F69="AIE"),IF(I69&gt;=6,IF(G69&gt;=20,"H","A"),IF(I69&gt;=2,IF(G69&gt;=51,"H",IF(G69&lt;=19,"L","A")),IF(G69&lt;=50,"L","A")))))))</f>
        <v>0</v>
      </c>
      <c r="M69" s="483" t="str">
        <f>IF(F69="","",IF(L69="L","Baixa",IF(L69="A","Média",IF(L69="","","Alta"))))</f>
        <v/>
      </c>
      <c r="N69" s="438" t="str">
        <f>IF(F69="","",IF(ISBLANK(I69),"",IF(F69="ALI",IF(L69="L",7,IF(L69="A",10,15)),IF(F69="AIE",IF(L69="L",5,IF(L69="A",7,10)),IF(OR(F69="SE",F69="SEC"),IF(L69="L",4,IF(L69="A",5,7)),IF(OR(F69="EE",F69="EEC",F69="CE",F69="CEC"),IF(L69="L",3,IF(L69="A",4,6))))))))</f>
        <v/>
      </c>
      <c r="O69" s="486"/>
      <c r="P69" s="489"/>
      <c r="Q69" s="492"/>
      <c r="R69" s="492"/>
      <c r="S69" s="441" t="str">
        <f>CONCATENATE(P69,T69)</f>
        <v/>
      </c>
      <c r="T69" s="441" t="str">
        <f>IF(ISBLANK(R69),"",IF(OR(P69="EE",P69="EEC"),IF(R69&gt;=3,IF(Q69&gt;=5,"H","A"),IF(R69&gt;=2,IF(Q69&gt;=16,"H",IF(Q69&lt;=4,"L","A")),IF(Q69&lt;=15,"L","A"))),IF(OR(P69="SE",P69="CE",P69="CEC",P69="SEC"),IF(R69&gt;=4,IF(Q69&gt;=6,"H","A"),IF(R69&gt;=2,IF(Q69&gt;=20,"H",IF(Q69&lt;=5,"L","A")),IF(Q69&lt;=19,"L","A"))),IF(OR(P69="ALI",P69="AIE"),IF(R69&gt;=6,IF(Q69&gt;=20,"H","A"),IF(R69&gt;=2,IF(Q69&gt;=51,"H",IF(Q69&lt;=19,"L","A")),IF(Q69&lt;=50,"L","A")))))))</f>
        <v/>
      </c>
      <c r="U69" s="494" t="str">
        <f>IF(ISBLANK(R69),"",IF(P69="ALI",IF(T69="L",7,IF(T69="A",10,15)),IF(P69="AIE",IF(T69="L",5,IF(T69="A",7,10)),IF(OR(P69="SE",P69="SEC"),IF(T69="L",4,IF(T69="A",5,7)),IF(OR(P69="EE",P69="EEC",P69="CE",P69="CEC"),IF(T69="L",3,IF(T69="A",4,6)))))))</f>
        <v/>
      </c>
      <c r="V69" s="443"/>
      <c r="W69" s="445" t="str">
        <f>IF(V69="",U69,(U69*V69))</f>
        <v/>
      </c>
      <c r="X69" s="447"/>
      <c r="Y69" s="449"/>
      <c r="Z69" s="452"/>
      <c r="AA69" s="452"/>
      <c r="AB69" s="455" t="str">
        <f>CONCATENATE(Y69,AC69)</f>
        <v/>
      </c>
      <c r="AC69" s="455" t="str">
        <f>IF(ISBLANK(AA69),"",IF(OR(Y69="EE",Y69="EEC"),IF(AA69&gt;=3,IF(Z69&gt;=5,"H","A"),IF(AA69&gt;=2,IF(Z69&gt;=16,"H",IF(Z69&lt;=4,"L","A")),IF(Z69&lt;=15,"L","A"))),IF(OR(Y69="SE",Y69="CE",Y69="CEC",Y69="SEC"),IF(AA69&gt;=4,IF(Z69&gt;=6,"H","A"),IF(AA69&gt;=2,IF(Z69&gt;=20,"H",IF(Z69&lt;=5,"L","A")),IF(Z69&lt;=19,"L","A"))),IF(OR(Y69="ALI",Y69="AIE"),IF(AA69&gt;=6,IF(Z69&gt;=20,"H","A"),IF(AA69&gt;=2,IF(Z69&gt;=51,"H",IF(Z69&lt;=19,"L","A")),IF(Z69&lt;=50,"L","A")))))))</f>
        <v/>
      </c>
      <c r="AD69" s="438" t="str">
        <f>IF(ISBLANK(AA69),"",IF(Y69="ALI",IF(AC69="L",7,IF(AC69="A",10,15)),IF(Y69="AIE",IF(AC69="L",5,IF(AC69="A",7,10)),IF(OR(Y69="SE",Y69="SEC"),IF(AC69="L",4,IF(AC69="A",5,7)),IF(OR(Y69="EE",Y69="EEC",Y69="CE",Y69="CEC"),IF(AC69="L",3,IF(AC69="A",4,6)))))))</f>
        <v/>
      </c>
      <c r="AE69" s="458"/>
      <c r="AF69" s="461" t="str">
        <f>IF(AE69="",AD69,(AD69*AE69))</f>
        <v/>
      </c>
      <c r="AG69" s="464"/>
    </row>
    <row r="70" spans="2:33" ht="13.7" customHeight="1">
      <c r="B70" s="467"/>
      <c r="C70" s="470"/>
      <c r="D70" s="472"/>
      <c r="E70" s="475"/>
      <c r="F70" s="478"/>
      <c r="G70" s="481"/>
      <c r="H70" s="208"/>
      <c r="I70" s="481"/>
      <c r="J70" s="210"/>
      <c r="K70" s="456"/>
      <c r="L70" s="456"/>
      <c r="M70" s="484"/>
      <c r="N70" s="439"/>
      <c r="O70" s="487"/>
      <c r="P70" s="490"/>
      <c r="Q70" s="492"/>
      <c r="R70" s="492"/>
      <c r="S70" s="441"/>
      <c r="T70" s="441"/>
      <c r="U70" s="494"/>
      <c r="V70" s="443"/>
      <c r="W70" s="445"/>
      <c r="X70" s="447"/>
      <c r="Y70" s="450"/>
      <c r="Z70" s="453"/>
      <c r="AA70" s="453"/>
      <c r="AB70" s="456"/>
      <c r="AC70" s="456"/>
      <c r="AD70" s="439"/>
      <c r="AE70" s="459"/>
      <c r="AF70" s="462"/>
      <c r="AG70" s="464"/>
    </row>
    <row r="71" spans="2:33" ht="13.7" customHeight="1">
      <c r="B71" s="467"/>
      <c r="C71" s="470"/>
      <c r="D71" s="472"/>
      <c r="E71" s="475"/>
      <c r="F71" s="478"/>
      <c r="G71" s="481"/>
      <c r="H71" s="208"/>
      <c r="I71" s="481"/>
      <c r="J71" s="210"/>
      <c r="K71" s="456"/>
      <c r="L71" s="456"/>
      <c r="M71" s="484"/>
      <c r="N71" s="439"/>
      <c r="O71" s="487"/>
      <c r="P71" s="490"/>
      <c r="Q71" s="492"/>
      <c r="R71" s="492"/>
      <c r="S71" s="441"/>
      <c r="T71" s="441"/>
      <c r="U71" s="494"/>
      <c r="V71" s="443"/>
      <c r="W71" s="445"/>
      <c r="X71" s="447"/>
      <c r="Y71" s="450"/>
      <c r="Z71" s="453"/>
      <c r="AA71" s="453"/>
      <c r="AB71" s="456"/>
      <c r="AC71" s="456"/>
      <c r="AD71" s="439"/>
      <c r="AE71" s="459"/>
      <c r="AF71" s="462"/>
      <c r="AG71" s="464"/>
    </row>
    <row r="72" spans="2:33" ht="13.7" customHeight="1">
      <c r="B72" s="467"/>
      <c r="C72" s="470"/>
      <c r="D72" s="472"/>
      <c r="E72" s="475"/>
      <c r="F72" s="478"/>
      <c r="G72" s="481"/>
      <c r="H72" s="208"/>
      <c r="I72" s="481"/>
      <c r="J72" s="102"/>
      <c r="K72" s="456"/>
      <c r="L72" s="456"/>
      <c r="M72" s="484"/>
      <c r="N72" s="439"/>
      <c r="O72" s="487"/>
      <c r="P72" s="490"/>
      <c r="Q72" s="492"/>
      <c r="R72" s="492"/>
      <c r="S72" s="441"/>
      <c r="T72" s="441"/>
      <c r="U72" s="494"/>
      <c r="V72" s="443"/>
      <c r="W72" s="445"/>
      <c r="X72" s="447"/>
      <c r="Y72" s="450"/>
      <c r="Z72" s="453"/>
      <c r="AA72" s="453"/>
      <c r="AB72" s="456"/>
      <c r="AC72" s="456"/>
      <c r="AD72" s="439"/>
      <c r="AE72" s="459"/>
      <c r="AF72" s="462"/>
      <c r="AG72" s="464"/>
    </row>
    <row r="73" spans="2:33" ht="13.7" customHeight="1">
      <c r="B73" s="467"/>
      <c r="C73" s="470"/>
      <c r="D73" s="472"/>
      <c r="E73" s="475"/>
      <c r="F73" s="478"/>
      <c r="G73" s="481"/>
      <c r="H73" s="208"/>
      <c r="I73" s="481"/>
      <c r="J73" s="102"/>
      <c r="K73" s="456"/>
      <c r="L73" s="456"/>
      <c r="M73" s="484"/>
      <c r="N73" s="439"/>
      <c r="O73" s="487"/>
      <c r="P73" s="490"/>
      <c r="Q73" s="492"/>
      <c r="R73" s="492"/>
      <c r="S73" s="441"/>
      <c r="T73" s="441"/>
      <c r="U73" s="494"/>
      <c r="V73" s="443"/>
      <c r="W73" s="445"/>
      <c r="X73" s="447"/>
      <c r="Y73" s="450"/>
      <c r="Z73" s="453"/>
      <c r="AA73" s="453"/>
      <c r="AB73" s="456"/>
      <c r="AC73" s="456"/>
      <c r="AD73" s="439"/>
      <c r="AE73" s="459"/>
      <c r="AF73" s="462"/>
      <c r="AG73" s="464"/>
    </row>
    <row r="74" spans="2:33" ht="13.5" customHeight="1" thickBot="1">
      <c r="B74" s="468"/>
      <c r="C74" s="471"/>
      <c r="D74" s="473"/>
      <c r="E74" s="476"/>
      <c r="F74" s="479"/>
      <c r="G74" s="482"/>
      <c r="H74" s="209"/>
      <c r="I74" s="482"/>
      <c r="J74" s="209"/>
      <c r="K74" s="457"/>
      <c r="L74" s="457"/>
      <c r="M74" s="485"/>
      <c r="N74" s="440"/>
      <c r="O74" s="488"/>
      <c r="P74" s="491"/>
      <c r="Q74" s="493"/>
      <c r="R74" s="493"/>
      <c r="S74" s="442"/>
      <c r="T74" s="442"/>
      <c r="U74" s="495"/>
      <c r="V74" s="444"/>
      <c r="W74" s="446"/>
      <c r="X74" s="448"/>
      <c r="Y74" s="451"/>
      <c r="Z74" s="454"/>
      <c r="AA74" s="454"/>
      <c r="AB74" s="457"/>
      <c r="AC74" s="457"/>
      <c r="AD74" s="440"/>
      <c r="AE74" s="460"/>
      <c r="AF74" s="463"/>
      <c r="AG74" s="465"/>
    </row>
    <row r="75" spans="2:33" ht="13.5" customHeight="1">
      <c r="B75" s="466">
        <f>B69+1</f>
        <v>12</v>
      </c>
      <c r="C75" s="469"/>
      <c r="D75" s="469"/>
      <c r="E75" s="474"/>
      <c r="F75" s="477"/>
      <c r="G75" s="480">
        <f>ROW(H80)-ROW($H75)+1-COUNTBLANK($H75:$H80)</f>
        <v>0</v>
      </c>
      <c r="H75" s="208"/>
      <c r="I75" s="480">
        <f>ROW(J80)-ROW($J75)+1-COUNTBLANK($J75:$J80)</f>
        <v>0</v>
      </c>
      <c r="J75" s="207"/>
      <c r="K75" s="455" t="str">
        <f>CONCATENATE(F75,L75,E75)</f>
        <v>FALSO</v>
      </c>
      <c r="L75" s="455" t="b">
        <f>IF(ISBLANK(I75),"",IF(OR(F75="EE",F75="EEC"),IF(I75&gt;=3,IF(G75&gt;=5,"H","A"),IF(I75&gt;=2,IF(G75&gt;=16,"H",IF(G75&lt;=4,"L","A")),IF(G75&lt;=15,"L","A"))),IF(OR(F75="SE",F75="CE",F75="CEC",F75="SEC"),IF(I75&gt;=4,IF(G75&gt;=6,"H","A"),IF(I75&gt;=2,IF(G75&gt;=20,"H",IF(G75&lt;=5,"L","A")),IF(G75&lt;=19,"L","A"))),IF(OR(F75="ALI",F75="AIE"),IF(I75&gt;=6,IF(G75&gt;=20,"H","A"),IF(I75&gt;=2,IF(G75&gt;=51,"H",IF(G75&lt;=19,"L","A")),IF(G75&lt;=50,"L","A")))))))</f>
        <v>0</v>
      </c>
      <c r="M75" s="483" t="str">
        <f>IF(F75="","",IF(L75="L","Baixa",IF(L75="A","Média",IF(L75="","","Alta"))))</f>
        <v/>
      </c>
      <c r="N75" s="438" t="str">
        <f>IF(F75="","",IF(ISBLANK(I75),"",IF(F75="ALI",IF(L75="L",7,IF(L75="A",10,15)),IF(F75="AIE",IF(L75="L",5,IF(L75="A",7,10)),IF(OR(F75="SE",F75="SEC"),IF(L75="L",4,IF(L75="A",5,7)),IF(OR(F75="EE",F75="EEC",F75="CE",F75="CEC"),IF(L75="L",3,IF(L75="A",4,6))))))))</f>
        <v/>
      </c>
      <c r="O75" s="486"/>
      <c r="P75" s="489"/>
      <c r="Q75" s="492"/>
      <c r="R75" s="492"/>
      <c r="S75" s="441" t="str">
        <f>CONCATENATE(P75,T75)</f>
        <v/>
      </c>
      <c r="T75" s="441" t="str">
        <f>IF(ISBLANK(R75),"",IF(OR(P75="EE",P75="EEC"),IF(R75&gt;=3,IF(Q75&gt;=5,"H","A"),IF(R75&gt;=2,IF(Q75&gt;=16,"H",IF(Q75&lt;=4,"L","A")),IF(Q75&lt;=15,"L","A"))),IF(OR(P75="SE",P75="CE",P75="CEC",P75="SEC"),IF(R75&gt;=4,IF(Q75&gt;=6,"H","A"),IF(R75&gt;=2,IF(Q75&gt;=20,"H",IF(Q75&lt;=5,"L","A")),IF(Q75&lt;=19,"L","A"))),IF(OR(P75="ALI",P75="AIE"),IF(R75&gt;=6,IF(Q75&gt;=20,"H","A"),IF(R75&gt;=2,IF(Q75&gt;=51,"H",IF(Q75&lt;=19,"L","A")),IF(Q75&lt;=50,"L","A")))))))</f>
        <v/>
      </c>
      <c r="U75" s="494" t="str">
        <f>IF(ISBLANK(R75),"",IF(P75="ALI",IF(T75="L",7,IF(T75="A",10,15)),IF(P75="AIE",IF(T75="L",5,IF(T75="A",7,10)),IF(OR(P75="SE",P75="SEC"),IF(T75="L",4,IF(T75="A",5,7)),IF(OR(P75="EE",P75="EEC",P75="CE",P75="CEC"),IF(T75="L",3,IF(T75="A",4,6)))))))</f>
        <v/>
      </c>
      <c r="V75" s="443"/>
      <c r="W75" s="445" t="str">
        <f>IF(V75="",U75,(U75*V75))</f>
        <v/>
      </c>
      <c r="X75" s="447"/>
      <c r="Y75" s="449"/>
      <c r="Z75" s="452"/>
      <c r="AA75" s="452"/>
      <c r="AB75" s="455" t="str">
        <f>CONCATENATE(Y75,AC75)</f>
        <v/>
      </c>
      <c r="AC75" s="455" t="str">
        <f>IF(ISBLANK(AA75),"",IF(OR(Y75="EE",Y75="EEC"),IF(AA75&gt;=3,IF(Z75&gt;=5,"H","A"),IF(AA75&gt;=2,IF(Z75&gt;=16,"H",IF(Z75&lt;=4,"L","A")),IF(Z75&lt;=15,"L","A"))),IF(OR(Y75="SE",Y75="CE",Y75="CEC",Y75="SEC"),IF(AA75&gt;=4,IF(Z75&gt;=6,"H","A"),IF(AA75&gt;=2,IF(Z75&gt;=20,"H",IF(Z75&lt;=5,"L","A")),IF(Z75&lt;=19,"L","A"))),IF(OR(Y75="ALI",Y75="AIE"),IF(AA75&gt;=6,IF(Z75&gt;=20,"H","A"),IF(AA75&gt;=2,IF(Z75&gt;=51,"H",IF(Z75&lt;=19,"L","A")),IF(Z75&lt;=50,"L","A")))))))</f>
        <v/>
      </c>
      <c r="AD75" s="438" t="str">
        <f>IF(ISBLANK(AA75),"",IF(Y75="ALI",IF(AC75="L",7,IF(AC75="A",10,15)),IF(Y75="AIE",IF(AC75="L",5,IF(AC75="A",7,10)),IF(OR(Y75="SE",Y75="SEC"),IF(AC75="L",4,IF(AC75="A",5,7)),IF(OR(Y75="EE",Y75="EEC",Y75="CE",Y75="CEC"),IF(AC75="L",3,IF(AC75="A",4,6)))))))</f>
        <v/>
      </c>
      <c r="AE75" s="458"/>
      <c r="AF75" s="461" t="str">
        <f>IF(AE75="",AD75,(AD75*AE75))</f>
        <v/>
      </c>
      <c r="AG75" s="464"/>
    </row>
    <row r="76" spans="2:33" ht="13.7" customHeight="1">
      <c r="B76" s="467"/>
      <c r="C76" s="470"/>
      <c r="D76" s="472"/>
      <c r="E76" s="475"/>
      <c r="F76" s="478"/>
      <c r="G76" s="481"/>
      <c r="H76" s="208"/>
      <c r="I76" s="481"/>
      <c r="J76" s="210"/>
      <c r="K76" s="456"/>
      <c r="L76" s="456"/>
      <c r="M76" s="484"/>
      <c r="N76" s="439"/>
      <c r="O76" s="487"/>
      <c r="P76" s="490"/>
      <c r="Q76" s="492"/>
      <c r="R76" s="492"/>
      <c r="S76" s="441"/>
      <c r="T76" s="441"/>
      <c r="U76" s="494"/>
      <c r="V76" s="443"/>
      <c r="W76" s="445"/>
      <c r="X76" s="447"/>
      <c r="Y76" s="450"/>
      <c r="Z76" s="453"/>
      <c r="AA76" s="453"/>
      <c r="AB76" s="456"/>
      <c r="AC76" s="456"/>
      <c r="AD76" s="439"/>
      <c r="AE76" s="459"/>
      <c r="AF76" s="462"/>
      <c r="AG76" s="464"/>
    </row>
    <row r="77" spans="2:33" ht="13.7" customHeight="1">
      <c r="B77" s="467"/>
      <c r="C77" s="470"/>
      <c r="D77" s="472"/>
      <c r="E77" s="475"/>
      <c r="F77" s="478"/>
      <c r="G77" s="481"/>
      <c r="H77" s="208"/>
      <c r="I77" s="481"/>
      <c r="J77" s="210"/>
      <c r="K77" s="456"/>
      <c r="L77" s="456"/>
      <c r="M77" s="484"/>
      <c r="N77" s="439"/>
      <c r="O77" s="487"/>
      <c r="P77" s="490"/>
      <c r="Q77" s="492"/>
      <c r="R77" s="492"/>
      <c r="S77" s="441"/>
      <c r="T77" s="441"/>
      <c r="U77" s="494"/>
      <c r="V77" s="443"/>
      <c r="W77" s="445"/>
      <c r="X77" s="447"/>
      <c r="Y77" s="450"/>
      <c r="Z77" s="453"/>
      <c r="AA77" s="453"/>
      <c r="AB77" s="456"/>
      <c r="AC77" s="456"/>
      <c r="AD77" s="439"/>
      <c r="AE77" s="459"/>
      <c r="AF77" s="462"/>
      <c r="AG77" s="464"/>
    </row>
    <row r="78" spans="2:33" ht="13.7" customHeight="1">
      <c r="B78" s="467"/>
      <c r="C78" s="470"/>
      <c r="D78" s="472"/>
      <c r="E78" s="475"/>
      <c r="F78" s="478"/>
      <c r="G78" s="481"/>
      <c r="H78" s="208"/>
      <c r="I78" s="481"/>
      <c r="J78" s="102"/>
      <c r="K78" s="456"/>
      <c r="L78" s="456"/>
      <c r="M78" s="484"/>
      <c r="N78" s="439"/>
      <c r="O78" s="487"/>
      <c r="P78" s="490"/>
      <c r="Q78" s="492"/>
      <c r="R78" s="492"/>
      <c r="S78" s="441"/>
      <c r="T78" s="441"/>
      <c r="U78" s="494"/>
      <c r="V78" s="443"/>
      <c r="W78" s="445"/>
      <c r="X78" s="447"/>
      <c r="Y78" s="450"/>
      <c r="Z78" s="453"/>
      <c r="AA78" s="453"/>
      <c r="AB78" s="456"/>
      <c r="AC78" s="456"/>
      <c r="AD78" s="439"/>
      <c r="AE78" s="459"/>
      <c r="AF78" s="462"/>
      <c r="AG78" s="464"/>
    </row>
    <row r="79" spans="2:33" ht="13.7" customHeight="1">
      <c r="B79" s="467"/>
      <c r="C79" s="470"/>
      <c r="D79" s="472"/>
      <c r="E79" s="475"/>
      <c r="F79" s="478"/>
      <c r="G79" s="481"/>
      <c r="H79" s="208"/>
      <c r="I79" s="481"/>
      <c r="J79" s="102"/>
      <c r="K79" s="456"/>
      <c r="L79" s="456"/>
      <c r="M79" s="484"/>
      <c r="N79" s="439"/>
      <c r="O79" s="487"/>
      <c r="P79" s="490"/>
      <c r="Q79" s="492"/>
      <c r="R79" s="492"/>
      <c r="S79" s="441"/>
      <c r="T79" s="441"/>
      <c r="U79" s="494"/>
      <c r="V79" s="443"/>
      <c r="W79" s="445"/>
      <c r="X79" s="447"/>
      <c r="Y79" s="450"/>
      <c r="Z79" s="453"/>
      <c r="AA79" s="453"/>
      <c r="AB79" s="456"/>
      <c r="AC79" s="456"/>
      <c r="AD79" s="439"/>
      <c r="AE79" s="459"/>
      <c r="AF79" s="462"/>
      <c r="AG79" s="464"/>
    </row>
    <row r="80" spans="2:33" ht="13.5" customHeight="1" thickBot="1">
      <c r="B80" s="468"/>
      <c r="C80" s="471"/>
      <c r="D80" s="473"/>
      <c r="E80" s="476"/>
      <c r="F80" s="479"/>
      <c r="G80" s="482"/>
      <c r="H80" s="209"/>
      <c r="I80" s="482"/>
      <c r="J80" s="209"/>
      <c r="K80" s="457"/>
      <c r="L80" s="457"/>
      <c r="M80" s="485"/>
      <c r="N80" s="440"/>
      <c r="O80" s="488"/>
      <c r="P80" s="491"/>
      <c r="Q80" s="493"/>
      <c r="R80" s="493"/>
      <c r="S80" s="442"/>
      <c r="T80" s="442"/>
      <c r="U80" s="495"/>
      <c r="V80" s="444"/>
      <c r="W80" s="446"/>
      <c r="X80" s="448"/>
      <c r="Y80" s="451"/>
      <c r="Z80" s="454"/>
      <c r="AA80" s="454"/>
      <c r="AB80" s="457"/>
      <c r="AC80" s="457"/>
      <c r="AD80" s="440"/>
      <c r="AE80" s="460"/>
      <c r="AF80" s="463"/>
      <c r="AG80" s="465"/>
    </row>
    <row r="81" spans="2:33" ht="13.7" customHeight="1">
      <c r="B81" s="466">
        <f t="shared" ref="B81" si="2">B75+1</f>
        <v>13</v>
      </c>
      <c r="C81" s="469"/>
      <c r="D81" s="469"/>
      <c r="E81" s="474"/>
      <c r="F81" s="477"/>
      <c r="G81" s="480">
        <f>ROW(H86)-ROW($H81)+1-COUNTBLANK($H81:$H86)</f>
        <v>0</v>
      </c>
      <c r="H81" s="208"/>
      <c r="I81" s="480">
        <f>ROW(J86)-ROW($J81)+1-COUNTBLANK($J81:$J86)</f>
        <v>0</v>
      </c>
      <c r="J81" s="207"/>
      <c r="K81" s="455" t="str">
        <f>CONCATENATE(F81,L81,E81)</f>
        <v>FALSO</v>
      </c>
      <c r="L81" s="455" t="b">
        <f>IF(ISBLANK(I81),"",IF(OR(F81="EE",F81="EEC"),IF(I81&gt;=3,IF(G81&gt;=5,"H","A"),IF(I81&gt;=2,IF(G81&gt;=16,"H",IF(G81&lt;=4,"L","A")),IF(G81&lt;=15,"L","A"))),IF(OR(F81="SE",F81="CE",F81="CEC",F81="SEC"),IF(I81&gt;=4,IF(G81&gt;=6,"H","A"),IF(I81&gt;=2,IF(G81&gt;=20,"H",IF(G81&lt;=5,"L","A")),IF(G81&lt;=19,"L","A"))),IF(OR(F81="ALI",F81="AIE"),IF(I81&gt;=6,IF(G81&gt;=20,"H","A"),IF(I81&gt;=2,IF(G81&gt;=51,"H",IF(G81&lt;=19,"L","A")),IF(G81&lt;=50,"L","A")))))))</f>
        <v>0</v>
      </c>
      <c r="M81" s="483" t="str">
        <f>IF(F81="","",IF(L81="L","Baixa",IF(L81="A","Média",IF(L81="","","Alta"))))</f>
        <v/>
      </c>
      <c r="N81" s="438" t="str">
        <f>IF(F81="","",IF(ISBLANK(I81),"",IF(F81="ALI",IF(L81="L",7,IF(L81="A",10,15)),IF(F81="AIE",IF(L81="L",5,IF(L81="A",7,10)),IF(OR(F81="SE",F81="SEC"),IF(L81="L",4,IF(L81="A",5,7)),IF(OR(F81="EE",F81="EEC",F81="CE",F81="CEC"),IF(L81="L",3,IF(L81="A",4,6))))))))</f>
        <v/>
      </c>
      <c r="O81" s="486"/>
      <c r="P81" s="489"/>
      <c r="Q81" s="492"/>
      <c r="R81" s="492"/>
      <c r="S81" s="441" t="str">
        <f>CONCATENATE(P81,T81)</f>
        <v/>
      </c>
      <c r="T81" s="441" t="str">
        <f>IF(ISBLANK(R81),"",IF(OR(P81="EE",P81="EEC"),IF(R81&gt;=3,IF(Q81&gt;=5,"H","A"),IF(R81&gt;=2,IF(Q81&gt;=16,"H",IF(Q81&lt;=4,"L","A")),IF(Q81&lt;=15,"L","A"))),IF(OR(P81="SE",P81="CE",P81="CEC",P81="SEC"),IF(R81&gt;=4,IF(Q81&gt;=6,"H","A"),IF(R81&gt;=2,IF(Q81&gt;=20,"H",IF(Q81&lt;=5,"L","A")),IF(Q81&lt;=19,"L","A"))),IF(OR(P81="ALI",P81="AIE"),IF(R81&gt;=6,IF(Q81&gt;=20,"H","A"),IF(R81&gt;=2,IF(Q81&gt;=51,"H",IF(Q81&lt;=19,"L","A")),IF(Q81&lt;=50,"L","A")))))))</f>
        <v/>
      </c>
      <c r="U81" s="494" t="str">
        <f>IF(ISBLANK(R81),"",IF(P81="ALI",IF(T81="L",7,IF(T81="A",10,15)),IF(P81="AIE",IF(T81="L",5,IF(T81="A",7,10)),IF(OR(P81="SE",P81="SEC"),IF(T81="L",4,IF(T81="A",5,7)),IF(OR(P81="EE",P81="EEC",P81="CE",P81="CEC"),IF(T81="L",3,IF(T81="A",4,6)))))))</f>
        <v/>
      </c>
      <c r="V81" s="443"/>
      <c r="W81" s="445" t="str">
        <f>IF(V81="",U81,(U81*V81))</f>
        <v/>
      </c>
      <c r="X81" s="447"/>
      <c r="Y81" s="449"/>
      <c r="Z81" s="452"/>
      <c r="AA81" s="452"/>
      <c r="AB81" s="455" t="str">
        <f>CONCATENATE(Y81,AC81)</f>
        <v/>
      </c>
      <c r="AC81" s="455" t="str">
        <f>IF(ISBLANK(AA81),"",IF(OR(Y81="EE",Y81="EEC"),IF(AA81&gt;=3,IF(Z81&gt;=5,"H","A"),IF(AA81&gt;=2,IF(Z81&gt;=16,"H",IF(Z81&lt;=4,"L","A")),IF(Z81&lt;=15,"L","A"))),IF(OR(Y81="SE",Y81="CE",Y81="CEC",Y81="SEC"),IF(AA81&gt;=4,IF(Z81&gt;=6,"H","A"),IF(AA81&gt;=2,IF(Z81&gt;=20,"H",IF(Z81&lt;=5,"L","A")),IF(Z81&lt;=19,"L","A"))),IF(OR(Y81="ALI",Y81="AIE"),IF(AA81&gt;=6,IF(Z81&gt;=20,"H","A"),IF(AA81&gt;=2,IF(Z81&gt;=51,"H",IF(Z81&lt;=19,"L","A")),IF(Z81&lt;=50,"L","A")))))))</f>
        <v/>
      </c>
      <c r="AD81" s="438" t="str">
        <f>IF(ISBLANK(AA81),"",IF(Y81="ALI",IF(AC81="L",7,IF(AC81="A",10,15)),IF(Y81="AIE",IF(AC81="L",5,IF(AC81="A",7,10)),IF(OR(Y81="SE",Y81="SEC"),IF(AC81="L",4,IF(AC81="A",5,7)),IF(OR(Y81="EE",Y81="EEC",Y81="CE",Y81="CEC"),IF(AC81="L",3,IF(AC81="A",4,6)))))))</f>
        <v/>
      </c>
      <c r="AE81" s="458"/>
      <c r="AF81" s="461" t="str">
        <f>IF(AE81="",AD81,(AD81*AE81))</f>
        <v/>
      </c>
      <c r="AG81" s="464"/>
    </row>
    <row r="82" spans="2:33" ht="13.7" customHeight="1">
      <c r="B82" s="504"/>
      <c r="C82" s="505"/>
      <c r="D82" s="505"/>
      <c r="E82" s="475"/>
      <c r="F82" s="506"/>
      <c r="G82" s="507"/>
      <c r="H82" s="208"/>
      <c r="I82" s="507"/>
      <c r="J82" s="210"/>
      <c r="K82" s="499"/>
      <c r="L82" s="499"/>
      <c r="M82" s="484"/>
      <c r="N82" s="500"/>
      <c r="O82" s="414"/>
      <c r="P82" s="508"/>
      <c r="Q82" s="492"/>
      <c r="R82" s="492"/>
      <c r="S82" s="441"/>
      <c r="T82" s="441"/>
      <c r="U82" s="494"/>
      <c r="V82" s="443"/>
      <c r="W82" s="445"/>
      <c r="X82" s="447"/>
      <c r="Y82" s="510"/>
      <c r="Z82" s="509"/>
      <c r="AA82" s="509"/>
      <c r="AB82" s="499"/>
      <c r="AC82" s="499"/>
      <c r="AD82" s="500"/>
      <c r="AE82" s="459"/>
      <c r="AF82" s="462"/>
      <c r="AG82" s="464"/>
    </row>
    <row r="83" spans="2:33" ht="13.7" customHeight="1">
      <c r="B83" s="504"/>
      <c r="C83" s="505"/>
      <c r="D83" s="505"/>
      <c r="E83" s="475"/>
      <c r="F83" s="506"/>
      <c r="G83" s="507"/>
      <c r="H83" s="208"/>
      <c r="I83" s="507"/>
      <c r="J83" s="210"/>
      <c r="K83" s="499"/>
      <c r="L83" s="499"/>
      <c r="M83" s="484"/>
      <c r="N83" s="500"/>
      <c r="O83" s="414"/>
      <c r="P83" s="508"/>
      <c r="Q83" s="492"/>
      <c r="R83" s="492"/>
      <c r="S83" s="441"/>
      <c r="T83" s="441"/>
      <c r="U83" s="494"/>
      <c r="V83" s="443"/>
      <c r="W83" s="445"/>
      <c r="X83" s="447"/>
      <c r="Y83" s="510"/>
      <c r="Z83" s="509"/>
      <c r="AA83" s="509"/>
      <c r="AB83" s="499"/>
      <c r="AC83" s="499"/>
      <c r="AD83" s="500"/>
      <c r="AE83" s="459"/>
      <c r="AF83" s="462"/>
      <c r="AG83" s="464"/>
    </row>
    <row r="84" spans="2:33" ht="13.7" customHeight="1">
      <c r="B84" s="467"/>
      <c r="C84" s="470"/>
      <c r="D84" s="472"/>
      <c r="E84" s="475"/>
      <c r="F84" s="478"/>
      <c r="G84" s="481"/>
      <c r="H84" s="208"/>
      <c r="I84" s="481"/>
      <c r="J84" s="210"/>
      <c r="K84" s="456"/>
      <c r="L84" s="456"/>
      <c r="M84" s="484"/>
      <c r="N84" s="439"/>
      <c r="O84" s="487"/>
      <c r="P84" s="490"/>
      <c r="Q84" s="492"/>
      <c r="R84" s="492"/>
      <c r="S84" s="441"/>
      <c r="T84" s="441"/>
      <c r="U84" s="494"/>
      <c r="V84" s="443"/>
      <c r="W84" s="445"/>
      <c r="X84" s="447"/>
      <c r="Y84" s="450"/>
      <c r="Z84" s="453"/>
      <c r="AA84" s="453"/>
      <c r="AB84" s="456"/>
      <c r="AC84" s="456"/>
      <c r="AD84" s="439"/>
      <c r="AE84" s="459"/>
      <c r="AF84" s="462"/>
      <c r="AG84" s="464"/>
    </row>
    <row r="85" spans="2:33" ht="13.7" customHeight="1">
      <c r="B85" s="467"/>
      <c r="C85" s="470"/>
      <c r="D85" s="472"/>
      <c r="E85" s="475"/>
      <c r="F85" s="478"/>
      <c r="G85" s="481"/>
      <c r="H85" s="208"/>
      <c r="I85" s="481"/>
      <c r="J85" s="210"/>
      <c r="K85" s="456"/>
      <c r="L85" s="456"/>
      <c r="M85" s="484"/>
      <c r="N85" s="439"/>
      <c r="O85" s="487"/>
      <c r="P85" s="490"/>
      <c r="Q85" s="492"/>
      <c r="R85" s="492"/>
      <c r="S85" s="441"/>
      <c r="T85" s="441"/>
      <c r="U85" s="494"/>
      <c r="V85" s="443"/>
      <c r="W85" s="445"/>
      <c r="X85" s="447"/>
      <c r="Y85" s="450"/>
      <c r="Z85" s="453"/>
      <c r="AA85" s="453"/>
      <c r="AB85" s="456"/>
      <c r="AC85" s="456"/>
      <c r="AD85" s="439"/>
      <c r="AE85" s="459"/>
      <c r="AF85" s="462"/>
      <c r="AG85" s="464"/>
    </row>
    <row r="86" spans="2:33" ht="13.7" customHeight="1" thickBot="1">
      <c r="B86" s="468"/>
      <c r="C86" s="471"/>
      <c r="D86" s="473"/>
      <c r="E86" s="476"/>
      <c r="F86" s="479"/>
      <c r="G86" s="482"/>
      <c r="H86" s="209"/>
      <c r="I86" s="482"/>
      <c r="J86" s="103"/>
      <c r="K86" s="457"/>
      <c r="L86" s="457"/>
      <c r="M86" s="485"/>
      <c r="N86" s="440"/>
      <c r="O86" s="488"/>
      <c r="P86" s="491"/>
      <c r="Q86" s="493"/>
      <c r="R86" s="493"/>
      <c r="S86" s="442"/>
      <c r="T86" s="442"/>
      <c r="U86" s="495"/>
      <c r="V86" s="444"/>
      <c r="W86" s="446"/>
      <c r="X86" s="448"/>
      <c r="Y86" s="451"/>
      <c r="Z86" s="454"/>
      <c r="AA86" s="454"/>
      <c r="AB86" s="457"/>
      <c r="AC86" s="457"/>
      <c r="AD86" s="440"/>
      <c r="AE86" s="460"/>
      <c r="AF86" s="463"/>
      <c r="AG86" s="465"/>
    </row>
    <row r="87" spans="2:33" ht="13.7" customHeight="1">
      <c r="B87" s="466">
        <f>B81+1</f>
        <v>14</v>
      </c>
      <c r="C87" s="469"/>
      <c r="D87" s="496"/>
      <c r="E87" s="474"/>
      <c r="F87" s="477"/>
      <c r="G87" s="480">
        <f>ROW(H91)-ROW($H87)+1-COUNTBLANK($H87:$H91)</f>
        <v>0</v>
      </c>
      <c r="H87" s="207"/>
      <c r="I87" s="480">
        <f>ROW(J91)-ROW($J87)+1-COUNTBLANK($J87:$J91)</f>
        <v>0</v>
      </c>
      <c r="J87" s="101"/>
      <c r="K87" s="455" t="str">
        <f>CONCATENATE(F87,L87,E87)</f>
        <v>FALSO</v>
      </c>
      <c r="L87" s="455" t="b">
        <f>IF(ISBLANK(I87),"",IF(OR(F87="EE",F87="EEC"),IF(I87&gt;=3,IF(G87&gt;=5,"H","A"),IF(I87&gt;=2,IF(G87&gt;=16,"H",IF(G87&lt;=4,"L","A")),IF(G87&lt;=15,"L","A"))),IF(OR(F87="SE",F87="CE",F87="CEC",F87="SEC"),IF(I87&gt;=4,IF(G87&gt;=6,"H","A"),IF(I87&gt;=2,IF(G87&gt;=20,"H",IF(G87&lt;=5,"L","A")),IF(G87&lt;=19,"L","A"))),IF(OR(F87="ALI",F87="AIE"),IF(I87&gt;=6,IF(G87&gt;=20,"H","A"),IF(I87&gt;=2,IF(G87&gt;=51,"H",IF(G87&lt;=19,"L","A")),IF(G87&lt;=50,"L","A")))))))</f>
        <v>0</v>
      </c>
      <c r="M87" s="483" t="str">
        <f>IF(F87="","",IF(L87="L","Baixa",IF(L87="A","Média",IF(L87="","","Alta"))))</f>
        <v/>
      </c>
      <c r="N87" s="438" t="str">
        <f>IF(F87="","",IF(ISBLANK(I87),"",IF(F87="ALI",IF(L87="L",7,IF(L87="A",10,15)),IF(F87="AIE",IF(L87="L",5,IF(L87="A",7,10)),IF(OR(F87="SE",F87="SEC"),IF(L87="L",4,IF(L87="A",5,7)),IF(OR(F87="EE",F87="EEC",F87="CE",F87="CEC"),IF(L87="L",3,IF(L87="A",4,6))))))))</f>
        <v/>
      </c>
      <c r="O87" s="501"/>
      <c r="P87" s="489"/>
      <c r="Q87" s="492"/>
      <c r="R87" s="492"/>
      <c r="S87" s="441" t="str">
        <f>CONCATENATE(P87,T87)</f>
        <v/>
      </c>
      <c r="T87" s="441" t="str">
        <f>IF(ISBLANK(R87),"",IF(OR(P87="EE",P87="EEC"),IF(R87&gt;=3,IF(Q87&gt;=5,"H","A"),IF(R87&gt;=2,IF(Q87&gt;=16,"H",IF(Q87&lt;=4,"L","A")),IF(Q87&lt;=15,"L","A"))),IF(OR(P87="SE",P87="CE",P87="CEC",P87="SEC"),IF(R87&gt;=4,IF(Q87&gt;=6,"H","A"),IF(R87&gt;=2,IF(Q87&gt;=20,"H",IF(Q87&lt;=5,"L","A")),IF(Q87&lt;=19,"L","A"))),IF(OR(P87="ALI",P87="AIE"),IF(R87&gt;=6,IF(Q87&gt;=20,"H","A"),IF(R87&gt;=2,IF(Q87&gt;=51,"H",IF(Q87&lt;=19,"L","A")),IF(Q87&lt;=50,"L","A")))))))</f>
        <v/>
      </c>
      <c r="U87" s="494" t="str">
        <f>IF(ISBLANK(R87),"",IF(P87="ALI",IF(T87="L",7,IF(T87="A",10,15)),IF(P87="AIE",IF(T87="L",5,IF(T87="A",7,10)),IF(OR(P87="SE",P87="SEC"),IF(T87="L",4,IF(T87="A",5,7)),IF(OR(P87="EE",P87="EEC",P87="CE",P87="CEC"),IF(T87="L",3,IF(T87="A",4,6)))))))</f>
        <v/>
      </c>
      <c r="V87" s="443"/>
      <c r="W87" s="445" t="str">
        <f>IF(V87="",U87,(U87*V87))</f>
        <v/>
      </c>
      <c r="X87" s="447"/>
      <c r="Y87" s="449"/>
      <c r="Z87" s="452"/>
      <c r="AA87" s="452"/>
      <c r="AB87" s="455" t="str">
        <f>CONCATENATE(Y87,AC87)</f>
        <v/>
      </c>
      <c r="AC87" s="455" t="str">
        <f>IF(ISBLANK(AA87),"",IF(OR(Y87="EE",Y87="EEC"),IF(AA87&gt;=3,IF(Z87&gt;=5,"H","A"),IF(AA87&gt;=2,IF(Z87&gt;=16,"H",IF(Z87&lt;=4,"L","A")),IF(Z87&lt;=15,"L","A"))),IF(OR(Y87="SE",Y87="CE",Y87="CEC",Y87="SEC"),IF(AA87&gt;=4,IF(Z87&gt;=6,"H","A"),IF(AA87&gt;=2,IF(Z87&gt;=20,"H",IF(Z87&lt;=5,"L","A")),IF(Z87&lt;=19,"L","A"))),IF(OR(Y87="ALI",Y87="AIE"),IF(AA87&gt;=6,IF(Z87&gt;=20,"H","A"),IF(AA87&gt;=2,IF(Z87&gt;=51,"H",IF(Z87&lt;=19,"L","A")),IF(Z87&lt;=50,"L","A")))))))</f>
        <v/>
      </c>
      <c r="AD87" s="438" t="str">
        <f>IF(ISBLANK(AA87),"",IF(Y87="ALI",IF(AC87="L",7,IF(AC87="A",10,15)),IF(Y87="AIE",IF(AC87="L",5,IF(AC87="A",7,10)),IF(OR(Y87="SE",Y87="SEC"),IF(AC87="L",4,IF(AC87="A",5,7)),IF(OR(Y87="EE",Y87="EEC",Y87="CE",Y87="CEC"),IF(AC87="L",3,IF(AC87="A",4,6)))))))</f>
        <v/>
      </c>
      <c r="AE87" s="458"/>
      <c r="AF87" s="461" t="str">
        <f>IF(AE87="",AD87,(AD87*AE87))</f>
        <v/>
      </c>
      <c r="AG87" s="464"/>
    </row>
    <row r="88" spans="2:33" ht="13.7" customHeight="1">
      <c r="B88" s="467"/>
      <c r="C88" s="470"/>
      <c r="D88" s="497"/>
      <c r="E88" s="475"/>
      <c r="F88" s="478"/>
      <c r="G88" s="481"/>
      <c r="H88" s="208"/>
      <c r="I88" s="481"/>
      <c r="J88" s="102"/>
      <c r="K88" s="456"/>
      <c r="L88" s="456"/>
      <c r="M88" s="484"/>
      <c r="N88" s="439"/>
      <c r="O88" s="502"/>
      <c r="P88" s="490"/>
      <c r="Q88" s="492"/>
      <c r="R88" s="492"/>
      <c r="S88" s="441"/>
      <c r="T88" s="441"/>
      <c r="U88" s="494"/>
      <c r="V88" s="443"/>
      <c r="W88" s="445"/>
      <c r="X88" s="447"/>
      <c r="Y88" s="450"/>
      <c r="Z88" s="453"/>
      <c r="AA88" s="453"/>
      <c r="AB88" s="456"/>
      <c r="AC88" s="456"/>
      <c r="AD88" s="439"/>
      <c r="AE88" s="459"/>
      <c r="AF88" s="462"/>
      <c r="AG88" s="464"/>
    </row>
    <row r="89" spans="2:33" ht="13.7" customHeight="1">
      <c r="B89" s="467"/>
      <c r="C89" s="470"/>
      <c r="D89" s="497"/>
      <c r="E89" s="475"/>
      <c r="F89" s="478"/>
      <c r="G89" s="481"/>
      <c r="H89" s="208"/>
      <c r="I89" s="481"/>
      <c r="J89" s="102"/>
      <c r="K89" s="456"/>
      <c r="L89" s="456"/>
      <c r="M89" s="484"/>
      <c r="N89" s="439"/>
      <c r="O89" s="502"/>
      <c r="P89" s="490"/>
      <c r="Q89" s="492"/>
      <c r="R89" s="492"/>
      <c r="S89" s="441"/>
      <c r="T89" s="441"/>
      <c r="U89" s="494"/>
      <c r="V89" s="443"/>
      <c r="W89" s="445"/>
      <c r="X89" s="447"/>
      <c r="Y89" s="450"/>
      <c r="Z89" s="453"/>
      <c r="AA89" s="453"/>
      <c r="AB89" s="456"/>
      <c r="AC89" s="456"/>
      <c r="AD89" s="439"/>
      <c r="AE89" s="459"/>
      <c r="AF89" s="462"/>
      <c r="AG89" s="464"/>
    </row>
    <row r="90" spans="2:33" ht="13.7" customHeight="1">
      <c r="B90" s="467"/>
      <c r="C90" s="470"/>
      <c r="D90" s="497"/>
      <c r="E90" s="475"/>
      <c r="F90" s="478"/>
      <c r="G90" s="481"/>
      <c r="H90" s="208"/>
      <c r="I90" s="481"/>
      <c r="J90" s="102"/>
      <c r="K90" s="456"/>
      <c r="L90" s="456"/>
      <c r="M90" s="484"/>
      <c r="N90" s="439"/>
      <c r="O90" s="502"/>
      <c r="P90" s="490"/>
      <c r="Q90" s="492"/>
      <c r="R90" s="492"/>
      <c r="S90" s="441"/>
      <c r="T90" s="441"/>
      <c r="U90" s="494"/>
      <c r="V90" s="443"/>
      <c r="W90" s="445"/>
      <c r="X90" s="447"/>
      <c r="Y90" s="450"/>
      <c r="Z90" s="453"/>
      <c r="AA90" s="453"/>
      <c r="AB90" s="456"/>
      <c r="AC90" s="456"/>
      <c r="AD90" s="439"/>
      <c r="AE90" s="459"/>
      <c r="AF90" s="462"/>
      <c r="AG90" s="464"/>
    </row>
    <row r="91" spans="2:33" ht="13.7" customHeight="1" thickBot="1">
      <c r="B91" s="468"/>
      <c r="C91" s="471"/>
      <c r="D91" s="498"/>
      <c r="E91" s="476"/>
      <c r="F91" s="479"/>
      <c r="G91" s="482"/>
      <c r="H91" s="209"/>
      <c r="I91" s="482"/>
      <c r="J91" s="103"/>
      <c r="K91" s="457"/>
      <c r="L91" s="457"/>
      <c r="M91" s="485"/>
      <c r="N91" s="440"/>
      <c r="O91" s="503"/>
      <c r="P91" s="491"/>
      <c r="Q91" s="493"/>
      <c r="R91" s="493"/>
      <c r="S91" s="442"/>
      <c r="T91" s="442"/>
      <c r="U91" s="495"/>
      <c r="V91" s="444"/>
      <c r="W91" s="446"/>
      <c r="X91" s="448"/>
      <c r="Y91" s="451"/>
      <c r="Z91" s="454"/>
      <c r="AA91" s="454"/>
      <c r="AB91" s="457"/>
      <c r="AC91" s="457"/>
      <c r="AD91" s="440"/>
      <c r="AE91" s="460"/>
      <c r="AF91" s="463"/>
      <c r="AG91" s="465"/>
    </row>
    <row r="92" spans="2:33" ht="13.7" customHeight="1">
      <c r="B92" s="466">
        <f>B87+1</f>
        <v>15</v>
      </c>
      <c r="C92" s="469"/>
      <c r="D92" s="496"/>
      <c r="E92" s="474"/>
      <c r="F92" s="477"/>
      <c r="G92" s="480">
        <f>ROW(H97)-ROW($H92)+1-COUNTBLANK($H92:$H97)</f>
        <v>0</v>
      </c>
      <c r="H92" s="208"/>
      <c r="I92" s="480">
        <f>ROW(J97)-ROW($J92)+1-COUNTBLANK($J92:$J97)</f>
        <v>0</v>
      </c>
      <c r="J92" s="207"/>
      <c r="K92" s="455" t="str">
        <f>CONCATENATE(F92,L92,E92)</f>
        <v>FALSO</v>
      </c>
      <c r="L92" s="455" t="b">
        <f>IF(ISBLANK(I92),"",IF(OR(F92="EE",F92="EEC"),IF(I92&gt;=3,IF(G92&gt;=5,"H","A"),IF(I92&gt;=2,IF(G92&gt;=16,"H",IF(G92&lt;=4,"L","A")),IF(G92&lt;=15,"L","A"))),IF(OR(F92="SE",F92="CE",F92="CEC",F92="SEC"),IF(I92&gt;=4,IF(G92&gt;=6,"H","A"),IF(I92&gt;=2,IF(G92&gt;=20,"H",IF(G92&lt;=5,"L","A")),IF(G92&lt;=19,"L","A"))),IF(OR(F92="ALI",F92="AIE"),IF(I92&gt;=6,IF(G92&gt;=20,"H","A"),IF(I92&gt;=2,IF(G92&gt;=51,"H",IF(G92&lt;=19,"L","A")),IF(G92&lt;=50,"L","A")))))))</f>
        <v>0</v>
      </c>
      <c r="M92" s="483" t="str">
        <f>IF(F92="","",IF(L92="L","Baixa",IF(L92="A","Média",IF(L92="","","Alta"))))</f>
        <v/>
      </c>
      <c r="N92" s="438" t="str">
        <f>IF(F92="","",IF(ISBLANK(I92),"",IF(F92="ALI",IF(L92="L",7,IF(L92="A",10,15)),IF(F92="AIE",IF(L92="L",5,IF(L92="A",7,10)),IF(OR(F92="SE",F92="SEC"),IF(L92="L",4,IF(L92="A",5,7)),IF(OR(F92="EE",F92="EEC",F92="CE",F92="CEC"),IF(L92="L",3,IF(L92="A",4,6))))))))</f>
        <v/>
      </c>
      <c r="O92" s="486"/>
      <c r="P92" s="489"/>
      <c r="Q92" s="492"/>
      <c r="R92" s="492"/>
      <c r="S92" s="441" t="str">
        <f>CONCATENATE(P92,T92)</f>
        <v/>
      </c>
      <c r="T92" s="441" t="str">
        <f>IF(ISBLANK(R92),"",IF(OR(P92="EE",P92="EEC"),IF(R92&gt;=3,IF(Q92&gt;=5,"H","A"),IF(R92&gt;=2,IF(Q92&gt;=16,"H",IF(Q92&lt;=4,"L","A")),IF(Q92&lt;=15,"L","A"))),IF(OR(P92="SE",P92="CE",P92="CEC",P92="SEC"),IF(R92&gt;=4,IF(Q92&gt;=6,"H","A"),IF(R92&gt;=2,IF(Q92&gt;=20,"H",IF(Q92&lt;=5,"L","A")),IF(Q92&lt;=19,"L","A"))),IF(OR(P92="ALI",P92="AIE"),IF(R92&gt;=6,IF(Q92&gt;=20,"H","A"),IF(R92&gt;=2,IF(Q92&gt;=51,"H",IF(Q92&lt;=19,"L","A")),IF(Q92&lt;=50,"L","A")))))))</f>
        <v/>
      </c>
      <c r="U92" s="494" t="str">
        <f>IF(ISBLANK(R92),"",IF(P92="ALI",IF(T92="L",7,IF(T92="A",10,15)),IF(P92="AIE",IF(T92="L",5,IF(T92="A",7,10)),IF(OR(P92="SE",P92="SEC"),IF(T92="L",4,IF(T92="A",5,7)),IF(OR(P92="EE",P92="EEC",P92="CE",P92="CEC"),IF(T92="L",3,IF(T92="A",4,6)))))))</f>
        <v/>
      </c>
      <c r="V92" s="443"/>
      <c r="W92" s="445" t="str">
        <f>IF(V92="",U92,(U92*V92))</f>
        <v/>
      </c>
      <c r="X92" s="447"/>
      <c r="Y92" s="449"/>
      <c r="Z92" s="452"/>
      <c r="AA92" s="452"/>
      <c r="AB92" s="455" t="str">
        <f>CONCATENATE(Y92,AC92)</f>
        <v/>
      </c>
      <c r="AC92" s="455" t="str">
        <f>IF(ISBLANK(AA92),"",IF(OR(Y92="EE",Y92="EEC"),IF(AA92&gt;=3,IF(Z92&gt;=5,"H","A"),IF(AA92&gt;=2,IF(Z92&gt;=16,"H",IF(Z92&lt;=4,"L","A")),IF(Z92&lt;=15,"L","A"))),IF(OR(Y92="SE",Y92="CE",Y92="CEC",Y92="SEC"),IF(AA92&gt;=4,IF(Z92&gt;=6,"H","A"),IF(AA92&gt;=2,IF(Z92&gt;=20,"H",IF(Z92&lt;=5,"L","A")),IF(Z92&lt;=19,"L","A"))),IF(OR(Y92="ALI",Y92="AIE"),IF(AA92&gt;=6,IF(Z92&gt;=20,"H","A"),IF(AA92&gt;=2,IF(Z92&gt;=51,"H",IF(Z92&lt;=19,"L","A")),IF(Z92&lt;=50,"L","A")))))))</f>
        <v/>
      </c>
      <c r="AD92" s="438" t="str">
        <f>IF(ISBLANK(AA92),"",IF(Y92="ALI",IF(AC92="L",7,IF(AC92="A",10,15)),IF(Y92="AIE",IF(AC92="L",5,IF(AC92="A",7,10)),IF(OR(Y92="SE",Y92="SEC"),IF(AC92="L",4,IF(AC92="A",5,7)),IF(OR(Y92="EE",Y92="EEC",Y92="CE",Y92="CEC"),IF(AC92="L",3,IF(AC92="A",4,6)))))))</f>
        <v/>
      </c>
      <c r="AE92" s="458"/>
      <c r="AF92" s="461" t="str">
        <f>IF(AE92="",AD92,(AD92*AE92))</f>
        <v/>
      </c>
      <c r="AG92" s="464"/>
    </row>
    <row r="93" spans="2:33" ht="13.7" customHeight="1">
      <c r="B93" s="467"/>
      <c r="C93" s="470"/>
      <c r="D93" s="497"/>
      <c r="E93" s="475"/>
      <c r="F93" s="478"/>
      <c r="G93" s="481"/>
      <c r="H93" s="208"/>
      <c r="I93" s="481"/>
      <c r="J93" s="210"/>
      <c r="K93" s="456"/>
      <c r="L93" s="456"/>
      <c r="M93" s="484"/>
      <c r="N93" s="439"/>
      <c r="O93" s="487"/>
      <c r="P93" s="490"/>
      <c r="Q93" s="492"/>
      <c r="R93" s="492"/>
      <c r="S93" s="441"/>
      <c r="T93" s="441"/>
      <c r="U93" s="494"/>
      <c r="V93" s="443"/>
      <c r="W93" s="445"/>
      <c r="X93" s="447"/>
      <c r="Y93" s="450"/>
      <c r="Z93" s="453"/>
      <c r="AA93" s="453"/>
      <c r="AB93" s="456"/>
      <c r="AC93" s="456"/>
      <c r="AD93" s="439"/>
      <c r="AE93" s="459"/>
      <c r="AF93" s="462"/>
      <c r="AG93" s="464"/>
    </row>
    <row r="94" spans="2:33" ht="13.7" customHeight="1">
      <c r="B94" s="467"/>
      <c r="C94" s="470"/>
      <c r="D94" s="497"/>
      <c r="E94" s="475"/>
      <c r="F94" s="478"/>
      <c r="G94" s="481"/>
      <c r="H94" s="208"/>
      <c r="I94" s="481"/>
      <c r="J94" s="210"/>
      <c r="K94" s="456"/>
      <c r="L94" s="456"/>
      <c r="M94" s="484"/>
      <c r="N94" s="439"/>
      <c r="O94" s="487"/>
      <c r="P94" s="490"/>
      <c r="Q94" s="492"/>
      <c r="R94" s="492"/>
      <c r="S94" s="441"/>
      <c r="T94" s="441"/>
      <c r="U94" s="494"/>
      <c r="V94" s="443"/>
      <c r="W94" s="445"/>
      <c r="X94" s="447"/>
      <c r="Y94" s="450"/>
      <c r="Z94" s="453"/>
      <c r="AA94" s="453"/>
      <c r="AB94" s="456"/>
      <c r="AC94" s="456"/>
      <c r="AD94" s="439"/>
      <c r="AE94" s="459"/>
      <c r="AF94" s="462"/>
      <c r="AG94" s="464"/>
    </row>
    <row r="95" spans="2:33" ht="13.7" customHeight="1">
      <c r="B95" s="467"/>
      <c r="C95" s="470"/>
      <c r="D95" s="497"/>
      <c r="E95" s="475"/>
      <c r="F95" s="478"/>
      <c r="G95" s="481"/>
      <c r="H95" s="208"/>
      <c r="I95" s="481"/>
      <c r="J95" s="210"/>
      <c r="K95" s="456"/>
      <c r="L95" s="456"/>
      <c r="M95" s="484"/>
      <c r="N95" s="439"/>
      <c r="O95" s="487"/>
      <c r="P95" s="490"/>
      <c r="Q95" s="492"/>
      <c r="R95" s="492"/>
      <c r="S95" s="441"/>
      <c r="T95" s="441"/>
      <c r="U95" s="494"/>
      <c r="V95" s="443"/>
      <c r="W95" s="445"/>
      <c r="X95" s="447"/>
      <c r="Y95" s="450"/>
      <c r="Z95" s="453"/>
      <c r="AA95" s="453"/>
      <c r="AB95" s="456"/>
      <c r="AC95" s="456"/>
      <c r="AD95" s="439"/>
      <c r="AE95" s="459"/>
      <c r="AF95" s="462"/>
      <c r="AG95" s="464"/>
    </row>
    <row r="96" spans="2:33" ht="13.7" customHeight="1">
      <c r="B96" s="467"/>
      <c r="C96" s="470"/>
      <c r="D96" s="497"/>
      <c r="E96" s="475"/>
      <c r="F96" s="478"/>
      <c r="G96" s="481"/>
      <c r="H96" s="208"/>
      <c r="I96" s="481"/>
      <c r="J96" s="102"/>
      <c r="K96" s="456"/>
      <c r="L96" s="456"/>
      <c r="M96" s="484"/>
      <c r="N96" s="439"/>
      <c r="O96" s="487"/>
      <c r="P96" s="490"/>
      <c r="Q96" s="492"/>
      <c r="R96" s="492"/>
      <c r="S96" s="441"/>
      <c r="T96" s="441"/>
      <c r="U96" s="494"/>
      <c r="V96" s="443"/>
      <c r="W96" s="445"/>
      <c r="X96" s="447"/>
      <c r="Y96" s="450"/>
      <c r="Z96" s="453"/>
      <c r="AA96" s="453"/>
      <c r="AB96" s="456"/>
      <c r="AC96" s="456"/>
      <c r="AD96" s="439"/>
      <c r="AE96" s="459"/>
      <c r="AF96" s="462"/>
      <c r="AG96" s="464"/>
    </row>
    <row r="97" spans="2:33" ht="13.7" customHeight="1" thickBot="1">
      <c r="B97" s="468"/>
      <c r="C97" s="471"/>
      <c r="D97" s="498"/>
      <c r="E97" s="476"/>
      <c r="F97" s="479"/>
      <c r="G97" s="482"/>
      <c r="H97" s="209"/>
      <c r="I97" s="482"/>
      <c r="J97" s="103"/>
      <c r="K97" s="457"/>
      <c r="L97" s="457"/>
      <c r="M97" s="485"/>
      <c r="N97" s="440"/>
      <c r="O97" s="488"/>
      <c r="P97" s="491"/>
      <c r="Q97" s="493"/>
      <c r="R97" s="493"/>
      <c r="S97" s="442"/>
      <c r="T97" s="442"/>
      <c r="U97" s="495"/>
      <c r="V97" s="444"/>
      <c r="W97" s="446"/>
      <c r="X97" s="448"/>
      <c r="Y97" s="451"/>
      <c r="Z97" s="454"/>
      <c r="AA97" s="454"/>
      <c r="AB97" s="457"/>
      <c r="AC97" s="457"/>
      <c r="AD97" s="440"/>
      <c r="AE97" s="460"/>
      <c r="AF97" s="463"/>
      <c r="AG97" s="465"/>
    </row>
    <row r="98" spans="2:33" ht="13.5" customHeight="1">
      <c r="B98" s="466">
        <f>B92+1</f>
        <v>16</v>
      </c>
      <c r="C98" s="469"/>
      <c r="D98" s="469"/>
      <c r="E98" s="474"/>
      <c r="F98" s="477"/>
      <c r="G98" s="480">
        <f>ROW(H103)-ROW($H98)+1-COUNTBLANK($H98:$H103)</f>
        <v>0</v>
      </c>
      <c r="H98" s="208"/>
      <c r="I98" s="480">
        <f>ROW(J103)-ROW($J98)+1-COUNTBLANK($J98:$J103)</f>
        <v>0</v>
      </c>
      <c r="J98" s="207"/>
      <c r="K98" s="455" t="str">
        <f>CONCATENATE(F98,L98,E98)</f>
        <v>FALSO</v>
      </c>
      <c r="L98" s="455" t="b">
        <f>IF(ISBLANK(I98),"",IF(OR(F98="EE",F98="EEC"),IF(I98&gt;=3,IF(G98&gt;=5,"H","A"),IF(I98&gt;=2,IF(G98&gt;=16,"H",IF(G98&lt;=4,"L","A")),IF(G98&lt;=15,"L","A"))),IF(OR(F98="SE",F98="CE",F98="CEC",F98="SEC"),IF(I98&gt;=4,IF(G98&gt;=6,"H","A"),IF(I98&gt;=2,IF(G98&gt;=20,"H",IF(G98&lt;=5,"L","A")),IF(G98&lt;=19,"L","A"))),IF(OR(F98="ALI",F98="AIE"),IF(I98&gt;=6,IF(G98&gt;=20,"H","A"),IF(I98&gt;=2,IF(G98&gt;=51,"H",IF(G98&lt;=19,"L","A")),IF(G98&lt;=50,"L","A")))))))</f>
        <v>0</v>
      </c>
      <c r="M98" s="483" t="str">
        <f>IF(F98="","",IF(L98="L","Baixa",IF(L98="A","Média",IF(L98="","","Alta"))))</f>
        <v/>
      </c>
      <c r="N98" s="438" t="str">
        <f>IF(F98="","",IF(ISBLANK(I98),"",IF(F98="ALI",IF(L98="L",7,IF(L98="A",10,15)),IF(F98="AIE",IF(L98="L",5,IF(L98="A",7,10)),IF(OR(F98="SE",F98="SEC"),IF(L98="L",4,IF(L98="A",5,7)),IF(OR(F98="EE",F98="EEC",F98="CE",F98="CEC"),IF(L98="L",3,IF(L98="A",4,6))))))))</f>
        <v/>
      </c>
      <c r="O98" s="486"/>
      <c r="P98" s="489"/>
      <c r="Q98" s="492"/>
      <c r="R98" s="492"/>
      <c r="S98" s="441" t="str">
        <f>CONCATENATE(P98,T98)</f>
        <v/>
      </c>
      <c r="T98" s="441" t="str">
        <f>IF(ISBLANK(R98),"",IF(OR(P98="EE",P98="EEC"),IF(R98&gt;=3,IF(Q98&gt;=5,"H","A"),IF(R98&gt;=2,IF(Q98&gt;=16,"H",IF(Q98&lt;=4,"L","A")),IF(Q98&lt;=15,"L","A"))),IF(OR(P98="SE",P98="CE",P98="CEC",P98="SEC"),IF(R98&gt;=4,IF(Q98&gt;=6,"H","A"),IF(R98&gt;=2,IF(Q98&gt;=20,"H",IF(Q98&lt;=5,"L","A")),IF(Q98&lt;=19,"L","A"))),IF(OR(P98="ALI",P98="AIE"),IF(R98&gt;=6,IF(Q98&gt;=20,"H","A"),IF(R98&gt;=2,IF(Q98&gt;=51,"H",IF(Q98&lt;=19,"L","A")),IF(Q98&lt;=50,"L","A")))))))</f>
        <v/>
      </c>
      <c r="U98" s="494" t="str">
        <f>IF(ISBLANK(R98),"",IF(P98="ALI",IF(T98="L",7,IF(T98="A",10,15)),IF(P98="AIE",IF(T98="L",5,IF(T98="A",7,10)),IF(OR(P98="SE",P98="SEC"),IF(T98="L",4,IF(T98="A",5,7)),IF(OR(P98="EE",P98="EEC",P98="CE",P98="CEC"),IF(T98="L",3,IF(T98="A",4,6)))))))</f>
        <v/>
      </c>
      <c r="V98" s="443"/>
      <c r="W98" s="445" t="str">
        <f>IF(V98="",U98,(U98*V98))</f>
        <v/>
      </c>
      <c r="X98" s="447"/>
      <c r="Y98" s="449"/>
      <c r="Z98" s="452"/>
      <c r="AA98" s="452"/>
      <c r="AB98" s="455" t="str">
        <f>CONCATENATE(Y98,AC98)</f>
        <v/>
      </c>
      <c r="AC98" s="455" t="str">
        <f>IF(ISBLANK(AA98),"",IF(OR(Y98="EE",Y98="EEC"),IF(AA98&gt;=3,IF(Z98&gt;=5,"H","A"),IF(AA98&gt;=2,IF(Z98&gt;=16,"H",IF(Z98&lt;=4,"L","A")),IF(Z98&lt;=15,"L","A"))),IF(OR(Y98="SE",Y98="CE",Y98="CEC",Y98="SEC"),IF(AA98&gt;=4,IF(Z98&gt;=6,"H","A"),IF(AA98&gt;=2,IF(Z98&gt;=20,"H",IF(Z98&lt;=5,"L","A")),IF(Z98&lt;=19,"L","A"))),IF(OR(Y98="ALI",Y98="AIE"),IF(AA98&gt;=6,IF(Z98&gt;=20,"H","A"),IF(AA98&gt;=2,IF(Z98&gt;=51,"H",IF(Z98&lt;=19,"L","A")),IF(Z98&lt;=50,"L","A")))))))</f>
        <v/>
      </c>
      <c r="AD98" s="438" t="str">
        <f>IF(ISBLANK(AA98),"",IF(Y98="ALI",IF(AC98="L",7,IF(AC98="A",10,15)),IF(Y98="AIE",IF(AC98="L",5,IF(AC98="A",7,10)),IF(OR(Y98="SE",Y98="SEC"),IF(AC98="L",4,IF(AC98="A",5,7)),IF(OR(Y98="EE",Y98="EEC",Y98="CE",Y98="CEC"),IF(AC98="L",3,IF(AC98="A",4,6)))))))</f>
        <v/>
      </c>
      <c r="AE98" s="458"/>
      <c r="AF98" s="461" t="str">
        <f>IF(AE98="",AD98,(AD98*AE98))</f>
        <v/>
      </c>
      <c r="AG98" s="464"/>
    </row>
    <row r="99" spans="2:33" ht="13.7" customHeight="1">
      <c r="B99" s="467"/>
      <c r="C99" s="470"/>
      <c r="D99" s="472"/>
      <c r="E99" s="475"/>
      <c r="F99" s="478"/>
      <c r="G99" s="481"/>
      <c r="H99" s="208"/>
      <c r="I99" s="481"/>
      <c r="J99" s="210"/>
      <c r="K99" s="456"/>
      <c r="L99" s="456"/>
      <c r="M99" s="484"/>
      <c r="N99" s="439"/>
      <c r="O99" s="487"/>
      <c r="P99" s="490"/>
      <c r="Q99" s="492"/>
      <c r="R99" s="492"/>
      <c r="S99" s="441"/>
      <c r="T99" s="441"/>
      <c r="U99" s="494"/>
      <c r="V99" s="443"/>
      <c r="W99" s="445"/>
      <c r="X99" s="447"/>
      <c r="Y99" s="450"/>
      <c r="Z99" s="453"/>
      <c r="AA99" s="453"/>
      <c r="AB99" s="456"/>
      <c r="AC99" s="456"/>
      <c r="AD99" s="439"/>
      <c r="AE99" s="459"/>
      <c r="AF99" s="462"/>
      <c r="AG99" s="464"/>
    </row>
    <row r="100" spans="2:33" ht="13.7" customHeight="1">
      <c r="B100" s="467"/>
      <c r="C100" s="470"/>
      <c r="D100" s="472"/>
      <c r="E100" s="475"/>
      <c r="F100" s="478"/>
      <c r="G100" s="481"/>
      <c r="H100" s="208"/>
      <c r="I100" s="481"/>
      <c r="J100" s="210"/>
      <c r="K100" s="456"/>
      <c r="L100" s="456"/>
      <c r="M100" s="484"/>
      <c r="N100" s="439"/>
      <c r="O100" s="487"/>
      <c r="P100" s="490"/>
      <c r="Q100" s="492"/>
      <c r="R100" s="492"/>
      <c r="S100" s="441"/>
      <c r="T100" s="441"/>
      <c r="U100" s="494"/>
      <c r="V100" s="443"/>
      <c r="W100" s="445"/>
      <c r="X100" s="447"/>
      <c r="Y100" s="450"/>
      <c r="Z100" s="453"/>
      <c r="AA100" s="453"/>
      <c r="AB100" s="456"/>
      <c r="AC100" s="456"/>
      <c r="AD100" s="439"/>
      <c r="AE100" s="459"/>
      <c r="AF100" s="462"/>
      <c r="AG100" s="464"/>
    </row>
    <row r="101" spans="2:33" ht="13.7" customHeight="1">
      <c r="B101" s="467"/>
      <c r="C101" s="470"/>
      <c r="D101" s="472"/>
      <c r="E101" s="475"/>
      <c r="F101" s="478"/>
      <c r="G101" s="481"/>
      <c r="H101" s="208"/>
      <c r="I101" s="481"/>
      <c r="J101" s="102"/>
      <c r="K101" s="456"/>
      <c r="L101" s="456"/>
      <c r="M101" s="484"/>
      <c r="N101" s="439"/>
      <c r="O101" s="487"/>
      <c r="P101" s="490"/>
      <c r="Q101" s="492"/>
      <c r="R101" s="492"/>
      <c r="S101" s="441"/>
      <c r="T101" s="441"/>
      <c r="U101" s="494"/>
      <c r="V101" s="443"/>
      <c r="W101" s="445"/>
      <c r="X101" s="447"/>
      <c r="Y101" s="450"/>
      <c r="Z101" s="453"/>
      <c r="AA101" s="453"/>
      <c r="AB101" s="456"/>
      <c r="AC101" s="456"/>
      <c r="AD101" s="439"/>
      <c r="AE101" s="459"/>
      <c r="AF101" s="462"/>
      <c r="AG101" s="464"/>
    </row>
    <row r="102" spans="2:33" ht="13.7" customHeight="1">
      <c r="B102" s="467"/>
      <c r="C102" s="470"/>
      <c r="D102" s="472"/>
      <c r="E102" s="475"/>
      <c r="F102" s="478"/>
      <c r="G102" s="481"/>
      <c r="H102" s="208"/>
      <c r="I102" s="481"/>
      <c r="J102" s="102"/>
      <c r="K102" s="456"/>
      <c r="L102" s="456"/>
      <c r="M102" s="484"/>
      <c r="N102" s="439"/>
      <c r="O102" s="487"/>
      <c r="P102" s="490"/>
      <c r="Q102" s="492"/>
      <c r="R102" s="492"/>
      <c r="S102" s="441"/>
      <c r="T102" s="441"/>
      <c r="U102" s="494"/>
      <c r="V102" s="443"/>
      <c r="W102" s="445"/>
      <c r="X102" s="447"/>
      <c r="Y102" s="450"/>
      <c r="Z102" s="453"/>
      <c r="AA102" s="453"/>
      <c r="AB102" s="456"/>
      <c r="AC102" s="456"/>
      <c r="AD102" s="439"/>
      <c r="AE102" s="459"/>
      <c r="AF102" s="462"/>
      <c r="AG102" s="464"/>
    </row>
    <row r="103" spans="2:33" ht="13.5" customHeight="1" thickBot="1">
      <c r="B103" s="468"/>
      <c r="C103" s="471"/>
      <c r="D103" s="473"/>
      <c r="E103" s="476"/>
      <c r="F103" s="479"/>
      <c r="G103" s="482"/>
      <c r="H103" s="209"/>
      <c r="I103" s="482"/>
      <c r="J103" s="209"/>
      <c r="K103" s="457"/>
      <c r="L103" s="457"/>
      <c r="M103" s="485"/>
      <c r="N103" s="440"/>
      <c r="O103" s="488"/>
      <c r="P103" s="491"/>
      <c r="Q103" s="493"/>
      <c r="R103" s="493"/>
      <c r="S103" s="442"/>
      <c r="T103" s="442"/>
      <c r="U103" s="495"/>
      <c r="V103" s="444"/>
      <c r="W103" s="446"/>
      <c r="X103" s="448"/>
      <c r="Y103" s="451"/>
      <c r="Z103" s="454"/>
      <c r="AA103" s="454"/>
      <c r="AB103" s="457"/>
      <c r="AC103" s="457"/>
      <c r="AD103" s="440"/>
      <c r="AE103" s="460"/>
      <c r="AF103" s="463"/>
      <c r="AG103" s="465"/>
    </row>
    <row r="104" spans="2:33" ht="13.5" customHeight="1">
      <c r="B104" s="466">
        <f>B98+1</f>
        <v>17</v>
      </c>
      <c r="C104" s="469"/>
      <c r="D104" s="469"/>
      <c r="E104" s="474"/>
      <c r="F104" s="477"/>
      <c r="G104" s="480">
        <f>ROW(H109)-ROW($H104)+1-COUNTBLANK($H104:$H109)</f>
        <v>0</v>
      </c>
      <c r="H104" s="208"/>
      <c r="I104" s="480">
        <f>ROW(J109)-ROW($J104)+1-COUNTBLANK($J104:$J109)</f>
        <v>0</v>
      </c>
      <c r="J104" s="207"/>
      <c r="K104" s="455" t="str">
        <f>CONCATENATE(F104,L104,E104)</f>
        <v>FALSO</v>
      </c>
      <c r="L104" s="455" t="b">
        <f>IF(ISBLANK(I104),"",IF(OR(F104="EE",F104="EEC"),IF(I104&gt;=3,IF(G104&gt;=5,"H","A"),IF(I104&gt;=2,IF(G104&gt;=16,"H",IF(G104&lt;=4,"L","A")),IF(G104&lt;=15,"L","A"))),IF(OR(F104="SE",F104="CE",F104="CEC",F104="SEC"),IF(I104&gt;=4,IF(G104&gt;=6,"H","A"),IF(I104&gt;=2,IF(G104&gt;=20,"H",IF(G104&lt;=5,"L","A")),IF(G104&lt;=19,"L","A"))),IF(OR(F104="ALI",F104="AIE"),IF(I104&gt;=6,IF(G104&gt;=20,"H","A"),IF(I104&gt;=2,IF(G104&gt;=51,"H",IF(G104&lt;=19,"L","A")),IF(G104&lt;=50,"L","A")))))))</f>
        <v>0</v>
      </c>
      <c r="M104" s="483" t="str">
        <f>IF(F104="","",IF(L104="L","Baixa",IF(L104="A","Média",IF(L104="","","Alta"))))</f>
        <v/>
      </c>
      <c r="N104" s="438" t="str">
        <f>IF(F104="","",IF(ISBLANK(I104),"",IF(F104="ALI",IF(L104="L",7,IF(L104="A",10,15)),IF(F104="AIE",IF(L104="L",5,IF(L104="A",7,10)),IF(OR(F104="SE",F104="SEC"),IF(L104="L",4,IF(L104="A",5,7)),IF(OR(F104="EE",F104="EEC",F104="CE",F104="CEC"),IF(L104="L",3,IF(L104="A",4,6))))))))</f>
        <v/>
      </c>
      <c r="O104" s="486"/>
      <c r="P104" s="489"/>
      <c r="Q104" s="492"/>
      <c r="R104" s="492"/>
      <c r="S104" s="441" t="str">
        <f>CONCATENATE(P104,T104)</f>
        <v/>
      </c>
      <c r="T104" s="441" t="str">
        <f>IF(ISBLANK(R104),"",IF(OR(P104="EE",P104="EEC"),IF(R104&gt;=3,IF(Q104&gt;=5,"H","A"),IF(R104&gt;=2,IF(Q104&gt;=16,"H",IF(Q104&lt;=4,"L","A")),IF(Q104&lt;=15,"L","A"))),IF(OR(P104="SE",P104="CE",P104="CEC",P104="SEC"),IF(R104&gt;=4,IF(Q104&gt;=6,"H","A"),IF(R104&gt;=2,IF(Q104&gt;=20,"H",IF(Q104&lt;=5,"L","A")),IF(Q104&lt;=19,"L","A"))),IF(OR(P104="ALI",P104="AIE"),IF(R104&gt;=6,IF(Q104&gt;=20,"H","A"),IF(R104&gt;=2,IF(Q104&gt;=51,"H",IF(Q104&lt;=19,"L","A")),IF(Q104&lt;=50,"L","A")))))))</f>
        <v/>
      </c>
      <c r="U104" s="494" t="str">
        <f>IF(ISBLANK(R104),"",IF(P104="ALI",IF(T104="L",7,IF(T104="A",10,15)),IF(P104="AIE",IF(T104="L",5,IF(T104="A",7,10)),IF(OR(P104="SE",P104="SEC"),IF(T104="L",4,IF(T104="A",5,7)),IF(OR(P104="EE",P104="EEC",P104="CE",P104="CEC"),IF(T104="L",3,IF(T104="A",4,6)))))))</f>
        <v/>
      </c>
      <c r="V104" s="443"/>
      <c r="W104" s="445" t="str">
        <f>IF(V104="",U104,(U104*V104))</f>
        <v/>
      </c>
      <c r="X104" s="447"/>
      <c r="Y104" s="449"/>
      <c r="Z104" s="452"/>
      <c r="AA104" s="452"/>
      <c r="AB104" s="455" t="str">
        <f>CONCATENATE(Y104,AC104)</f>
        <v/>
      </c>
      <c r="AC104" s="455" t="str">
        <f>IF(ISBLANK(AA104),"",IF(OR(Y104="EE",Y104="EEC"),IF(AA104&gt;=3,IF(Z104&gt;=5,"H","A"),IF(AA104&gt;=2,IF(Z104&gt;=16,"H",IF(Z104&lt;=4,"L","A")),IF(Z104&lt;=15,"L","A"))),IF(OR(Y104="SE",Y104="CE",Y104="CEC",Y104="SEC"),IF(AA104&gt;=4,IF(Z104&gt;=6,"H","A"),IF(AA104&gt;=2,IF(Z104&gt;=20,"H",IF(Z104&lt;=5,"L","A")),IF(Z104&lt;=19,"L","A"))),IF(OR(Y104="ALI",Y104="AIE"),IF(AA104&gt;=6,IF(Z104&gt;=20,"H","A"),IF(AA104&gt;=2,IF(Z104&gt;=51,"H",IF(Z104&lt;=19,"L","A")),IF(Z104&lt;=50,"L","A")))))))</f>
        <v/>
      </c>
      <c r="AD104" s="438" t="str">
        <f>IF(ISBLANK(AA104),"",IF(Y104="ALI",IF(AC104="L",7,IF(AC104="A",10,15)),IF(Y104="AIE",IF(AC104="L",5,IF(AC104="A",7,10)),IF(OR(Y104="SE",Y104="SEC"),IF(AC104="L",4,IF(AC104="A",5,7)),IF(OR(Y104="EE",Y104="EEC",Y104="CE",Y104="CEC"),IF(AC104="L",3,IF(AC104="A",4,6)))))))</f>
        <v/>
      </c>
      <c r="AE104" s="458"/>
      <c r="AF104" s="461" t="str">
        <f>IF(AE104="",AD104,(AD104*AE104))</f>
        <v/>
      </c>
      <c r="AG104" s="464"/>
    </row>
    <row r="105" spans="2:33" ht="13.7" customHeight="1">
      <c r="B105" s="467"/>
      <c r="C105" s="470"/>
      <c r="D105" s="472"/>
      <c r="E105" s="475"/>
      <c r="F105" s="478"/>
      <c r="G105" s="481"/>
      <c r="H105" s="208"/>
      <c r="I105" s="481"/>
      <c r="J105" s="210"/>
      <c r="K105" s="456"/>
      <c r="L105" s="456"/>
      <c r="M105" s="484"/>
      <c r="N105" s="439"/>
      <c r="O105" s="487"/>
      <c r="P105" s="490"/>
      <c r="Q105" s="492"/>
      <c r="R105" s="492"/>
      <c r="S105" s="441"/>
      <c r="T105" s="441"/>
      <c r="U105" s="494"/>
      <c r="V105" s="443"/>
      <c r="W105" s="445"/>
      <c r="X105" s="447"/>
      <c r="Y105" s="450"/>
      <c r="Z105" s="453"/>
      <c r="AA105" s="453"/>
      <c r="AB105" s="456"/>
      <c r="AC105" s="456"/>
      <c r="AD105" s="439"/>
      <c r="AE105" s="459"/>
      <c r="AF105" s="462"/>
      <c r="AG105" s="464"/>
    </row>
    <row r="106" spans="2:33" ht="13.7" customHeight="1">
      <c r="B106" s="467"/>
      <c r="C106" s="470"/>
      <c r="D106" s="472"/>
      <c r="E106" s="475"/>
      <c r="F106" s="478"/>
      <c r="G106" s="481"/>
      <c r="H106" s="208"/>
      <c r="I106" s="481"/>
      <c r="J106" s="210"/>
      <c r="K106" s="456"/>
      <c r="L106" s="456"/>
      <c r="M106" s="484"/>
      <c r="N106" s="439"/>
      <c r="O106" s="487"/>
      <c r="P106" s="490"/>
      <c r="Q106" s="492"/>
      <c r="R106" s="492"/>
      <c r="S106" s="441"/>
      <c r="T106" s="441"/>
      <c r="U106" s="494"/>
      <c r="V106" s="443"/>
      <c r="W106" s="445"/>
      <c r="X106" s="447"/>
      <c r="Y106" s="450"/>
      <c r="Z106" s="453"/>
      <c r="AA106" s="453"/>
      <c r="AB106" s="456"/>
      <c r="AC106" s="456"/>
      <c r="AD106" s="439"/>
      <c r="AE106" s="459"/>
      <c r="AF106" s="462"/>
      <c r="AG106" s="464"/>
    </row>
    <row r="107" spans="2:33" ht="13.7" customHeight="1">
      <c r="B107" s="467"/>
      <c r="C107" s="470"/>
      <c r="D107" s="472"/>
      <c r="E107" s="475"/>
      <c r="F107" s="478"/>
      <c r="G107" s="481"/>
      <c r="H107" s="208"/>
      <c r="I107" s="481"/>
      <c r="J107" s="102"/>
      <c r="K107" s="456"/>
      <c r="L107" s="456"/>
      <c r="M107" s="484"/>
      <c r="N107" s="439"/>
      <c r="O107" s="487"/>
      <c r="P107" s="490"/>
      <c r="Q107" s="492"/>
      <c r="R107" s="492"/>
      <c r="S107" s="441"/>
      <c r="T107" s="441"/>
      <c r="U107" s="494"/>
      <c r="V107" s="443"/>
      <c r="W107" s="445"/>
      <c r="X107" s="447"/>
      <c r="Y107" s="450"/>
      <c r="Z107" s="453"/>
      <c r="AA107" s="453"/>
      <c r="AB107" s="456"/>
      <c r="AC107" s="456"/>
      <c r="AD107" s="439"/>
      <c r="AE107" s="459"/>
      <c r="AF107" s="462"/>
      <c r="AG107" s="464"/>
    </row>
    <row r="108" spans="2:33" ht="13.7" customHeight="1">
      <c r="B108" s="467"/>
      <c r="C108" s="470"/>
      <c r="D108" s="472"/>
      <c r="E108" s="475"/>
      <c r="F108" s="478"/>
      <c r="G108" s="481"/>
      <c r="H108" s="208"/>
      <c r="I108" s="481"/>
      <c r="J108" s="102"/>
      <c r="K108" s="456"/>
      <c r="L108" s="456"/>
      <c r="M108" s="484"/>
      <c r="N108" s="439"/>
      <c r="O108" s="487"/>
      <c r="P108" s="490"/>
      <c r="Q108" s="492"/>
      <c r="R108" s="492"/>
      <c r="S108" s="441"/>
      <c r="T108" s="441"/>
      <c r="U108" s="494"/>
      <c r="V108" s="443"/>
      <c r="W108" s="445"/>
      <c r="X108" s="447"/>
      <c r="Y108" s="450"/>
      <c r="Z108" s="453"/>
      <c r="AA108" s="453"/>
      <c r="AB108" s="456"/>
      <c r="AC108" s="456"/>
      <c r="AD108" s="439"/>
      <c r="AE108" s="459"/>
      <c r="AF108" s="462"/>
      <c r="AG108" s="464"/>
    </row>
    <row r="109" spans="2:33" ht="13.5" customHeight="1" thickBot="1">
      <c r="B109" s="468"/>
      <c r="C109" s="471"/>
      <c r="D109" s="473"/>
      <c r="E109" s="476"/>
      <c r="F109" s="479"/>
      <c r="G109" s="482"/>
      <c r="H109" s="209"/>
      <c r="I109" s="482"/>
      <c r="J109" s="209"/>
      <c r="K109" s="457"/>
      <c r="L109" s="457"/>
      <c r="M109" s="485"/>
      <c r="N109" s="440"/>
      <c r="O109" s="488"/>
      <c r="P109" s="491"/>
      <c r="Q109" s="493"/>
      <c r="R109" s="493"/>
      <c r="S109" s="442"/>
      <c r="T109" s="442"/>
      <c r="U109" s="495"/>
      <c r="V109" s="444"/>
      <c r="W109" s="446"/>
      <c r="X109" s="448"/>
      <c r="Y109" s="451"/>
      <c r="Z109" s="454"/>
      <c r="AA109" s="454"/>
      <c r="AB109" s="457"/>
      <c r="AC109" s="457"/>
      <c r="AD109" s="440"/>
      <c r="AE109" s="460"/>
      <c r="AF109" s="463"/>
      <c r="AG109" s="465"/>
    </row>
    <row r="110" spans="2:33" ht="13.7" customHeight="1">
      <c r="B110" s="466">
        <f t="shared" ref="B110" si="3">B104+1</f>
        <v>18</v>
      </c>
      <c r="C110" s="469"/>
      <c r="D110" s="469"/>
      <c r="E110" s="474"/>
      <c r="F110" s="477"/>
      <c r="G110" s="480">
        <f>ROW(H115)-ROW($H110)+1-COUNTBLANK($H110:$H115)</f>
        <v>0</v>
      </c>
      <c r="H110" s="208"/>
      <c r="I110" s="480">
        <f>ROW(J115)-ROW($J110)+1-COUNTBLANK($J110:$J115)</f>
        <v>0</v>
      </c>
      <c r="J110" s="207"/>
      <c r="K110" s="455" t="str">
        <f>CONCATENATE(F110,L110,E110)</f>
        <v>FALSO</v>
      </c>
      <c r="L110" s="455" t="b">
        <f>IF(ISBLANK(I110),"",IF(OR(F110="EE",F110="EEC"),IF(I110&gt;=3,IF(G110&gt;=5,"H","A"),IF(I110&gt;=2,IF(G110&gt;=16,"H",IF(G110&lt;=4,"L","A")),IF(G110&lt;=15,"L","A"))),IF(OR(F110="SE",F110="CE",F110="CEC",F110="SEC"),IF(I110&gt;=4,IF(G110&gt;=6,"H","A"),IF(I110&gt;=2,IF(G110&gt;=20,"H",IF(G110&lt;=5,"L","A")),IF(G110&lt;=19,"L","A"))),IF(OR(F110="ALI",F110="AIE"),IF(I110&gt;=6,IF(G110&gt;=20,"H","A"),IF(I110&gt;=2,IF(G110&gt;=51,"H",IF(G110&lt;=19,"L","A")),IF(G110&lt;=50,"L","A")))))))</f>
        <v>0</v>
      </c>
      <c r="M110" s="483" t="str">
        <f>IF(F110="","",IF(L110="L","Baixa",IF(L110="A","Média",IF(L110="","","Alta"))))</f>
        <v/>
      </c>
      <c r="N110" s="438" t="str">
        <f>IF(F110="","",IF(ISBLANK(I110),"",IF(F110="ALI",IF(L110="L",7,IF(L110="A",10,15)),IF(F110="AIE",IF(L110="L",5,IF(L110="A",7,10)),IF(OR(F110="SE",F110="SEC"),IF(L110="L",4,IF(L110="A",5,7)),IF(OR(F110="EE",F110="EEC",F110="CE",F110="CEC"),IF(L110="L",3,IF(L110="A",4,6))))))))</f>
        <v/>
      </c>
      <c r="O110" s="486"/>
      <c r="P110" s="489"/>
      <c r="Q110" s="492"/>
      <c r="R110" s="492"/>
      <c r="S110" s="441" t="str">
        <f>CONCATENATE(P110,T110)</f>
        <v/>
      </c>
      <c r="T110" s="441" t="str">
        <f>IF(ISBLANK(R110),"",IF(OR(P110="EE",P110="EEC"),IF(R110&gt;=3,IF(Q110&gt;=5,"H","A"),IF(R110&gt;=2,IF(Q110&gt;=16,"H",IF(Q110&lt;=4,"L","A")),IF(Q110&lt;=15,"L","A"))),IF(OR(P110="SE",P110="CE",P110="CEC",P110="SEC"),IF(R110&gt;=4,IF(Q110&gt;=6,"H","A"),IF(R110&gt;=2,IF(Q110&gt;=20,"H",IF(Q110&lt;=5,"L","A")),IF(Q110&lt;=19,"L","A"))),IF(OR(P110="ALI",P110="AIE"),IF(R110&gt;=6,IF(Q110&gt;=20,"H","A"),IF(R110&gt;=2,IF(Q110&gt;=51,"H",IF(Q110&lt;=19,"L","A")),IF(Q110&lt;=50,"L","A")))))))</f>
        <v/>
      </c>
      <c r="U110" s="494" t="str">
        <f>IF(ISBLANK(R110),"",IF(P110="ALI",IF(T110="L",7,IF(T110="A",10,15)),IF(P110="AIE",IF(T110="L",5,IF(T110="A",7,10)),IF(OR(P110="SE",P110="SEC"),IF(T110="L",4,IF(T110="A",5,7)),IF(OR(P110="EE",P110="EEC",P110="CE",P110="CEC"),IF(T110="L",3,IF(T110="A",4,6)))))))</f>
        <v/>
      </c>
      <c r="V110" s="443"/>
      <c r="W110" s="445" t="str">
        <f>IF(V110="",U110,(U110*V110))</f>
        <v/>
      </c>
      <c r="X110" s="447"/>
      <c r="Y110" s="449"/>
      <c r="Z110" s="452"/>
      <c r="AA110" s="452"/>
      <c r="AB110" s="455" t="str">
        <f>CONCATENATE(Y110,AC110)</f>
        <v/>
      </c>
      <c r="AC110" s="455" t="str">
        <f>IF(ISBLANK(AA110),"",IF(OR(Y110="EE",Y110="EEC"),IF(AA110&gt;=3,IF(Z110&gt;=5,"H","A"),IF(AA110&gt;=2,IF(Z110&gt;=16,"H",IF(Z110&lt;=4,"L","A")),IF(Z110&lt;=15,"L","A"))),IF(OR(Y110="SE",Y110="CE",Y110="CEC",Y110="SEC"),IF(AA110&gt;=4,IF(Z110&gt;=6,"H","A"),IF(AA110&gt;=2,IF(Z110&gt;=20,"H",IF(Z110&lt;=5,"L","A")),IF(Z110&lt;=19,"L","A"))),IF(OR(Y110="ALI",Y110="AIE"),IF(AA110&gt;=6,IF(Z110&gt;=20,"H","A"),IF(AA110&gt;=2,IF(Z110&gt;=51,"H",IF(Z110&lt;=19,"L","A")),IF(Z110&lt;=50,"L","A")))))))</f>
        <v/>
      </c>
      <c r="AD110" s="438" t="str">
        <f>IF(ISBLANK(AA110),"",IF(Y110="ALI",IF(AC110="L",7,IF(AC110="A",10,15)),IF(Y110="AIE",IF(AC110="L",5,IF(AC110="A",7,10)),IF(OR(Y110="SE",Y110="SEC"),IF(AC110="L",4,IF(AC110="A",5,7)),IF(OR(Y110="EE",Y110="EEC",Y110="CE",Y110="CEC"),IF(AC110="L",3,IF(AC110="A",4,6)))))))</f>
        <v/>
      </c>
      <c r="AE110" s="458"/>
      <c r="AF110" s="461" t="str">
        <f>IF(AE110="",AD110,(AD110*AE110))</f>
        <v/>
      </c>
      <c r="AG110" s="464"/>
    </row>
    <row r="111" spans="2:33" ht="13.7" customHeight="1">
      <c r="B111" s="504"/>
      <c r="C111" s="505"/>
      <c r="D111" s="505"/>
      <c r="E111" s="475"/>
      <c r="F111" s="506"/>
      <c r="G111" s="507"/>
      <c r="H111" s="208"/>
      <c r="I111" s="507"/>
      <c r="J111" s="210"/>
      <c r="K111" s="499"/>
      <c r="L111" s="499"/>
      <c r="M111" s="484"/>
      <c r="N111" s="500"/>
      <c r="O111" s="414"/>
      <c r="P111" s="508"/>
      <c r="Q111" s="492"/>
      <c r="R111" s="492"/>
      <c r="S111" s="441"/>
      <c r="T111" s="441"/>
      <c r="U111" s="494"/>
      <c r="V111" s="443"/>
      <c r="W111" s="445"/>
      <c r="X111" s="447"/>
      <c r="Y111" s="510"/>
      <c r="Z111" s="509"/>
      <c r="AA111" s="509"/>
      <c r="AB111" s="499"/>
      <c r="AC111" s="499"/>
      <c r="AD111" s="500"/>
      <c r="AE111" s="459"/>
      <c r="AF111" s="462"/>
      <c r="AG111" s="464"/>
    </row>
    <row r="112" spans="2:33" ht="13.7" customHeight="1">
      <c r="B112" s="504"/>
      <c r="C112" s="505"/>
      <c r="D112" s="505"/>
      <c r="E112" s="475"/>
      <c r="F112" s="506"/>
      <c r="G112" s="507"/>
      <c r="H112" s="208"/>
      <c r="I112" s="507"/>
      <c r="J112" s="210"/>
      <c r="K112" s="499"/>
      <c r="L112" s="499"/>
      <c r="M112" s="484"/>
      <c r="N112" s="500"/>
      <c r="O112" s="414"/>
      <c r="P112" s="508"/>
      <c r="Q112" s="492"/>
      <c r="R112" s="492"/>
      <c r="S112" s="441"/>
      <c r="T112" s="441"/>
      <c r="U112" s="494"/>
      <c r="V112" s="443"/>
      <c r="W112" s="445"/>
      <c r="X112" s="447"/>
      <c r="Y112" s="510"/>
      <c r="Z112" s="509"/>
      <c r="AA112" s="509"/>
      <c r="AB112" s="499"/>
      <c r="AC112" s="499"/>
      <c r="AD112" s="500"/>
      <c r="AE112" s="459"/>
      <c r="AF112" s="462"/>
      <c r="AG112" s="464"/>
    </row>
    <row r="113" spans="2:33" ht="13.7" customHeight="1">
      <c r="B113" s="467"/>
      <c r="C113" s="470"/>
      <c r="D113" s="472"/>
      <c r="E113" s="475"/>
      <c r="F113" s="478"/>
      <c r="G113" s="481"/>
      <c r="H113" s="208"/>
      <c r="I113" s="481"/>
      <c r="J113" s="210"/>
      <c r="K113" s="456"/>
      <c r="L113" s="456"/>
      <c r="M113" s="484"/>
      <c r="N113" s="439"/>
      <c r="O113" s="487"/>
      <c r="P113" s="490"/>
      <c r="Q113" s="492"/>
      <c r="R113" s="492"/>
      <c r="S113" s="441"/>
      <c r="T113" s="441"/>
      <c r="U113" s="494"/>
      <c r="V113" s="443"/>
      <c r="W113" s="445"/>
      <c r="X113" s="447"/>
      <c r="Y113" s="450"/>
      <c r="Z113" s="453"/>
      <c r="AA113" s="453"/>
      <c r="AB113" s="456"/>
      <c r="AC113" s="456"/>
      <c r="AD113" s="439"/>
      <c r="AE113" s="459"/>
      <c r="AF113" s="462"/>
      <c r="AG113" s="464"/>
    </row>
    <row r="114" spans="2:33" ht="13.7" customHeight="1">
      <c r="B114" s="467"/>
      <c r="C114" s="470"/>
      <c r="D114" s="472"/>
      <c r="E114" s="475"/>
      <c r="F114" s="478"/>
      <c r="G114" s="481"/>
      <c r="H114" s="208"/>
      <c r="I114" s="481"/>
      <c r="J114" s="210"/>
      <c r="K114" s="456"/>
      <c r="L114" s="456"/>
      <c r="M114" s="484"/>
      <c r="N114" s="439"/>
      <c r="O114" s="487"/>
      <c r="P114" s="490"/>
      <c r="Q114" s="492"/>
      <c r="R114" s="492"/>
      <c r="S114" s="441"/>
      <c r="T114" s="441"/>
      <c r="U114" s="494"/>
      <c r="V114" s="443"/>
      <c r="W114" s="445"/>
      <c r="X114" s="447"/>
      <c r="Y114" s="450"/>
      <c r="Z114" s="453"/>
      <c r="AA114" s="453"/>
      <c r="AB114" s="456"/>
      <c r="AC114" s="456"/>
      <c r="AD114" s="439"/>
      <c r="AE114" s="459"/>
      <c r="AF114" s="462"/>
      <c r="AG114" s="464"/>
    </row>
    <row r="115" spans="2:33" ht="13.7" customHeight="1" thickBot="1">
      <c r="B115" s="468"/>
      <c r="C115" s="471"/>
      <c r="D115" s="473"/>
      <c r="E115" s="476"/>
      <c r="F115" s="479"/>
      <c r="G115" s="482"/>
      <c r="H115" s="209"/>
      <c r="I115" s="482"/>
      <c r="J115" s="103"/>
      <c r="K115" s="457"/>
      <c r="L115" s="457"/>
      <c r="M115" s="485"/>
      <c r="N115" s="440"/>
      <c r="O115" s="488"/>
      <c r="P115" s="491"/>
      <c r="Q115" s="493"/>
      <c r="R115" s="493"/>
      <c r="S115" s="442"/>
      <c r="T115" s="442"/>
      <c r="U115" s="495"/>
      <c r="V115" s="444"/>
      <c r="W115" s="446"/>
      <c r="X115" s="448"/>
      <c r="Y115" s="451"/>
      <c r="Z115" s="454"/>
      <c r="AA115" s="454"/>
      <c r="AB115" s="457"/>
      <c r="AC115" s="457"/>
      <c r="AD115" s="440"/>
      <c r="AE115" s="460"/>
      <c r="AF115" s="463"/>
      <c r="AG115" s="465"/>
    </row>
    <row r="116" spans="2:33" ht="13.7" customHeight="1">
      <c r="B116" s="466">
        <f>B110+1</f>
        <v>19</v>
      </c>
      <c r="C116" s="469"/>
      <c r="D116" s="496"/>
      <c r="E116" s="474"/>
      <c r="F116" s="477"/>
      <c r="G116" s="480">
        <f>ROW(H120)-ROW($H116)+1-COUNTBLANK($H116:$H120)</f>
        <v>0</v>
      </c>
      <c r="H116" s="207"/>
      <c r="I116" s="480">
        <f>ROW(J120)-ROW($J116)+1-COUNTBLANK($J116:$J120)</f>
        <v>0</v>
      </c>
      <c r="J116" s="101"/>
      <c r="K116" s="455" t="str">
        <f>CONCATENATE(F116,L116,E116)</f>
        <v>FALSO</v>
      </c>
      <c r="L116" s="455" t="b">
        <f>IF(ISBLANK(I116),"",IF(OR(F116="EE",F116="EEC"),IF(I116&gt;=3,IF(G116&gt;=5,"H","A"),IF(I116&gt;=2,IF(G116&gt;=16,"H",IF(G116&lt;=4,"L","A")),IF(G116&lt;=15,"L","A"))),IF(OR(F116="SE",F116="CE",F116="CEC",F116="SEC"),IF(I116&gt;=4,IF(G116&gt;=6,"H","A"),IF(I116&gt;=2,IF(G116&gt;=20,"H",IF(G116&lt;=5,"L","A")),IF(G116&lt;=19,"L","A"))),IF(OR(F116="ALI",F116="AIE"),IF(I116&gt;=6,IF(G116&gt;=20,"H","A"),IF(I116&gt;=2,IF(G116&gt;=51,"H",IF(G116&lt;=19,"L","A")),IF(G116&lt;=50,"L","A")))))))</f>
        <v>0</v>
      </c>
      <c r="M116" s="483" t="str">
        <f>IF(F116="","",IF(L116="L","Baixa",IF(L116="A","Média",IF(L116="","","Alta"))))</f>
        <v/>
      </c>
      <c r="N116" s="438" t="str">
        <f>IF(F116="","",IF(ISBLANK(I116),"",IF(F116="ALI",IF(L116="L",7,IF(L116="A",10,15)),IF(F116="AIE",IF(L116="L",5,IF(L116="A",7,10)),IF(OR(F116="SE",F116="SEC"),IF(L116="L",4,IF(L116="A",5,7)),IF(OR(F116="EE",F116="EEC",F116="CE",F116="CEC"),IF(L116="L",3,IF(L116="A",4,6))))))))</f>
        <v/>
      </c>
      <c r="O116" s="501"/>
      <c r="P116" s="489"/>
      <c r="Q116" s="492"/>
      <c r="R116" s="492"/>
      <c r="S116" s="441" t="str">
        <f>CONCATENATE(P116,T116)</f>
        <v/>
      </c>
      <c r="T116" s="441" t="str">
        <f>IF(ISBLANK(R116),"",IF(OR(P116="EE",P116="EEC"),IF(R116&gt;=3,IF(Q116&gt;=5,"H","A"),IF(R116&gt;=2,IF(Q116&gt;=16,"H",IF(Q116&lt;=4,"L","A")),IF(Q116&lt;=15,"L","A"))),IF(OR(P116="SE",P116="CE",P116="CEC",P116="SEC"),IF(R116&gt;=4,IF(Q116&gt;=6,"H","A"),IF(R116&gt;=2,IF(Q116&gt;=20,"H",IF(Q116&lt;=5,"L","A")),IF(Q116&lt;=19,"L","A"))),IF(OR(P116="ALI",P116="AIE"),IF(R116&gt;=6,IF(Q116&gt;=20,"H","A"),IF(R116&gt;=2,IF(Q116&gt;=51,"H",IF(Q116&lt;=19,"L","A")),IF(Q116&lt;=50,"L","A")))))))</f>
        <v/>
      </c>
      <c r="U116" s="494" t="str">
        <f>IF(ISBLANK(R116),"",IF(P116="ALI",IF(T116="L",7,IF(T116="A",10,15)),IF(P116="AIE",IF(T116="L",5,IF(T116="A",7,10)),IF(OR(P116="SE",P116="SEC"),IF(T116="L",4,IF(T116="A",5,7)),IF(OR(P116="EE",P116="EEC",P116="CE",P116="CEC"),IF(T116="L",3,IF(T116="A",4,6)))))))</f>
        <v/>
      </c>
      <c r="V116" s="443"/>
      <c r="W116" s="445" t="str">
        <f>IF(V116="",U116,(U116*V116))</f>
        <v/>
      </c>
      <c r="X116" s="447"/>
      <c r="Y116" s="449"/>
      <c r="Z116" s="452"/>
      <c r="AA116" s="452"/>
      <c r="AB116" s="455" t="str">
        <f>CONCATENATE(Y116,AC116)</f>
        <v/>
      </c>
      <c r="AC116" s="455" t="str">
        <f>IF(ISBLANK(AA116),"",IF(OR(Y116="EE",Y116="EEC"),IF(AA116&gt;=3,IF(Z116&gt;=5,"H","A"),IF(AA116&gt;=2,IF(Z116&gt;=16,"H",IF(Z116&lt;=4,"L","A")),IF(Z116&lt;=15,"L","A"))),IF(OR(Y116="SE",Y116="CE",Y116="CEC",Y116="SEC"),IF(AA116&gt;=4,IF(Z116&gt;=6,"H","A"),IF(AA116&gt;=2,IF(Z116&gt;=20,"H",IF(Z116&lt;=5,"L","A")),IF(Z116&lt;=19,"L","A"))),IF(OR(Y116="ALI",Y116="AIE"),IF(AA116&gt;=6,IF(Z116&gt;=20,"H","A"),IF(AA116&gt;=2,IF(Z116&gt;=51,"H",IF(Z116&lt;=19,"L","A")),IF(Z116&lt;=50,"L","A")))))))</f>
        <v/>
      </c>
      <c r="AD116" s="438" t="str">
        <f>IF(ISBLANK(AA116),"",IF(Y116="ALI",IF(AC116="L",7,IF(AC116="A",10,15)),IF(Y116="AIE",IF(AC116="L",5,IF(AC116="A",7,10)),IF(OR(Y116="SE",Y116="SEC"),IF(AC116="L",4,IF(AC116="A",5,7)),IF(OR(Y116="EE",Y116="EEC",Y116="CE",Y116="CEC"),IF(AC116="L",3,IF(AC116="A",4,6)))))))</f>
        <v/>
      </c>
      <c r="AE116" s="458"/>
      <c r="AF116" s="461" t="str">
        <f>IF(AE116="",AD116,(AD116*AE116))</f>
        <v/>
      </c>
      <c r="AG116" s="464"/>
    </row>
    <row r="117" spans="2:33" ht="13.7" customHeight="1">
      <c r="B117" s="467"/>
      <c r="C117" s="470"/>
      <c r="D117" s="497"/>
      <c r="E117" s="475"/>
      <c r="F117" s="478"/>
      <c r="G117" s="481"/>
      <c r="H117" s="208"/>
      <c r="I117" s="481"/>
      <c r="J117" s="102"/>
      <c r="K117" s="456"/>
      <c r="L117" s="456"/>
      <c r="M117" s="484"/>
      <c r="N117" s="439"/>
      <c r="O117" s="502"/>
      <c r="P117" s="490"/>
      <c r="Q117" s="492"/>
      <c r="R117" s="492"/>
      <c r="S117" s="441"/>
      <c r="T117" s="441"/>
      <c r="U117" s="494"/>
      <c r="V117" s="443"/>
      <c r="W117" s="445"/>
      <c r="X117" s="447"/>
      <c r="Y117" s="450"/>
      <c r="Z117" s="453"/>
      <c r="AA117" s="453"/>
      <c r="AB117" s="456"/>
      <c r="AC117" s="456"/>
      <c r="AD117" s="439"/>
      <c r="AE117" s="459"/>
      <c r="AF117" s="462"/>
      <c r="AG117" s="464"/>
    </row>
    <row r="118" spans="2:33" ht="13.7" customHeight="1">
      <c r="B118" s="467"/>
      <c r="C118" s="470"/>
      <c r="D118" s="497"/>
      <c r="E118" s="475"/>
      <c r="F118" s="478"/>
      <c r="G118" s="481"/>
      <c r="H118" s="208"/>
      <c r="I118" s="481"/>
      <c r="J118" s="102"/>
      <c r="K118" s="456"/>
      <c r="L118" s="456"/>
      <c r="M118" s="484"/>
      <c r="N118" s="439"/>
      <c r="O118" s="502"/>
      <c r="P118" s="490"/>
      <c r="Q118" s="492"/>
      <c r="R118" s="492"/>
      <c r="S118" s="441"/>
      <c r="T118" s="441"/>
      <c r="U118" s="494"/>
      <c r="V118" s="443"/>
      <c r="W118" s="445"/>
      <c r="X118" s="447"/>
      <c r="Y118" s="450"/>
      <c r="Z118" s="453"/>
      <c r="AA118" s="453"/>
      <c r="AB118" s="456"/>
      <c r="AC118" s="456"/>
      <c r="AD118" s="439"/>
      <c r="AE118" s="459"/>
      <c r="AF118" s="462"/>
      <c r="AG118" s="464"/>
    </row>
    <row r="119" spans="2:33" ht="13.7" customHeight="1">
      <c r="B119" s="467"/>
      <c r="C119" s="470"/>
      <c r="D119" s="497"/>
      <c r="E119" s="475"/>
      <c r="F119" s="478"/>
      <c r="G119" s="481"/>
      <c r="H119" s="208"/>
      <c r="I119" s="481"/>
      <c r="J119" s="102"/>
      <c r="K119" s="456"/>
      <c r="L119" s="456"/>
      <c r="M119" s="484"/>
      <c r="N119" s="439"/>
      <c r="O119" s="502"/>
      <c r="P119" s="490"/>
      <c r="Q119" s="492"/>
      <c r="R119" s="492"/>
      <c r="S119" s="441"/>
      <c r="T119" s="441"/>
      <c r="U119" s="494"/>
      <c r="V119" s="443"/>
      <c r="W119" s="445"/>
      <c r="X119" s="447"/>
      <c r="Y119" s="450"/>
      <c r="Z119" s="453"/>
      <c r="AA119" s="453"/>
      <c r="AB119" s="456"/>
      <c r="AC119" s="456"/>
      <c r="AD119" s="439"/>
      <c r="AE119" s="459"/>
      <c r="AF119" s="462"/>
      <c r="AG119" s="464"/>
    </row>
    <row r="120" spans="2:33" ht="13.7" customHeight="1" thickBot="1">
      <c r="B120" s="468"/>
      <c r="C120" s="471"/>
      <c r="D120" s="498"/>
      <c r="E120" s="476"/>
      <c r="F120" s="479"/>
      <c r="G120" s="482"/>
      <c r="H120" s="209"/>
      <c r="I120" s="482"/>
      <c r="J120" s="103"/>
      <c r="K120" s="457"/>
      <c r="L120" s="457"/>
      <c r="M120" s="485"/>
      <c r="N120" s="440"/>
      <c r="O120" s="503"/>
      <c r="P120" s="491"/>
      <c r="Q120" s="493"/>
      <c r="R120" s="493"/>
      <c r="S120" s="442"/>
      <c r="T120" s="442"/>
      <c r="U120" s="495"/>
      <c r="V120" s="444"/>
      <c r="W120" s="446"/>
      <c r="X120" s="448"/>
      <c r="Y120" s="451"/>
      <c r="Z120" s="454"/>
      <c r="AA120" s="454"/>
      <c r="AB120" s="457"/>
      <c r="AC120" s="457"/>
      <c r="AD120" s="440"/>
      <c r="AE120" s="460"/>
      <c r="AF120" s="463"/>
      <c r="AG120" s="465"/>
    </row>
    <row r="121" spans="2:33" ht="13.7" customHeight="1">
      <c r="B121" s="466">
        <f>B116+1</f>
        <v>20</v>
      </c>
      <c r="C121" s="469"/>
      <c r="D121" s="496"/>
      <c r="E121" s="474"/>
      <c r="F121" s="477"/>
      <c r="G121" s="480">
        <f>ROW(H126)-ROW($H121)+1-COUNTBLANK($H121:$H126)</f>
        <v>0</v>
      </c>
      <c r="H121" s="208"/>
      <c r="I121" s="480">
        <f>ROW(J126)-ROW($J121)+1-COUNTBLANK($J121:$J126)</f>
        <v>0</v>
      </c>
      <c r="J121" s="207"/>
      <c r="K121" s="455" t="str">
        <f>CONCATENATE(F121,L121,E121)</f>
        <v>FALSO</v>
      </c>
      <c r="L121" s="455" t="b">
        <f>IF(ISBLANK(I121),"",IF(OR(F121="EE",F121="EEC"),IF(I121&gt;=3,IF(G121&gt;=5,"H","A"),IF(I121&gt;=2,IF(G121&gt;=16,"H",IF(G121&lt;=4,"L","A")),IF(G121&lt;=15,"L","A"))),IF(OR(F121="SE",F121="CE",F121="CEC",F121="SEC"),IF(I121&gt;=4,IF(G121&gt;=6,"H","A"),IF(I121&gt;=2,IF(G121&gt;=20,"H",IF(G121&lt;=5,"L","A")),IF(G121&lt;=19,"L","A"))),IF(OR(F121="ALI",F121="AIE"),IF(I121&gt;=6,IF(G121&gt;=20,"H","A"),IF(I121&gt;=2,IF(G121&gt;=51,"H",IF(G121&lt;=19,"L","A")),IF(G121&lt;=50,"L","A")))))))</f>
        <v>0</v>
      </c>
      <c r="M121" s="483" t="str">
        <f>IF(F121="","",IF(L121="L","Baixa",IF(L121="A","Média",IF(L121="","","Alta"))))</f>
        <v/>
      </c>
      <c r="N121" s="438" t="str">
        <f>IF(F121="","",IF(ISBLANK(I121),"",IF(F121="ALI",IF(L121="L",7,IF(L121="A",10,15)),IF(F121="AIE",IF(L121="L",5,IF(L121="A",7,10)),IF(OR(F121="SE",F121="SEC"),IF(L121="L",4,IF(L121="A",5,7)),IF(OR(F121="EE",F121="EEC",F121="CE",F121="CEC"),IF(L121="L",3,IF(L121="A",4,6))))))))</f>
        <v/>
      </c>
      <c r="O121" s="486"/>
      <c r="P121" s="489"/>
      <c r="Q121" s="492"/>
      <c r="R121" s="492"/>
      <c r="S121" s="441" t="str">
        <f>CONCATENATE(P121,T121)</f>
        <v/>
      </c>
      <c r="T121" s="441" t="str">
        <f>IF(ISBLANK(R121),"",IF(OR(P121="EE",P121="EEC"),IF(R121&gt;=3,IF(Q121&gt;=5,"H","A"),IF(R121&gt;=2,IF(Q121&gt;=16,"H",IF(Q121&lt;=4,"L","A")),IF(Q121&lt;=15,"L","A"))),IF(OR(P121="SE",P121="CE",P121="CEC",P121="SEC"),IF(R121&gt;=4,IF(Q121&gt;=6,"H","A"),IF(R121&gt;=2,IF(Q121&gt;=20,"H",IF(Q121&lt;=5,"L","A")),IF(Q121&lt;=19,"L","A"))),IF(OR(P121="ALI",P121="AIE"),IF(R121&gt;=6,IF(Q121&gt;=20,"H","A"),IF(R121&gt;=2,IF(Q121&gt;=51,"H",IF(Q121&lt;=19,"L","A")),IF(Q121&lt;=50,"L","A")))))))</f>
        <v/>
      </c>
      <c r="U121" s="494" t="str">
        <f>IF(ISBLANK(R121),"",IF(P121="ALI",IF(T121="L",7,IF(T121="A",10,15)),IF(P121="AIE",IF(T121="L",5,IF(T121="A",7,10)),IF(OR(P121="SE",P121="SEC"),IF(T121="L",4,IF(T121="A",5,7)),IF(OR(P121="EE",P121="EEC",P121="CE",P121="CEC"),IF(T121="L",3,IF(T121="A",4,6)))))))</f>
        <v/>
      </c>
      <c r="V121" s="443"/>
      <c r="W121" s="445" t="str">
        <f>IF(V121="",U121,(U121*V121))</f>
        <v/>
      </c>
      <c r="X121" s="447"/>
      <c r="Y121" s="449"/>
      <c r="Z121" s="452"/>
      <c r="AA121" s="452"/>
      <c r="AB121" s="455" t="str">
        <f>CONCATENATE(Y121,AC121)</f>
        <v/>
      </c>
      <c r="AC121" s="455" t="str">
        <f>IF(ISBLANK(AA121),"",IF(OR(Y121="EE",Y121="EEC"),IF(AA121&gt;=3,IF(Z121&gt;=5,"H","A"),IF(AA121&gt;=2,IF(Z121&gt;=16,"H",IF(Z121&lt;=4,"L","A")),IF(Z121&lt;=15,"L","A"))),IF(OR(Y121="SE",Y121="CE",Y121="CEC",Y121="SEC"),IF(AA121&gt;=4,IF(Z121&gt;=6,"H","A"),IF(AA121&gt;=2,IF(Z121&gt;=20,"H",IF(Z121&lt;=5,"L","A")),IF(Z121&lt;=19,"L","A"))),IF(OR(Y121="ALI",Y121="AIE"),IF(AA121&gt;=6,IF(Z121&gt;=20,"H","A"),IF(AA121&gt;=2,IF(Z121&gt;=51,"H",IF(Z121&lt;=19,"L","A")),IF(Z121&lt;=50,"L","A")))))))</f>
        <v/>
      </c>
      <c r="AD121" s="438" t="str">
        <f>IF(ISBLANK(AA121),"",IF(Y121="ALI",IF(AC121="L",7,IF(AC121="A",10,15)),IF(Y121="AIE",IF(AC121="L",5,IF(AC121="A",7,10)),IF(OR(Y121="SE",Y121="SEC"),IF(AC121="L",4,IF(AC121="A",5,7)),IF(OR(Y121="EE",Y121="EEC",Y121="CE",Y121="CEC"),IF(AC121="L",3,IF(AC121="A",4,6)))))))</f>
        <v/>
      </c>
      <c r="AE121" s="458"/>
      <c r="AF121" s="461" t="str">
        <f>IF(AE121="",AD121,(AD121*AE121))</f>
        <v/>
      </c>
      <c r="AG121" s="464"/>
    </row>
    <row r="122" spans="2:33" ht="13.7" customHeight="1">
      <c r="B122" s="467"/>
      <c r="C122" s="470"/>
      <c r="D122" s="497"/>
      <c r="E122" s="475"/>
      <c r="F122" s="478"/>
      <c r="G122" s="481"/>
      <c r="H122" s="208"/>
      <c r="I122" s="481"/>
      <c r="J122" s="210"/>
      <c r="K122" s="456"/>
      <c r="L122" s="456"/>
      <c r="M122" s="484"/>
      <c r="N122" s="439"/>
      <c r="O122" s="487"/>
      <c r="P122" s="490"/>
      <c r="Q122" s="492"/>
      <c r="R122" s="492"/>
      <c r="S122" s="441"/>
      <c r="T122" s="441"/>
      <c r="U122" s="494"/>
      <c r="V122" s="443"/>
      <c r="W122" s="445"/>
      <c r="X122" s="447"/>
      <c r="Y122" s="450"/>
      <c r="Z122" s="453"/>
      <c r="AA122" s="453"/>
      <c r="AB122" s="456"/>
      <c r="AC122" s="456"/>
      <c r="AD122" s="439"/>
      <c r="AE122" s="459"/>
      <c r="AF122" s="462"/>
      <c r="AG122" s="464"/>
    </row>
    <row r="123" spans="2:33" ht="13.7" customHeight="1">
      <c r="B123" s="467"/>
      <c r="C123" s="470"/>
      <c r="D123" s="497"/>
      <c r="E123" s="475"/>
      <c r="F123" s="478"/>
      <c r="G123" s="481"/>
      <c r="H123" s="208"/>
      <c r="I123" s="481"/>
      <c r="J123" s="210"/>
      <c r="K123" s="456"/>
      <c r="L123" s="456"/>
      <c r="M123" s="484"/>
      <c r="N123" s="439"/>
      <c r="O123" s="487"/>
      <c r="P123" s="490"/>
      <c r="Q123" s="492"/>
      <c r="R123" s="492"/>
      <c r="S123" s="441"/>
      <c r="T123" s="441"/>
      <c r="U123" s="494"/>
      <c r="V123" s="443"/>
      <c r="W123" s="445"/>
      <c r="X123" s="447"/>
      <c r="Y123" s="450"/>
      <c r="Z123" s="453"/>
      <c r="AA123" s="453"/>
      <c r="AB123" s="456"/>
      <c r="AC123" s="456"/>
      <c r="AD123" s="439"/>
      <c r="AE123" s="459"/>
      <c r="AF123" s="462"/>
      <c r="AG123" s="464"/>
    </row>
    <row r="124" spans="2:33" ht="13.7" customHeight="1">
      <c r="B124" s="467"/>
      <c r="C124" s="470"/>
      <c r="D124" s="497"/>
      <c r="E124" s="475"/>
      <c r="F124" s="478"/>
      <c r="G124" s="481"/>
      <c r="H124" s="208"/>
      <c r="I124" s="481"/>
      <c r="J124" s="210"/>
      <c r="K124" s="456"/>
      <c r="L124" s="456"/>
      <c r="M124" s="484"/>
      <c r="N124" s="439"/>
      <c r="O124" s="487"/>
      <c r="P124" s="490"/>
      <c r="Q124" s="492"/>
      <c r="R124" s="492"/>
      <c r="S124" s="441"/>
      <c r="T124" s="441"/>
      <c r="U124" s="494"/>
      <c r="V124" s="443"/>
      <c r="W124" s="445"/>
      <c r="X124" s="447"/>
      <c r="Y124" s="450"/>
      <c r="Z124" s="453"/>
      <c r="AA124" s="453"/>
      <c r="AB124" s="456"/>
      <c r="AC124" s="456"/>
      <c r="AD124" s="439"/>
      <c r="AE124" s="459"/>
      <c r="AF124" s="462"/>
      <c r="AG124" s="464"/>
    </row>
    <row r="125" spans="2:33" ht="13.7" customHeight="1">
      <c r="B125" s="467"/>
      <c r="C125" s="470"/>
      <c r="D125" s="497"/>
      <c r="E125" s="475"/>
      <c r="F125" s="478"/>
      <c r="G125" s="481"/>
      <c r="H125" s="208"/>
      <c r="I125" s="481"/>
      <c r="J125" s="102"/>
      <c r="K125" s="456"/>
      <c r="L125" s="456"/>
      <c r="M125" s="484"/>
      <c r="N125" s="439"/>
      <c r="O125" s="487"/>
      <c r="P125" s="490"/>
      <c r="Q125" s="492"/>
      <c r="R125" s="492"/>
      <c r="S125" s="441"/>
      <c r="T125" s="441"/>
      <c r="U125" s="494"/>
      <c r="V125" s="443"/>
      <c r="W125" s="445"/>
      <c r="X125" s="447"/>
      <c r="Y125" s="450"/>
      <c r="Z125" s="453"/>
      <c r="AA125" s="453"/>
      <c r="AB125" s="456"/>
      <c r="AC125" s="456"/>
      <c r="AD125" s="439"/>
      <c r="AE125" s="459"/>
      <c r="AF125" s="462"/>
      <c r="AG125" s="464"/>
    </row>
    <row r="126" spans="2:33" ht="13.7" customHeight="1" thickBot="1">
      <c r="B126" s="468"/>
      <c r="C126" s="471"/>
      <c r="D126" s="498"/>
      <c r="E126" s="476"/>
      <c r="F126" s="479"/>
      <c r="G126" s="482"/>
      <c r="H126" s="209"/>
      <c r="I126" s="482"/>
      <c r="J126" s="103"/>
      <c r="K126" s="457"/>
      <c r="L126" s="457"/>
      <c r="M126" s="485"/>
      <c r="N126" s="440"/>
      <c r="O126" s="488"/>
      <c r="P126" s="491"/>
      <c r="Q126" s="493"/>
      <c r="R126" s="493"/>
      <c r="S126" s="442"/>
      <c r="T126" s="442"/>
      <c r="U126" s="495"/>
      <c r="V126" s="444"/>
      <c r="W126" s="446"/>
      <c r="X126" s="448"/>
      <c r="Y126" s="451"/>
      <c r="Z126" s="454"/>
      <c r="AA126" s="454"/>
      <c r="AB126" s="457"/>
      <c r="AC126" s="457"/>
      <c r="AD126" s="440"/>
      <c r="AE126" s="460"/>
      <c r="AF126" s="463"/>
      <c r="AG126" s="465"/>
    </row>
    <row r="127" spans="2:33" ht="13.5" customHeight="1">
      <c r="B127" s="466">
        <f>B121+1</f>
        <v>21</v>
      </c>
      <c r="C127" s="469"/>
      <c r="D127" s="469"/>
      <c r="E127" s="474"/>
      <c r="F127" s="477"/>
      <c r="G127" s="480">
        <f>ROW(H132)-ROW($H127)+1-COUNTBLANK($H127:$H132)</f>
        <v>0</v>
      </c>
      <c r="H127" s="208"/>
      <c r="I127" s="480">
        <f>ROW(J132)-ROW($J127)+1-COUNTBLANK($J127:$J132)</f>
        <v>0</v>
      </c>
      <c r="J127" s="207"/>
      <c r="K127" s="455" t="str">
        <f>CONCATENATE(F127,L127,E127)</f>
        <v>FALSO</v>
      </c>
      <c r="L127" s="455" t="b">
        <f>IF(ISBLANK(I127),"",IF(OR(F127="EE",F127="EEC"),IF(I127&gt;=3,IF(G127&gt;=5,"H","A"),IF(I127&gt;=2,IF(G127&gt;=16,"H",IF(G127&lt;=4,"L","A")),IF(G127&lt;=15,"L","A"))),IF(OR(F127="SE",F127="CE",F127="CEC",F127="SEC"),IF(I127&gt;=4,IF(G127&gt;=6,"H","A"),IF(I127&gt;=2,IF(G127&gt;=20,"H",IF(G127&lt;=5,"L","A")),IF(G127&lt;=19,"L","A"))),IF(OR(F127="ALI",F127="AIE"),IF(I127&gt;=6,IF(G127&gt;=20,"H","A"),IF(I127&gt;=2,IF(G127&gt;=51,"H",IF(G127&lt;=19,"L","A")),IF(G127&lt;=50,"L","A")))))))</f>
        <v>0</v>
      </c>
      <c r="M127" s="483" t="str">
        <f>IF(F127="","",IF(L127="L","Baixa",IF(L127="A","Média",IF(L127="","","Alta"))))</f>
        <v/>
      </c>
      <c r="N127" s="438" t="str">
        <f>IF(F127="","",IF(ISBLANK(I127),"",IF(F127="ALI",IF(L127="L",7,IF(L127="A",10,15)),IF(F127="AIE",IF(L127="L",5,IF(L127="A",7,10)),IF(OR(F127="SE",F127="SEC"),IF(L127="L",4,IF(L127="A",5,7)),IF(OR(F127="EE",F127="EEC",F127="CE",F127="CEC"),IF(L127="L",3,IF(L127="A",4,6))))))))</f>
        <v/>
      </c>
      <c r="O127" s="486"/>
      <c r="P127" s="489"/>
      <c r="Q127" s="492"/>
      <c r="R127" s="492"/>
      <c r="S127" s="441" t="str">
        <f>CONCATENATE(P127,T127)</f>
        <v/>
      </c>
      <c r="T127" s="441" t="str">
        <f>IF(ISBLANK(R127),"",IF(OR(P127="EE",P127="EEC"),IF(R127&gt;=3,IF(Q127&gt;=5,"H","A"),IF(R127&gt;=2,IF(Q127&gt;=16,"H",IF(Q127&lt;=4,"L","A")),IF(Q127&lt;=15,"L","A"))),IF(OR(P127="SE",P127="CE",P127="CEC",P127="SEC"),IF(R127&gt;=4,IF(Q127&gt;=6,"H","A"),IF(R127&gt;=2,IF(Q127&gt;=20,"H",IF(Q127&lt;=5,"L","A")),IF(Q127&lt;=19,"L","A"))),IF(OR(P127="ALI",P127="AIE"),IF(R127&gt;=6,IF(Q127&gt;=20,"H","A"),IF(R127&gt;=2,IF(Q127&gt;=51,"H",IF(Q127&lt;=19,"L","A")),IF(Q127&lt;=50,"L","A")))))))</f>
        <v/>
      </c>
      <c r="U127" s="494" t="str">
        <f>IF(ISBLANK(R127),"",IF(P127="ALI",IF(T127="L",7,IF(T127="A",10,15)),IF(P127="AIE",IF(T127="L",5,IF(T127="A",7,10)),IF(OR(P127="SE",P127="SEC"),IF(T127="L",4,IF(T127="A",5,7)),IF(OR(P127="EE",P127="EEC",P127="CE",P127="CEC"),IF(T127="L",3,IF(T127="A",4,6)))))))</f>
        <v/>
      </c>
      <c r="V127" s="443"/>
      <c r="W127" s="445" t="str">
        <f>IF(V127="",U127,(U127*V127))</f>
        <v/>
      </c>
      <c r="X127" s="447"/>
      <c r="Y127" s="449"/>
      <c r="Z127" s="452"/>
      <c r="AA127" s="452"/>
      <c r="AB127" s="455" t="str">
        <f>CONCATENATE(Y127,AC127)</f>
        <v/>
      </c>
      <c r="AC127" s="455" t="str">
        <f>IF(ISBLANK(AA127),"",IF(OR(Y127="EE",Y127="EEC"),IF(AA127&gt;=3,IF(Z127&gt;=5,"H","A"),IF(AA127&gt;=2,IF(Z127&gt;=16,"H",IF(Z127&lt;=4,"L","A")),IF(Z127&lt;=15,"L","A"))),IF(OR(Y127="SE",Y127="CE",Y127="CEC",Y127="SEC"),IF(AA127&gt;=4,IF(Z127&gt;=6,"H","A"),IF(AA127&gt;=2,IF(Z127&gt;=20,"H",IF(Z127&lt;=5,"L","A")),IF(Z127&lt;=19,"L","A"))),IF(OR(Y127="ALI",Y127="AIE"),IF(AA127&gt;=6,IF(Z127&gt;=20,"H","A"),IF(AA127&gt;=2,IF(Z127&gt;=51,"H",IF(Z127&lt;=19,"L","A")),IF(Z127&lt;=50,"L","A")))))))</f>
        <v/>
      </c>
      <c r="AD127" s="438" t="str">
        <f>IF(ISBLANK(AA127),"",IF(Y127="ALI",IF(AC127="L",7,IF(AC127="A",10,15)),IF(Y127="AIE",IF(AC127="L",5,IF(AC127="A",7,10)),IF(OR(Y127="SE",Y127="SEC"),IF(AC127="L",4,IF(AC127="A",5,7)),IF(OR(Y127="EE",Y127="EEC",Y127="CE",Y127="CEC"),IF(AC127="L",3,IF(AC127="A",4,6)))))))</f>
        <v/>
      </c>
      <c r="AE127" s="458"/>
      <c r="AF127" s="461" t="str">
        <f>IF(AE127="",AD127,(AD127*AE127))</f>
        <v/>
      </c>
      <c r="AG127" s="464"/>
    </row>
    <row r="128" spans="2:33" ht="13.7" customHeight="1">
      <c r="B128" s="467"/>
      <c r="C128" s="470"/>
      <c r="D128" s="472"/>
      <c r="E128" s="475"/>
      <c r="F128" s="478"/>
      <c r="G128" s="481"/>
      <c r="H128" s="208"/>
      <c r="I128" s="481"/>
      <c r="J128" s="210"/>
      <c r="K128" s="456"/>
      <c r="L128" s="456"/>
      <c r="M128" s="484"/>
      <c r="N128" s="439"/>
      <c r="O128" s="487"/>
      <c r="P128" s="490"/>
      <c r="Q128" s="492"/>
      <c r="R128" s="492"/>
      <c r="S128" s="441"/>
      <c r="T128" s="441"/>
      <c r="U128" s="494"/>
      <c r="V128" s="443"/>
      <c r="W128" s="445"/>
      <c r="X128" s="447"/>
      <c r="Y128" s="450"/>
      <c r="Z128" s="453"/>
      <c r="AA128" s="453"/>
      <c r="AB128" s="456"/>
      <c r="AC128" s="456"/>
      <c r="AD128" s="439"/>
      <c r="AE128" s="459"/>
      <c r="AF128" s="462"/>
      <c r="AG128" s="464"/>
    </row>
    <row r="129" spans="2:33" ht="13.7" customHeight="1">
      <c r="B129" s="467"/>
      <c r="C129" s="470"/>
      <c r="D129" s="472"/>
      <c r="E129" s="475"/>
      <c r="F129" s="478"/>
      <c r="G129" s="481"/>
      <c r="H129" s="208"/>
      <c r="I129" s="481"/>
      <c r="J129" s="210"/>
      <c r="K129" s="456"/>
      <c r="L129" s="456"/>
      <c r="M129" s="484"/>
      <c r="N129" s="439"/>
      <c r="O129" s="487"/>
      <c r="P129" s="490"/>
      <c r="Q129" s="492"/>
      <c r="R129" s="492"/>
      <c r="S129" s="441"/>
      <c r="T129" s="441"/>
      <c r="U129" s="494"/>
      <c r="V129" s="443"/>
      <c r="W129" s="445"/>
      <c r="X129" s="447"/>
      <c r="Y129" s="450"/>
      <c r="Z129" s="453"/>
      <c r="AA129" s="453"/>
      <c r="AB129" s="456"/>
      <c r="AC129" s="456"/>
      <c r="AD129" s="439"/>
      <c r="AE129" s="459"/>
      <c r="AF129" s="462"/>
      <c r="AG129" s="464"/>
    </row>
    <row r="130" spans="2:33" ht="13.7" customHeight="1">
      <c r="B130" s="467"/>
      <c r="C130" s="470"/>
      <c r="D130" s="472"/>
      <c r="E130" s="475"/>
      <c r="F130" s="478"/>
      <c r="G130" s="481"/>
      <c r="H130" s="208"/>
      <c r="I130" s="481"/>
      <c r="J130" s="102"/>
      <c r="K130" s="456"/>
      <c r="L130" s="456"/>
      <c r="M130" s="484"/>
      <c r="N130" s="439"/>
      <c r="O130" s="487"/>
      <c r="P130" s="490"/>
      <c r="Q130" s="492"/>
      <c r="R130" s="492"/>
      <c r="S130" s="441"/>
      <c r="T130" s="441"/>
      <c r="U130" s="494"/>
      <c r="V130" s="443"/>
      <c r="W130" s="445"/>
      <c r="X130" s="447"/>
      <c r="Y130" s="450"/>
      <c r="Z130" s="453"/>
      <c r="AA130" s="453"/>
      <c r="AB130" s="456"/>
      <c r="AC130" s="456"/>
      <c r="AD130" s="439"/>
      <c r="AE130" s="459"/>
      <c r="AF130" s="462"/>
      <c r="AG130" s="464"/>
    </row>
    <row r="131" spans="2:33" ht="13.7" customHeight="1">
      <c r="B131" s="467"/>
      <c r="C131" s="470"/>
      <c r="D131" s="472"/>
      <c r="E131" s="475"/>
      <c r="F131" s="478"/>
      <c r="G131" s="481"/>
      <c r="H131" s="208"/>
      <c r="I131" s="481"/>
      <c r="J131" s="102"/>
      <c r="K131" s="456"/>
      <c r="L131" s="456"/>
      <c r="M131" s="484"/>
      <c r="N131" s="439"/>
      <c r="O131" s="487"/>
      <c r="P131" s="490"/>
      <c r="Q131" s="492"/>
      <c r="R131" s="492"/>
      <c r="S131" s="441"/>
      <c r="T131" s="441"/>
      <c r="U131" s="494"/>
      <c r="V131" s="443"/>
      <c r="W131" s="445"/>
      <c r="X131" s="447"/>
      <c r="Y131" s="450"/>
      <c r="Z131" s="453"/>
      <c r="AA131" s="453"/>
      <c r="AB131" s="456"/>
      <c r="AC131" s="456"/>
      <c r="AD131" s="439"/>
      <c r="AE131" s="459"/>
      <c r="AF131" s="462"/>
      <c r="AG131" s="464"/>
    </row>
    <row r="132" spans="2:33" ht="13.5" customHeight="1" thickBot="1">
      <c r="B132" s="468"/>
      <c r="C132" s="471"/>
      <c r="D132" s="473"/>
      <c r="E132" s="476"/>
      <c r="F132" s="479"/>
      <c r="G132" s="482"/>
      <c r="H132" s="209"/>
      <c r="I132" s="482"/>
      <c r="J132" s="209"/>
      <c r="K132" s="457"/>
      <c r="L132" s="457"/>
      <c r="M132" s="485"/>
      <c r="N132" s="440"/>
      <c r="O132" s="488"/>
      <c r="P132" s="491"/>
      <c r="Q132" s="493"/>
      <c r="R132" s="493"/>
      <c r="S132" s="442"/>
      <c r="T132" s="442"/>
      <c r="U132" s="495"/>
      <c r="V132" s="444"/>
      <c r="W132" s="446"/>
      <c r="X132" s="448"/>
      <c r="Y132" s="451"/>
      <c r="Z132" s="454"/>
      <c r="AA132" s="454"/>
      <c r="AB132" s="457"/>
      <c r="AC132" s="457"/>
      <c r="AD132" s="440"/>
      <c r="AE132" s="460"/>
      <c r="AF132" s="463"/>
      <c r="AG132" s="465"/>
    </row>
    <row r="133" spans="2:33" ht="13.7" customHeight="1">
      <c r="B133" s="466">
        <f>B127+1</f>
        <v>22</v>
      </c>
      <c r="C133" s="469"/>
      <c r="D133" s="469"/>
      <c r="E133" s="474"/>
      <c r="F133" s="477"/>
      <c r="G133" s="480">
        <f>ROW(H138)-ROW($H133)+1-COUNTBLANK($H133:$H138)</f>
        <v>0</v>
      </c>
      <c r="H133" s="208"/>
      <c r="I133" s="480">
        <f>ROW(J138)-ROW($J133)+1-COUNTBLANK($J133:$J138)</f>
        <v>0</v>
      </c>
      <c r="J133" s="207"/>
      <c r="K133" s="455" t="str">
        <f>CONCATENATE(F133,L133,E133)</f>
        <v>FALSO</v>
      </c>
      <c r="L133" s="455" t="b">
        <f>IF(ISBLANK(I133),"",IF(OR(F133="EE",F133="EEC"),IF(I133&gt;=3,IF(G133&gt;=5,"H","A"),IF(I133&gt;=2,IF(G133&gt;=16,"H",IF(G133&lt;=4,"L","A")),IF(G133&lt;=15,"L","A"))),IF(OR(F133="SE",F133="CE",F133="CEC",F133="SEC"),IF(I133&gt;=4,IF(G133&gt;=6,"H","A"),IF(I133&gt;=2,IF(G133&gt;=20,"H",IF(G133&lt;=5,"L","A")),IF(G133&lt;=19,"L","A"))),IF(OR(F133="ALI",F133="AIE"),IF(I133&gt;=6,IF(G133&gt;=20,"H","A"),IF(I133&gt;=2,IF(G133&gt;=51,"H",IF(G133&lt;=19,"L","A")),IF(G133&lt;=50,"L","A")))))))</f>
        <v>0</v>
      </c>
      <c r="M133" s="483" t="str">
        <f>IF(F133="","",IF(L133="L","Baixa",IF(L133="A","Média",IF(L133="","","Alta"))))</f>
        <v/>
      </c>
      <c r="N133" s="438" t="str">
        <f>IF(F133="","",IF(ISBLANK(I133),"",IF(F133="ALI",IF(L133="L",7,IF(L133="A",10,15)),IF(F133="AIE",IF(L133="L",5,IF(L133="A",7,10)),IF(OR(F133="SE",F133="SEC"),IF(L133="L",4,IF(L133="A",5,7)),IF(OR(F133="EE",F133="EEC",F133="CE",F133="CEC"),IF(L133="L",3,IF(L133="A",4,6))))))))</f>
        <v/>
      </c>
      <c r="O133" s="486"/>
      <c r="P133" s="489"/>
      <c r="Q133" s="492"/>
      <c r="R133" s="492"/>
      <c r="S133" s="441" t="str">
        <f>CONCATENATE(P133,T133)</f>
        <v/>
      </c>
      <c r="T133" s="441" t="str">
        <f>IF(ISBLANK(R133),"",IF(OR(P133="EE",P133="EEC"),IF(R133&gt;=3,IF(Q133&gt;=5,"H","A"),IF(R133&gt;=2,IF(Q133&gt;=16,"H",IF(Q133&lt;=4,"L","A")),IF(Q133&lt;=15,"L","A"))),IF(OR(P133="SE",P133="CE",P133="CEC",P133="SEC"),IF(R133&gt;=4,IF(Q133&gt;=6,"H","A"),IF(R133&gt;=2,IF(Q133&gt;=20,"H",IF(Q133&lt;=5,"L","A")),IF(Q133&lt;=19,"L","A"))),IF(OR(P133="ALI",P133="AIE"),IF(R133&gt;=6,IF(Q133&gt;=20,"H","A"),IF(R133&gt;=2,IF(Q133&gt;=51,"H",IF(Q133&lt;=19,"L","A")),IF(Q133&lt;=50,"L","A")))))))</f>
        <v/>
      </c>
      <c r="U133" s="494" t="str">
        <f>IF(ISBLANK(R133),"",IF(P133="ALI",IF(T133="L",7,IF(T133="A",10,15)),IF(P133="AIE",IF(T133="L",5,IF(T133="A",7,10)),IF(OR(P133="SE",P133="SEC"),IF(T133="L",4,IF(T133="A",5,7)),IF(OR(P133="EE",P133="EEC",P133="CE",P133="CEC"),IF(T133="L",3,IF(T133="A",4,6)))))))</f>
        <v/>
      </c>
      <c r="V133" s="443"/>
      <c r="W133" s="445" t="str">
        <f>IF(V133="",U133,(U133*V133))</f>
        <v/>
      </c>
      <c r="X133" s="447"/>
      <c r="Y133" s="449"/>
      <c r="Z133" s="452"/>
      <c r="AA133" s="452"/>
      <c r="AB133" s="455" t="str">
        <f>CONCATENATE(Y133,AC133)</f>
        <v/>
      </c>
      <c r="AC133" s="455" t="str">
        <f>IF(ISBLANK(AA133),"",IF(OR(Y133="EE",Y133="EEC"),IF(AA133&gt;=3,IF(Z133&gt;=5,"H","A"),IF(AA133&gt;=2,IF(Z133&gt;=16,"H",IF(Z133&lt;=4,"L","A")),IF(Z133&lt;=15,"L","A"))),IF(OR(Y133="SE",Y133="CE",Y133="CEC",Y133="SEC"),IF(AA133&gt;=4,IF(Z133&gt;=6,"H","A"),IF(AA133&gt;=2,IF(Z133&gt;=20,"H",IF(Z133&lt;=5,"L","A")),IF(Z133&lt;=19,"L","A"))),IF(OR(Y133="ALI",Y133="AIE"),IF(AA133&gt;=6,IF(Z133&gt;=20,"H","A"),IF(AA133&gt;=2,IF(Z133&gt;=51,"H",IF(Z133&lt;=19,"L","A")),IF(Z133&lt;=50,"L","A")))))))</f>
        <v/>
      </c>
      <c r="AD133" s="438" t="str">
        <f>IF(ISBLANK(AA133),"",IF(Y133="ALI",IF(AC133="L",7,IF(AC133="A",10,15)),IF(Y133="AIE",IF(AC133="L",5,IF(AC133="A",7,10)),IF(OR(Y133="SE",Y133="SEC"),IF(AC133="L",4,IF(AC133="A",5,7)),IF(OR(Y133="EE",Y133="EEC",Y133="CE",Y133="CEC"),IF(AC133="L",3,IF(AC133="A",4,6)))))))</f>
        <v/>
      </c>
      <c r="AE133" s="458"/>
      <c r="AF133" s="461" t="str">
        <f>IF(AE133="",AD133,(AD133*AE133))</f>
        <v/>
      </c>
      <c r="AG133" s="464"/>
    </row>
    <row r="134" spans="2:33" ht="13.7" customHeight="1">
      <c r="B134" s="504"/>
      <c r="C134" s="505"/>
      <c r="D134" s="505"/>
      <c r="E134" s="475"/>
      <c r="F134" s="506"/>
      <c r="G134" s="507"/>
      <c r="H134" s="208"/>
      <c r="I134" s="507"/>
      <c r="J134" s="210"/>
      <c r="K134" s="499"/>
      <c r="L134" s="499"/>
      <c r="M134" s="484"/>
      <c r="N134" s="500"/>
      <c r="O134" s="414"/>
      <c r="P134" s="508"/>
      <c r="Q134" s="492"/>
      <c r="R134" s="492"/>
      <c r="S134" s="441"/>
      <c r="T134" s="441"/>
      <c r="U134" s="494"/>
      <c r="V134" s="443"/>
      <c r="W134" s="445"/>
      <c r="X134" s="447"/>
      <c r="Y134" s="510"/>
      <c r="Z134" s="509"/>
      <c r="AA134" s="509"/>
      <c r="AB134" s="499"/>
      <c r="AC134" s="499"/>
      <c r="AD134" s="500"/>
      <c r="AE134" s="459"/>
      <c r="AF134" s="462"/>
      <c r="AG134" s="464"/>
    </row>
    <row r="135" spans="2:33" ht="13.7" customHeight="1">
      <c r="B135" s="504"/>
      <c r="C135" s="505"/>
      <c r="D135" s="505"/>
      <c r="E135" s="475"/>
      <c r="F135" s="506"/>
      <c r="G135" s="507"/>
      <c r="H135" s="208"/>
      <c r="I135" s="507"/>
      <c r="J135" s="210"/>
      <c r="K135" s="499"/>
      <c r="L135" s="499"/>
      <c r="M135" s="484"/>
      <c r="N135" s="500"/>
      <c r="O135" s="414"/>
      <c r="P135" s="508"/>
      <c r="Q135" s="492"/>
      <c r="R135" s="492"/>
      <c r="S135" s="441"/>
      <c r="T135" s="441"/>
      <c r="U135" s="494"/>
      <c r="V135" s="443"/>
      <c r="W135" s="445"/>
      <c r="X135" s="447"/>
      <c r="Y135" s="510"/>
      <c r="Z135" s="509"/>
      <c r="AA135" s="509"/>
      <c r="AB135" s="499"/>
      <c r="AC135" s="499"/>
      <c r="AD135" s="500"/>
      <c r="AE135" s="459"/>
      <c r="AF135" s="462"/>
      <c r="AG135" s="464"/>
    </row>
    <row r="136" spans="2:33" ht="13.7" customHeight="1">
      <c r="B136" s="467"/>
      <c r="C136" s="470"/>
      <c r="D136" s="472"/>
      <c r="E136" s="475"/>
      <c r="F136" s="478"/>
      <c r="G136" s="481"/>
      <c r="H136" s="208"/>
      <c r="I136" s="481"/>
      <c r="J136" s="210"/>
      <c r="K136" s="456"/>
      <c r="L136" s="456"/>
      <c r="M136" s="484"/>
      <c r="N136" s="439"/>
      <c r="O136" s="487"/>
      <c r="P136" s="490"/>
      <c r="Q136" s="492"/>
      <c r="R136" s="492"/>
      <c r="S136" s="441"/>
      <c r="T136" s="441"/>
      <c r="U136" s="494"/>
      <c r="V136" s="443"/>
      <c r="W136" s="445"/>
      <c r="X136" s="447"/>
      <c r="Y136" s="450"/>
      <c r="Z136" s="453"/>
      <c r="AA136" s="453"/>
      <c r="AB136" s="456"/>
      <c r="AC136" s="456"/>
      <c r="AD136" s="439"/>
      <c r="AE136" s="459"/>
      <c r="AF136" s="462"/>
      <c r="AG136" s="464"/>
    </row>
    <row r="137" spans="2:33" ht="13.7" customHeight="1">
      <c r="B137" s="467"/>
      <c r="C137" s="470"/>
      <c r="D137" s="472"/>
      <c r="E137" s="475"/>
      <c r="F137" s="478"/>
      <c r="G137" s="481"/>
      <c r="H137" s="208"/>
      <c r="I137" s="481"/>
      <c r="J137" s="210"/>
      <c r="K137" s="456"/>
      <c r="L137" s="456"/>
      <c r="M137" s="484"/>
      <c r="N137" s="439"/>
      <c r="O137" s="487"/>
      <c r="P137" s="490"/>
      <c r="Q137" s="492"/>
      <c r="R137" s="492"/>
      <c r="S137" s="441"/>
      <c r="T137" s="441"/>
      <c r="U137" s="494"/>
      <c r="V137" s="443"/>
      <c r="W137" s="445"/>
      <c r="X137" s="447"/>
      <c r="Y137" s="450"/>
      <c r="Z137" s="453"/>
      <c r="AA137" s="453"/>
      <c r="AB137" s="456"/>
      <c r="AC137" s="456"/>
      <c r="AD137" s="439"/>
      <c r="AE137" s="459"/>
      <c r="AF137" s="462"/>
      <c r="AG137" s="464"/>
    </row>
    <row r="138" spans="2:33" ht="13.7" customHeight="1" thickBot="1">
      <c r="B138" s="468"/>
      <c r="C138" s="471"/>
      <c r="D138" s="473"/>
      <c r="E138" s="476"/>
      <c r="F138" s="479"/>
      <c r="G138" s="482"/>
      <c r="H138" s="209"/>
      <c r="I138" s="482"/>
      <c r="J138" s="103"/>
      <c r="K138" s="457"/>
      <c r="L138" s="457"/>
      <c r="M138" s="485"/>
      <c r="N138" s="440"/>
      <c r="O138" s="488"/>
      <c r="P138" s="491"/>
      <c r="Q138" s="493"/>
      <c r="R138" s="493"/>
      <c r="S138" s="442"/>
      <c r="T138" s="442"/>
      <c r="U138" s="495"/>
      <c r="V138" s="444"/>
      <c r="W138" s="446"/>
      <c r="X138" s="448"/>
      <c r="Y138" s="451"/>
      <c r="Z138" s="454"/>
      <c r="AA138" s="454"/>
      <c r="AB138" s="457"/>
      <c r="AC138" s="457"/>
      <c r="AD138" s="440"/>
      <c r="AE138" s="460"/>
      <c r="AF138" s="463"/>
      <c r="AG138" s="465"/>
    </row>
    <row r="139" spans="2:33" ht="13.7" customHeight="1">
      <c r="B139" s="466">
        <f>B133+1</f>
        <v>23</v>
      </c>
      <c r="C139" s="469"/>
      <c r="D139" s="496"/>
      <c r="E139" s="474"/>
      <c r="F139" s="477"/>
      <c r="G139" s="480">
        <f>ROW(H143)-ROW($H139)+1-COUNTBLANK($H139:$H143)</f>
        <v>0</v>
      </c>
      <c r="H139" s="207"/>
      <c r="I139" s="480">
        <f>ROW(J143)-ROW($J139)+1-COUNTBLANK($J139:$J143)</f>
        <v>0</v>
      </c>
      <c r="J139" s="101"/>
      <c r="K139" s="455" t="str">
        <f>CONCATENATE(F139,L139,E139)</f>
        <v>FALSO</v>
      </c>
      <c r="L139" s="455" t="b">
        <f>IF(ISBLANK(I139),"",IF(OR(F139="EE",F139="EEC"),IF(I139&gt;=3,IF(G139&gt;=5,"H","A"),IF(I139&gt;=2,IF(G139&gt;=16,"H",IF(G139&lt;=4,"L","A")),IF(G139&lt;=15,"L","A"))),IF(OR(F139="SE",F139="CE",F139="CEC",F139="SEC"),IF(I139&gt;=4,IF(G139&gt;=6,"H","A"),IF(I139&gt;=2,IF(G139&gt;=20,"H",IF(G139&lt;=5,"L","A")),IF(G139&lt;=19,"L","A"))),IF(OR(F139="ALI",F139="AIE"),IF(I139&gt;=6,IF(G139&gt;=20,"H","A"),IF(I139&gt;=2,IF(G139&gt;=51,"H",IF(G139&lt;=19,"L","A")),IF(G139&lt;=50,"L","A")))))))</f>
        <v>0</v>
      </c>
      <c r="M139" s="483" t="str">
        <f>IF(F139="","",IF(L139="L","Baixa",IF(L139="A","Média",IF(L139="","","Alta"))))</f>
        <v/>
      </c>
      <c r="N139" s="438" t="str">
        <f>IF(F139="","",IF(ISBLANK(I139),"",IF(F139="ALI",IF(L139="L",7,IF(L139="A",10,15)),IF(F139="AIE",IF(L139="L",5,IF(L139="A",7,10)),IF(OR(F139="SE",F139="SEC"),IF(L139="L",4,IF(L139="A",5,7)),IF(OR(F139="EE",F139="EEC",F139="CE",F139="CEC"),IF(L139="L",3,IF(L139="A",4,6))))))))</f>
        <v/>
      </c>
      <c r="O139" s="501"/>
      <c r="P139" s="489"/>
      <c r="Q139" s="492"/>
      <c r="R139" s="492"/>
      <c r="S139" s="441" t="str">
        <f>CONCATENATE(P139,T139)</f>
        <v/>
      </c>
      <c r="T139" s="441" t="str">
        <f>IF(ISBLANK(R139),"",IF(OR(P139="EE",P139="EEC"),IF(R139&gt;=3,IF(Q139&gt;=5,"H","A"),IF(R139&gt;=2,IF(Q139&gt;=16,"H",IF(Q139&lt;=4,"L","A")),IF(Q139&lt;=15,"L","A"))),IF(OR(P139="SE",P139="CE",P139="CEC",P139="SEC"),IF(R139&gt;=4,IF(Q139&gt;=6,"H","A"),IF(R139&gt;=2,IF(Q139&gt;=20,"H",IF(Q139&lt;=5,"L","A")),IF(Q139&lt;=19,"L","A"))),IF(OR(P139="ALI",P139="AIE"),IF(R139&gt;=6,IF(Q139&gt;=20,"H","A"),IF(R139&gt;=2,IF(Q139&gt;=51,"H",IF(Q139&lt;=19,"L","A")),IF(Q139&lt;=50,"L","A")))))))</f>
        <v/>
      </c>
      <c r="U139" s="494" t="str">
        <f>IF(ISBLANK(R139),"",IF(P139="ALI",IF(T139="L",7,IF(T139="A",10,15)),IF(P139="AIE",IF(T139="L",5,IF(T139="A",7,10)),IF(OR(P139="SE",P139="SEC"),IF(T139="L",4,IF(T139="A",5,7)),IF(OR(P139="EE",P139="EEC",P139="CE",P139="CEC"),IF(T139="L",3,IF(T139="A",4,6)))))))</f>
        <v/>
      </c>
      <c r="V139" s="443"/>
      <c r="W139" s="445" t="str">
        <f>IF(V139="",U139,(U139*V139))</f>
        <v/>
      </c>
      <c r="X139" s="447"/>
      <c r="Y139" s="449"/>
      <c r="Z139" s="452"/>
      <c r="AA139" s="452"/>
      <c r="AB139" s="455" t="str">
        <f>CONCATENATE(Y139,AC139)</f>
        <v/>
      </c>
      <c r="AC139" s="455" t="str">
        <f>IF(ISBLANK(AA139),"",IF(OR(Y139="EE",Y139="EEC"),IF(AA139&gt;=3,IF(Z139&gt;=5,"H","A"),IF(AA139&gt;=2,IF(Z139&gt;=16,"H",IF(Z139&lt;=4,"L","A")),IF(Z139&lt;=15,"L","A"))),IF(OR(Y139="SE",Y139="CE",Y139="CEC",Y139="SEC"),IF(AA139&gt;=4,IF(Z139&gt;=6,"H","A"),IF(AA139&gt;=2,IF(Z139&gt;=20,"H",IF(Z139&lt;=5,"L","A")),IF(Z139&lt;=19,"L","A"))),IF(OR(Y139="ALI",Y139="AIE"),IF(AA139&gt;=6,IF(Z139&gt;=20,"H","A"),IF(AA139&gt;=2,IF(Z139&gt;=51,"H",IF(Z139&lt;=19,"L","A")),IF(Z139&lt;=50,"L","A")))))))</f>
        <v/>
      </c>
      <c r="AD139" s="438" t="str">
        <f>IF(ISBLANK(AA139),"",IF(Y139="ALI",IF(AC139="L",7,IF(AC139="A",10,15)),IF(Y139="AIE",IF(AC139="L",5,IF(AC139="A",7,10)),IF(OR(Y139="SE",Y139="SEC"),IF(AC139="L",4,IF(AC139="A",5,7)),IF(OR(Y139="EE",Y139="EEC",Y139="CE",Y139="CEC"),IF(AC139="L",3,IF(AC139="A",4,6)))))))</f>
        <v/>
      </c>
      <c r="AE139" s="458"/>
      <c r="AF139" s="461" t="str">
        <f>IF(AE139="",AD139,(AD139*AE139))</f>
        <v/>
      </c>
      <c r="AG139" s="464"/>
    </row>
    <row r="140" spans="2:33" ht="13.7" customHeight="1">
      <c r="B140" s="467"/>
      <c r="C140" s="470"/>
      <c r="D140" s="497"/>
      <c r="E140" s="475"/>
      <c r="F140" s="478"/>
      <c r="G140" s="481"/>
      <c r="H140" s="208"/>
      <c r="I140" s="481"/>
      <c r="J140" s="102"/>
      <c r="K140" s="456"/>
      <c r="L140" s="456"/>
      <c r="M140" s="484"/>
      <c r="N140" s="439"/>
      <c r="O140" s="502"/>
      <c r="P140" s="490"/>
      <c r="Q140" s="492"/>
      <c r="R140" s="492"/>
      <c r="S140" s="441"/>
      <c r="T140" s="441"/>
      <c r="U140" s="494"/>
      <c r="V140" s="443"/>
      <c r="W140" s="445"/>
      <c r="X140" s="447"/>
      <c r="Y140" s="450"/>
      <c r="Z140" s="453"/>
      <c r="AA140" s="453"/>
      <c r="AB140" s="456"/>
      <c r="AC140" s="456"/>
      <c r="AD140" s="439"/>
      <c r="AE140" s="459"/>
      <c r="AF140" s="462"/>
      <c r="AG140" s="464"/>
    </row>
    <row r="141" spans="2:33" ht="13.7" customHeight="1">
      <c r="B141" s="467"/>
      <c r="C141" s="470"/>
      <c r="D141" s="497"/>
      <c r="E141" s="475"/>
      <c r="F141" s="478"/>
      <c r="G141" s="481"/>
      <c r="H141" s="208"/>
      <c r="I141" s="481"/>
      <c r="J141" s="102"/>
      <c r="K141" s="456"/>
      <c r="L141" s="456"/>
      <c r="M141" s="484"/>
      <c r="N141" s="439"/>
      <c r="O141" s="502"/>
      <c r="P141" s="490"/>
      <c r="Q141" s="492"/>
      <c r="R141" s="492"/>
      <c r="S141" s="441"/>
      <c r="T141" s="441"/>
      <c r="U141" s="494"/>
      <c r="V141" s="443"/>
      <c r="W141" s="445"/>
      <c r="X141" s="447"/>
      <c r="Y141" s="450"/>
      <c r="Z141" s="453"/>
      <c r="AA141" s="453"/>
      <c r="AB141" s="456"/>
      <c r="AC141" s="456"/>
      <c r="AD141" s="439"/>
      <c r="AE141" s="459"/>
      <c r="AF141" s="462"/>
      <c r="AG141" s="464"/>
    </row>
    <row r="142" spans="2:33" ht="13.7" customHeight="1">
      <c r="B142" s="467"/>
      <c r="C142" s="470"/>
      <c r="D142" s="497"/>
      <c r="E142" s="475"/>
      <c r="F142" s="478"/>
      <c r="G142" s="481"/>
      <c r="H142" s="208"/>
      <c r="I142" s="481"/>
      <c r="J142" s="102"/>
      <c r="K142" s="456"/>
      <c r="L142" s="456"/>
      <c r="M142" s="484"/>
      <c r="N142" s="439"/>
      <c r="O142" s="502"/>
      <c r="P142" s="490"/>
      <c r="Q142" s="492"/>
      <c r="R142" s="492"/>
      <c r="S142" s="441"/>
      <c r="T142" s="441"/>
      <c r="U142" s="494"/>
      <c r="V142" s="443"/>
      <c r="W142" s="445"/>
      <c r="X142" s="447"/>
      <c r="Y142" s="450"/>
      <c r="Z142" s="453"/>
      <c r="AA142" s="453"/>
      <c r="AB142" s="456"/>
      <c r="AC142" s="456"/>
      <c r="AD142" s="439"/>
      <c r="AE142" s="459"/>
      <c r="AF142" s="462"/>
      <c r="AG142" s="464"/>
    </row>
    <row r="143" spans="2:33" ht="13.7" customHeight="1" thickBot="1">
      <c r="B143" s="468"/>
      <c r="C143" s="471"/>
      <c r="D143" s="498"/>
      <c r="E143" s="476"/>
      <c r="F143" s="479"/>
      <c r="G143" s="482"/>
      <c r="H143" s="209"/>
      <c r="I143" s="482"/>
      <c r="J143" s="103"/>
      <c r="K143" s="457"/>
      <c r="L143" s="457"/>
      <c r="M143" s="485"/>
      <c r="N143" s="440"/>
      <c r="O143" s="503"/>
      <c r="P143" s="491"/>
      <c r="Q143" s="493"/>
      <c r="R143" s="493"/>
      <c r="S143" s="442"/>
      <c r="T143" s="442"/>
      <c r="U143" s="495"/>
      <c r="V143" s="444"/>
      <c r="W143" s="446"/>
      <c r="X143" s="448"/>
      <c r="Y143" s="451"/>
      <c r="Z143" s="454"/>
      <c r="AA143" s="454"/>
      <c r="AB143" s="457"/>
      <c r="AC143" s="457"/>
      <c r="AD143" s="440"/>
      <c r="AE143" s="460"/>
      <c r="AF143" s="463"/>
      <c r="AG143" s="465"/>
    </row>
  </sheetData>
  <mergeCells count="712">
    <mergeCell ref="O133:O138"/>
    <mergeCell ref="P133:P138"/>
    <mergeCell ref="Q133:Q138"/>
    <mergeCell ref="R133:R138"/>
    <mergeCell ref="S133:S138"/>
    <mergeCell ref="Z133:Z138"/>
    <mergeCell ref="AA133:AA138"/>
    <mergeCell ref="B133:B138"/>
    <mergeCell ref="C133:C138"/>
    <mergeCell ref="D133:D138"/>
    <mergeCell ref="M133:M138"/>
    <mergeCell ref="N133:N138"/>
    <mergeCell ref="B139:B143"/>
    <mergeCell ref="C139:C143"/>
    <mergeCell ref="D139:D143"/>
    <mergeCell ref="E139:E143"/>
    <mergeCell ref="F139:F143"/>
    <mergeCell ref="G139:G143"/>
    <mergeCell ref="I139:I143"/>
    <mergeCell ref="K139:K143"/>
    <mergeCell ref="L139:L143"/>
    <mergeCell ref="Z139:Z143"/>
    <mergeCell ref="AA139:AA143"/>
    <mergeCell ref="T133:T138"/>
    <mergeCell ref="U133:U138"/>
    <mergeCell ref="V133:V138"/>
    <mergeCell ref="V139:V143"/>
    <mergeCell ref="W139:W143"/>
    <mergeCell ref="X139:X143"/>
    <mergeCell ref="Y139:Y143"/>
    <mergeCell ref="W133:W138"/>
    <mergeCell ref="X133:X138"/>
    <mergeCell ref="Y133:Y138"/>
    <mergeCell ref="M139:M143"/>
    <mergeCell ref="N139:N143"/>
    <mergeCell ref="O139:O143"/>
    <mergeCell ref="P139:P143"/>
    <mergeCell ref="Q139:Q143"/>
    <mergeCell ref="R139:R143"/>
    <mergeCell ref="S139:S143"/>
    <mergeCell ref="T139:T143"/>
    <mergeCell ref="U139:U143"/>
    <mergeCell ref="AE139:AE143"/>
    <mergeCell ref="AF139:AF143"/>
    <mergeCell ref="AG139:AG143"/>
    <mergeCell ref="AF133:AF138"/>
    <mergeCell ref="AG133:AG138"/>
    <mergeCell ref="AB133:AB138"/>
    <mergeCell ref="AC133:AC138"/>
    <mergeCell ref="AD133:AD138"/>
    <mergeCell ref="AE133:AE138"/>
    <mergeCell ref="AB139:AB143"/>
    <mergeCell ref="AC139:AC143"/>
    <mergeCell ref="AD139:AD143"/>
    <mergeCell ref="B40:B45"/>
    <mergeCell ref="C40:C45"/>
    <mergeCell ref="D40:D45"/>
    <mergeCell ref="E40:E45"/>
    <mergeCell ref="F40:F45"/>
    <mergeCell ref="G40:G45"/>
    <mergeCell ref="I40:I45"/>
    <mergeCell ref="K40:K45"/>
    <mergeCell ref="L40:L45"/>
    <mergeCell ref="AF29:AF33"/>
    <mergeCell ref="AG29:AG33"/>
    <mergeCell ref="E133:E138"/>
    <mergeCell ref="F133:F138"/>
    <mergeCell ref="G133:G138"/>
    <mergeCell ref="I133:I138"/>
    <mergeCell ref="K133:K138"/>
    <mergeCell ref="L133:L138"/>
    <mergeCell ref="AF34:AF39"/>
    <mergeCell ref="AG34:AG39"/>
    <mergeCell ref="M40:M45"/>
    <mergeCell ref="N40:N45"/>
    <mergeCell ref="O40:O45"/>
    <mergeCell ref="P40:P45"/>
    <mergeCell ref="Q40:Q45"/>
    <mergeCell ref="R40:R45"/>
    <mergeCell ref="S40:S45"/>
    <mergeCell ref="T40:T45"/>
    <mergeCell ref="AC40:AC45"/>
    <mergeCell ref="AD40:AD45"/>
    <mergeCell ref="AE40:AE45"/>
    <mergeCell ref="AF40:AF45"/>
    <mergeCell ref="AG40:AG45"/>
    <mergeCell ref="V40:V45"/>
    <mergeCell ref="Y40:Y45"/>
    <mergeCell ref="Z40:Z45"/>
    <mergeCell ref="AA40:AA45"/>
    <mergeCell ref="AB40:AB45"/>
    <mergeCell ref="Y29:Y33"/>
    <mergeCell ref="Z29:Z33"/>
    <mergeCell ref="AA29:AA33"/>
    <mergeCell ref="AB29:AB33"/>
    <mergeCell ref="W34:W39"/>
    <mergeCell ref="X34:X39"/>
    <mergeCell ref="Y34:Y39"/>
    <mergeCell ref="Z34:Z39"/>
    <mergeCell ref="AA34:AA39"/>
    <mergeCell ref="AB34:AB39"/>
    <mergeCell ref="W40:W45"/>
    <mergeCell ref="M34:M39"/>
    <mergeCell ref="N34:N39"/>
    <mergeCell ref="O34:O39"/>
    <mergeCell ref="P34:P39"/>
    <mergeCell ref="Q34:Q39"/>
    <mergeCell ref="R34:R39"/>
    <mergeCell ref="S34:S39"/>
    <mergeCell ref="T34:T39"/>
    <mergeCell ref="X40:X45"/>
    <mergeCell ref="U40:U45"/>
    <mergeCell ref="B34:B39"/>
    <mergeCell ref="C34:C39"/>
    <mergeCell ref="D34:D39"/>
    <mergeCell ref="E34:E39"/>
    <mergeCell ref="F34:F39"/>
    <mergeCell ref="G34:G39"/>
    <mergeCell ref="I34:I39"/>
    <mergeCell ref="K34:K39"/>
    <mergeCell ref="L34:L39"/>
    <mergeCell ref="W23:W28"/>
    <mergeCell ref="U34:U39"/>
    <mergeCell ref="V34:V39"/>
    <mergeCell ref="AC34:AC39"/>
    <mergeCell ref="AD34:AD39"/>
    <mergeCell ref="AE34:AE39"/>
    <mergeCell ref="X23:X28"/>
    <mergeCell ref="Y23:Y28"/>
    <mergeCell ref="Z23:Z28"/>
    <mergeCell ref="AA23:AA28"/>
    <mergeCell ref="AB23:AB28"/>
    <mergeCell ref="AC23:AC28"/>
    <mergeCell ref="AD23:AD28"/>
    <mergeCell ref="AE23:AE28"/>
    <mergeCell ref="AC29:AC33"/>
    <mergeCell ref="AD29:AD33"/>
    <mergeCell ref="AE29:AE33"/>
    <mergeCell ref="V23:V28"/>
    <mergeCell ref="AG23:AG28"/>
    <mergeCell ref="AF23:AF28"/>
    <mergeCell ref="B29:B33"/>
    <mergeCell ref="C29:C33"/>
    <mergeCell ref="D29:D33"/>
    <mergeCell ref="E29:E33"/>
    <mergeCell ref="F29:F33"/>
    <mergeCell ref="G29:G33"/>
    <mergeCell ref="I29:I33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T29:T33"/>
    <mergeCell ref="U29:U33"/>
    <mergeCell ref="V29:V33"/>
    <mergeCell ref="W29:W33"/>
    <mergeCell ref="X29:X33"/>
    <mergeCell ref="M23:M28"/>
    <mergeCell ref="N23:N28"/>
    <mergeCell ref="O23:O28"/>
    <mergeCell ref="P23:P28"/>
    <mergeCell ref="Q23:Q28"/>
    <mergeCell ref="R23:R28"/>
    <mergeCell ref="S23:S28"/>
    <mergeCell ref="T23:T28"/>
    <mergeCell ref="U23:U28"/>
    <mergeCell ref="B23:B28"/>
    <mergeCell ref="C23:C28"/>
    <mergeCell ref="D23:D28"/>
    <mergeCell ref="E23:E28"/>
    <mergeCell ref="F23:F28"/>
    <mergeCell ref="G23:G28"/>
    <mergeCell ref="I23:I28"/>
    <mergeCell ref="K23:K28"/>
    <mergeCell ref="L23:L28"/>
    <mergeCell ref="Y17:Y22"/>
    <mergeCell ref="Z17:Z22"/>
    <mergeCell ref="AA17:AA22"/>
    <mergeCell ref="AB17:AB22"/>
    <mergeCell ref="AC17:AC22"/>
    <mergeCell ref="AD17:AD22"/>
    <mergeCell ref="AE17:AE22"/>
    <mergeCell ref="AF17:AF22"/>
    <mergeCell ref="AG17:AG22"/>
    <mergeCell ref="AE11:AE16"/>
    <mergeCell ref="AF11:AF16"/>
    <mergeCell ref="AG11:AG16"/>
    <mergeCell ref="B17:B22"/>
    <mergeCell ref="C17:C22"/>
    <mergeCell ref="D17:D22"/>
    <mergeCell ref="E17:E22"/>
    <mergeCell ref="F17:F22"/>
    <mergeCell ref="G17:G22"/>
    <mergeCell ref="I17:I22"/>
    <mergeCell ref="K17:K22"/>
    <mergeCell ref="L17:L22"/>
    <mergeCell ref="M17:M22"/>
    <mergeCell ref="N17:N22"/>
    <mergeCell ref="O17:O22"/>
    <mergeCell ref="P17:P22"/>
    <mergeCell ref="Q17:Q22"/>
    <mergeCell ref="R17:R22"/>
    <mergeCell ref="S17:S22"/>
    <mergeCell ref="T17:T22"/>
    <mergeCell ref="U17:U22"/>
    <mergeCell ref="V17:V22"/>
    <mergeCell ref="W17:W22"/>
    <mergeCell ref="X17:X22"/>
    <mergeCell ref="V11:V16"/>
    <mergeCell ref="W11:W16"/>
    <mergeCell ref="X11:X16"/>
    <mergeCell ref="Y11:Y16"/>
    <mergeCell ref="Z11:Z16"/>
    <mergeCell ref="AA11:AA16"/>
    <mergeCell ref="AB11:AB16"/>
    <mergeCell ref="AC11:AC16"/>
    <mergeCell ref="AD11:AD16"/>
    <mergeCell ref="M11:M16"/>
    <mergeCell ref="N11:N16"/>
    <mergeCell ref="O11:O16"/>
    <mergeCell ref="P11:P16"/>
    <mergeCell ref="Q11:Q16"/>
    <mergeCell ref="R11:R16"/>
    <mergeCell ref="S11:S16"/>
    <mergeCell ref="T11:T16"/>
    <mergeCell ref="U11:U16"/>
    <mergeCell ref="L9:L10"/>
    <mergeCell ref="B11:B16"/>
    <mergeCell ref="C11:C16"/>
    <mergeCell ref="D11:D16"/>
    <mergeCell ref="E11:E16"/>
    <mergeCell ref="F11:F16"/>
    <mergeCell ref="G11:G16"/>
    <mergeCell ref="I11:I16"/>
    <mergeCell ref="K11:K16"/>
    <mergeCell ref="L11:L16"/>
    <mergeCell ref="O46:O51"/>
    <mergeCell ref="P46:P51"/>
    <mergeCell ref="Q46:Q51"/>
    <mergeCell ref="F7:F8"/>
    <mergeCell ref="B7:E7"/>
    <mergeCell ref="B8:E8"/>
    <mergeCell ref="P9:X9"/>
    <mergeCell ref="F9:F10"/>
    <mergeCell ref="G9:G10"/>
    <mergeCell ref="B9:B10"/>
    <mergeCell ref="C9:C10"/>
    <mergeCell ref="D9:D10"/>
    <mergeCell ref="E9:E10"/>
    <mergeCell ref="H9:H10"/>
    <mergeCell ref="I9:I10"/>
    <mergeCell ref="J9:J10"/>
    <mergeCell ref="R46:R51"/>
    <mergeCell ref="S46:S51"/>
    <mergeCell ref="T46:T51"/>
    <mergeCell ref="U46:U51"/>
    <mergeCell ref="V46:V51"/>
    <mergeCell ref="W46:W51"/>
    <mergeCell ref="X46:X51"/>
    <mergeCell ref="K9:K10"/>
    <mergeCell ref="V52:V57"/>
    <mergeCell ref="W52:W57"/>
    <mergeCell ref="X52:X57"/>
    <mergeCell ref="Y52:Y57"/>
    <mergeCell ref="Z52:Z57"/>
    <mergeCell ref="U127:U132"/>
    <mergeCell ref="C4:AF4"/>
    <mergeCell ref="Y9:AG9"/>
    <mergeCell ref="O9:O10"/>
    <mergeCell ref="M9:M10"/>
    <mergeCell ref="N9:N10"/>
    <mergeCell ref="B6:AG6"/>
    <mergeCell ref="G7:AG8"/>
    <mergeCell ref="B46:B51"/>
    <mergeCell ref="C46:C51"/>
    <mergeCell ref="D46:D51"/>
    <mergeCell ref="E46:E51"/>
    <mergeCell ref="F46:F51"/>
    <mergeCell ref="G46:G51"/>
    <mergeCell ref="I46:I51"/>
    <mergeCell ref="K46:K51"/>
    <mergeCell ref="L46:L51"/>
    <mergeCell ref="M46:M51"/>
    <mergeCell ref="N46:N51"/>
    <mergeCell ref="M52:M57"/>
    <mergeCell ref="N52:N57"/>
    <mergeCell ref="O52:O57"/>
    <mergeCell ref="P52:P57"/>
    <mergeCell ref="Q52:Q57"/>
    <mergeCell ref="R52:R57"/>
    <mergeCell ref="S52:S57"/>
    <mergeCell ref="T52:T57"/>
    <mergeCell ref="U52:U57"/>
    <mergeCell ref="B52:B57"/>
    <mergeCell ref="C52:C57"/>
    <mergeCell ref="D52:D57"/>
    <mergeCell ref="E52:E57"/>
    <mergeCell ref="F52:F57"/>
    <mergeCell ref="G52:G57"/>
    <mergeCell ref="I52:I57"/>
    <mergeCell ref="K52:K57"/>
    <mergeCell ref="L52:L57"/>
    <mergeCell ref="Y46:Y51"/>
    <mergeCell ref="Z46:Z51"/>
    <mergeCell ref="AA46:AA51"/>
    <mergeCell ref="AB46:AB51"/>
    <mergeCell ref="AC46:AC51"/>
    <mergeCell ref="AD46:AD51"/>
    <mergeCell ref="AE46:AE51"/>
    <mergeCell ref="AF46:AF51"/>
    <mergeCell ref="AG46:AG51"/>
    <mergeCell ref="AE52:AE57"/>
    <mergeCell ref="AF52:AF57"/>
    <mergeCell ref="AG52:AG57"/>
    <mergeCell ref="B58:B62"/>
    <mergeCell ref="C58:C62"/>
    <mergeCell ref="D58:D62"/>
    <mergeCell ref="E58:E62"/>
    <mergeCell ref="F58:F62"/>
    <mergeCell ref="G58:G62"/>
    <mergeCell ref="I58:I62"/>
    <mergeCell ref="K58:K62"/>
    <mergeCell ref="L58:L62"/>
    <mergeCell ref="M58:M62"/>
    <mergeCell ref="N58:N62"/>
    <mergeCell ref="O58:O62"/>
    <mergeCell ref="P58:P62"/>
    <mergeCell ref="Q58:Q62"/>
    <mergeCell ref="R58:R62"/>
    <mergeCell ref="S58:S62"/>
    <mergeCell ref="T58:T62"/>
    <mergeCell ref="U58:U62"/>
    <mergeCell ref="V58:V62"/>
    <mergeCell ref="W58:W62"/>
    <mergeCell ref="X58:X62"/>
    <mergeCell ref="Y63:Y68"/>
    <mergeCell ref="Z63:Z68"/>
    <mergeCell ref="AA63:AA68"/>
    <mergeCell ref="AB63:AB68"/>
    <mergeCell ref="AC63:AC68"/>
    <mergeCell ref="AD63:AD68"/>
    <mergeCell ref="AA52:AA57"/>
    <mergeCell ref="AB52:AB57"/>
    <mergeCell ref="AC52:AC57"/>
    <mergeCell ref="AD52:AD57"/>
    <mergeCell ref="Y58:Y62"/>
    <mergeCell ref="Z58:Z62"/>
    <mergeCell ref="AA58:AA62"/>
    <mergeCell ref="AB58:AB62"/>
    <mergeCell ref="AC58:AC62"/>
    <mergeCell ref="AD58:AD62"/>
    <mergeCell ref="AE58:AE62"/>
    <mergeCell ref="AF58:AF62"/>
    <mergeCell ref="AG58:AG62"/>
    <mergeCell ref="B63:B68"/>
    <mergeCell ref="C63:C68"/>
    <mergeCell ref="D63:D68"/>
    <mergeCell ref="E63:E68"/>
    <mergeCell ref="F63:F68"/>
    <mergeCell ref="G63:G68"/>
    <mergeCell ref="I63:I68"/>
    <mergeCell ref="K63:K68"/>
    <mergeCell ref="L63:L68"/>
    <mergeCell ref="M63:M68"/>
    <mergeCell ref="N63:N68"/>
    <mergeCell ref="O63:O68"/>
    <mergeCell ref="P63:P68"/>
    <mergeCell ref="Q63:Q68"/>
    <mergeCell ref="R63:R68"/>
    <mergeCell ref="S63:S68"/>
    <mergeCell ref="T63:T68"/>
    <mergeCell ref="U63:U68"/>
    <mergeCell ref="V63:V68"/>
    <mergeCell ref="W63:W68"/>
    <mergeCell ref="X63:X68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3:AE68"/>
    <mergeCell ref="AF63:AF68"/>
    <mergeCell ref="AG63:AG68"/>
    <mergeCell ref="AE69:AE74"/>
    <mergeCell ref="AF69:AF74"/>
    <mergeCell ref="AG69:AG74"/>
    <mergeCell ref="B69:B74"/>
    <mergeCell ref="C69:C74"/>
    <mergeCell ref="D69:D74"/>
    <mergeCell ref="E69:E74"/>
    <mergeCell ref="F69:F74"/>
    <mergeCell ref="G69:G74"/>
    <mergeCell ref="I69:I74"/>
    <mergeCell ref="K69:K74"/>
    <mergeCell ref="L69:L74"/>
    <mergeCell ref="M69:M74"/>
    <mergeCell ref="N69:N74"/>
    <mergeCell ref="O69:O74"/>
    <mergeCell ref="P69:P74"/>
    <mergeCell ref="Q69:Q74"/>
    <mergeCell ref="R69:R74"/>
    <mergeCell ref="S69:S74"/>
    <mergeCell ref="T69:T74"/>
    <mergeCell ref="U69:U74"/>
    <mergeCell ref="U75:U80"/>
    <mergeCell ref="B75:B80"/>
    <mergeCell ref="C75:C80"/>
    <mergeCell ref="D75:D80"/>
    <mergeCell ref="E75:E80"/>
    <mergeCell ref="F75:F80"/>
    <mergeCell ref="G75:G80"/>
    <mergeCell ref="I75:I80"/>
    <mergeCell ref="K75:K80"/>
    <mergeCell ref="L75:L80"/>
    <mergeCell ref="S81:S86"/>
    <mergeCell ref="M75:M80"/>
    <mergeCell ref="N75:N80"/>
    <mergeCell ref="O75:O80"/>
    <mergeCell ref="P75:P80"/>
    <mergeCell ref="Q75:Q80"/>
    <mergeCell ref="R75:R80"/>
    <mergeCell ref="S75:S80"/>
    <mergeCell ref="T75:T80"/>
    <mergeCell ref="B81:B86"/>
    <mergeCell ref="C81:C86"/>
    <mergeCell ref="D81:D86"/>
    <mergeCell ref="E81:E86"/>
    <mergeCell ref="F81:F86"/>
    <mergeCell ref="G81:G86"/>
    <mergeCell ref="I81:I86"/>
    <mergeCell ref="K81:K86"/>
    <mergeCell ref="L81:L86"/>
    <mergeCell ref="AC81:AC86"/>
    <mergeCell ref="AD81:AD86"/>
    <mergeCell ref="AE81:AE86"/>
    <mergeCell ref="AF81:AF86"/>
    <mergeCell ref="AG81:AG86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80"/>
    <mergeCell ref="AG75:AG80"/>
    <mergeCell ref="U92:U97"/>
    <mergeCell ref="V92:V97"/>
    <mergeCell ref="B87:B91"/>
    <mergeCell ref="C87:C91"/>
    <mergeCell ref="D87:D91"/>
    <mergeCell ref="E87:E91"/>
    <mergeCell ref="F87:F91"/>
    <mergeCell ref="G87:G91"/>
    <mergeCell ref="I87:I91"/>
    <mergeCell ref="K87:K91"/>
    <mergeCell ref="L87:L91"/>
    <mergeCell ref="T87:T91"/>
    <mergeCell ref="U87:U91"/>
    <mergeCell ref="V87:V91"/>
    <mergeCell ref="U81:U86"/>
    <mergeCell ref="V81:V86"/>
    <mergeCell ref="W81:W86"/>
    <mergeCell ref="X81:X86"/>
    <mergeCell ref="Y81:Y86"/>
    <mergeCell ref="AA87:AA91"/>
    <mergeCell ref="AB87:AB91"/>
    <mergeCell ref="M87:M91"/>
    <mergeCell ref="N87:N91"/>
    <mergeCell ref="O87:O91"/>
    <mergeCell ref="P87:P91"/>
    <mergeCell ref="Q87:Q91"/>
    <mergeCell ref="R87:R91"/>
    <mergeCell ref="S87:S91"/>
    <mergeCell ref="T81:T86"/>
    <mergeCell ref="Z81:Z86"/>
    <mergeCell ref="AA81:AA86"/>
    <mergeCell ref="AB81:AB86"/>
    <mergeCell ref="M81:M86"/>
    <mergeCell ref="N81:N86"/>
    <mergeCell ref="O81:O86"/>
    <mergeCell ref="P81:P86"/>
    <mergeCell ref="Q81:Q86"/>
    <mergeCell ref="R81:R86"/>
    <mergeCell ref="AC87:AC91"/>
    <mergeCell ref="AD87:AD91"/>
    <mergeCell ref="AE87:AE91"/>
    <mergeCell ref="AF87:AF91"/>
    <mergeCell ref="AG87:AG91"/>
    <mergeCell ref="B92:B97"/>
    <mergeCell ref="C92:C97"/>
    <mergeCell ref="D92:D97"/>
    <mergeCell ref="E92:E97"/>
    <mergeCell ref="F92:F97"/>
    <mergeCell ref="G92:G97"/>
    <mergeCell ref="I92:I97"/>
    <mergeCell ref="K92:K97"/>
    <mergeCell ref="L92:L97"/>
    <mergeCell ref="M92:M97"/>
    <mergeCell ref="N92:N97"/>
    <mergeCell ref="O92:O97"/>
    <mergeCell ref="P92:P97"/>
    <mergeCell ref="Q92:Q97"/>
    <mergeCell ref="R92:R97"/>
    <mergeCell ref="S92:S97"/>
    <mergeCell ref="T92:T97"/>
    <mergeCell ref="AA92:AA97"/>
    <mergeCell ref="AB92:AB97"/>
    <mergeCell ref="V98:V103"/>
    <mergeCell ref="W98:W103"/>
    <mergeCell ref="X98:X103"/>
    <mergeCell ref="Y98:Y103"/>
    <mergeCell ref="Z98:Z103"/>
    <mergeCell ref="W87:W91"/>
    <mergeCell ref="X87:X91"/>
    <mergeCell ref="Y87:Y91"/>
    <mergeCell ref="Z87:Z91"/>
    <mergeCell ref="Y92:Y97"/>
    <mergeCell ref="Z92:Z97"/>
    <mergeCell ref="W92:W97"/>
    <mergeCell ref="X92:X97"/>
    <mergeCell ref="M98:M103"/>
    <mergeCell ref="N98:N103"/>
    <mergeCell ref="O98:O103"/>
    <mergeCell ref="P98:P103"/>
    <mergeCell ref="Q98:Q103"/>
    <mergeCell ref="R98:R103"/>
    <mergeCell ref="S98:S103"/>
    <mergeCell ref="T98:T103"/>
    <mergeCell ref="U98:U103"/>
    <mergeCell ref="B98:B103"/>
    <mergeCell ref="C98:C103"/>
    <mergeCell ref="D98:D103"/>
    <mergeCell ref="E98:E103"/>
    <mergeCell ref="F98:F103"/>
    <mergeCell ref="G98:G103"/>
    <mergeCell ref="I98:I103"/>
    <mergeCell ref="K98:K103"/>
    <mergeCell ref="L98:L103"/>
    <mergeCell ref="AC92:AC97"/>
    <mergeCell ref="AD92:AD97"/>
    <mergeCell ref="AE92:AE97"/>
    <mergeCell ref="AF92:AF97"/>
    <mergeCell ref="AG92:AG97"/>
    <mergeCell ref="AE98:AE103"/>
    <mergeCell ref="AF98:AF103"/>
    <mergeCell ref="AG98:AG103"/>
    <mergeCell ref="B104:B109"/>
    <mergeCell ref="C104:C109"/>
    <mergeCell ref="D104:D109"/>
    <mergeCell ref="E104:E109"/>
    <mergeCell ref="F104:F109"/>
    <mergeCell ref="G104:G109"/>
    <mergeCell ref="I104:I109"/>
    <mergeCell ref="K104:K109"/>
    <mergeCell ref="L104:L109"/>
    <mergeCell ref="M104:M109"/>
    <mergeCell ref="N104:N109"/>
    <mergeCell ref="O104:O109"/>
    <mergeCell ref="P104:P109"/>
    <mergeCell ref="Q104:Q109"/>
    <mergeCell ref="R104:R109"/>
    <mergeCell ref="S104:S109"/>
    <mergeCell ref="T104:T109"/>
    <mergeCell ref="U104:U109"/>
    <mergeCell ref="V104:V109"/>
    <mergeCell ref="W104:W109"/>
    <mergeCell ref="X104:X109"/>
    <mergeCell ref="W110:W115"/>
    <mergeCell ref="X110:X115"/>
    <mergeCell ref="Y110:Y115"/>
    <mergeCell ref="Z110:Z115"/>
    <mergeCell ref="AA98:AA103"/>
    <mergeCell ref="AB98:AB103"/>
    <mergeCell ref="AC98:AC103"/>
    <mergeCell ref="AD98:AD103"/>
    <mergeCell ref="Y104:Y109"/>
    <mergeCell ref="Z104:Z109"/>
    <mergeCell ref="AA104:AA109"/>
    <mergeCell ref="AB104:AB109"/>
    <mergeCell ref="AC104:AC109"/>
    <mergeCell ref="AD104:AD109"/>
    <mergeCell ref="AE104:AE109"/>
    <mergeCell ref="AF104:AF109"/>
    <mergeCell ref="AG104:AG109"/>
    <mergeCell ref="B110:B115"/>
    <mergeCell ref="C110:C115"/>
    <mergeCell ref="D110:D115"/>
    <mergeCell ref="E110:E115"/>
    <mergeCell ref="F110:F115"/>
    <mergeCell ref="G110:G115"/>
    <mergeCell ref="I110:I115"/>
    <mergeCell ref="K110:K115"/>
    <mergeCell ref="L110:L115"/>
    <mergeCell ref="M110:M115"/>
    <mergeCell ref="N110:N115"/>
    <mergeCell ref="O110:O115"/>
    <mergeCell ref="P110:P115"/>
    <mergeCell ref="Q110:Q115"/>
    <mergeCell ref="R110:R115"/>
    <mergeCell ref="S110:S115"/>
    <mergeCell ref="T110:T115"/>
    <mergeCell ref="U110:U115"/>
    <mergeCell ref="V110:V115"/>
    <mergeCell ref="AA110:AA115"/>
    <mergeCell ref="AB110:AB115"/>
    <mergeCell ref="V116:V120"/>
    <mergeCell ref="W116:W120"/>
    <mergeCell ref="X116:X120"/>
    <mergeCell ref="Y116:Y120"/>
    <mergeCell ref="Z116:Z120"/>
    <mergeCell ref="AA116:AA120"/>
    <mergeCell ref="AB116:AB120"/>
    <mergeCell ref="AC116:AC120"/>
    <mergeCell ref="AD116:AD120"/>
    <mergeCell ref="M116:M120"/>
    <mergeCell ref="N116:N120"/>
    <mergeCell ref="O116:O120"/>
    <mergeCell ref="P116:P120"/>
    <mergeCell ref="Q116:Q120"/>
    <mergeCell ref="R116:R120"/>
    <mergeCell ref="S116:S120"/>
    <mergeCell ref="T116:T120"/>
    <mergeCell ref="U116:U120"/>
    <mergeCell ref="B116:B120"/>
    <mergeCell ref="C116:C120"/>
    <mergeCell ref="D116:D120"/>
    <mergeCell ref="E116:E120"/>
    <mergeCell ref="F116:F120"/>
    <mergeCell ref="G116:G120"/>
    <mergeCell ref="I116:I120"/>
    <mergeCell ref="K116:K120"/>
    <mergeCell ref="L116:L120"/>
    <mergeCell ref="AA121:AA126"/>
    <mergeCell ref="AB121:AB126"/>
    <mergeCell ref="AC121:AC126"/>
    <mergeCell ref="AD121:AD126"/>
    <mergeCell ref="AE121:AE126"/>
    <mergeCell ref="AF121:AF126"/>
    <mergeCell ref="AG121:AG126"/>
    <mergeCell ref="AE110:AE115"/>
    <mergeCell ref="AF110:AF115"/>
    <mergeCell ref="AG110:AG115"/>
    <mergeCell ref="AE116:AE120"/>
    <mergeCell ref="AF116:AF120"/>
    <mergeCell ref="AG116:AG120"/>
    <mergeCell ref="AC110:AC115"/>
    <mergeCell ref="AD110:AD115"/>
    <mergeCell ref="B121:B126"/>
    <mergeCell ref="C121:C126"/>
    <mergeCell ref="D121:D126"/>
    <mergeCell ref="E121:E126"/>
    <mergeCell ref="F121:F126"/>
    <mergeCell ref="G121:G126"/>
    <mergeCell ref="I121:I126"/>
    <mergeCell ref="K121:K126"/>
    <mergeCell ref="L121:L126"/>
    <mergeCell ref="M121:M126"/>
    <mergeCell ref="N121:N126"/>
    <mergeCell ref="O121:O126"/>
    <mergeCell ref="P121:P126"/>
    <mergeCell ref="Q121:Q126"/>
    <mergeCell ref="R121:R126"/>
    <mergeCell ref="S121:S126"/>
    <mergeCell ref="T121:T126"/>
    <mergeCell ref="U121:U126"/>
    <mergeCell ref="V121:V126"/>
    <mergeCell ref="W121:W126"/>
    <mergeCell ref="X121:X126"/>
    <mergeCell ref="Y121:Y126"/>
    <mergeCell ref="Z121:Z126"/>
    <mergeCell ref="AE127:AE132"/>
    <mergeCell ref="AF127:AF132"/>
    <mergeCell ref="AG127:AG132"/>
    <mergeCell ref="B127:B132"/>
    <mergeCell ref="C127:C132"/>
    <mergeCell ref="D127:D132"/>
    <mergeCell ref="E127:E132"/>
    <mergeCell ref="F127:F132"/>
    <mergeCell ref="G127:G132"/>
    <mergeCell ref="I127:I132"/>
    <mergeCell ref="K127:K132"/>
    <mergeCell ref="L127:L132"/>
    <mergeCell ref="M127:M132"/>
    <mergeCell ref="N127:N132"/>
    <mergeCell ref="O127:O132"/>
    <mergeCell ref="P127:P132"/>
    <mergeCell ref="Q127:Q132"/>
    <mergeCell ref="R127:R132"/>
    <mergeCell ref="S127:S132"/>
    <mergeCell ref="AD127:AD132"/>
    <mergeCell ref="T127:T132"/>
    <mergeCell ref="V127:V132"/>
    <mergeCell ref="W127:W132"/>
    <mergeCell ref="X127:X132"/>
    <mergeCell ref="Y127:Y132"/>
    <mergeCell ref="Z127:Z132"/>
    <mergeCell ref="AA127:AA132"/>
    <mergeCell ref="AB127:AB132"/>
    <mergeCell ref="AC127:AC132"/>
  </mergeCells>
  <dataValidations count="2">
    <dataValidation type="list" allowBlank="1" showInputMessage="1" showErrorMessage="1" sqref="Y11:Y143 F11:F143 P11:P143">
      <formula1>"ALI,AIE,EE,SE,CE,N/A"</formula1>
    </dataValidation>
    <dataValidation allowBlank="1" showDropDown="1" showInputMessage="1" showErrorMessage="1" sqref="M11:M143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11"/>
  <dimension ref="A1:Q220"/>
  <sheetViews>
    <sheetView showGridLines="0" zoomScale="80" zoomScaleNormal="80" workbookViewId="0">
      <selection activeCell="B2" sqref="B2"/>
    </sheetView>
  </sheetViews>
  <sheetFormatPr defaultRowHeight="12.75"/>
  <cols>
    <col min="1" max="1" width="4.28515625" style="53" bestFit="1" customWidth="1"/>
    <col min="2" max="2" width="44.7109375" style="54" customWidth="1"/>
    <col min="3" max="3" width="10.7109375" style="54" customWidth="1"/>
    <col min="4" max="4" width="12.42578125" style="54" customWidth="1"/>
    <col min="5" max="5" width="13" style="53" customWidth="1"/>
    <col min="6" max="6" width="9.5703125" style="47" customWidth="1"/>
    <col min="7" max="7" width="22.5703125" style="47" customWidth="1"/>
    <col min="8" max="8" width="13.28515625" style="47" customWidth="1"/>
    <col min="9" max="11" width="7.85546875" style="47" customWidth="1"/>
    <col min="12" max="12" width="24.140625" style="47" customWidth="1"/>
    <col min="13" max="13" width="14.140625" style="47" customWidth="1"/>
    <col min="14" max="14" width="9.140625" style="47" customWidth="1"/>
    <col min="15" max="16" width="7.85546875" style="47" customWidth="1"/>
    <col min="17" max="17" width="25.140625" style="47" customWidth="1"/>
    <col min="18" max="16384" width="9.140625" style="47"/>
  </cols>
  <sheetData>
    <row r="1" spans="1:17" s="277" customFormat="1" ht="21" customHeight="1">
      <c r="B1" s="253" t="s">
        <v>290</v>
      </c>
      <c r="C1" s="254"/>
      <c r="D1" s="254"/>
      <c r="E1" s="254"/>
      <c r="F1" s="254"/>
      <c r="G1" s="254"/>
      <c r="H1" s="262"/>
      <c r="I1" s="262"/>
      <c r="J1" s="263"/>
    </row>
    <row r="2" spans="1:17" s="278" customFormat="1" ht="20.100000000000001" customHeight="1">
      <c r="B2" s="257" t="s">
        <v>282</v>
      </c>
      <c r="C2" s="279"/>
      <c r="D2" s="264" t="str">
        <f>'Histórico de Revisão'!C2</f>
        <v>SAAD - Sistema de Acompanhamento Administrativo de Documentos</v>
      </c>
      <c r="E2" s="258"/>
      <c r="F2" s="258"/>
      <c r="G2" s="258"/>
      <c r="H2" s="281"/>
      <c r="I2" s="259" t="s">
        <v>283</v>
      </c>
      <c r="J2" s="282" t="s">
        <v>286</v>
      </c>
    </row>
    <row r="4" spans="1:17" s="36" customFormat="1" ht="45" customHeight="1">
      <c r="A4" s="513" t="s">
        <v>0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513"/>
      <c r="O4" s="513"/>
      <c r="P4" s="513"/>
      <c r="Q4" s="111"/>
    </row>
    <row r="5" spans="1:17" ht="13.5" thickBot="1"/>
    <row r="6" spans="1:17" ht="15.75" thickBot="1">
      <c r="A6" s="514" t="s">
        <v>200</v>
      </c>
      <c r="B6" s="515"/>
      <c r="C6" s="515"/>
      <c r="D6" s="515"/>
      <c r="E6" s="515"/>
      <c r="F6" s="515"/>
      <c r="G6" s="515"/>
      <c r="H6" s="515"/>
      <c r="I6" s="515"/>
      <c r="J6" s="515"/>
      <c r="K6" s="515"/>
      <c r="L6" s="515"/>
      <c r="M6" s="515"/>
      <c r="N6" s="515"/>
      <c r="O6" s="515"/>
      <c r="P6" s="515"/>
      <c r="Q6" s="516"/>
    </row>
    <row r="7" spans="1:17" s="55" customFormat="1" ht="25.5" customHeight="1">
      <c r="A7" s="383"/>
      <c r="B7" s="385" t="s">
        <v>28</v>
      </c>
      <c r="C7" s="520" t="s">
        <v>201</v>
      </c>
      <c r="D7" s="520" t="s">
        <v>202</v>
      </c>
      <c r="E7" s="522" t="s">
        <v>221</v>
      </c>
      <c r="F7" s="522" t="s">
        <v>199</v>
      </c>
      <c r="G7" s="403" t="s">
        <v>25</v>
      </c>
      <c r="H7" s="517" t="s">
        <v>231</v>
      </c>
      <c r="I7" s="518"/>
      <c r="J7" s="518"/>
      <c r="K7" s="518"/>
      <c r="L7" s="519"/>
      <c r="M7" s="409" t="s">
        <v>225</v>
      </c>
      <c r="N7" s="409"/>
      <c r="O7" s="409"/>
      <c r="P7" s="409"/>
      <c r="Q7" s="410"/>
    </row>
    <row r="8" spans="1:17" s="55" customFormat="1" ht="21.75" customHeight="1" thickBot="1">
      <c r="A8" s="384"/>
      <c r="B8" s="386"/>
      <c r="C8" s="521"/>
      <c r="D8" s="521"/>
      <c r="E8" s="523"/>
      <c r="F8" s="523"/>
      <c r="G8" s="404"/>
      <c r="H8" s="150" t="s">
        <v>201</v>
      </c>
      <c r="I8" s="149" t="s">
        <v>222</v>
      </c>
      <c r="J8" s="149" t="s">
        <v>223</v>
      </c>
      <c r="K8" s="149" t="s">
        <v>199</v>
      </c>
      <c r="L8" s="149" t="s">
        <v>224</v>
      </c>
      <c r="M8" s="154" t="s">
        <v>201</v>
      </c>
      <c r="N8" s="149" t="s">
        <v>222</v>
      </c>
      <c r="O8" s="149" t="s">
        <v>223</v>
      </c>
      <c r="P8" s="149" t="s">
        <v>199</v>
      </c>
      <c r="Q8" s="152" t="s">
        <v>224</v>
      </c>
    </row>
    <row r="9" spans="1:17" s="57" customFormat="1">
      <c r="A9" s="155">
        <v>1</v>
      </c>
      <c r="B9" s="58"/>
      <c r="C9" s="59"/>
      <c r="D9" s="60"/>
      <c r="E9" s="34"/>
      <c r="F9" s="56">
        <f t="shared" ref="F9:F72" si="0">D9*E9</f>
        <v>0</v>
      </c>
      <c r="G9" s="164"/>
      <c r="H9" s="236"/>
      <c r="I9" s="237"/>
      <c r="J9" s="237"/>
      <c r="K9" s="238">
        <f t="shared" ref="K9:K72" si="1">I9*J9</f>
        <v>0</v>
      </c>
      <c r="L9" s="237"/>
      <c r="M9" s="185"/>
      <c r="N9" s="184"/>
      <c r="O9" s="184"/>
      <c r="P9" s="56">
        <f t="shared" ref="P9:P72" si="2">N9*O9</f>
        <v>0</v>
      </c>
      <c r="Q9" s="156"/>
    </row>
    <row r="10" spans="1:17" s="57" customFormat="1">
      <c r="A10" s="155">
        <f t="shared" ref="A10:A73" si="3">A9+1</f>
        <v>2</v>
      </c>
      <c r="B10" s="58"/>
      <c r="C10" s="61"/>
      <c r="D10" s="33"/>
      <c r="E10" s="34"/>
      <c r="F10" s="56">
        <f t="shared" si="0"/>
        <v>0</v>
      </c>
      <c r="G10" s="164"/>
      <c r="H10" s="236"/>
      <c r="I10" s="237"/>
      <c r="J10" s="237"/>
      <c r="K10" s="238">
        <f t="shared" si="1"/>
        <v>0</v>
      </c>
      <c r="L10" s="237"/>
      <c r="M10" s="185"/>
      <c r="N10" s="184"/>
      <c r="O10" s="184"/>
      <c r="P10" s="56">
        <f t="shared" si="2"/>
        <v>0</v>
      </c>
      <c r="Q10" s="156"/>
    </row>
    <row r="11" spans="1:17" s="57" customFormat="1">
      <c r="A11" s="155">
        <f t="shared" si="3"/>
        <v>3</v>
      </c>
      <c r="B11" s="58"/>
      <c r="C11" s="61"/>
      <c r="D11" s="33"/>
      <c r="E11" s="34"/>
      <c r="F11" s="56">
        <f t="shared" si="0"/>
        <v>0</v>
      </c>
      <c r="G11" s="164"/>
      <c r="H11" s="236"/>
      <c r="I11" s="237"/>
      <c r="J11" s="237"/>
      <c r="K11" s="238">
        <f t="shared" si="1"/>
        <v>0</v>
      </c>
      <c r="L11" s="237"/>
      <c r="M11" s="185"/>
      <c r="N11" s="184"/>
      <c r="O11" s="184"/>
      <c r="P11" s="56">
        <f t="shared" si="2"/>
        <v>0</v>
      </c>
      <c r="Q11" s="156"/>
    </row>
    <row r="12" spans="1:17">
      <c r="A12" s="155">
        <f t="shared" si="3"/>
        <v>4</v>
      </c>
      <c r="B12" s="58"/>
      <c r="C12" s="59"/>
      <c r="D12" s="60"/>
      <c r="E12" s="34"/>
      <c r="F12" s="56">
        <f t="shared" si="0"/>
        <v>0</v>
      </c>
      <c r="G12" s="164"/>
      <c r="H12" s="236"/>
      <c r="I12" s="237"/>
      <c r="J12" s="237"/>
      <c r="K12" s="238">
        <f t="shared" si="1"/>
        <v>0</v>
      </c>
      <c r="L12" s="237"/>
      <c r="M12" s="185"/>
      <c r="N12" s="184"/>
      <c r="O12" s="184"/>
      <c r="P12" s="56">
        <f t="shared" si="2"/>
        <v>0</v>
      </c>
      <c r="Q12" s="156"/>
    </row>
    <row r="13" spans="1:17">
      <c r="A13" s="155">
        <f t="shared" si="3"/>
        <v>5</v>
      </c>
      <c r="B13" s="58"/>
      <c r="C13" s="59"/>
      <c r="D13" s="60"/>
      <c r="E13" s="34"/>
      <c r="F13" s="56">
        <f t="shared" si="0"/>
        <v>0</v>
      </c>
      <c r="G13" s="164"/>
      <c r="H13" s="236"/>
      <c r="I13" s="237"/>
      <c r="J13" s="237"/>
      <c r="K13" s="238">
        <f t="shared" si="1"/>
        <v>0</v>
      </c>
      <c r="L13" s="237"/>
      <c r="M13" s="185"/>
      <c r="N13" s="184"/>
      <c r="O13" s="184"/>
      <c r="P13" s="56">
        <f t="shared" si="2"/>
        <v>0</v>
      </c>
      <c r="Q13" s="156"/>
    </row>
    <row r="14" spans="1:17">
      <c r="A14" s="155">
        <f t="shared" si="3"/>
        <v>6</v>
      </c>
      <c r="B14" s="58"/>
      <c r="C14" s="59"/>
      <c r="D14" s="60"/>
      <c r="E14" s="34"/>
      <c r="F14" s="56">
        <f t="shared" si="0"/>
        <v>0</v>
      </c>
      <c r="G14" s="164"/>
      <c r="H14" s="236"/>
      <c r="I14" s="237"/>
      <c r="J14" s="237"/>
      <c r="K14" s="238">
        <f t="shared" si="1"/>
        <v>0</v>
      </c>
      <c r="L14" s="237"/>
      <c r="M14" s="185"/>
      <c r="N14" s="184"/>
      <c r="O14" s="184"/>
      <c r="P14" s="56">
        <f t="shared" si="2"/>
        <v>0</v>
      </c>
      <c r="Q14" s="156"/>
    </row>
    <row r="15" spans="1:17">
      <c r="A15" s="155">
        <f t="shared" si="3"/>
        <v>7</v>
      </c>
      <c r="B15" s="58"/>
      <c r="C15" s="59"/>
      <c r="D15" s="60"/>
      <c r="E15" s="34"/>
      <c r="F15" s="56">
        <f t="shared" si="0"/>
        <v>0</v>
      </c>
      <c r="G15" s="164"/>
      <c r="H15" s="236"/>
      <c r="I15" s="237"/>
      <c r="J15" s="237"/>
      <c r="K15" s="238">
        <f t="shared" si="1"/>
        <v>0</v>
      </c>
      <c r="L15" s="237"/>
      <c r="M15" s="185"/>
      <c r="N15" s="184"/>
      <c r="O15" s="184"/>
      <c r="P15" s="56">
        <f t="shared" si="2"/>
        <v>0</v>
      </c>
      <c r="Q15" s="156"/>
    </row>
    <row r="16" spans="1:17">
      <c r="A16" s="155">
        <f t="shared" si="3"/>
        <v>8</v>
      </c>
      <c r="B16" s="58"/>
      <c r="C16" s="59"/>
      <c r="D16" s="60"/>
      <c r="E16" s="34"/>
      <c r="F16" s="56">
        <f t="shared" si="0"/>
        <v>0</v>
      </c>
      <c r="G16" s="164"/>
      <c r="H16" s="236"/>
      <c r="I16" s="237"/>
      <c r="J16" s="237"/>
      <c r="K16" s="238">
        <f t="shared" si="1"/>
        <v>0</v>
      </c>
      <c r="L16" s="237"/>
      <c r="M16" s="185"/>
      <c r="N16" s="184"/>
      <c r="O16" s="184"/>
      <c r="P16" s="56">
        <f t="shared" si="2"/>
        <v>0</v>
      </c>
      <c r="Q16" s="156"/>
    </row>
    <row r="17" spans="1:17">
      <c r="A17" s="155">
        <f t="shared" si="3"/>
        <v>9</v>
      </c>
      <c r="B17" s="58"/>
      <c r="C17" s="59"/>
      <c r="D17" s="60"/>
      <c r="E17" s="34"/>
      <c r="F17" s="56">
        <f t="shared" si="0"/>
        <v>0</v>
      </c>
      <c r="G17" s="164"/>
      <c r="H17" s="236"/>
      <c r="I17" s="237"/>
      <c r="J17" s="237"/>
      <c r="K17" s="238">
        <f t="shared" si="1"/>
        <v>0</v>
      </c>
      <c r="L17" s="237"/>
      <c r="M17" s="185"/>
      <c r="N17" s="184"/>
      <c r="O17" s="184"/>
      <c r="P17" s="56">
        <f t="shared" si="2"/>
        <v>0</v>
      </c>
      <c r="Q17" s="156"/>
    </row>
    <row r="18" spans="1:17">
      <c r="A18" s="155">
        <f t="shared" si="3"/>
        <v>10</v>
      </c>
      <c r="B18" s="58"/>
      <c r="C18" s="59"/>
      <c r="D18" s="60"/>
      <c r="E18" s="34"/>
      <c r="F18" s="56">
        <f t="shared" si="0"/>
        <v>0</v>
      </c>
      <c r="G18" s="164"/>
      <c r="H18" s="236"/>
      <c r="I18" s="237"/>
      <c r="J18" s="237"/>
      <c r="K18" s="238">
        <f t="shared" si="1"/>
        <v>0</v>
      </c>
      <c r="L18" s="237"/>
      <c r="M18" s="185"/>
      <c r="N18" s="184"/>
      <c r="O18" s="184"/>
      <c r="P18" s="56">
        <f t="shared" si="2"/>
        <v>0</v>
      </c>
      <c r="Q18" s="156"/>
    </row>
    <row r="19" spans="1:17">
      <c r="A19" s="155">
        <f t="shared" si="3"/>
        <v>11</v>
      </c>
      <c r="B19" s="58"/>
      <c r="C19" s="59"/>
      <c r="D19" s="60"/>
      <c r="E19" s="34"/>
      <c r="F19" s="56">
        <f t="shared" si="0"/>
        <v>0</v>
      </c>
      <c r="G19" s="164"/>
      <c r="H19" s="236"/>
      <c r="I19" s="237"/>
      <c r="J19" s="237"/>
      <c r="K19" s="238">
        <f t="shared" si="1"/>
        <v>0</v>
      </c>
      <c r="L19" s="237"/>
      <c r="M19" s="185"/>
      <c r="N19" s="184"/>
      <c r="O19" s="184"/>
      <c r="P19" s="56">
        <f t="shared" si="2"/>
        <v>0</v>
      </c>
      <c r="Q19" s="156"/>
    </row>
    <row r="20" spans="1:17">
      <c r="A20" s="155">
        <f t="shared" si="3"/>
        <v>12</v>
      </c>
      <c r="B20" s="58"/>
      <c r="C20" s="59"/>
      <c r="D20" s="60"/>
      <c r="E20" s="34"/>
      <c r="F20" s="56">
        <f t="shared" si="0"/>
        <v>0</v>
      </c>
      <c r="G20" s="164"/>
      <c r="H20" s="236"/>
      <c r="I20" s="237"/>
      <c r="J20" s="237"/>
      <c r="K20" s="238">
        <f t="shared" si="1"/>
        <v>0</v>
      </c>
      <c r="L20" s="237"/>
      <c r="M20" s="185"/>
      <c r="N20" s="184"/>
      <c r="O20" s="184"/>
      <c r="P20" s="56">
        <f t="shared" si="2"/>
        <v>0</v>
      </c>
      <c r="Q20" s="156"/>
    </row>
    <row r="21" spans="1:17">
      <c r="A21" s="155">
        <f t="shared" si="3"/>
        <v>13</v>
      </c>
      <c r="B21" s="58"/>
      <c r="C21" s="61"/>
      <c r="D21" s="33"/>
      <c r="E21" s="34"/>
      <c r="F21" s="56">
        <f t="shared" si="0"/>
        <v>0</v>
      </c>
      <c r="G21" s="164"/>
      <c r="H21" s="236"/>
      <c r="I21" s="237"/>
      <c r="J21" s="237"/>
      <c r="K21" s="238">
        <f t="shared" si="1"/>
        <v>0</v>
      </c>
      <c r="L21" s="237"/>
      <c r="M21" s="185"/>
      <c r="N21" s="184"/>
      <c r="O21" s="184"/>
      <c r="P21" s="56">
        <f t="shared" si="2"/>
        <v>0</v>
      </c>
      <c r="Q21" s="156"/>
    </row>
    <row r="22" spans="1:17">
      <c r="A22" s="155">
        <f t="shared" si="3"/>
        <v>14</v>
      </c>
      <c r="B22" s="58"/>
      <c r="C22" s="59"/>
      <c r="D22" s="60"/>
      <c r="E22" s="34"/>
      <c r="F22" s="56">
        <f t="shared" si="0"/>
        <v>0</v>
      </c>
      <c r="G22" s="164"/>
      <c r="H22" s="236"/>
      <c r="I22" s="237"/>
      <c r="J22" s="237"/>
      <c r="K22" s="238">
        <f t="shared" si="1"/>
        <v>0</v>
      </c>
      <c r="L22" s="237"/>
      <c r="M22" s="185"/>
      <c r="N22" s="184"/>
      <c r="O22" s="184"/>
      <c r="P22" s="56">
        <f t="shared" si="2"/>
        <v>0</v>
      </c>
      <c r="Q22" s="156"/>
    </row>
    <row r="23" spans="1:17">
      <c r="A23" s="155">
        <f t="shared" si="3"/>
        <v>15</v>
      </c>
      <c r="B23" s="58"/>
      <c r="C23" s="59"/>
      <c r="D23" s="60"/>
      <c r="E23" s="34"/>
      <c r="F23" s="56">
        <f t="shared" si="0"/>
        <v>0</v>
      </c>
      <c r="G23" s="164"/>
      <c r="H23" s="236"/>
      <c r="I23" s="237"/>
      <c r="J23" s="237"/>
      <c r="K23" s="238">
        <f t="shared" si="1"/>
        <v>0</v>
      </c>
      <c r="L23" s="237"/>
      <c r="M23" s="185"/>
      <c r="N23" s="184"/>
      <c r="O23" s="184"/>
      <c r="P23" s="56">
        <f t="shared" si="2"/>
        <v>0</v>
      </c>
      <c r="Q23" s="156"/>
    </row>
    <row r="24" spans="1:17">
      <c r="A24" s="155">
        <f t="shared" si="3"/>
        <v>16</v>
      </c>
      <c r="B24" s="58"/>
      <c r="C24" s="59"/>
      <c r="D24" s="60"/>
      <c r="E24" s="34"/>
      <c r="F24" s="56">
        <f t="shared" si="0"/>
        <v>0</v>
      </c>
      <c r="G24" s="164"/>
      <c r="H24" s="236"/>
      <c r="I24" s="237"/>
      <c r="J24" s="237"/>
      <c r="K24" s="238">
        <f t="shared" si="1"/>
        <v>0</v>
      </c>
      <c r="L24" s="237"/>
      <c r="M24" s="185"/>
      <c r="N24" s="184"/>
      <c r="O24" s="184"/>
      <c r="P24" s="56">
        <f t="shared" si="2"/>
        <v>0</v>
      </c>
      <c r="Q24" s="156"/>
    </row>
    <row r="25" spans="1:17">
      <c r="A25" s="155">
        <f t="shared" si="3"/>
        <v>17</v>
      </c>
      <c r="B25" s="58"/>
      <c r="C25" s="59"/>
      <c r="D25" s="60"/>
      <c r="E25" s="34"/>
      <c r="F25" s="56">
        <f t="shared" si="0"/>
        <v>0</v>
      </c>
      <c r="G25" s="164"/>
      <c r="H25" s="236"/>
      <c r="I25" s="237"/>
      <c r="J25" s="237"/>
      <c r="K25" s="238">
        <f t="shared" si="1"/>
        <v>0</v>
      </c>
      <c r="L25" s="237"/>
      <c r="M25" s="185"/>
      <c r="N25" s="184"/>
      <c r="O25" s="184"/>
      <c r="P25" s="56">
        <f t="shared" si="2"/>
        <v>0</v>
      </c>
      <c r="Q25" s="156"/>
    </row>
    <row r="26" spans="1:17">
      <c r="A26" s="155">
        <f t="shared" si="3"/>
        <v>18</v>
      </c>
      <c r="B26" s="58"/>
      <c r="C26" s="59"/>
      <c r="D26" s="60"/>
      <c r="E26" s="34"/>
      <c r="F26" s="56">
        <f t="shared" si="0"/>
        <v>0</v>
      </c>
      <c r="G26" s="164"/>
      <c r="H26" s="236"/>
      <c r="I26" s="237"/>
      <c r="J26" s="237"/>
      <c r="K26" s="238">
        <f t="shared" si="1"/>
        <v>0</v>
      </c>
      <c r="L26" s="237"/>
      <c r="M26" s="185"/>
      <c r="N26" s="184"/>
      <c r="O26" s="184"/>
      <c r="P26" s="56">
        <f t="shared" si="2"/>
        <v>0</v>
      </c>
      <c r="Q26" s="156"/>
    </row>
    <row r="27" spans="1:17">
      <c r="A27" s="155">
        <f t="shared" si="3"/>
        <v>19</v>
      </c>
      <c r="B27" s="58"/>
      <c r="C27" s="59"/>
      <c r="D27" s="60"/>
      <c r="E27" s="34"/>
      <c r="F27" s="56">
        <f t="shared" si="0"/>
        <v>0</v>
      </c>
      <c r="G27" s="164"/>
      <c r="H27" s="236"/>
      <c r="I27" s="237"/>
      <c r="J27" s="237"/>
      <c r="K27" s="238">
        <f t="shared" si="1"/>
        <v>0</v>
      </c>
      <c r="L27" s="237"/>
      <c r="M27" s="185"/>
      <c r="N27" s="184"/>
      <c r="O27" s="184"/>
      <c r="P27" s="56">
        <f t="shared" si="2"/>
        <v>0</v>
      </c>
      <c r="Q27" s="156"/>
    </row>
    <row r="28" spans="1:17">
      <c r="A28" s="155">
        <f t="shared" si="3"/>
        <v>20</v>
      </c>
      <c r="B28" s="58"/>
      <c r="C28" s="59"/>
      <c r="D28" s="60"/>
      <c r="E28" s="34"/>
      <c r="F28" s="56">
        <f t="shared" si="0"/>
        <v>0</v>
      </c>
      <c r="G28" s="164"/>
      <c r="H28" s="236"/>
      <c r="I28" s="237"/>
      <c r="J28" s="237"/>
      <c r="K28" s="238">
        <f t="shared" si="1"/>
        <v>0</v>
      </c>
      <c r="L28" s="237"/>
      <c r="M28" s="185"/>
      <c r="N28" s="184"/>
      <c r="O28" s="184"/>
      <c r="P28" s="56">
        <f t="shared" si="2"/>
        <v>0</v>
      </c>
      <c r="Q28" s="156"/>
    </row>
    <row r="29" spans="1:17">
      <c r="A29" s="155">
        <f t="shared" si="3"/>
        <v>21</v>
      </c>
      <c r="B29" s="58"/>
      <c r="C29" s="59"/>
      <c r="D29" s="60"/>
      <c r="E29" s="34"/>
      <c r="F29" s="56">
        <f t="shared" si="0"/>
        <v>0</v>
      </c>
      <c r="G29" s="164"/>
      <c r="H29" s="236"/>
      <c r="I29" s="237"/>
      <c r="J29" s="237"/>
      <c r="K29" s="238">
        <f t="shared" si="1"/>
        <v>0</v>
      </c>
      <c r="L29" s="237"/>
      <c r="M29" s="185"/>
      <c r="N29" s="184"/>
      <c r="O29" s="184"/>
      <c r="P29" s="56">
        <f t="shared" si="2"/>
        <v>0</v>
      </c>
      <c r="Q29" s="156"/>
    </row>
    <row r="30" spans="1:17">
      <c r="A30" s="155">
        <f t="shared" si="3"/>
        <v>22</v>
      </c>
      <c r="B30" s="58"/>
      <c r="C30" s="59"/>
      <c r="D30" s="60"/>
      <c r="E30" s="34"/>
      <c r="F30" s="56">
        <f t="shared" si="0"/>
        <v>0</v>
      </c>
      <c r="G30" s="164"/>
      <c r="H30" s="236"/>
      <c r="I30" s="237"/>
      <c r="J30" s="237"/>
      <c r="K30" s="238">
        <f t="shared" si="1"/>
        <v>0</v>
      </c>
      <c r="L30" s="237"/>
      <c r="M30" s="185"/>
      <c r="N30" s="184"/>
      <c r="O30" s="184"/>
      <c r="P30" s="56">
        <f t="shared" si="2"/>
        <v>0</v>
      </c>
      <c r="Q30" s="156"/>
    </row>
    <row r="31" spans="1:17">
      <c r="A31" s="155">
        <f t="shared" si="3"/>
        <v>23</v>
      </c>
      <c r="B31" s="58"/>
      <c r="C31" s="59"/>
      <c r="D31" s="60"/>
      <c r="E31" s="34"/>
      <c r="F31" s="56">
        <f t="shared" si="0"/>
        <v>0</v>
      </c>
      <c r="G31" s="164"/>
      <c r="H31" s="236"/>
      <c r="I31" s="237"/>
      <c r="J31" s="237"/>
      <c r="K31" s="238">
        <f t="shared" si="1"/>
        <v>0</v>
      </c>
      <c r="L31" s="237"/>
      <c r="M31" s="185"/>
      <c r="N31" s="184"/>
      <c r="O31" s="184"/>
      <c r="P31" s="56">
        <f t="shared" si="2"/>
        <v>0</v>
      </c>
      <c r="Q31" s="156"/>
    </row>
    <row r="32" spans="1:17">
      <c r="A32" s="155">
        <f t="shared" si="3"/>
        <v>24</v>
      </c>
      <c r="B32" s="58"/>
      <c r="C32" s="59"/>
      <c r="D32" s="60"/>
      <c r="E32" s="34"/>
      <c r="F32" s="56">
        <f t="shared" si="0"/>
        <v>0</v>
      </c>
      <c r="G32" s="164"/>
      <c r="H32" s="236"/>
      <c r="I32" s="237"/>
      <c r="J32" s="237"/>
      <c r="K32" s="238">
        <f t="shared" si="1"/>
        <v>0</v>
      </c>
      <c r="L32" s="237"/>
      <c r="M32" s="185"/>
      <c r="N32" s="184"/>
      <c r="O32" s="184"/>
      <c r="P32" s="56">
        <f t="shared" si="2"/>
        <v>0</v>
      </c>
      <c r="Q32" s="156"/>
    </row>
    <row r="33" spans="1:17">
      <c r="A33" s="155">
        <f t="shared" si="3"/>
        <v>25</v>
      </c>
      <c r="B33" s="58"/>
      <c r="C33" s="59"/>
      <c r="D33" s="60"/>
      <c r="E33" s="34"/>
      <c r="F33" s="56">
        <f t="shared" si="0"/>
        <v>0</v>
      </c>
      <c r="G33" s="164"/>
      <c r="H33" s="236"/>
      <c r="I33" s="237"/>
      <c r="J33" s="237"/>
      <c r="K33" s="238">
        <f t="shared" si="1"/>
        <v>0</v>
      </c>
      <c r="L33" s="237"/>
      <c r="M33" s="185"/>
      <c r="N33" s="184"/>
      <c r="O33" s="184"/>
      <c r="P33" s="56">
        <f t="shared" si="2"/>
        <v>0</v>
      </c>
      <c r="Q33" s="156"/>
    </row>
    <row r="34" spans="1:17">
      <c r="A34" s="155">
        <f t="shared" si="3"/>
        <v>26</v>
      </c>
      <c r="B34" s="58"/>
      <c r="C34" s="59"/>
      <c r="D34" s="60"/>
      <c r="E34" s="34"/>
      <c r="F34" s="56">
        <f t="shared" si="0"/>
        <v>0</v>
      </c>
      <c r="G34" s="164"/>
      <c r="H34" s="236"/>
      <c r="I34" s="237"/>
      <c r="J34" s="237"/>
      <c r="K34" s="238">
        <f t="shared" si="1"/>
        <v>0</v>
      </c>
      <c r="L34" s="237"/>
      <c r="M34" s="185"/>
      <c r="N34" s="184"/>
      <c r="O34" s="184"/>
      <c r="P34" s="56">
        <f t="shared" si="2"/>
        <v>0</v>
      </c>
      <c r="Q34" s="156"/>
    </row>
    <row r="35" spans="1:17">
      <c r="A35" s="155">
        <f t="shared" si="3"/>
        <v>27</v>
      </c>
      <c r="B35" s="58"/>
      <c r="C35" s="59"/>
      <c r="D35" s="60"/>
      <c r="E35" s="34"/>
      <c r="F35" s="56">
        <f t="shared" si="0"/>
        <v>0</v>
      </c>
      <c r="G35" s="164"/>
      <c r="H35" s="236"/>
      <c r="I35" s="237"/>
      <c r="J35" s="237"/>
      <c r="K35" s="238">
        <f t="shared" si="1"/>
        <v>0</v>
      </c>
      <c r="L35" s="237"/>
      <c r="M35" s="185"/>
      <c r="N35" s="184"/>
      <c r="O35" s="184"/>
      <c r="P35" s="56">
        <f t="shared" si="2"/>
        <v>0</v>
      </c>
      <c r="Q35" s="156"/>
    </row>
    <row r="36" spans="1:17">
      <c r="A36" s="155">
        <f t="shared" si="3"/>
        <v>28</v>
      </c>
      <c r="B36" s="58"/>
      <c r="C36" s="59"/>
      <c r="D36" s="60"/>
      <c r="E36" s="34"/>
      <c r="F36" s="56">
        <f t="shared" si="0"/>
        <v>0</v>
      </c>
      <c r="G36" s="164"/>
      <c r="H36" s="236"/>
      <c r="I36" s="237"/>
      <c r="J36" s="237"/>
      <c r="K36" s="238">
        <f t="shared" si="1"/>
        <v>0</v>
      </c>
      <c r="L36" s="237"/>
      <c r="M36" s="185"/>
      <c r="N36" s="184"/>
      <c r="O36" s="184"/>
      <c r="P36" s="56">
        <f t="shared" si="2"/>
        <v>0</v>
      </c>
      <c r="Q36" s="156"/>
    </row>
    <row r="37" spans="1:17">
      <c r="A37" s="155">
        <f t="shared" si="3"/>
        <v>29</v>
      </c>
      <c r="B37" s="58"/>
      <c r="C37" s="59"/>
      <c r="D37" s="60"/>
      <c r="E37" s="34"/>
      <c r="F37" s="56">
        <f t="shared" si="0"/>
        <v>0</v>
      </c>
      <c r="G37" s="164"/>
      <c r="H37" s="236"/>
      <c r="I37" s="237"/>
      <c r="J37" s="237"/>
      <c r="K37" s="238">
        <f t="shared" si="1"/>
        <v>0</v>
      </c>
      <c r="L37" s="237"/>
      <c r="M37" s="185"/>
      <c r="N37" s="184"/>
      <c r="O37" s="184"/>
      <c r="P37" s="56">
        <f t="shared" si="2"/>
        <v>0</v>
      </c>
      <c r="Q37" s="156"/>
    </row>
    <row r="38" spans="1:17">
      <c r="A38" s="155">
        <f t="shared" si="3"/>
        <v>30</v>
      </c>
      <c r="B38" s="58"/>
      <c r="C38" s="59"/>
      <c r="D38" s="60"/>
      <c r="E38" s="34"/>
      <c r="F38" s="56">
        <f t="shared" si="0"/>
        <v>0</v>
      </c>
      <c r="G38" s="164"/>
      <c r="H38" s="236"/>
      <c r="I38" s="237"/>
      <c r="J38" s="237"/>
      <c r="K38" s="238">
        <f t="shared" si="1"/>
        <v>0</v>
      </c>
      <c r="L38" s="237"/>
      <c r="M38" s="185"/>
      <c r="N38" s="184"/>
      <c r="O38" s="184"/>
      <c r="P38" s="56">
        <f t="shared" si="2"/>
        <v>0</v>
      </c>
      <c r="Q38" s="156"/>
    </row>
    <row r="39" spans="1:17">
      <c r="A39" s="155">
        <f t="shared" si="3"/>
        <v>31</v>
      </c>
      <c r="B39" s="58"/>
      <c r="C39" s="59"/>
      <c r="D39" s="60"/>
      <c r="E39" s="34"/>
      <c r="F39" s="56">
        <f t="shared" si="0"/>
        <v>0</v>
      </c>
      <c r="G39" s="164"/>
      <c r="H39" s="236"/>
      <c r="I39" s="237"/>
      <c r="J39" s="237"/>
      <c r="K39" s="238">
        <f t="shared" si="1"/>
        <v>0</v>
      </c>
      <c r="L39" s="237"/>
      <c r="M39" s="185"/>
      <c r="N39" s="184"/>
      <c r="O39" s="184"/>
      <c r="P39" s="56">
        <f t="shared" si="2"/>
        <v>0</v>
      </c>
      <c r="Q39" s="156"/>
    </row>
    <row r="40" spans="1:17">
      <c r="A40" s="155">
        <f t="shared" si="3"/>
        <v>32</v>
      </c>
      <c r="B40" s="58"/>
      <c r="C40" s="59"/>
      <c r="D40" s="60"/>
      <c r="E40" s="34"/>
      <c r="F40" s="56">
        <f t="shared" si="0"/>
        <v>0</v>
      </c>
      <c r="G40" s="164"/>
      <c r="H40" s="236"/>
      <c r="I40" s="237"/>
      <c r="J40" s="237"/>
      <c r="K40" s="238">
        <f t="shared" si="1"/>
        <v>0</v>
      </c>
      <c r="L40" s="237"/>
      <c r="M40" s="185"/>
      <c r="N40" s="184"/>
      <c r="O40" s="184"/>
      <c r="P40" s="56">
        <f t="shared" si="2"/>
        <v>0</v>
      </c>
      <c r="Q40" s="156"/>
    </row>
    <row r="41" spans="1:17">
      <c r="A41" s="155">
        <f t="shared" si="3"/>
        <v>33</v>
      </c>
      <c r="B41" s="58"/>
      <c r="C41" s="59"/>
      <c r="D41" s="60"/>
      <c r="E41" s="34"/>
      <c r="F41" s="56">
        <f t="shared" si="0"/>
        <v>0</v>
      </c>
      <c r="G41" s="164"/>
      <c r="H41" s="236"/>
      <c r="I41" s="237"/>
      <c r="J41" s="237"/>
      <c r="K41" s="238">
        <f t="shared" si="1"/>
        <v>0</v>
      </c>
      <c r="L41" s="237"/>
      <c r="M41" s="185"/>
      <c r="N41" s="184"/>
      <c r="O41" s="184"/>
      <c r="P41" s="56">
        <f t="shared" si="2"/>
        <v>0</v>
      </c>
      <c r="Q41" s="156"/>
    </row>
    <row r="42" spans="1:17">
      <c r="A42" s="155">
        <f t="shared" si="3"/>
        <v>34</v>
      </c>
      <c r="B42" s="58"/>
      <c r="C42" s="59"/>
      <c r="D42" s="60"/>
      <c r="E42" s="34"/>
      <c r="F42" s="56">
        <f t="shared" si="0"/>
        <v>0</v>
      </c>
      <c r="G42" s="164"/>
      <c r="H42" s="236"/>
      <c r="I42" s="237"/>
      <c r="J42" s="237"/>
      <c r="K42" s="238">
        <f t="shared" si="1"/>
        <v>0</v>
      </c>
      <c r="L42" s="237"/>
      <c r="M42" s="185"/>
      <c r="N42" s="184"/>
      <c r="O42" s="184"/>
      <c r="P42" s="56">
        <f t="shared" si="2"/>
        <v>0</v>
      </c>
      <c r="Q42" s="156"/>
    </row>
    <row r="43" spans="1:17">
      <c r="A43" s="155">
        <f t="shared" si="3"/>
        <v>35</v>
      </c>
      <c r="B43" s="58"/>
      <c r="C43" s="59"/>
      <c r="D43" s="60"/>
      <c r="E43" s="34"/>
      <c r="F43" s="56">
        <f t="shared" si="0"/>
        <v>0</v>
      </c>
      <c r="G43" s="164"/>
      <c r="H43" s="236"/>
      <c r="I43" s="237"/>
      <c r="J43" s="237"/>
      <c r="K43" s="238">
        <f t="shared" si="1"/>
        <v>0</v>
      </c>
      <c r="L43" s="237"/>
      <c r="M43" s="185"/>
      <c r="N43" s="184"/>
      <c r="O43" s="184"/>
      <c r="P43" s="56">
        <f t="shared" si="2"/>
        <v>0</v>
      </c>
      <c r="Q43" s="156"/>
    </row>
    <row r="44" spans="1:17">
      <c r="A44" s="155">
        <f t="shared" si="3"/>
        <v>36</v>
      </c>
      <c r="B44" s="58"/>
      <c r="C44" s="59"/>
      <c r="D44" s="60"/>
      <c r="E44" s="34"/>
      <c r="F44" s="56">
        <f t="shared" si="0"/>
        <v>0</v>
      </c>
      <c r="G44" s="164"/>
      <c r="H44" s="236"/>
      <c r="I44" s="237"/>
      <c r="J44" s="237"/>
      <c r="K44" s="238">
        <f t="shared" si="1"/>
        <v>0</v>
      </c>
      <c r="L44" s="237"/>
      <c r="M44" s="185"/>
      <c r="N44" s="184"/>
      <c r="O44" s="184"/>
      <c r="P44" s="56">
        <f t="shared" si="2"/>
        <v>0</v>
      </c>
      <c r="Q44" s="156"/>
    </row>
    <row r="45" spans="1:17">
      <c r="A45" s="155">
        <f t="shared" si="3"/>
        <v>37</v>
      </c>
      <c r="B45" s="58"/>
      <c r="C45" s="59"/>
      <c r="D45" s="60"/>
      <c r="E45" s="34"/>
      <c r="F45" s="56">
        <f t="shared" si="0"/>
        <v>0</v>
      </c>
      <c r="G45" s="164"/>
      <c r="H45" s="236"/>
      <c r="I45" s="237"/>
      <c r="J45" s="237"/>
      <c r="K45" s="238">
        <f t="shared" si="1"/>
        <v>0</v>
      </c>
      <c r="L45" s="237"/>
      <c r="M45" s="185"/>
      <c r="N45" s="184"/>
      <c r="O45" s="184"/>
      <c r="P45" s="56">
        <f t="shared" si="2"/>
        <v>0</v>
      </c>
      <c r="Q45" s="156"/>
    </row>
    <row r="46" spans="1:17">
      <c r="A46" s="155">
        <f t="shared" si="3"/>
        <v>38</v>
      </c>
      <c r="B46" s="58"/>
      <c r="C46" s="59"/>
      <c r="D46" s="60"/>
      <c r="E46" s="34"/>
      <c r="F46" s="56">
        <f t="shared" si="0"/>
        <v>0</v>
      </c>
      <c r="G46" s="164"/>
      <c r="H46" s="236"/>
      <c r="I46" s="237"/>
      <c r="J46" s="237"/>
      <c r="K46" s="238">
        <f t="shared" si="1"/>
        <v>0</v>
      </c>
      <c r="L46" s="237"/>
      <c r="M46" s="185"/>
      <c r="N46" s="184"/>
      <c r="O46" s="184"/>
      <c r="P46" s="56">
        <f t="shared" si="2"/>
        <v>0</v>
      </c>
      <c r="Q46" s="156"/>
    </row>
    <row r="47" spans="1:17">
      <c r="A47" s="155">
        <f t="shared" si="3"/>
        <v>39</v>
      </c>
      <c r="B47" s="58"/>
      <c r="C47" s="59"/>
      <c r="D47" s="60"/>
      <c r="E47" s="34"/>
      <c r="F47" s="56">
        <f t="shared" si="0"/>
        <v>0</v>
      </c>
      <c r="G47" s="164"/>
      <c r="H47" s="236"/>
      <c r="I47" s="237"/>
      <c r="J47" s="237"/>
      <c r="K47" s="238">
        <f t="shared" si="1"/>
        <v>0</v>
      </c>
      <c r="L47" s="237"/>
      <c r="M47" s="185"/>
      <c r="N47" s="184"/>
      <c r="O47" s="184"/>
      <c r="P47" s="56">
        <f t="shared" si="2"/>
        <v>0</v>
      </c>
      <c r="Q47" s="156"/>
    </row>
    <row r="48" spans="1:17">
      <c r="A48" s="155">
        <f t="shared" si="3"/>
        <v>40</v>
      </c>
      <c r="B48" s="58"/>
      <c r="C48" s="59"/>
      <c r="D48" s="60"/>
      <c r="E48" s="34"/>
      <c r="F48" s="56">
        <f t="shared" si="0"/>
        <v>0</v>
      </c>
      <c r="G48" s="164"/>
      <c r="H48" s="236"/>
      <c r="I48" s="237"/>
      <c r="J48" s="237"/>
      <c r="K48" s="238">
        <f t="shared" si="1"/>
        <v>0</v>
      </c>
      <c r="L48" s="237"/>
      <c r="M48" s="185"/>
      <c r="N48" s="184"/>
      <c r="O48" s="184"/>
      <c r="P48" s="56">
        <f t="shared" si="2"/>
        <v>0</v>
      </c>
      <c r="Q48" s="156"/>
    </row>
    <row r="49" spans="1:17">
      <c r="A49" s="155">
        <f t="shared" si="3"/>
        <v>41</v>
      </c>
      <c r="B49" s="58"/>
      <c r="C49" s="59"/>
      <c r="D49" s="60"/>
      <c r="E49" s="34"/>
      <c r="F49" s="56">
        <f t="shared" si="0"/>
        <v>0</v>
      </c>
      <c r="G49" s="164"/>
      <c r="H49" s="236"/>
      <c r="I49" s="237"/>
      <c r="J49" s="237"/>
      <c r="K49" s="238">
        <f t="shared" si="1"/>
        <v>0</v>
      </c>
      <c r="L49" s="237"/>
      <c r="M49" s="185"/>
      <c r="N49" s="184"/>
      <c r="O49" s="184"/>
      <c r="P49" s="56">
        <f t="shared" si="2"/>
        <v>0</v>
      </c>
      <c r="Q49" s="156"/>
    </row>
    <row r="50" spans="1:17">
      <c r="A50" s="155">
        <f t="shared" si="3"/>
        <v>42</v>
      </c>
      <c r="B50" s="58"/>
      <c r="C50" s="59"/>
      <c r="D50" s="60"/>
      <c r="E50" s="34"/>
      <c r="F50" s="56">
        <f t="shared" si="0"/>
        <v>0</v>
      </c>
      <c r="G50" s="164"/>
      <c r="H50" s="236"/>
      <c r="I50" s="237"/>
      <c r="J50" s="237"/>
      <c r="K50" s="238">
        <f t="shared" si="1"/>
        <v>0</v>
      </c>
      <c r="L50" s="237"/>
      <c r="M50" s="185"/>
      <c r="N50" s="184"/>
      <c r="O50" s="184"/>
      <c r="P50" s="56">
        <f t="shared" si="2"/>
        <v>0</v>
      </c>
      <c r="Q50" s="156"/>
    </row>
    <row r="51" spans="1:17">
      <c r="A51" s="155">
        <f t="shared" si="3"/>
        <v>43</v>
      </c>
      <c r="B51" s="58"/>
      <c r="C51" s="59"/>
      <c r="D51" s="60"/>
      <c r="E51" s="34"/>
      <c r="F51" s="56">
        <f t="shared" si="0"/>
        <v>0</v>
      </c>
      <c r="G51" s="164"/>
      <c r="H51" s="236"/>
      <c r="I51" s="237"/>
      <c r="J51" s="237"/>
      <c r="K51" s="238">
        <f t="shared" si="1"/>
        <v>0</v>
      </c>
      <c r="L51" s="237"/>
      <c r="M51" s="185"/>
      <c r="N51" s="184"/>
      <c r="O51" s="184"/>
      <c r="P51" s="56">
        <f t="shared" si="2"/>
        <v>0</v>
      </c>
      <c r="Q51" s="156"/>
    </row>
    <row r="52" spans="1:17">
      <c r="A52" s="155">
        <f t="shared" si="3"/>
        <v>44</v>
      </c>
      <c r="B52" s="58"/>
      <c r="C52" s="59"/>
      <c r="D52" s="60"/>
      <c r="E52" s="34"/>
      <c r="F52" s="56">
        <f t="shared" si="0"/>
        <v>0</v>
      </c>
      <c r="G52" s="164"/>
      <c r="H52" s="236"/>
      <c r="I52" s="237"/>
      <c r="J52" s="237"/>
      <c r="K52" s="238">
        <f t="shared" si="1"/>
        <v>0</v>
      </c>
      <c r="L52" s="237"/>
      <c r="M52" s="185"/>
      <c r="N52" s="184"/>
      <c r="O52" s="184"/>
      <c r="P52" s="56">
        <f t="shared" si="2"/>
        <v>0</v>
      </c>
      <c r="Q52" s="156"/>
    </row>
    <row r="53" spans="1:17">
      <c r="A53" s="155">
        <f t="shared" si="3"/>
        <v>45</v>
      </c>
      <c r="B53" s="58"/>
      <c r="C53" s="59"/>
      <c r="D53" s="60"/>
      <c r="E53" s="34"/>
      <c r="F53" s="56">
        <f t="shared" si="0"/>
        <v>0</v>
      </c>
      <c r="G53" s="164"/>
      <c r="H53" s="236"/>
      <c r="I53" s="237"/>
      <c r="J53" s="237"/>
      <c r="K53" s="238">
        <f t="shared" si="1"/>
        <v>0</v>
      </c>
      <c r="L53" s="237"/>
      <c r="M53" s="185"/>
      <c r="N53" s="184"/>
      <c r="O53" s="184"/>
      <c r="P53" s="56">
        <f t="shared" si="2"/>
        <v>0</v>
      </c>
      <c r="Q53" s="156"/>
    </row>
    <row r="54" spans="1:17">
      <c r="A54" s="155">
        <f t="shared" si="3"/>
        <v>46</v>
      </c>
      <c r="B54" s="58"/>
      <c r="C54" s="59"/>
      <c r="D54" s="60"/>
      <c r="E54" s="34"/>
      <c r="F54" s="56">
        <f t="shared" si="0"/>
        <v>0</v>
      </c>
      <c r="G54" s="164"/>
      <c r="H54" s="236"/>
      <c r="I54" s="237"/>
      <c r="J54" s="237"/>
      <c r="K54" s="238">
        <f t="shared" si="1"/>
        <v>0</v>
      </c>
      <c r="L54" s="237"/>
      <c r="M54" s="185"/>
      <c r="N54" s="184"/>
      <c r="O54" s="184"/>
      <c r="P54" s="56">
        <f t="shared" si="2"/>
        <v>0</v>
      </c>
      <c r="Q54" s="156"/>
    </row>
    <row r="55" spans="1:17">
      <c r="A55" s="155">
        <f t="shared" si="3"/>
        <v>47</v>
      </c>
      <c r="B55" s="58"/>
      <c r="C55" s="59"/>
      <c r="D55" s="60"/>
      <c r="E55" s="34"/>
      <c r="F55" s="56">
        <f t="shared" si="0"/>
        <v>0</v>
      </c>
      <c r="G55" s="164"/>
      <c r="H55" s="236"/>
      <c r="I55" s="237"/>
      <c r="J55" s="237"/>
      <c r="K55" s="238">
        <f t="shared" si="1"/>
        <v>0</v>
      </c>
      <c r="L55" s="237"/>
      <c r="M55" s="185"/>
      <c r="N55" s="184"/>
      <c r="O55" s="184"/>
      <c r="P55" s="56">
        <f t="shared" si="2"/>
        <v>0</v>
      </c>
      <c r="Q55" s="156"/>
    </row>
    <row r="56" spans="1:17">
      <c r="A56" s="155">
        <f t="shared" si="3"/>
        <v>48</v>
      </c>
      <c r="B56" s="58"/>
      <c r="C56" s="59"/>
      <c r="D56" s="60"/>
      <c r="E56" s="34"/>
      <c r="F56" s="56">
        <f t="shared" si="0"/>
        <v>0</v>
      </c>
      <c r="G56" s="164"/>
      <c r="H56" s="236"/>
      <c r="I56" s="237"/>
      <c r="J56" s="237"/>
      <c r="K56" s="238">
        <f t="shared" si="1"/>
        <v>0</v>
      </c>
      <c r="L56" s="237"/>
      <c r="M56" s="185"/>
      <c r="N56" s="184"/>
      <c r="O56" s="184"/>
      <c r="P56" s="56">
        <f t="shared" si="2"/>
        <v>0</v>
      </c>
      <c r="Q56" s="156"/>
    </row>
    <row r="57" spans="1:17">
      <c r="A57" s="155">
        <f t="shared" si="3"/>
        <v>49</v>
      </c>
      <c r="B57" s="58"/>
      <c r="C57" s="59"/>
      <c r="D57" s="60"/>
      <c r="E57" s="34"/>
      <c r="F57" s="56">
        <f t="shared" si="0"/>
        <v>0</v>
      </c>
      <c r="G57" s="164"/>
      <c r="H57" s="236"/>
      <c r="I57" s="237"/>
      <c r="J57" s="237"/>
      <c r="K57" s="238">
        <f t="shared" si="1"/>
        <v>0</v>
      </c>
      <c r="L57" s="237"/>
      <c r="M57" s="185"/>
      <c r="N57" s="184"/>
      <c r="O57" s="184"/>
      <c r="P57" s="56">
        <f t="shared" si="2"/>
        <v>0</v>
      </c>
      <c r="Q57" s="156"/>
    </row>
    <row r="58" spans="1:17">
      <c r="A58" s="155">
        <f t="shared" si="3"/>
        <v>50</v>
      </c>
      <c r="B58" s="58"/>
      <c r="C58" s="59"/>
      <c r="D58" s="60"/>
      <c r="E58" s="34"/>
      <c r="F58" s="56">
        <f t="shared" si="0"/>
        <v>0</v>
      </c>
      <c r="G58" s="164"/>
      <c r="H58" s="236"/>
      <c r="I58" s="237"/>
      <c r="J58" s="237"/>
      <c r="K58" s="238">
        <f t="shared" si="1"/>
        <v>0</v>
      </c>
      <c r="L58" s="237"/>
      <c r="M58" s="185"/>
      <c r="N58" s="184"/>
      <c r="O58" s="184"/>
      <c r="P58" s="56">
        <f t="shared" si="2"/>
        <v>0</v>
      </c>
      <c r="Q58" s="156"/>
    </row>
    <row r="59" spans="1:17">
      <c r="A59" s="155">
        <f t="shared" si="3"/>
        <v>51</v>
      </c>
      <c r="B59" s="58"/>
      <c r="C59" s="59"/>
      <c r="D59" s="60"/>
      <c r="E59" s="34"/>
      <c r="F59" s="56">
        <f t="shared" si="0"/>
        <v>0</v>
      </c>
      <c r="G59" s="164"/>
      <c r="H59" s="236"/>
      <c r="I59" s="237"/>
      <c r="J59" s="237"/>
      <c r="K59" s="238">
        <f t="shared" si="1"/>
        <v>0</v>
      </c>
      <c r="L59" s="237"/>
      <c r="M59" s="185"/>
      <c r="N59" s="184"/>
      <c r="O59" s="184"/>
      <c r="P59" s="56">
        <f t="shared" si="2"/>
        <v>0</v>
      </c>
      <c r="Q59" s="156"/>
    </row>
    <row r="60" spans="1:17">
      <c r="A60" s="155">
        <f t="shared" si="3"/>
        <v>52</v>
      </c>
      <c r="B60" s="58"/>
      <c r="C60" s="59"/>
      <c r="D60" s="60"/>
      <c r="E60" s="34"/>
      <c r="F60" s="56">
        <f t="shared" si="0"/>
        <v>0</v>
      </c>
      <c r="G60" s="164"/>
      <c r="H60" s="236"/>
      <c r="I60" s="237"/>
      <c r="J60" s="237"/>
      <c r="K60" s="238">
        <f t="shared" si="1"/>
        <v>0</v>
      </c>
      <c r="L60" s="237"/>
      <c r="M60" s="185"/>
      <c r="N60" s="184"/>
      <c r="O60" s="184"/>
      <c r="P60" s="56">
        <f t="shared" si="2"/>
        <v>0</v>
      </c>
      <c r="Q60" s="156"/>
    </row>
    <row r="61" spans="1:17">
      <c r="A61" s="155">
        <f t="shared" si="3"/>
        <v>53</v>
      </c>
      <c r="B61" s="58"/>
      <c r="C61" s="59"/>
      <c r="D61" s="60"/>
      <c r="E61" s="34"/>
      <c r="F61" s="56">
        <f t="shared" si="0"/>
        <v>0</v>
      </c>
      <c r="G61" s="164"/>
      <c r="H61" s="236"/>
      <c r="I61" s="237"/>
      <c r="J61" s="237"/>
      <c r="K61" s="238">
        <f t="shared" si="1"/>
        <v>0</v>
      </c>
      <c r="L61" s="237"/>
      <c r="M61" s="185"/>
      <c r="N61" s="184"/>
      <c r="O61" s="184"/>
      <c r="P61" s="56">
        <f t="shared" si="2"/>
        <v>0</v>
      </c>
      <c r="Q61" s="156"/>
    </row>
    <row r="62" spans="1:17">
      <c r="A62" s="155">
        <f t="shared" si="3"/>
        <v>54</v>
      </c>
      <c r="B62" s="58"/>
      <c r="C62" s="59"/>
      <c r="D62" s="60"/>
      <c r="E62" s="34"/>
      <c r="F62" s="56">
        <f t="shared" si="0"/>
        <v>0</v>
      </c>
      <c r="G62" s="164"/>
      <c r="H62" s="236"/>
      <c r="I62" s="237"/>
      <c r="J62" s="237"/>
      <c r="K62" s="238">
        <f t="shared" si="1"/>
        <v>0</v>
      </c>
      <c r="L62" s="237"/>
      <c r="M62" s="185"/>
      <c r="N62" s="184"/>
      <c r="O62" s="184"/>
      <c r="P62" s="56">
        <f t="shared" si="2"/>
        <v>0</v>
      </c>
      <c r="Q62" s="156"/>
    </row>
    <row r="63" spans="1:17">
      <c r="A63" s="155">
        <f t="shared" si="3"/>
        <v>55</v>
      </c>
      <c r="B63" s="58"/>
      <c r="C63" s="59"/>
      <c r="D63" s="60"/>
      <c r="E63" s="34"/>
      <c r="F63" s="56">
        <f t="shared" si="0"/>
        <v>0</v>
      </c>
      <c r="G63" s="164"/>
      <c r="H63" s="236"/>
      <c r="I63" s="237"/>
      <c r="J63" s="237"/>
      <c r="K63" s="238">
        <f t="shared" si="1"/>
        <v>0</v>
      </c>
      <c r="L63" s="237"/>
      <c r="M63" s="185"/>
      <c r="N63" s="184"/>
      <c r="O63" s="184"/>
      <c r="P63" s="56">
        <f t="shared" si="2"/>
        <v>0</v>
      </c>
      <c r="Q63" s="156"/>
    </row>
    <row r="64" spans="1:17">
      <c r="A64" s="155">
        <f t="shared" si="3"/>
        <v>56</v>
      </c>
      <c r="B64" s="58"/>
      <c r="C64" s="59"/>
      <c r="D64" s="60"/>
      <c r="E64" s="34"/>
      <c r="F64" s="56">
        <f t="shared" si="0"/>
        <v>0</v>
      </c>
      <c r="G64" s="164"/>
      <c r="H64" s="236"/>
      <c r="I64" s="237"/>
      <c r="J64" s="237"/>
      <c r="K64" s="238">
        <f t="shared" si="1"/>
        <v>0</v>
      </c>
      <c r="L64" s="237"/>
      <c r="M64" s="185"/>
      <c r="N64" s="184"/>
      <c r="O64" s="184"/>
      <c r="P64" s="56">
        <f t="shared" si="2"/>
        <v>0</v>
      </c>
      <c r="Q64" s="156"/>
    </row>
    <row r="65" spans="1:17">
      <c r="A65" s="155">
        <f t="shared" si="3"/>
        <v>57</v>
      </c>
      <c r="B65" s="58"/>
      <c r="C65" s="59"/>
      <c r="D65" s="60"/>
      <c r="E65" s="34"/>
      <c r="F65" s="56">
        <f t="shared" si="0"/>
        <v>0</v>
      </c>
      <c r="G65" s="164"/>
      <c r="H65" s="236"/>
      <c r="I65" s="237"/>
      <c r="J65" s="237"/>
      <c r="K65" s="238">
        <f t="shared" si="1"/>
        <v>0</v>
      </c>
      <c r="L65" s="237"/>
      <c r="M65" s="185"/>
      <c r="N65" s="184"/>
      <c r="O65" s="184"/>
      <c r="P65" s="56">
        <f t="shared" si="2"/>
        <v>0</v>
      </c>
      <c r="Q65" s="156"/>
    </row>
    <row r="66" spans="1:17">
      <c r="A66" s="155">
        <f t="shared" si="3"/>
        <v>58</v>
      </c>
      <c r="B66" s="58"/>
      <c r="C66" s="59"/>
      <c r="D66" s="60"/>
      <c r="E66" s="34"/>
      <c r="F66" s="56">
        <f t="shared" si="0"/>
        <v>0</v>
      </c>
      <c r="G66" s="164"/>
      <c r="H66" s="236"/>
      <c r="I66" s="237"/>
      <c r="J66" s="237"/>
      <c r="K66" s="238">
        <f t="shared" si="1"/>
        <v>0</v>
      </c>
      <c r="L66" s="237"/>
      <c r="M66" s="185"/>
      <c r="N66" s="184"/>
      <c r="O66" s="184"/>
      <c r="P66" s="56">
        <f t="shared" si="2"/>
        <v>0</v>
      </c>
      <c r="Q66" s="156"/>
    </row>
    <row r="67" spans="1:17">
      <c r="A67" s="155">
        <f t="shared" si="3"/>
        <v>59</v>
      </c>
      <c r="B67" s="58"/>
      <c r="C67" s="59"/>
      <c r="D67" s="60"/>
      <c r="E67" s="34"/>
      <c r="F67" s="56">
        <f t="shared" si="0"/>
        <v>0</v>
      </c>
      <c r="G67" s="164"/>
      <c r="H67" s="236"/>
      <c r="I67" s="237"/>
      <c r="J67" s="237"/>
      <c r="K67" s="238">
        <f t="shared" si="1"/>
        <v>0</v>
      </c>
      <c r="L67" s="237"/>
      <c r="M67" s="185"/>
      <c r="N67" s="184"/>
      <c r="O67" s="184"/>
      <c r="P67" s="56">
        <f t="shared" si="2"/>
        <v>0</v>
      </c>
      <c r="Q67" s="156"/>
    </row>
    <row r="68" spans="1:17">
      <c r="A68" s="155">
        <f t="shared" si="3"/>
        <v>60</v>
      </c>
      <c r="B68" s="58"/>
      <c r="C68" s="59"/>
      <c r="D68" s="60"/>
      <c r="E68" s="34"/>
      <c r="F68" s="56">
        <f t="shared" si="0"/>
        <v>0</v>
      </c>
      <c r="G68" s="164"/>
      <c r="H68" s="236"/>
      <c r="I68" s="237"/>
      <c r="J68" s="237"/>
      <c r="K68" s="238">
        <f t="shared" si="1"/>
        <v>0</v>
      </c>
      <c r="L68" s="237"/>
      <c r="M68" s="185"/>
      <c r="N68" s="184"/>
      <c r="O68" s="184"/>
      <c r="P68" s="56">
        <f t="shared" si="2"/>
        <v>0</v>
      </c>
      <c r="Q68" s="156"/>
    </row>
    <row r="69" spans="1:17">
      <c r="A69" s="155">
        <f t="shared" si="3"/>
        <v>61</v>
      </c>
      <c r="B69" s="58"/>
      <c r="C69" s="59"/>
      <c r="D69" s="60"/>
      <c r="E69" s="34"/>
      <c r="F69" s="56">
        <f t="shared" si="0"/>
        <v>0</v>
      </c>
      <c r="G69" s="164"/>
      <c r="H69" s="236"/>
      <c r="I69" s="237"/>
      <c r="J69" s="237"/>
      <c r="K69" s="238">
        <f t="shared" si="1"/>
        <v>0</v>
      </c>
      <c r="L69" s="237"/>
      <c r="M69" s="185"/>
      <c r="N69" s="184"/>
      <c r="O69" s="184"/>
      <c r="P69" s="56">
        <f t="shared" si="2"/>
        <v>0</v>
      </c>
      <c r="Q69" s="156"/>
    </row>
    <row r="70" spans="1:17">
      <c r="A70" s="155">
        <f t="shared" si="3"/>
        <v>62</v>
      </c>
      <c r="B70" s="58"/>
      <c r="C70" s="59"/>
      <c r="D70" s="60"/>
      <c r="E70" s="34"/>
      <c r="F70" s="56">
        <f t="shared" si="0"/>
        <v>0</v>
      </c>
      <c r="G70" s="164"/>
      <c r="H70" s="236"/>
      <c r="I70" s="237"/>
      <c r="J70" s="237"/>
      <c r="K70" s="238">
        <f t="shared" si="1"/>
        <v>0</v>
      </c>
      <c r="L70" s="237"/>
      <c r="M70" s="185"/>
      <c r="N70" s="184"/>
      <c r="O70" s="184"/>
      <c r="P70" s="56">
        <f t="shared" si="2"/>
        <v>0</v>
      </c>
      <c r="Q70" s="156"/>
    </row>
    <row r="71" spans="1:17">
      <c r="A71" s="155">
        <f t="shared" si="3"/>
        <v>63</v>
      </c>
      <c r="B71" s="58"/>
      <c r="C71" s="59"/>
      <c r="D71" s="60"/>
      <c r="E71" s="34"/>
      <c r="F71" s="56">
        <f t="shared" si="0"/>
        <v>0</v>
      </c>
      <c r="G71" s="164"/>
      <c r="H71" s="236"/>
      <c r="I71" s="237"/>
      <c r="J71" s="237"/>
      <c r="K71" s="238">
        <f t="shared" si="1"/>
        <v>0</v>
      </c>
      <c r="L71" s="237"/>
      <c r="M71" s="185"/>
      <c r="N71" s="184"/>
      <c r="O71" s="184"/>
      <c r="P71" s="56">
        <f t="shared" si="2"/>
        <v>0</v>
      </c>
      <c r="Q71" s="156"/>
    </row>
    <row r="72" spans="1:17">
      <c r="A72" s="155">
        <f t="shared" si="3"/>
        <v>64</v>
      </c>
      <c r="B72" s="58"/>
      <c r="C72" s="59"/>
      <c r="D72" s="60"/>
      <c r="E72" s="34"/>
      <c r="F72" s="56">
        <f t="shared" si="0"/>
        <v>0</v>
      </c>
      <c r="G72" s="164"/>
      <c r="H72" s="236"/>
      <c r="I72" s="237"/>
      <c r="J72" s="237"/>
      <c r="K72" s="238">
        <f t="shared" si="1"/>
        <v>0</v>
      </c>
      <c r="L72" s="237"/>
      <c r="M72" s="185"/>
      <c r="N72" s="184"/>
      <c r="O72" s="184"/>
      <c r="P72" s="56">
        <f t="shared" si="2"/>
        <v>0</v>
      </c>
      <c r="Q72" s="156"/>
    </row>
    <row r="73" spans="1:17">
      <c r="A73" s="155">
        <f t="shared" si="3"/>
        <v>65</v>
      </c>
      <c r="B73" s="58"/>
      <c r="C73" s="59"/>
      <c r="D73" s="60"/>
      <c r="E73" s="34"/>
      <c r="F73" s="56">
        <f t="shared" ref="F73:F136" si="4">D73*E73</f>
        <v>0</v>
      </c>
      <c r="G73" s="164"/>
      <c r="H73" s="236"/>
      <c r="I73" s="237"/>
      <c r="J73" s="237"/>
      <c r="K73" s="238">
        <f t="shared" ref="K73:K136" si="5">I73*J73</f>
        <v>0</v>
      </c>
      <c r="L73" s="237"/>
      <c r="M73" s="185"/>
      <c r="N73" s="184"/>
      <c r="O73" s="184"/>
      <c r="P73" s="56">
        <f t="shared" ref="P73:P136" si="6">N73*O73</f>
        <v>0</v>
      </c>
      <c r="Q73" s="156"/>
    </row>
    <row r="74" spans="1:17">
      <c r="A74" s="155">
        <f t="shared" ref="A74:A137" si="7">A73+1</f>
        <v>66</v>
      </c>
      <c r="B74" s="58"/>
      <c r="C74" s="59"/>
      <c r="D74" s="60"/>
      <c r="E74" s="34"/>
      <c r="F74" s="56">
        <f t="shared" si="4"/>
        <v>0</v>
      </c>
      <c r="G74" s="164"/>
      <c r="H74" s="236"/>
      <c r="I74" s="237"/>
      <c r="J74" s="237"/>
      <c r="K74" s="238">
        <f t="shared" si="5"/>
        <v>0</v>
      </c>
      <c r="L74" s="237"/>
      <c r="M74" s="185"/>
      <c r="N74" s="184"/>
      <c r="O74" s="184"/>
      <c r="P74" s="56">
        <f t="shared" si="6"/>
        <v>0</v>
      </c>
      <c r="Q74" s="156"/>
    </row>
    <row r="75" spans="1:17">
      <c r="A75" s="155">
        <f t="shared" si="7"/>
        <v>67</v>
      </c>
      <c r="B75" s="58"/>
      <c r="C75" s="59"/>
      <c r="D75" s="60"/>
      <c r="E75" s="34"/>
      <c r="F75" s="56">
        <f t="shared" si="4"/>
        <v>0</v>
      </c>
      <c r="G75" s="164"/>
      <c r="H75" s="236"/>
      <c r="I75" s="237"/>
      <c r="J75" s="237"/>
      <c r="K75" s="238">
        <f t="shared" si="5"/>
        <v>0</v>
      </c>
      <c r="L75" s="237"/>
      <c r="M75" s="185"/>
      <c r="N75" s="184"/>
      <c r="O75" s="184"/>
      <c r="P75" s="56">
        <f t="shared" si="6"/>
        <v>0</v>
      </c>
      <c r="Q75" s="156"/>
    </row>
    <row r="76" spans="1:17">
      <c r="A76" s="155">
        <f t="shared" si="7"/>
        <v>68</v>
      </c>
      <c r="B76" s="58"/>
      <c r="C76" s="59"/>
      <c r="D76" s="60"/>
      <c r="E76" s="34"/>
      <c r="F76" s="56">
        <f t="shared" si="4"/>
        <v>0</v>
      </c>
      <c r="G76" s="164"/>
      <c r="H76" s="236"/>
      <c r="I76" s="237"/>
      <c r="J76" s="237"/>
      <c r="K76" s="238">
        <f t="shared" si="5"/>
        <v>0</v>
      </c>
      <c r="L76" s="237"/>
      <c r="M76" s="185"/>
      <c r="N76" s="184"/>
      <c r="O76" s="184"/>
      <c r="P76" s="56">
        <f t="shared" si="6"/>
        <v>0</v>
      </c>
      <c r="Q76" s="156"/>
    </row>
    <row r="77" spans="1:17">
      <c r="A77" s="155">
        <f t="shared" si="7"/>
        <v>69</v>
      </c>
      <c r="B77" s="58"/>
      <c r="C77" s="59"/>
      <c r="D77" s="60"/>
      <c r="E77" s="34"/>
      <c r="F77" s="56">
        <f t="shared" si="4"/>
        <v>0</v>
      </c>
      <c r="G77" s="164"/>
      <c r="H77" s="236"/>
      <c r="I77" s="237"/>
      <c r="J77" s="237"/>
      <c r="K77" s="238">
        <f t="shared" si="5"/>
        <v>0</v>
      </c>
      <c r="L77" s="237"/>
      <c r="M77" s="185"/>
      <c r="N77" s="184"/>
      <c r="O77" s="184"/>
      <c r="P77" s="56">
        <f t="shared" si="6"/>
        <v>0</v>
      </c>
      <c r="Q77" s="156"/>
    </row>
    <row r="78" spans="1:17">
      <c r="A78" s="155">
        <f t="shared" si="7"/>
        <v>70</v>
      </c>
      <c r="B78" s="58"/>
      <c r="C78" s="59"/>
      <c r="D78" s="60"/>
      <c r="E78" s="34"/>
      <c r="F78" s="56">
        <f t="shared" si="4"/>
        <v>0</v>
      </c>
      <c r="G78" s="164"/>
      <c r="H78" s="236"/>
      <c r="I78" s="237"/>
      <c r="J78" s="237"/>
      <c r="K78" s="238">
        <f t="shared" si="5"/>
        <v>0</v>
      </c>
      <c r="L78" s="237"/>
      <c r="M78" s="185"/>
      <c r="N78" s="184"/>
      <c r="O78" s="184"/>
      <c r="P78" s="56">
        <f t="shared" si="6"/>
        <v>0</v>
      </c>
      <c r="Q78" s="156"/>
    </row>
    <row r="79" spans="1:17">
      <c r="A79" s="155">
        <f t="shared" si="7"/>
        <v>71</v>
      </c>
      <c r="B79" s="58"/>
      <c r="C79" s="59"/>
      <c r="D79" s="60"/>
      <c r="E79" s="34"/>
      <c r="F79" s="56">
        <f t="shared" si="4"/>
        <v>0</v>
      </c>
      <c r="G79" s="164"/>
      <c r="H79" s="236"/>
      <c r="I79" s="237"/>
      <c r="J79" s="237"/>
      <c r="K79" s="238">
        <f t="shared" si="5"/>
        <v>0</v>
      </c>
      <c r="L79" s="237"/>
      <c r="M79" s="185"/>
      <c r="N79" s="184"/>
      <c r="O79" s="184"/>
      <c r="P79" s="56">
        <f t="shared" si="6"/>
        <v>0</v>
      </c>
      <c r="Q79" s="156"/>
    </row>
    <row r="80" spans="1:17">
      <c r="A80" s="155">
        <f t="shared" si="7"/>
        <v>72</v>
      </c>
      <c r="B80" s="58"/>
      <c r="C80" s="59"/>
      <c r="D80" s="60"/>
      <c r="E80" s="34"/>
      <c r="F80" s="56">
        <f t="shared" si="4"/>
        <v>0</v>
      </c>
      <c r="G80" s="164"/>
      <c r="H80" s="236"/>
      <c r="I80" s="237"/>
      <c r="J80" s="237"/>
      <c r="K80" s="238">
        <f t="shared" si="5"/>
        <v>0</v>
      </c>
      <c r="L80" s="237"/>
      <c r="M80" s="185"/>
      <c r="N80" s="184"/>
      <c r="O80" s="184"/>
      <c r="P80" s="56">
        <f t="shared" si="6"/>
        <v>0</v>
      </c>
      <c r="Q80" s="156"/>
    </row>
    <row r="81" spans="1:17">
      <c r="A81" s="155">
        <f t="shared" si="7"/>
        <v>73</v>
      </c>
      <c r="B81" s="58"/>
      <c r="C81" s="59"/>
      <c r="D81" s="60"/>
      <c r="E81" s="34"/>
      <c r="F81" s="56">
        <f t="shared" si="4"/>
        <v>0</v>
      </c>
      <c r="G81" s="164"/>
      <c r="H81" s="236"/>
      <c r="I81" s="237"/>
      <c r="J81" s="237"/>
      <c r="K81" s="238">
        <f t="shared" si="5"/>
        <v>0</v>
      </c>
      <c r="L81" s="237"/>
      <c r="M81" s="185"/>
      <c r="N81" s="184"/>
      <c r="O81" s="184"/>
      <c r="P81" s="56">
        <f t="shared" si="6"/>
        <v>0</v>
      </c>
      <c r="Q81" s="156"/>
    </row>
    <row r="82" spans="1:17">
      <c r="A82" s="155">
        <f t="shared" si="7"/>
        <v>74</v>
      </c>
      <c r="B82" s="58"/>
      <c r="C82" s="59"/>
      <c r="D82" s="60"/>
      <c r="E82" s="34"/>
      <c r="F82" s="56">
        <f t="shared" si="4"/>
        <v>0</v>
      </c>
      <c r="G82" s="164"/>
      <c r="H82" s="236"/>
      <c r="I82" s="237"/>
      <c r="J82" s="237"/>
      <c r="K82" s="238">
        <f t="shared" si="5"/>
        <v>0</v>
      </c>
      <c r="L82" s="237"/>
      <c r="M82" s="185"/>
      <c r="N82" s="184"/>
      <c r="O82" s="184"/>
      <c r="P82" s="56">
        <f t="shared" si="6"/>
        <v>0</v>
      </c>
      <c r="Q82" s="156"/>
    </row>
    <row r="83" spans="1:17">
      <c r="A83" s="155">
        <f t="shared" si="7"/>
        <v>75</v>
      </c>
      <c r="B83" s="58"/>
      <c r="C83" s="59"/>
      <c r="D83" s="60"/>
      <c r="E83" s="34"/>
      <c r="F83" s="56">
        <f t="shared" si="4"/>
        <v>0</v>
      </c>
      <c r="G83" s="164"/>
      <c r="H83" s="236"/>
      <c r="I83" s="237"/>
      <c r="J83" s="237"/>
      <c r="K83" s="238">
        <f t="shared" si="5"/>
        <v>0</v>
      </c>
      <c r="L83" s="237"/>
      <c r="M83" s="185"/>
      <c r="N83" s="184"/>
      <c r="O83" s="184"/>
      <c r="P83" s="56">
        <f t="shared" si="6"/>
        <v>0</v>
      </c>
      <c r="Q83" s="156"/>
    </row>
    <row r="84" spans="1:17">
      <c r="A84" s="155">
        <f t="shared" si="7"/>
        <v>76</v>
      </c>
      <c r="B84" s="58"/>
      <c r="C84" s="59"/>
      <c r="D84" s="60"/>
      <c r="E84" s="34"/>
      <c r="F84" s="56">
        <f t="shared" si="4"/>
        <v>0</v>
      </c>
      <c r="G84" s="164"/>
      <c r="H84" s="236"/>
      <c r="I84" s="237"/>
      <c r="J84" s="237"/>
      <c r="K84" s="238">
        <f t="shared" si="5"/>
        <v>0</v>
      </c>
      <c r="L84" s="237"/>
      <c r="M84" s="185"/>
      <c r="N84" s="184"/>
      <c r="O84" s="184"/>
      <c r="P84" s="56">
        <f t="shared" si="6"/>
        <v>0</v>
      </c>
      <c r="Q84" s="156"/>
    </row>
    <row r="85" spans="1:17">
      <c r="A85" s="155">
        <f t="shared" si="7"/>
        <v>77</v>
      </c>
      <c r="B85" s="58"/>
      <c r="C85" s="59"/>
      <c r="D85" s="60"/>
      <c r="E85" s="34"/>
      <c r="F85" s="56">
        <f t="shared" si="4"/>
        <v>0</v>
      </c>
      <c r="G85" s="164"/>
      <c r="H85" s="236"/>
      <c r="I85" s="237"/>
      <c r="J85" s="237"/>
      <c r="K85" s="238">
        <f t="shared" si="5"/>
        <v>0</v>
      </c>
      <c r="L85" s="237"/>
      <c r="M85" s="185"/>
      <c r="N85" s="184"/>
      <c r="O85" s="184"/>
      <c r="P85" s="56">
        <f t="shared" si="6"/>
        <v>0</v>
      </c>
      <c r="Q85" s="156"/>
    </row>
    <row r="86" spans="1:17">
      <c r="A86" s="155">
        <f t="shared" si="7"/>
        <v>78</v>
      </c>
      <c r="B86" s="58"/>
      <c r="C86" s="59"/>
      <c r="D86" s="60"/>
      <c r="E86" s="34"/>
      <c r="F86" s="56">
        <f t="shared" si="4"/>
        <v>0</v>
      </c>
      <c r="G86" s="164"/>
      <c r="H86" s="236"/>
      <c r="I86" s="237"/>
      <c r="J86" s="237"/>
      <c r="K86" s="238">
        <f t="shared" si="5"/>
        <v>0</v>
      </c>
      <c r="L86" s="237"/>
      <c r="M86" s="185"/>
      <c r="N86" s="184"/>
      <c r="O86" s="184"/>
      <c r="P86" s="56">
        <f t="shared" si="6"/>
        <v>0</v>
      </c>
      <c r="Q86" s="156"/>
    </row>
    <row r="87" spans="1:17">
      <c r="A87" s="155">
        <f t="shared" si="7"/>
        <v>79</v>
      </c>
      <c r="B87" s="58"/>
      <c r="C87" s="59"/>
      <c r="D87" s="60"/>
      <c r="E87" s="34"/>
      <c r="F87" s="56">
        <f t="shared" si="4"/>
        <v>0</v>
      </c>
      <c r="G87" s="164"/>
      <c r="H87" s="236"/>
      <c r="I87" s="237"/>
      <c r="J87" s="237"/>
      <c r="K87" s="238">
        <f t="shared" si="5"/>
        <v>0</v>
      </c>
      <c r="L87" s="237"/>
      <c r="M87" s="185"/>
      <c r="N87" s="184"/>
      <c r="O87" s="184"/>
      <c r="P87" s="56">
        <f t="shared" si="6"/>
        <v>0</v>
      </c>
      <c r="Q87" s="156"/>
    </row>
    <row r="88" spans="1:17">
      <c r="A88" s="155">
        <f t="shared" si="7"/>
        <v>80</v>
      </c>
      <c r="B88" s="58"/>
      <c r="C88" s="59"/>
      <c r="D88" s="60"/>
      <c r="E88" s="34"/>
      <c r="F88" s="56">
        <f t="shared" si="4"/>
        <v>0</v>
      </c>
      <c r="G88" s="164"/>
      <c r="H88" s="236"/>
      <c r="I88" s="237"/>
      <c r="J88" s="237"/>
      <c r="K88" s="238">
        <f t="shared" si="5"/>
        <v>0</v>
      </c>
      <c r="L88" s="237"/>
      <c r="M88" s="185"/>
      <c r="N88" s="184"/>
      <c r="O88" s="184"/>
      <c r="P88" s="56">
        <f t="shared" si="6"/>
        <v>0</v>
      </c>
      <c r="Q88" s="156"/>
    </row>
    <row r="89" spans="1:17">
      <c r="A89" s="155">
        <f t="shared" si="7"/>
        <v>81</v>
      </c>
      <c r="B89" s="58"/>
      <c r="C89" s="59"/>
      <c r="D89" s="60"/>
      <c r="E89" s="34"/>
      <c r="F89" s="56">
        <f t="shared" si="4"/>
        <v>0</v>
      </c>
      <c r="G89" s="164"/>
      <c r="H89" s="236"/>
      <c r="I89" s="237"/>
      <c r="J89" s="237"/>
      <c r="K89" s="238">
        <f t="shared" si="5"/>
        <v>0</v>
      </c>
      <c r="L89" s="237"/>
      <c r="M89" s="185"/>
      <c r="N89" s="184"/>
      <c r="O89" s="184"/>
      <c r="P89" s="56">
        <f t="shared" si="6"/>
        <v>0</v>
      </c>
      <c r="Q89" s="156"/>
    </row>
    <row r="90" spans="1:17">
      <c r="A90" s="155">
        <f t="shared" si="7"/>
        <v>82</v>
      </c>
      <c r="B90" s="58"/>
      <c r="C90" s="59"/>
      <c r="D90" s="60"/>
      <c r="E90" s="34"/>
      <c r="F90" s="56">
        <f t="shared" si="4"/>
        <v>0</v>
      </c>
      <c r="G90" s="164"/>
      <c r="H90" s="236"/>
      <c r="I90" s="237"/>
      <c r="J90" s="237"/>
      <c r="K90" s="238">
        <f t="shared" si="5"/>
        <v>0</v>
      </c>
      <c r="L90" s="237"/>
      <c r="M90" s="185"/>
      <c r="N90" s="184"/>
      <c r="O90" s="184"/>
      <c r="P90" s="56">
        <f t="shared" si="6"/>
        <v>0</v>
      </c>
      <c r="Q90" s="156"/>
    </row>
    <row r="91" spans="1:17">
      <c r="A91" s="155">
        <f t="shared" si="7"/>
        <v>83</v>
      </c>
      <c r="B91" s="58"/>
      <c r="C91" s="59"/>
      <c r="D91" s="60"/>
      <c r="E91" s="34"/>
      <c r="F91" s="56">
        <f t="shared" si="4"/>
        <v>0</v>
      </c>
      <c r="G91" s="164"/>
      <c r="H91" s="236"/>
      <c r="I91" s="237"/>
      <c r="J91" s="237"/>
      <c r="K91" s="238">
        <f t="shared" si="5"/>
        <v>0</v>
      </c>
      <c r="L91" s="237"/>
      <c r="M91" s="185"/>
      <c r="N91" s="184"/>
      <c r="O91" s="184"/>
      <c r="P91" s="56">
        <f t="shared" si="6"/>
        <v>0</v>
      </c>
      <c r="Q91" s="156"/>
    </row>
    <row r="92" spans="1:17">
      <c r="A92" s="155">
        <f t="shared" si="7"/>
        <v>84</v>
      </c>
      <c r="B92" s="58"/>
      <c r="C92" s="59"/>
      <c r="D92" s="60"/>
      <c r="E92" s="34"/>
      <c r="F92" s="56">
        <f t="shared" si="4"/>
        <v>0</v>
      </c>
      <c r="G92" s="164"/>
      <c r="H92" s="236"/>
      <c r="I92" s="237"/>
      <c r="J92" s="237"/>
      <c r="K92" s="238">
        <f t="shared" si="5"/>
        <v>0</v>
      </c>
      <c r="L92" s="237"/>
      <c r="M92" s="185"/>
      <c r="N92" s="184"/>
      <c r="O92" s="184"/>
      <c r="P92" s="56">
        <f t="shared" si="6"/>
        <v>0</v>
      </c>
      <c r="Q92" s="156"/>
    </row>
    <row r="93" spans="1:17">
      <c r="A93" s="155">
        <f t="shared" si="7"/>
        <v>85</v>
      </c>
      <c r="B93" s="58"/>
      <c r="C93" s="59"/>
      <c r="D93" s="60"/>
      <c r="E93" s="34"/>
      <c r="F93" s="56">
        <f t="shared" si="4"/>
        <v>0</v>
      </c>
      <c r="G93" s="164"/>
      <c r="H93" s="236"/>
      <c r="I93" s="237"/>
      <c r="J93" s="237"/>
      <c r="K93" s="238">
        <f t="shared" si="5"/>
        <v>0</v>
      </c>
      <c r="L93" s="237"/>
      <c r="M93" s="185"/>
      <c r="N93" s="184"/>
      <c r="O93" s="184"/>
      <c r="P93" s="56">
        <f t="shared" si="6"/>
        <v>0</v>
      </c>
      <c r="Q93" s="156"/>
    </row>
    <row r="94" spans="1:17">
      <c r="A94" s="155">
        <f t="shared" si="7"/>
        <v>86</v>
      </c>
      <c r="B94" s="58"/>
      <c r="C94" s="59"/>
      <c r="D94" s="60"/>
      <c r="E94" s="34"/>
      <c r="F94" s="56">
        <f t="shared" si="4"/>
        <v>0</v>
      </c>
      <c r="G94" s="164"/>
      <c r="H94" s="236"/>
      <c r="I94" s="237"/>
      <c r="J94" s="237"/>
      <c r="K94" s="238">
        <f t="shared" si="5"/>
        <v>0</v>
      </c>
      <c r="L94" s="237"/>
      <c r="M94" s="185"/>
      <c r="N94" s="184"/>
      <c r="O94" s="184"/>
      <c r="P94" s="56">
        <f t="shared" si="6"/>
        <v>0</v>
      </c>
      <c r="Q94" s="156"/>
    </row>
    <row r="95" spans="1:17">
      <c r="A95" s="155">
        <f t="shared" si="7"/>
        <v>87</v>
      </c>
      <c r="B95" s="58"/>
      <c r="C95" s="59"/>
      <c r="D95" s="60"/>
      <c r="E95" s="34"/>
      <c r="F95" s="56">
        <f t="shared" si="4"/>
        <v>0</v>
      </c>
      <c r="G95" s="164"/>
      <c r="H95" s="236"/>
      <c r="I95" s="237"/>
      <c r="J95" s="237"/>
      <c r="K95" s="238">
        <f t="shared" si="5"/>
        <v>0</v>
      </c>
      <c r="L95" s="237"/>
      <c r="M95" s="185"/>
      <c r="N95" s="184"/>
      <c r="O95" s="184"/>
      <c r="P95" s="56">
        <f t="shared" si="6"/>
        <v>0</v>
      </c>
      <c r="Q95" s="156"/>
    </row>
    <row r="96" spans="1:17">
      <c r="A96" s="155">
        <f t="shared" si="7"/>
        <v>88</v>
      </c>
      <c r="B96" s="58"/>
      <c r="C96" s="59"/>
      <c r="D96" s="60"/>
      <c r="E96" s="34"/>
      <c r="F96" s="56">
        <f t="shared" si="4"/>
        <v>0</v>
      </c>
      <c r="G96" s="164"/>
      <c r="H96" s="236"/>
      <c r="I96" s="237"/>
      <c r="J96" s="237"/>
      <c r="K96" s="238">
        <f t="shared" si="5"/>
        <v>0</v>
      </c>
      <c r="L96" s="237"/>
      <c r="M96" s="185"/>
      <c r="N96" s="184"/>
      <c r="O96" s="184"/>
      <c r="P96" s="56">
        <f t="shared" si="6"/>
        <v>0</v>
      </c>
      <c r="Q96" s="156"/>
    </row>
    <row r="97" spans="1:17">
      <c r="A97" s="155">
        <f t="shared" si="7"/>
        <v>89</v>
      </c>
      <c r="B97" s="58"/>
      <c r="C97" s="59"/>
      <c r="D97" s="60"/>
      <c r="E97" s="34"/>
      <c r="F97" s="56">
        <f t="shared" si="4"/>
        <v>0</v>
      </c>
      <c r="G97" s="164"/>
      <c r="H97" s="236"/>
      <c r="I97" s="237"/>
      <c r="J97" s="237"/>
      <c r="K97" s="238">
        <f t="shared" si="5"/>
        <v>0</v>
      </c>
      <c r="L97" s="237"/>
      <c r="M97" s="185"/>
      <c r="N97" s="184"/>
      <c r="O97" s="184"/>
      <c r="P97" s="56">
        <f t="shared" si="6"/>
        <v>0</v>
      </c>
      <c r="Q97" s="156"/>
    </row>
    <row r="98" spans="1:17">
      <c r="A98" s="155">
        <f t="shared" si="7"/>
        <v>90</v>
      </c>
      <c r="B98" s="58"/>
      <c r="C98" s="59"/>
      <c r="D98" s="60"/>
      <c r="E98" s="34"/>
      <c r="F98" s="56">
        <f t="shared" si="4"/>
        <v>0</v>
      </c>
      <c r="G98" s="164"/>
      <c r="H98" s="236"/>
      <c r="I98" s="237"/>
      <c r="J98" s="237"/>
      <c r="K98" s="238">
        <f t="shared" si="5"/>
        <v>0</v>
      </c>
      <c r="L98" s="237"/>
      <c r="M98" s="185"/>
      <c r="N98" s="184"/>
      <c r="O98" s="184"/>
      <c r="P98" s="56">
        <f t="shared" si="6"/>
        <v>0</v>
      </c>
      <c r="Q98" s="156"/>
    </row>
    <row r="99" spans="1:17">
      <c r="A99" s="155">
        <f t="shared" si="7"/>
        <v>91</v>
      </c>
      <c r="B99" s="58"/>
      <c r="C99" s="59"/>
      <c r="D99" s="60"/>
      <c r="E99" s="34"/>
      <c r="F99" s="56">
        <f t="shared" si="4"/>
        <v>0</v>
      </c>
      <c r="G99" s="164"/>
      <c r="H99" s="236"/>
      <c r="I99" s="237"/>
      <c r="J99" s="237"/>
      <c r="K99" s="238">
        <f t="shared" si="5"/>
        <v>0</v>
      </c>
      <c r="L99" s="237"/>
      <c r="M99" s="185"/>
      <c r="N99" s="184"/>
      <c r="O99" s="184"/>
      <c r="P99" s="56">
        <f t="shared" si="6"/>
        <v>0</v>
      </c>
      <c r="Q99" s="156"/>
    </row>
    <row r="100" spans="1:17">
      <c r="A100" s="155">
        <f t="shared" si="7"/>
        <v>92</v>
      </c>
      <c r="B100" s="58"/>
      <c r="C100" s="59"/>
      <c r="D100" s="60"/>
      <c r="E100" s="34"/>
      <c r="F100" s="56">
        <f t="shared" si="4"/>
        <v>0</v>
      </c>
      <c r="G100" s="164"/>
      <c r="H100" s="236"/>
      <c r="I100" s="237"/>
      <c r="J100" s="237"/>
      <c r="K100" s="238">
        <f t="shared" si="5"/>
        <v>0</v>
      </c>
      <c r="L100" s="237"/>
      <c r="M100" s="185"/>
      <c r="N100" s="184"/>
      <c r="O100" s="184"/>
      <c r="P100" s="56">
        <f t="shared" si="6"/>
        <v>0</v>
      </c>
      <c r="Q100" s="156"/>
    </row>
    <row r="101" spans="1:17">
      <c r="A101" s="155">
        <f t="shared" si="7"/>
        <v>93</v>
      </c>
      <c r="B101" s="58"/>
      <c r="C101" s="59"/>
      <c r="D101" s="60"/>
      <c r="E101" s="34"/>
      <c r="F101" s="56">
        <f t="shared" si="4"/>
        <v>0</v>
      </c>
      <c r="G101" s="164"/>
      <c r="H101" s="236"/>
      <c r="I101" s="237"/>
      <c r="J101" s="237"/>
      <c r="K101" s="238">
        <f t="shared" si="5"/>
        <v>0</v>
      </c>
      <c r="L101" s="237"/>
      <c r="M101" s="185"/>
      <c r="N101" s="184"/>
      <c r="O101" s="184"/>
      <c r="P101" s="56">
        <f t="shared" si="6"/>
        <v>0</v>
      </c>
      <c r="Q101" s="156"/>
    </row>
    <row r="102" spans="1:17">
      <c r="A102" s="155">
        <f t="shared" si="7"/>
        <v>94</v>
      </c>
      <c r="B102" s="58"/>
      <c r="C102" s="59"/>
      <c r="D102" s="60"/>
      <c r="E102" s="34"/>
      <c r="F102" s="56">
        <f t="shared" si="4"/>
        <v>0</v>
      </c>
      <c r="G102" s="164"/>
      <c r="H102" s="236"/>
      <c r="I102" s="237"/>
      <c r="J102" s="237"/>
      <c r="K102" s="238">
        <f t="shared" si="5"/>
        <v>0</v>
      </c>
      <c r="L102" s="237"/>
      <c r="M102" s="185"/>
      <c r="N102" s="184"/>
      <c r="O102" s="184"/>
      <c r="P102" s="56">
        <f t="shared" si="6"/>
        <v>0</v>
      </c>
      <c r="Q102" s="156"/>
    </row>
    <row r="103" spans="1:17">
      <c r="A103" s="155">
        <f t="shared" si="7"/>
        <v>95</v>
      </c>
      <c r="B103" s="58"/>
      <c r="C103" s="59"/>
      <c r="D103" s="60"/>
      <c r="E103" s="34"/>
      <c r="F103" s="56">
        <f t="shared" si="4"/>
        <v>0</v>
      </c>
      <c r="G103" s="164"/>
      <c r="H103" s="236"/>
      <c r="I103" s="237"/>
      <c r="J103" s="237"/>
      <c r="K103" s="238">
        <f t="shared" si="5"/>
        <v>0</v>
      </c>
      <c r="L103" s="237"/>
      <c r="M103" s="185"/>
      <c r="N103" s="184"/>
      <c r="O103" s="184"/>
      <c r="P103" s="56">
        <f t="shared" si="6"/>
        <v>0</v>
      </c>
      <c r="Q103" s="156"/>
    </row>
    <row r="104" spans="1:17">
      <c r="A104" s="155">
        <f t="shared" si="7"/>
        <v>96</v>
      </c>
      <c r="B104" s="58"/>
      <c r="C104" s="59"/>
      <c r="D104" s="60"/>
      <c r="E104" s="34"/>
      <c r="F104" s="56">
        <f t="shared" si="4"/>
        <v>0</v>
      </c>
      <c r="G104" s="164"/>
      <c r="H104" s="236"/>
      <c r="I104" s="237"/>
      <c r="J104" s="237"/>
      <c r="K104" s="238">
        <f t="shared" si="5"/>
        <v>0</v>
      </c>
      <c r="L104" s="237"/>
      <c r="M104" s="185"/>
      <c r="N104" s="184"/>
      <c r="O104" s="184"/>
      <c r="P104" s="56">
        <f t="shared" si="6"/>
        <v>0</v>
      </c>
      <c r="Q104" s="156"/>
    </row>
    <row r="105" spans="1:17">
      <c r="A105" s="155">
        <f t="shared" si="7"/>
        <v>97</v>
      </c>
      <c r="B105" s="58"/>
      <c r="C105" s="59"/>
      <c r="D105" s="60"/>
      <c r="E105" s="34"/>
      <c r="F105" s="56">
        <f t="shared" si="4"/>
        <v>0</v>
      </c>
      <c r="G105" s="164"/>
      <c r="H105" s="236"/>
      <c r="I105" s="237"/>
      <c r="J105" s="237"/>
      <c r="K105" s="238">
        <f t="shared" si="5"/>
        <v>0</v>
      </c>
      <c r="L105" s="237"/>
      <c r="M105" s="185"/>
      <c r="N105" s="184"/>
      <c r="O105" s="184"/>
      <c r="P105" s="56">
        <f t="shared" si="6"/>
        <v>0</v>
      </c>
      <c r="Q105" s="156"/>
    </row>
    <row r="106" spans="1:17">
      <c r="A106" s="155">
        <f t="shared" si="7"/>
        <v>98</v>
      </c>
      <c r="B106" s="58"/>
      <c r="C106" s="59"/>
      <c r="D106" s="60"/>
      <c r="E106" s="34"/>
      <c r="F106" s="56">
        <f t="shared" si="4"/>
        <v>0</v>
      </c>
      <c r="G106" s="164"/>
      <c r="H106" s="236"/>
      <c r="I106" s="237"/>
      <c r="J106" s="237"/>
      <c r="K106" s="238">
        <f t="shared" si="5"/>
        <v>0</v>
      </c>
      <c r="L106" s="237"/>
      <c r="M106" s="185"/>
      <c r="N106" s="184"/>
      <c r="O106" s="184"/>
      <c r="P106" s="56">
        <f t="shared" si="6"/>
        <v>0</v>
      </c>
      <c r="Q106" s="156"/>
    </row>
    <row r="107" spans="1:17">
      <c r="A107" s="155">
        <f t="shared" si="7"/>
        <v>99</v>
      </c>
      <c r="B107" s="58"/>
      <c r="C107" s="59"/>
      <c r="D107" s="60"/>
      <c r="E107" s="34"/>
      <c r="F107" s="56">
        <f t="shared" si="4"/>
        <v>0</v>
      </c>
      <c r="G107" s="164"/>
      <c r="H107" s="236"/>
      <c r="I107" s="237"/>
      <c r="J107" s="237"/>
      <c r="K107" s="238">
        <f t="shared" si="5"/>
        <v>0</v>
      </c>
      <c r="L107" s="237"/>
      <c r="M107" s="185"/>
      <c r="N107" s="184"/>
      <c r="O107" s="184"/>
      <c r="P107" s="56">
        <f t="shared" si="6"/>
        <v>0</v>
      </c>
      <c r="Q107" s="156"/>
    </row>
    <row r="108" spans="1:17">
      <c r="A108" s="155">
        <f t="shared" si="7"/>
        <v>100</v>
      </c>
      <c r="B108" s="58"/>
      <c r="C108" s="59"/>
      <c r="D108" s="60"/>
      <c r="E108" s="34"/>
      <c r="F108" s="56">
        <f t="shared" si="4"/>
        <v>0</v>
      </c>
      <c r="G108" s="164"/>
      <c r="H108" s="236"/>
      <c r="I108" s="237"/>
      <c r="J108" s="237"/>
      <c r="K108" s="238">
        <f t="shared" si="5"/>
        <v>0</v>
      </c>
      <c r="L108" s="237"/>
      <c r="M108" s="185"/>
      <c r="N108" s="184"/>
      <c r="O108" s="184"/>
      <c r="P108" s="56">
        <f t="shared" si="6"/>
        <v>0</v>
      </c>
      <c r="Q108" s="156"/>
    </row>
    <row r="109" spans="1:17">
      <c r="A109" s="155">
        <f t="shared" si="7"/>
        <v>101</v>
      </c>
      <c r="B109" s="58"/>
      <c r="C109" s="59"/>
      <c r="D109" s="60"/>
      <c r="E109" s="34"/>
      <c r="F109" s="56">
        <f t="shared" si="4"/>
        <v>0</v>
      </c>
      <c r="G109" s="164"/>
      <c r="H109" s="236"/>
      <c r="I109" s="237"/>
      <c r="J109" s="237"/>
      <c r="K109" s="238">
        <f t="shared" si="5"/>
        <v>0</v>
      </c>
      <c r="L109" s="237"/>
      <c r="M109" s="185"/>
      <c r="N109" s="184"/>
      <c r="O109" s="184"/>
      <c r="P109" s="56">
        <f t="shared" si="6"/>
        <v>0</v>
      </c>
      <c r="Q109" s="156"/>
    </row>
    <row r="110" spans="1:17">
      <c r="A110" s="155">
        <f t="shared" si="7"/>
        <v>102</v>
      </c>
      <c r="B110" s="58"/>
      <c r="C110" s="59"/>
      <c r="D110" s="60"/>
      <c r="E110" s="34"/>
      <c r="F110" s="56">
        <f t="shared" si="4"/>
        <v>0</v>
      </c>
      <c r="G110" s="164"/>
      <c r="H110" s="236"/>
      <c r="I110" s="237"/>
      <c r="J110" s="237"/>
      <c r="K110" s="238">
        <f t="shared" si="5"/>
        <v>0</v>
      </c>
      <c r="L110" s="237"/>
      <c r="M110" s="185"/>
      <c r="N110" s="184"/>
      <c r="O110" s="184"/>
      <c r="P110" s="56">
        <f t="shared" si="6"/>
        <v>0</v>
      </c>
      <c r="Q110" s="156"/>
    </row>
    <row r="111" spans="1:17">
      <c r="A111" s="155">
        <f t="shared" si="7"/>
        <v>103</v>
      </c>
      <c r="B111" s="58"/>
      <c r="C111" s="59"/>
      <c r="D111" s="60"/>
      <c r="E111" s="34"/>
      <c r="F111" s="56">
        <f t="shared" si="4"/>
        <v>0</v>
      </c>
      <c r="G111" s="164"/>
      <c r="H111" s="236"/>
      <c r="I111" s="237"/>
      <c r="J111" s="237"/>
      <c r="K111" s="238">
        <f t="shared" si="5"/>
        <v>0</v>
      </c>
      <c r="L111" s="237"/>
      <c r="M111" s="185"/>
      <c r="N111" s="184"/>
      <c r="O111" s="184"/>
      <c r="P111" s="56">
        <f t="shared" si="6"/>
        <v>0</v>
      </c>
      <c r="Q111" s="156"/>
    </row>
    <row r="112" spans="1:17">
      <c r="A112" s="155">
        <f t="shared" si="7"/>
        <v>104</v>
      </c>
      <c r="B112" s="58"/>
      <c r="C112" s="59"/>
      <c r="D112" s="60"/>
      <c r="E112" s="34"/>
      <c r="F112" s="56">
        <f t="shared" si="4"/>
        <v>0</v>
      </c>
      <c r="G112" s="164"/>
      <c r="H112" s="236"/>
      <c r="I112" s="237"/>
      <c r="J112" s="237"/>
      <c r="K112" s="238">
        <f t="shared" si="5"/>
        <v>0</v>
      </c>
      <c r="L112" s="237"/>
      <c r="M112" s="185"/>
      <c r="N112" s="184"/>
      <c r="O112" s="184"/>
      <c r="P112" s="56">
        <f t="shared" si="6"/>
        <v>0</v>
      </c>
      <c r="Q112" s="156"/>
    </row>
    <row r="113" spans="1:17">
      <c r="A113" s="155">
        <f t="shared" si="7"/>
        <v>105</v>
      </c>
      <c r="B113" s="58"/>
      <c r="C113" s="59"/>
      <c r="D113" s="60"/>
      <c r="E113" s="34"/>
      <c r="F113" s="56">
        <f t="shared" si="4"/>
        <v>0</v>
      </c>
      <c r="G113" s="164"/>
      <c r="H113" s="236"/>
      <c r="I113" s="237"/>
      <c r="J113" s="237"/>
      <c r="K113" s="238">
        <f t="shared" si="5"/>
        <v>0</v>
      </c>
      <c r="L113" s="237"/>
      <c r="M113" s="185"/>
      <c r="N113" s="184"/>
      <c r="O113" s="184"/>
      <c r="P113" s="56">
        <f t="shared" si="6"/>
        <v>0</v>
      </c>
      <c r="Q113" s="156"/>
    </row>
    <row r="114" spans="1:17">
      <c r="A114" s="155">
        <f t="shared" si="7"/>
        <v>106</v>
      </c>
      <c r="B114" s="58"/>
      <c r="C114" s="59"/>
      <c r="D114" s="60"/>
      <c r="E114" s="34"/>
      <c r="F114" s="56">
        <f t="shared" si="4"/>
        <v>0</v>
      </c>
      <c r="G114" s="164"/>
      <c r="H114" s="236"/>
      <c r="I114" s="237"/>
      <c r="J114" s="237"/>
      <c r="K114" s="238">
        <f t="shared" si="5"/>
        <v>0</v>
      </c>
      <c r="L114" s="237"/>
      <c r="M114" s="185"/>
      <c r="N114" s="184"/>
      <c r="O114" s="184"/>
      <c r="P114" s="56">
        <f t="shared" si="6"/>
        <v>0</v>
      </c>
      <c r="Q114" s="156"/>
    </row>
    <row r="115" spans="1:17">
      <c r="A115" s="155">
        <f t="shared" si="7"/>
        <v>107</v>
      </c>
      <c r="B115" s="58"/>
      <c r="C115" s="59"/>
      <c r="D115" s="60"/>
      <c r="E115" s="34"/>
      <c r="F115" s="56">
        <f t="shared" si="4"/>
        <v>0</v>
      </c>
      <c r="G115" s="164"/>
      <c r="H115" s="236"/>
      <c r="I115" s="237"/>
      <c r="J115" s="237"/>
      <c r="K115" s="238">
        <f t="shared" si="5"/>
        <v>0</v>
      </c>
      <c r="L115" s="237"/>
      <c r="M115" s="185"/>
      <c r="N115" s="184"/>
      <c r="O115" s="184"/>
      <c r="P115" s="56">
        <f t="shared" si="6"/>
        <v>0</v>
      </c>
      <c r="Q115" s="156"/>
    </row>
    <row r="116" spans="1:17">
      <c r="A116" s="155">
        <f t="shared" si="7"/>
        <v>108</v>
      </c>
      <c r="B116" s="58"/>
      <c r="C116" s="59"/>
      <c r="D116" s="60"/>
      <c r="E116" s="34"/>
      <c r="F116" s="56">
        <f t="shared" si="4"/>
        <v>0</v>
      </c>
      <c r="G116" s="164"/>
      <c r="H116" s="236"/>
      <c r="I116" s="237"/>
      <c r="J116" s="237"/>
      <c r="K116" s="238">
        <f t="shared" si="5"/>
        <v>0</v>
      </c>
      <c r="L116" s="237"/>
      <c r="M116" s="185"/>
      <c r="N116" s="184"/>
      <c r="O116" s="184"/>
      <c r="P116" s="56">
        <f t="shared" si="6"/>
        <v>0</v>
      </c>
      <c r="Q116" s="156"/>
    </row>
    <row r="117" spans="1:17">
      <c r="A117" s="155">
        <f t="shared" si="7"/>
        <v>109</v>
      </c>
      <c r="B117" s="58"/>
      <c r="C117" s="59"/>
      <c r="D117" s="60"/>
      <c r="E117" s="34"/>
      <c r="F117" s="56">
        <f t="shared" si="4"/>
        <v>0</v>
      </c>
      <c r="G117" s="164"/>
      <c r="H117" s="236"/>
      <c r="I117" s="237"/>
      <c r="J117" s="237"/>
      <c r="K117" s="238">
        <f t="shared" si="5"/>
        <v>0</v>
      </c>
      <c r="L117" s="237"/>
      <c r="M117" s="185"/>
      <c r="N117" s="184"/>
      <c r="O117" s="184"/>
      <c r="P117" s="56">
        <f t="shared" si="6"/>
        <v>0</v>
      </c>
      <c r="Q117" s="156"/>
    </row>
    <row r="118" spans="1:17">
      <c r="A118" s="155">
        <f t="shared" si="7"/>
        <v>110</v>
      </c>
      <c r="B118" s="58"/>
      <c r="C118" s="59"/>
      <c r="D118" s="60"/>
      <c r="E118" s="34"/>
      <c r="F118" s="56">
        <f t="shared" si="4"/>
        <v>0</v>
      </c>
      <c r="G118" s="164"/>
      <c r="H118" s="236"/>
      <c r="I118" s="237"/>
      <c r="J118" s="237"/>
      <c r="K118" s="238">
        <f t="shared" si="5"/>
        <v>0</v>
      </c>
      <c r="L118" s="237"/>
      <c r="M118" s="185"/>
      <c r="N118" s="184"/>
      <c r="O118" s="184"/>
      <c r="P118" s="56">
        <f t="shared" si="6"/>
        <v>0</v>
      </c>
      <c r="Q118" s="156"/>
    </row>
    <row r="119" spans="1:17">
      <c r="A119" s="155">
        <f t="shared" si="7"/>
        <v>111</v>
      </c>
      <c r="B119" s="58"/>
      <c r="C119" s="59"/>
      <c r="D119" s="60"/>
      <c r="E119" s="34"/>
      <c r="F119" s="56">
        <f t="shared" si="4"/>
        <v>0</v>
      </c>
      <c r="G119" s="164"/>
      <c r="H119" s="236"/>
      <c r="I119" s="237"/>
      <c r="J119" s="237"/>
      <c r="K119" s="238">
        <f t="shared" si="5"/>
        <v>0</v>
      </c>
      <c r="L119" s="237"/>
      <c r="M119" s="185"/>
      <c r="N119" s="184"/>
      <c r="O119" s="184"/>
      <c r="P119" s="56">
        <f t="shared" si="6"/>
        <v>0</v>
      </c>
      <c r="Q119" s="156"/>
    </row>
    <row r="120" spans="1:17">
      <c r="A120" s="155">
        <f t="shared" si="7"/>
        <v>112</v>
      </c>
      <c r="B120" s="58"/>
      <c r="C120" s="59"/>
      <c r="D120" s="60"/>
      <c r="E120" s="34"/>
      <c r="F120" s="56">
        <f t="shared" si="4"/>
        <v>0</v>
      </c>
      <c r="G120" s="164"/>
      <c r="H120" s="236"/>
      <c r="I120" s="237"/>
      <c r="J120" s="237"/>
      <c r="K120" s="238">
        <f t="shared" si="5"/>
        <v>0</v>
      </c>
      <c r="L120" s="237"/>
      <c r="M120" s="185"/>
      <c r="N120" s="184"/>
      <c r="O120" s="184"/>
      <c r="P120" s="56">
        <f t="shared" si="6"/>
        <v>0</v>
      </c>
      <c r="Q120" s="156"/>
    </row>
    <row r="121" spans="1:17">
      <c r="A121" s="155">
        <f t="shared" si="7"/>
        <v>113</v>
      </c>
      <c r="B121" s="58"/>
      <c r="C121" s="59"/>
      <c r="D121" s="60"/>
      <c r="E121" s="34"/>
      <c r="F121" s="56">
        <f t="shared" si="4"/>
        <v>0</v>
      </c>
      <c r="G121" s="164"/>
      <c r="H121" s="236"/>
      <c r="I121" s="237"/>
      <c r="J121" s="237"/>
      <c r="K121" s="238">
        <f t="shared" si="5"/>
        <v>0</v>
      </c>
      <c r="L121" s="237"/>
      <c r="M121" s="185"/>
      <c r="N121" s="184"/>
      <c r="O121" s="184"/>
      <c r="P121" s="56">
        <f t="shared" si="6"/>
        <v>0</v>
      </c>
      <c r="Q121" s="156"/>
    </row>
    <row r="122" spans="1:17">
      <c r="A122" s="155">
        <f t="shared" si="7"/>
        <v>114</v>
      </c>
      <c r="B122" s="58"/>
      <c r="C122" s="59"/>
      <c r="D122" s="60"/>
      <c r="E122" s="34"/>
      <c r="F122" s="56">
        <f t="shared" si="4"/>
        <v>0</v>
      </c>
      <c r="G122" s="164"/>
      <c r="H122" s="236"/>
      <c r="I122" s="237"/>
      <c r="J122" s="237"/>
      <c r="K122" s="238">
        <f t="shared" si="5"/>
        <v>0</v>
      </c>
      <c r="L122" s="237"/>
      <c r="M122" s="185"/>
      <c r="N122" s="184"/>
      <c r="O122" s="184"/>
      <c r="P122" s="56">
        <f t="shared" si="6"/>
        <v>0</v>
      </c>
      <c r="Q122" s="156"/>
    </row>
    <row r="123" spans="1:17">
      <c r="A123" s="155">
        <f t="shared" si="7"/>
        <v>115</v>
      </c>
      <c r="B123" s="58"/>
      <c r="C123" s="59"/>
      <c r="D123" s="60"/>
      <c r="E123" s="34"/>
      <c r="F123" s="56">
        <f t="shared" si="4"/>
        <v>0</v>
      </c>
      <c r="G123" s="164"/>
      <c r="H123" s="236"/>
      <c r="I123" s="237"/>
      <c r="J123" s="237"/>
      <c r="K123" s="238">
        <f t="shared" si="5"/>
        <v>0</v>
      </c>
      <c r="L123" s="237"/>
      <c r="M123" s="185"/>
      <c r="N123" s="184"/>
      <c r="O123" s="184"/>
      <c r="P123" s="56">
        <f t="shared" si="6"/>
        <v>0</v>
      </c>
      <c r="Q123" s="156"/>
    </row>
    <row r="124" spans="1:17">
      <c r="A124" s="155">
        <f t="shared" si="7"/>
        <v>116</v>
      </c>
      <c r="B124" s="58"/>
      <c r="C124" s="59"/>
      <c r="D124" s="60"/>
      <c r="E124" s="34"/>
      <c r="F124" s="56">
        <f t="shared" si="4"/>
        <v>0</v>
      </c>
      <c r="G124" s="164"/>
      <c r="H124" s="236"/>
      <c r="I124" s="237"/>
      <c r="J124" s="237"/>
      <c r="K124" s="238">
        <f t="shared" si="5"/>
        <v>0</v>
      </c>
      <c r="L124" s="237"/>
      <c r="M124" s="185"/>
      <c r="N124" s="184"/>
      <c r="O124" s="184"/>
      <c r="P124" s="56">
        <f t="shared" si="6"/>
        <v>0</v>
      </c>
      <c r="Q124" s="156"/>
    </row>
    <row r="125" spans="1:17">
      <c r="A125" s="155">
        <f t="shared" si="7"/>
        <v>117</v>
      </c>
      <c r="B125" s="58"/>
      <c r="C125" s="59"/>
      <c r="D125" s="60"/>
      <c r="E125" s="34"/>
      <c r="F125" s="56">
        <f t="shared" si="4"/>
        <v>0</v>
      </c>
      <c r="G125" s="164"/>
      <c r="H125" s="236"/>
      <c r="I125" s="237"/>
      <c r="J125" s="237"/>
      <c r="K125" s="238">
        <f t="shared" si="5"/>
        <v>0</v>
      </c>
      <c r="L125" s="237"/>
      <c r="M125" s="185"/>
      <c r="N125" s="184"/>
      <c r="O125" s="184"/>
      <c r="P125" s="56">
        <f t="shared" si="6"/>
        <v>0</v>
      </c>
      <c r="Q125" s="156"/>
    </row>
    <row r="126" spans="1:17">
      <c r="A126" s="155">
        <f t="shared" si="7"/>
        <v>118</v>
      </c>
      <c r="B126" s="58"/>
      <c r="C126" s="59"/>
      <c r="D126" s="60"/>
      <c r="E126" s="34"/>
      <c r="F126" s="56">
        <f t="shared" si="4"/>
        <v>0</v>
      </c>
      <c r="G126" s="164"/>
      <c r="H126" s="236"/>
      <c r="I126" s="237"/>
      <c r="J126" s="237"/>
      <c r="K126" s="238">
        <f t="shared" si="5"/>
        <v>0</v>
      </c>
      <c r="L126" s="237"/>
      <c r="M126" s="185"/>
      <c r="N126" s="184"/>
      <c r="O126" s="184"/>
      <c r="P126" s="56">
        <f t="shared" si="6"/>
        <v>0</v>
      </c>
      <c r="Q126" s="156"/>
    </row>
    <row r="127" spans="1:17">
      <c r="A127" s="155">
        <f t="shared" si="7"/>
        <v>119</v>
      </c>
      <c r="B127" s="58"/>
      <c r="C127" s="59"/>
      <c r="D127" s="60"/>
      <c r="E127" s="34"/>
      <c r="F127" s="56">
        <f t="shared" si="4"/>
        <v>0</v>
      </c>
      <c r="G127" s="164"/>
      <c r="H127" s="236"/>
      <c r="I127" s="237"/>
      <c r="J127" s="237"/>
      <c r="K127" s="238">
        <f t="shared" si="5"/>
        <v>0</v>
      </c>
      <c r="L127" s="237"/>
      <c r="M127" s="185"/>
      <c r="N127" s="184"/>
      <c r="O127" s="184"/>
      <c r="P127" s="56">
        <f t="shared" si="6"/>
        <v>0</v>
      </c>
      <c r="Q127" s="156"/>
    </row>
    <row r="128" spans="1:17">
      <c r="A128" s="155">
        <f t="shared" si="7"/>
        <v>120</v>
      </c>
      <c r="B128" s="58"/>
      <c r="C128" s="59"/>
      <c r="D128" s="60"/>
      <c r="E128" s="34"/>
      <c r="F128" s="56">
        <f t="shared" si="4"/>
        <v>0</v>
      </c>
      <c r="G128" s="164"/>
      <c r="H128" s="236"/>
      <c r="I128" s="237"/>
      <c r="J128" s="237"/>
      <c r="K128" s="238">
        <f t="shared" si="5"/>
        <v>0</v>
      </c>
      <c r="L128" s="237"/>
      <c r="M128" s="185"/>
      <c r="N128" s="184"/>
      <c r="O128" s="184"/>
      <c r="P128" s="56">
        <f t="shared" si="6"/>
        <v>0</v>
      </c>
      <c r="Q128" s="156"/>
    </row>
    <row r="129" spans="1:17">
      <c r="A129" s="155">
        <f t="shared" si="7"/>
        <v>121</v>
      </c>
      <c r="B129" s="58"/>
      <c r="C129" s="59"/>
      <c r="D129" s="60"/>
      <c r="E129" s="34"/>
      <c r="F129" s="56">
        <f t="shared" si="4"/>
        <v>0</v>
      </c>
      <c r="G129" s="164"/>
      <c r="H129" s="236"/>
      <c r="I129" s="237"/>
      <c r="J129" s="237"/>
      <c r="K129" s="238">
        <f t="shared" si="5"/>
        <v>0</v>
      </c>
      <c r="L129" s="237"/>
      <c r="M129" s="185"/>
      <c r="N129" s="184"/>
      <c r="O129" s="184"/>
      <c r="P129" s="56">
        <f t="shared" si="6"/>
        <v>0</v>
      </c>
      <c r="Q129" s="156"/>
    </row>
    <row r="130" spans="1:17">
      <c r="A130" s="155">
        <f t="shared" si="7"/>
        <v>122</v>
      </c>
      <c r="B130" s="58"/>
      <c r="C130" s="59"/>
      <c r="D130" s="60"/>
      <c r="E130" s="34"/>
      <c r="F130" s="56">
        <f t="shared" si="4"/>
        <v>0</v>
      </c>
      <c r="G130" s="164"/>
      <c r="H130" s="236"/>
      <c r="I130" s="237"/>
      <c r="J130" s="237"/>
      <c r="K130" s="238">
        <f t="shared" si="5"/>
        <v>0</v>
      </c>
      <c r="L130" s="237"/>
      <c r="M130" s="185"/>
      <c r="N130" s="184"/>
      <c r="O130" s="184"/>
      <c r="P130" s="56">
        <f t="shared" si="6"/>
        <v>0</v>
      </c>
      <c r="Q130" s="156"/>
    </row>
    <row r="131" spans="1:17">
      <c r="A131" s="155">
        <f t="shared" si="7"/>
        <v>123</v>
      </c>
      <c r="B131" s="58"/>
      <c r="C131" s="59"/>
      <c r="D131" s="60"/>
      <c r="E131" s="34"/>
      <c r="F131" s="56">
        <f t="shared" si="4"/>
        <v>0</v>
      </c>
      <c r="G131" s="164"/>
      <c r="H131" s="236"/>
      <c r="I131" s="237"/>
      <c r="J131" s="237"/>
      <c r="K131" s="238">
        <f t="shared" si="5"/>
        <v>0</v>
      </c>
      <c r="L131" s="237"/>
      <c r="M131" s="185"/>
      <c r="N131" s="184"/>
      <c r="O131" s="184"/>
      <c r="P131" s="56">
        <f t="shared" si="6"/>
        <v>0</v>
      </c>
      <c r="Q131" s="156"/>
    </row>
    <row r="132" spans="1:17">
      <c r="A132" s="155">
        <f t="shared" si="7"/>
        <v>124</v>
      </c>
      <c r="B132" s="58"/>
      <c r="C132" s="59"/>
      <c r="D132" s="60"/>
      <c r="E132" s="34"/>
      <c r="F132" s="56">
        <f t="shared" si="4"/>
        <v>0</v>
      </c>
      <c r="G132" s="164"/>
      <c r="H132" s="236"/>
      <c r="I132" s="237"/>
      <c r="J132" s="237"/>
      <c r="K132" s="238">
        <f t="shared" si="5"/>
        <v>0</v>
      </c>
      <c r="L132" s="237"/>
      <c r="M132" s="185"/>
      <c r="N132" s="184"/>
      <c r="O132" s="184"/>
      <c r="P132" s="56">
        <f t="shared" si="6"/>
        <v>0</v>
      </c>
      <c r="Q132" s="156"/>
    </row>
    <row r="133" spans="1:17">
      <c r="A133" s="155">
        <f t="shared" si="7"/>
        <v>125</v>
      </c>
      <c r="B133" s="58"/>
      <c r="C133" s="59"/>
      <c r="D133" s="60"/>
      <c r="E133" s="34"/>
      <c r="F133" s="56">
        <f t="shared" si="4"/>
        <v>0</v>
      </c>
      <c r="G133" s="164"/>
      <c r="H133" s="236"/>
      <c r="I133" s="237"/>
      <c r="J133" s="237"/>
      <c r="K133" s="238">
        <f t="shared" si="5"/>
        <v>0</v>
      </c>
      <c r="L133" s="237"/>
      <c r="M133" s="185"/>
      <c r="N133" s="184"/>
      <c r="O133" s="184"/>
      <c r="P133" s="56">
        <f t="shared" si="6"/>
        <v>0</v>
      </c>
      <c r="Q133" s="156"/>
    </row>
    <row r="134" spans="1:17">
      <c r="A134" s="155">
        <f t="shared" si="7"/>
        <v>126</v>
      </c>
      <c r="B134" s="58"/>
      <c r="C134" s="59"/>
      <c r="D134" s="60"/>
      <c r="E134" s="34"/>
      <c r="F134" s="56">
        <f t="shared" si="4"/>
        <v>0</v>
      </c>
      <c r="G134" s="164"/>
      <c r="H134" s="236"/>
      <c r="I134" s="237"/>
      <c r="J134" s="237"/>
      <c r="K134" s="238">
        <f t="shared" si="5"/>
        <v>0</v>
      </c>
      <c r="L134" s="237"/>
      <c r="M134" s="185"/>
      <c r="N134" s="184"/>
      <c r="O134" s="184"/>
      <c r="P134" s="56">
        <f t="shared" si="6"/>
        <v>0</v>
      </c>
      <c r="Q134" s="156"/>
    </row>
    <row r="135" spans="1:17">
      <c r="A135" s="155">
        <f t="shared" si="7"/>
        <v>127</v>
      </c>
      <c r="B135" s="58"/>
      <c r="C135" s="59"/>
      <c r="D135" s="60"/>
      <c r="E135" s="34"/>
      <c r="F135" s="56">
        <f t="shared" si="4"/>
        <v>0</v>
      </c>
      <c r="G135" s="164"/>
      <c r="H135" s="236"/>
      <c r="I135" s="237"/>
      <c r="J135" s="237"/>
      <c r="K135" s="238">
        <f t="shared" si="5"/>
        <v>0</v>
      </c>
      <c r="L135" s="237"/>
      <c r="M135" s="185"/>
      <c r="N135" s="184"/>
      <c r="O135" s="184"/>
      <c r="P135" s="56">
        <f t="shared" si="6"/>
        <v>0</v>
      </c>
      <c r="Q135" s="156"/>
    </row>
    <row r="136" spans="1:17">
      <c r="A136" s="155">
        <f t="shared" si="7"/>
        <v>128</v>
      </c>
      <c r="B136" s="58"/>
      <c r="C136" s="59"/>
      <c r="D136" s="60"/>
      <c r="E136" s="34"/>
      <c r="F136" s="56">
        <f t="shared" si="4"/>
        <v>0</v>
      </c>
      <c r="G136" s="164"/>
      <c r="H136" s="236"/>
      <c r="I136" s="237"/>
      <c r="J136" s="237"/>
      <c r="K136" s="238">
        <f t="shared" si="5"/>
        <v>0</v>
      </c>
      <c r="L136" s="237"/>
      <c r="M136" s="185"/>
      <c r="N136" s="184"/>
      <c r="O136" s="184"/>
      <c r="P136" s="56">
        <f t="shared" si="6"/>
        <v>0</v>
      </c>
      <c r="Q136" s="156"/>
    </row>
    <row r="137" spans="1:17">
      <c r="A137" s="155">
        <f t="shared" si="7"/>
        <v>129</v>
      </c>
      <c r="B137" s="58"/>
      <c r="C137" s="59"/>
      <c r="D137" s="60"/>
      <c r="E137" s="34"/>
      <c r="F137" s="56">
        <f t="shared" ref="F137:F200" si="8">D137*E137</f>
        <v>0</v>
      </c>
      <c r="G137" s="164"/>
      <c r="H137" s="236"/>
      <c r="I137" s="237"/>
      <c r="J137" s="237"/>
      <c r="K137" s="238">
        <f t="shared" ref="K137:K200" si="9">I137*J137</f>
        <v>0</v>
      </c>
      <c r="L137" s="237"/>
      <c r="M137" s="185"/>
      <c r="N137" s="184"/>
      <c r="O137" s="184"/>
      <c r="P137" s="56">
        <f t="shared" ref="P137:P200" si="10">N137*O137</f>
        <v>0</v>
      </c>
      <c r="Q137" s="156"/>
    </row>
    <row r="138" spans="1:17">
      <c r="A138" s="155">
        <f t="shared" ref="A138:A201" si="11">A137+1</f>
        <v>130</v>
      </c>
      <c r="B138" s="58"/>
      <c r="C138" s="59"/>
      <c r="D138" s="60"/>
      <c r="E138" s="34"/>
      <c r="F138" s="56">
        <f t="shared" si="8"/>
        <v>0</v>
      </c>
      <c r="G138" s="164"/>
      <c r="H138" s="236"/>
      <c r="I138" s="237"/>
      <c r="J138" s="237"/>
      <c r="K138" s="238">
        <f t="shared" si="9"/>
        <v>0</v>
      </c>
      <c r="L138" s="237"/>
      <c r="M138" s="185"/>
      <c r="N138" s="184"/>
      <c r="O138" s="184"/>
      <c r="P138" s="56">
        <f t="shared" si="10"/>
        <v>0</v>
      </c>
      <c r="Q138" s="156"/>
    </row>
    <row r="139" spans="1:17">
      <c r="A139" s="155">
        <f t="shared" si="11"/>
        <v>131</v>
      </c>
      <c r="B139" s="58"/>
      <c r="C139" s="59"/>
      <c r="D139" s="60"/>
      <c r="E139" s="34"/>
      <c r="F139" s="56">
        <f t="shared" si="8"/>
        <v>0</v>
      </c>
      <c r="G139" s="164"/>
      <c r="H139" s="236"/>
      <c r="I139" s="237"/>
      <c r="J139" s="237"/>
      <c r="K139" s="238">
        <f t="shared" si="9"/>
        <v>0</v>
      </c>
      <c r="L139" s="237"/>
      <c r="M139" s="185"/>
      <c r="N139" s="184"/>
      <c r="O139" s="184"/>
      <c r="P139" s="56">
        <f t="shared" si="10"/>
        <v>0</v>
      </c>
      <c r="Q139" s="156"/>
    </row>
    <row r="140" spans="1:17">
      <c r="A140" s="155">
        <f t="shared" si="11"/>
        <v>132</v>
      </c>
      <c r="B140" s="58"/>
      <c r="C140" s="59"/>
      <c r="D140" s="60"/>
      <c r="E140" s="34"/>
      <c r="F140" s="56">
        <f t="shared" si="8"/>
        <v>0</v>
      </c>
      <c r="G140" s="164"/>
      <c r="H140" s="236"/>
      <c r="I140" s="237"/>
      <c r="J140" s="237"/>
      <c r="K140" s="238">
        <f t="shared" si="9"/>
        <v>0</v>
      </c>
      <c r="L140" s="237"/>
      <c r="M140" s="185"/>
      <c r="N140" s="184"/>
      <c r="O140" s="184"/>
      <c r="P140" s="56">
        <f t="shared" si="10"/>
        <v>0</v>
      </c>
      <c r="Q140" s="156"/>
    </row>
    <row r="141" spans="1:17">
      <c r="A141" s="155">
        <f t="shared" si="11"/>
        <v>133</v>
      </c>
      <c r="B141" s="58"/>
      <c r="C141" s="59"/>
      <c r="D141" s="60"/>
      <c r="E141" s="34"/>
      <c r="F141" s="56">
        <f t="shared" si="8"/>
        <v>0</v>
      </c>
      <c r="G141" s="164"/>
      <c r="H141" s="236"/>
      <c r="I141" s="237"/>
      <c r="J141" s="237"/>
      <c r="K141" s="238">
        <f t="shared" si="9"/>
        <v>0</v>
      </c>
      <c r="L141" s="237"/>
      <c r="M141" s="185"/>
      <c r="N141" s="184"/>
      <c r="O141" s="184"/>
      <c r="P141" s="56">
        <f t="shared" si="10"/>
        <v>0</v>
      </c>
      <c r="Q141" s="156"/>
    </row>
    <row r="142" spans="1:17">
      <c r="A142" s="155">
        <f t="shared" si="11"/>
        <v>134</v>
      </c>
      <c r="B142" s="58"/>
      <c r="C142" s="59"/>
      <c r="D142" s="60"/>
      <c r="E142" s="34"/>
      <c r="F142" s="56">
        <f t="shared" si="8"/>
        <v>0</v>
      </c>
      <c r="G142" s="164"/>
      <c r="H142" s="236"/>
      <c r="I142" s="237"/>
      <c r="J142" s="237"/>
      <c r="K142" s="238">
        <f t="shared" si="9"/>
        <v>0</v>
      </c>
      <c r="L142" s="237"/>
      <c r="M142" s="185"/>
      <c r="N142" s="184"/>
      <c r="O142" s="184"/>
      <c r="P142" s="56">
        <f t="shared" si="10"/>
        <v>0</v>
      </c>
      <c r="Q142" s="156"/>
    </row>
    <row r="143" spans="1:17">
      <c r="A143" s="155">
        <f t="shared" si="11"/>
        <v>135</v>
      </c>
      <c r="B143" s="58"/>
      <c r="C143" s="59"/>
      <c r="D143" s="60"/>
      <c r="E143" s="34"/>
      <c r="F143" s="56">
        <f t="shared" si="8"/>
        <v>0</v>
      </c>
      <c r="G143" s="164"/>
      <c r="H143" s="236"/>
      <c r="I143" s="237"/>
      <c r="J143" s="237"/>
      <c r="K143" s="238">
        <f t="shared" si="9"/>
        <v>0</v>
      </c>
      <c r="L143" s="237"/>
      <c r="M143" s="185"/>
      <c r="N143" s="184"/>
      <c r="O143" s="184"/>
      <c r="P143" s="56">
        <f t="shared" si="10"/>
        <v>0</v>
      </c>
      <c r="Q143" s="156"/>
    </row>
    <row r="144" spans="1:17">
      <c r="A144" s="155">
        <f t="shared" si="11"/>
        <v>136</v>
      </c>
      <c r="B144" s="58"/>
      <c r="C144" s="59"/>
      <c r="D144" s="60"/>
      <c r="E144" s="34"/>
      <c r="F144" s="56">
        <f t="shared" si="8"/>
        <v>0</v>
      </c>
      <c r="G144" s="164"/>
      <c r="H144" s="236"/>
      <c r="I144" s="237"/>
      <c r="J144" s="237"/>
      <c r="K144" s="238">
        <f t="shared" si="9"/>
        <v>0</v>
      </c>
      <c r="L144" s="237"/>
      <c r="M144" s="185"/>
      <c r="N144" s="184"/>
      <c r="O144" s="184"/>
      <c r="P144" s="56">
        <f t="shared" si="10"/>
        <v>0</v>
      </c>
      <c r="Q144" s="156"/>
    </row>
    <row r="145" spans="1:17">
      <c r="A145" s="155">
        <f t="shared" si="11"/>
        <v>137</v>
      </c>
      <c r="B145" s="58"/>
      <c r="C145" s="59"/>
      <c r="D145" s="60"/>
      <c r="E145" s="34"/>
      <c r="F145" s="56">
        <f t="shared" si="8"/>
        <v>0</v>
      </c>
      <c r="G145" s="164"/>
      <c r="H145" s="236"/>
      <c r="I145" s="237"/>
      <c r="J145" s="237"/>
      <c r="K145" s="238">
        <f t="shared" si="9"/>
        <v>0</v>
      </c>
      <c r="L145" s="237"/>
      <c r="M145" s="185"/>
      <c r="N145" s="184"/>
      <c r="O145" s="184"/>
      <c r="P145" s="56">
        <f t="shared" si="10"/>
        <v>0</v>
      </c>
      <c r="Q145" s="156"/>
    </row>
    <row r="146" spans="1:17">
      <c r="A146" s="155">
        <f t="shared" si="11"/>
        <v>138</v>
      </c>
      <c r="B146" s="58"/>
      <c r="C146" s="59"/>
      <c r="D146" s="60"/>
      <c r="E146" s="34"/>
      <c r="F146" s="56">
        <f t="shared" si="8"/>
        <v>0</v>
      </c>
      <c r="G146" s="164"/>
      <c r="H146" s="236"/>
      <c r="I146" s="237"/>
      <c r="J146" s="237"/>
      <c r="K146" s="238">
        <f t="shared" si="9"/>
        <v>0</v>
      </c>
      <c r="L146" s="237"/>
      <c r="M146" s="185"/>
      <c r="N146" s="184"/>
      <c r="O146" s="184"/>
      <c r="P146" s="56">
        <f t="shared" si="10"/>
        <v>0</v>
      </c>
      <c r="Q146" s="156"/>
    </row>
    <row r="147" spans="1:17">
      <c r="A147" s="155">
        <f t="shared" si="11"/>
        <v>139</v>
      </c>
      <c r="B147" s="58"/>
      <c r="C147" s="59"/>
      <c r="D147" s="60"/>
      <c r="E147" s="34"/>
      <c r="F147" s="56">
        <f t="shared" si="8"/>
        <v>0</v>
      </c>
      <c r="G147" s="164"/>
      <c r="H147" s="236"/>
      <c r="I147" s="237"/>
      <c r="J147" s="237"/>
      <c r="K147" s="238">
        <f t="shared" si="9"/>
        <v>0</v>
      </c>
      <c r="L147" s="237"/>
      <c r="M147" s="185"/>
      <c r="N147" s="184"/>
      <c r="O147" s="184"/>
      <c r="P147" s="56">
        <f t="shared" si="10"/>
        <v>0</v>
      </c>
      <c r="Q147" s="156"/>
    </row>
    <row r="148" spans="1:17">
      <c r="A148" s="155">
        <f t="shared" si="11"/>
        <v>140</v>
      </c>
      <c r="B148" s="58"/>
      <c r="C148" s="59"/>
      <c r="D148" s="60"/>
      <c r="E148" s="34"/>
      <c r="F148" s="56">
        <f t="shared" si="8"/>
        <v>0</v>
      </c>
      <c r="G148" s="164"/>
      <c r="H148" s="236"/>
      <c r="I148" s="237"/>
      <c r="J148" s="237"/>
      <c r="K148" s="238">
        <f t="shared" si="9"/>
        <v>0</v>
      </c>
      <c r="L148" s="237"/>
      <c r="M148" s="185"/>
      <c r="N148" s="184"/>
      <c r="O148" s="184"/>
      <c r="P148" s="56">
        <f t="shared" si="10"/>
        <v>0</v>
      </c>
      <c r="Q148" s="156"/>
    </row>
    <row r="149" spans="1:17">
      <c r="A149" s="155">
        <f t="shared" si="11"/>
        <v>141</v>
      </c>
      <c r="B149" s="58"/>
      <c r="C149" s="59"/>
      <c r="D149" s="60"/>
      <c r="E149" s="34"/>
      <c r="F149" s="56">
        <f t="shared" si="8"/>
        <v>0</v>
      </c>
      <c r="G149" s="164"/>
      <c r="H149" s="236"/>
      <c r="I149" s="237"/>
      <c r="J149" s="237"/>
      <c r="K149" s="238">
        <f t="shared" si="9"/>
        <v>0</v>
      </c>
      <c r="L149" s="237"/>
      <c r="M149" s="185"/>
      <c r="N149" s="184"/>
      <c r="O149" s="184"/>
      <c r="P149" s="56">
        <f t="shared" si="10"/>
        <v>0</v>
      </c>
      <c r="Q149" s="156"/>
    </row>
    <row r="150" spans="1:17">
      <c r="A150" s="155">
        <f t="shared" si="11"/>
        <v>142</v>
      </c>
      <c r="B150" s="58"/>
      <c r="C150" s="59"/>
      <c r="D150" s="60"/>
      <c r="E150" s="34"/>
      <c r="F150" s="56">
        <f t="shared" si="8"/>
        <v>0</v>
      </c>
      <c r="G150" s="164"/>
      <c r="H150" s="236"/>
      <c r="I150" s="237"/>
      <c r="J150" s="237"/>
      <c r="K150" s="238">
        <f t="shared" si="9"/>
        <v>0</v>
      </c>
      <c r="L150" s="237"/>
      <c r="M150" s="185"/>
      <c r="N150" s="184"/>
      <c r="O150" s="184"/>
      <c r="P150" s="56">
        <f t="shared" si="10"/>
        <v>0</v>
      </c>
      <c r="Q150" s="156"/>
    </row>
    <row r="151" spans="1:17">
      <c r="A151" s="155">
        <f t="shared" si="11"/>
        <v>143</v>
      </c>
      <c r="B151" s="58"/>
      <c r="C151" s="59"/>
      <c r="D151" s="60"/>
      <c r="E151" s="34"/>
      <c r="F151" s="56">
        <f t="shared" si="8"/>
        <v>0</v>
      </c>
      <c r="G151" s="164"/>
      <c r="H151" s="236"/>
      <c r="I151" s="237"/>
      <c r="J151" s="237"/>
      <c r="K151" s="238">
        <f t="shared" si="9"/>
        <v>0</v>
      </c>
      <c r="L151" s="237"/>
      <c r="M151" s="185"/>
      <c r="N151" s="184"/>
      <c r="O151" s="184"/>
      <c r="P151" s="56">
        <f t="shared" si="10"/>
        <v>0</v>
      </c>
      <c r="Q151" s="156"/>
    </row>
    <row r="152" spans="1:17">
      <c r="A152" s="155">
        <f t="shared" si="11"/>
        <v>144</v>
      </c>
      <c r="B152" s="58"/>
      <c r="C152" s="59"/>
      <c r="D152" s="60"/>
      <c r="E152" s="34"/>
      <c r="F152" s="56">
        <f t="shared" si="8"/>
        <v>0</v>
      </c>
      <c r="G152" s="164"/>
      <c r="H152" s="236"/>
      <c r="I152" s="237"/>
      <c r="J152" s="237"/>
      <c r="K152" s="238">
        <f t="shared" si="9"/>
        <v>0</v>
      </c>
      <c r="L152" s="237"/>
      <c r="M152" s="185"/>
      <c r="N152" s="184"/>
      <c r="O152" s="184"/>
      <c r="P152" s="56">
        <f t="shared" si="10"/>
        <v>0</v>
      </c>
      <c r="Q152" s="156"/>
    </row>
    <row r="153" spans="1:17">
      <c r="A153" s="155">
        <f t="shared" si="11"/>
        <v>145</v>
      </c>
      <c r="B153" s="58"/>
      <c r="C153" s="59"/>
      <c r="D153" s="60"/>
      <c r="E153" s="34"/>
      <c r="F153" s="56">
        <f t="shared" si="8"/>
        <v>0</v>
      </c>
      <c r="G153" s="164"/>
      <c r="H153" s="236"/>
      <c r="I153" s="237"/>
      <c r="J153" s="237"/>
      <c r="K153" s="238">
        <f t="shared" si="9"/>
        <v>0</v>
      </c>
      <c r="L153" s="237"/>
      <c r="M153" s="185"/>
      <c r="N153" s="184"/>
      <c r="O153" s="184"/>
      <c r="P153" s="56">
        <f t="shared" si="10"/>
        <v>0</v>
      </c>
      <c r="Q153" s="156"/>
    </row>
    <row r="154" spans="1:17">
      <c r="A154" s="155">
        <f t="shared" si="11"/>
        <v>146</v>
      </c>
      <c r="B154" s="58"/>
      <c r="C154" s="59"/>
      <c r="D154" s="60"/>
      <c r="E154" s="34"/>
      <c r="F154" s="56">
        <f t="shared" si="8"/>
        <v>0</v>
      </c>
      <c r="G154" s="164"/>
      <c r="H154" s="236"/>
      <c r="I154" s="237"/>
      <c r="J154" s="237"/>
      <c r="K154" s="238">
        <f t="shared" si="9"/>
        <v>0</v>
      </c>
      <c r="L154" s="237"/>
      <c r="M154" s="185"/>
      <c r="N154" s="184"/>
      <c r="O154" s="184"/>
      <c r="P154" s="56">
        <f t="shared" si="10"/>
        <v>0</v>
      </c>
      <c r="Q154" s="156"/>
    </row>
    <row r="155" spans="1:17">
      <c r="A155" s="155">
        <f t="shared" si="11"/>
        <v>147</v>
      </c>
      <c r="B155" s="58"/>
      <c r="C155" s="59"/>
      <c r="D155" s="60"/>
      <c r="E155" s="34"/>
      <c r="F155" s="56">
        <f t="shared" si="8"/>
        <v>0</v>
      </c>
      <c r="G155" s="164"/>
      <c r="H155" s="236"/>
      <c r="I155" s="237"/>
      <c r="J155" s="237"/>
      <c r="K155" s="238">
        <f t="shared" si="9"/>
        <v>0</v>
      </c>
      <c r="L155" s="237"/>
      <c r="M155" s="185"/>
      <c r="N155" s="184"/>
      <c r="O155" s="184"/>
      <c r="P155" s="56">
        <f t="shared" si="10"/>
        <v>0</v>
      </c>
      <c r="Q155" s="156"/>
    </row>
    <row r="156" spans="1:17">
      <c r="A156" s="155">
        <f t="shared" si="11"/>
        <v>148</v>
      </c>
      <c r="B156" s="58"/>
      <c r="C156" s="59"/>
      <c r="D156" s="60"/>
      <c r="E156" s="34"/>
      <c r="F156" s="56">
        <f t="shared" si="8"/>
        <v>0</v>
      </c>
      <c r="G156" s="164"/>
      <c r="H156" s="236"/>
      <c r="I156" s="237"/>
      <c r="J156" s="237"/>
      <c r="K156" s="238">
        <f t="shared" si="9"/>
        <v>0</v>
      </c>
      <c r="L156" s="237"/>
      <c r="M156" s="185"/>
      <c r="N156" s="184"/>
      <c r="O156" s="184"/>
      <c r="P156" s="56">
        <f t="shared" si="10"/>
        <v>0</v>
      </c>
      <c r="Q156" s="156"/>
    </row>
    <row r="157" spans="1:17">
      <c r="A157" s="155">
        <f t="shared" si="11"/>
        <v>149</v>
      </c>
      <c r="B157" s="58"/>
      <c r="C157" s="59"/>
      <c r="D157" s="60"/>
      <c r="E157" s="34"/>
      <c r="F157" s="56">
        <f t="shared" si="8"/>
        <v>0</v>
      </c>
      <c r="G157" s="164"/>
      <c r="H157" s="236"/>
      <c r="I157" s="237"/>
      <c r="J157" s="237"/>
      <c r="K157" s="238">
        <f t="shared" si="9"/>
        <v>0</v>
      </c>
      <c r="L157" s="237"/>
      <c r="M157" s="185"/>
      <c r="N157" s="184"/>
      <c r="O157" s="184"/>
      <c r="P157" s="56">
        <f t="shared" si="10"/>
        <v>0</v>
      </c>
      <c r="Q157" s="156"/>
    </row>
    <row r="158" spans="1:17">
      <c r="A158" s="155">
        <f t="shared" si="11"/>
        <v>150</v>
      </c>
      <c r="B158" s="58"/>
      <c r="C158" s="59"/>
      <c r="D158" s="60"/>
      <c r="E158" s="34"/>
      <c r="F158" s="56">
        <f t="shared" si="8"/>
        <v>0</v>
      </c>
      <c r="G158" s="164"/>
      <c r="H158" s="236"/>
      <c r="I158" s="237"/>
      <c r="J158" s="237"/>
      <c r="K158" s="238">
        <f t="shared" si="9"/>
        <v>0</v>
      </c>
      <c r="L158" s="237"/>
      <c r="M158" s="185"/>
      <c r="N158" s="184"/>
      <c r="O158" s="184"/>
      <c r="P158" s="56">
        <f t="shared" si="10"/>
        <v>0</v>
      </c>
      <c r="Q158" s="156"/>
    </row>
    <row r="159" spans="1:17">
      <c r="A159" s="155">
        <f t="shared" si="11"/>
        <v>151</v>
      </c>
      <c r="B159" s="58"/>
      <c r="C159" s="59"/>
      <c r="D159" s="60"/>
      <c r="E159" s="34"/>
      <c r="F159" s="56">
        <f t="shared" si="8"/>
        <v>0</v>
      </c>
      <c r="G159" s="164"/>
      <c r="H159" s="236"/>
      <c r="I159" s="237"/>
      <c r="J159" s="237"/>
      <c r="K159" s="238">
        <f t="shared" si="9"/>
        <v>0</v>
      </c>
      <c r="L159" s="237"/>
      <c r="M159" s="185"/>
      <c r="N159" s="184"/>
      <c r="O159" s="184"/>
      <c r="P159" s="56">
        <f t="shared" si="10"/>
        <v>0</v>
      </c>
      <c r="Q159" s="156"/>
    </row>
    <row r="160" spans="1:17">
      <c r="A160" s="155">
        <f t="shared" si="11"/>
        <v>152</v>
      </c>
      <c r="B160" s="58"/>
      <c r="C160" s="59"/>
      <c r="D160" s="60"/>
      <c r="E160" s="34"/>
      <c r="F160" s="56">
        <f t="shared" si="8"/>
        <v>0</v>
      </c>
      <c r="G160" s="164"/>
      <c r="H160" s="236"/>
      <c r="I160" s="237"/>
      <c r="J160" s="237"/>
      <c r="K160" s="238">
        <f t="shared" si="9"/>
        <v>0</v>
      </c>
      <c r="L160" s="237"/>
      <c r="M160" s="185"/>
      <c r="N160" s="184"/>
      <c r="O160" s="184"/>
      <c r="P160" s="56">
        <f t="shared" si="10"/>
        <v>0</v>
      </c>
      <c r="Q160" s="156"/>
    </row>
    <row r="161" spans="1:17">
      <c r="A161" s="155">
        <f t="shared" si="11"/>
        <v>153</v>
      </c>
      <c r="B161" s="58"/>
      <c r="C161" s="59"/>
      <c r="D161" s="60"/>
      <c r="E161" s="34"/>
      <c r="F161" s="56">
        <f t="shared" si="8"/>
        <v>0</v>
      </c>
      <c r="G161" s="164"/>
      <c r="H161" s="236"/>
      <c r="I161" s="237"/>
      <c r="J161" s="237"/>
      <c r="K161" s="238">
        <f t="shared" si="9"/>
        <v>0</v>
      </c>
      <c r="L161" s="237"/>
      <c r="M161" s="185"/>
      <c r="N161" s="184"/>
      <c r="O161" s="184"/>
      <c r="P161" s="56">
        <f t="shared" si="10"/>
        <v>0</v>
      </c>
      <c r="Q161" s="156"/>
    </row>
    <row r="162" spans="1:17">
      <c r="A162" s="155">
        <f t="shared" si="11"/>
        <v>154</v>
      </c>
      <c r="B162" s="58"/>
      <c r="C162" s="59"/>
      <c r="D162" s="60"/>
      <c r="E162" s="34"/>
      <c r="F162" s="56">
        <f t="shared" si="8"/>
        <v>0</v>
      </c>
      <c r="G162" s="164"/>
      <c r="H162" s="236"/>
      <c r="I162" s="237"/>
      <c r="J162" s="237"/>
      <c r="K162" s="238">
        <f t="shared" si="9"/>
        <v>0</v>
      </c>
      <c r="L162" s="237"/>
      <c r="M162" s="185"/>
      <c r="N162" s="184"/>
      <c r="O162" s="184"/>
      <c r="P162" s="56">
        <f t="shared" si="10"/>
        <v>0</v>
      </c>
      <c r="Q162" s="156"/>
    </row>
    <row r="163" spans="1:17">
      <c r="A163" s="155">
        <f t="shared" si="11"/>
        <v>155</v>
      </c>
      <c r="B163" s="58"/>
      <c r="C163" s="59"/>
      <c r="D163" s="60"/>
      <c r="E163" s="34"/>
      <c r="F163" s="56">
        <f t="shared" si="8"/>
        <v>0</v>
      </c>
      <c r="G163" s="164"/>
      <c r="H163" s="236"/>
      <c r="I163" s="237"/>
      <c r="J163" s="237"/>
      <c r="K163" s="238">
        <f t="shared" si="9"/>
        <v>0</v>
      </c>
      <c r="L163" s="237"/>
      <c r="M163" s="185"/>
      <c r="N163" s="184"/>
      <c r="O163" s="184"/>
      <c r="P163" s="56">
        <f t="shared" si="10"/>
        <v>0</v>
      </c>
      <c r="Q163" s="156"/>
    </row>
    <row r="164" spans="1:17">
      <c r="A164" s="155">
        <f t="shared" si="11"/>
        <v>156</v>
      </c>
      <c r="B164" s="58"/>
      <c r="C164" s="59"/>
      <c r="D164" s="60"/>
      <c r="E164" s="34"/>
      <c r="F164" s="56">
        <f t="shared" si="8"/>
        <v>0</v>
      </c>
      <c r="G164" s="164"/>
      <c r="H164" s="236"/>
      <c r="I164" s="237"/>
      <c r="J164" s="237"/>
      <c r="K164" s="238">
        <f t="shared" si="9"/>
        <v>0</v>
      </c>
      <c r="L164" s="237"/>
      <c r="M164" s="185"/>
      <c r="N164" s="184"/>
      <c r="O164" s="184"/>
      <c r="P164" s="56">
        <f t="shared" si="10"/>
        <v>0</v>
      </c>
      <c r="Q164" s="156"/>
    </row>
    <row r="165" spans="1:17">
      <c r="A165" s="155">
        <f t="shared" si="11"/>
        <v>157</v>
      </c>
      <c r="B165" s="58"/>
      <c r="C165" s="59"/>
      <c r="D165" s="60"/>
      <c r="E165" s="34"/>
      <c r="F165" s="56">
        <f t="shared" si="8"/>
        <v>0</v>
      </c>
      <c r="G165" s="164"/>
      <c r="H165" s="236"/>
      <c r="I165" s="237"/>
      <c r="J165" s="237"/>
      <c r="K165" s="238">
        <f t="shared" si="9"/>
        <v>0</v>
      </c>
      <c r="L165" s="237"/>
      <c r="M165" s="185"/>
      <c r="N165" s="184"/>
      <c r="O165" s="184"/>
      <c r="P165" s="56">
        <f t="shared" si="10"/>
        <v>0</v>
      </c>
      <c r="Q165" s="156"/>
    </row>
    <row r="166" spans="1:17">
      <c r="A166" s="155">
        <f t="shared" si="11"/>
        <v>158</v>
      </c>
      <c r="B166" s="58"/>
      <c r="C166" s="59"/>
      <c r="D166" s="60"/>
      <c r="E166" s="34"/>
      <c r="F166" s="56">
        <f t="shared" si="8"/>
        <v>0</v>
      </c>
      <c r="G166" s="164"/>
      <c r="H166" s="236"/>
      <c r="I166" s="237"/>
      <c r="J166" s="237"/>
      <c r="K166" s="238">
        <f t="shared" si="9"/>
        <v>0</v>
      </c>
      <c r="L166" s="237"/>
      <c r="M166" s="185"/>
      <c r="N166" s="184"/>
      <c r="O166" s="184"/>
      <c r="P166" s="56">
        <f t="shared" si="10"/>
        <v>0</v>
      </c>
      <c r="Q166" s="156"/>
    </row>
    <row r="167" spans="1:17">
      <c r="A167" s="155">
        <f t="shared" si="11"/>
        <v>159</v>
      </c>
      <c r="B167" s="58"/>
      <c r="C167" s="59"/>
      <c r="D167" s="60"/>
      <c r="E167" s="34"/>
      <c r="F167" s="56">
        <f t="shared" si="8"/>
        <v>0</v>
      </c>
      <c r="G167" s="164"/>
      <c r="H167" s="236"/>
      <c r="I167" s="237"/>
      <c r="J167" s="237"/>
      <c r="K167" s="238">
        <f t="shared" si="9"/>
        <v>0</v>
      </c>
      <c r="L167" s="237"/>
      <c r="M167" s="185"/>
      <c r="N167" s="184"/>
      <c r="O167" s="184"/>
      <c r="P167" s="56">
        <f t="shared" si="10"/>
        <v>0</v>
      </c>
      <c r="Q167" s="156"/>
    </row>
    <row r="168" spans="1:17">
      <c r="A168" s="155">
        <f t="shared" si="11"/>
        <v>160</v>
      </c>
      <c r="B168" s="58"/>
      <c r="C168" s="59"/>
      <c r="D168" s="60"/>
      <c r="E168" s="34"/>
      <c r="F168" s="56">
        <f t="shared" si="8"/>
        <v>0</v>
      </c>
      <c r="G168" s="164"/>
      <c r="H168" s="236"/>
      <c r="I168" s="237"/>
      <c r="J168" s="237"/>
      <c r="K168" s="238">
        <f t="shared" si="9"/>
        <v>0</v>
      </c>
      <c r="L168" s="237"/>
      <c r="M168" s="185"/>
      <c r="N168" s="184"/>
      <c r="O168" s="184"/>
      <c r="P168" s="56">
        <f t="shared" si="10"/>
        <v>0</v>
      </c>
      <c r="Q168" s="156"/>
    </row>
    <row r="169" spans="1:17">
      <c r="A169" s="155">
        <f t="shared" si="11"/>
        <v>161</v>
      </c>
      <c r="B169" s="58"/>
      <c r="C169" s="59"/>
      <c r="D169" s="60"/>
      <c r="E169" s="34"/>
      <c r="F169" s="56">
        <f t="shared" si="8"/>
        <v>0</v>
      </c>
      <c r="G169" s="164"/>
      <c r="H169" s="236"/>
      <c r="I169" s="237"/>
      <c r="J169" s="237"/>
      <c r="K169" s="238">
        <f t="shared" si="9"/>
        <v>0</v>
      </c>
      <c r="L169" s="237"/>
      <c r="M169" s="185"/>
      <c r="N169" s="184"/>
      <c r="O169" s="184"/>
      <c r="P169" s="56">
        <f t="shared" si="10"/>
        <v>0</v>
      </c>
      <c r="Q169" s="156"/>
    </row>
    <row r="170" spans="1:17">
      <c r="A170" s="155">
        <f t="shared" si="11"/>
        <v>162</v>
      </c>
      <c r="B170" s="58"/>
      <c r="C170" s="59"/>
      <c r="D170" s="60"/>
      <c r="E170" s="34"/>
      <c r="F170" s="56">
        <f t="shared" si="8"/>
        <v>0</v>
      </c>
      <c r="G170" s="164"/>
      <c r="H170" s="236"/>
      <c r="I170" s="237"/>
      <c r="J170" s="237"/>
      <c r="K170" s="238">
        <f t="shared" si="9"/>
        <v>0</v>
      </c>
      <c r="L170" s="237"/>
      <c r="M170" s="185"/>
      <c r="N170" s="184"/>
      <c r="O170" s="184"/>
      <c r="P170" s="56">
        <f t="shared" si="10"/>
        <v>0</v>
      </c>
      <c r="Q170" s="156"/>
    </row>
    <row r="171" spans="1:17">
      <c r="A171" s="155">
        <f t="shared" si="11"/>
        <v>163</v>
      </c>
      <c r="B171" s="58"/>
      <c r="C171" s="59"/>
      <c r="D171" s="60"/>
      <c r="E171" s="34"/>
      <c r="F171" s="56">
        <f t="shared" si="8"/>
        <v>0</v>
      </c>
      <c r="G171" s="164"/>
      <c r="H171" s="236"/>
      <c r="I171" s="237"/>
      <c r="J171" s="237"/>
      <c r="K171" s="238">
        <f t="shared" si="9"/>
        <v>0</v>
      </c>
      <c r="L171" s="237"/>
      <c r="M171" s="185"/>
      <c r="N171" s="184"/>
      <c r="O171" s="184"/>
      <c r="P171" s="56">
        <f t="shared" si="10"/>
        <v>0</v>
      </c>
      <c r="Q171" s="156"/>
    </row>
    <row r="172" spans="1:17">
      <c r="A172" s="155">
        <f t="shared" si="11"/>
        <v>164</v>
      </c>
      <c r="B172" s="58"/>
      <c r="C172" s="59"/>
      <c r="D172" s="60"/>
      <c r="E172" s="34"/>
      <c r="F172" s="56">
        <f t="shared" si="8"/>
        <v>0</v>
      </c>
      <c r="G172" s="164"/>
      <c r="H172" s="236"/>
      <c r="I172" s="237"/>
      <c r="J172" s="237"/>
      <c r="K172" s="238">
        <f t="shared" si="9"/>
        <v>0</v>
      </c>
      <c r="L172" s="237"/>
      <c r="M172" s="185"/>
      <c r="N172" s="184"/>
      <c r="O172" s="184"/>
      <c r="P172" s="56">
        <f t="shared" si="10"/>
        <v>0</v>
      </c>
      <c r="Q172" s="156"/>
    </row>
    <row r="173" spans="1:17">
      <c r="A173" s="155">
        <f t="shared" si="11"/>
        <v>165</v>
      </c>
      <c r="B173" s="58"/>
      <c r="C173" s="59"/>
      <c r="D173" s="60"/>
      <c r="E173" s="34"/>
      <c r="F173" s="56">
        <f t="shared" si="8"/>
        <v>0</v>
      </c>
      <c r="G173" s="164"/>
      <c r="H173" s="236"/>
      <c r="I173" s="237"/>
      <c r="J173" s="237"/>
      <c r="K173" s="238">
        <f t="shared" si="9"/>
        <v>0</v>
      </c>
      <c r="L173" s="237"/>
      <c r="M173" s="185"/>
      <c r="N173" s="184"/>
      <c r="O173" s="184"/>
      <c r="P173" s="56">
        <f t="shared" si="10"/>
        <v>0</v>
      </c>
      <c r="Q173" s="156"/>
    </row>
    <row r="174" spans="1:17">
      <c r="A174" s="155">
        <f t="shared" si="11"/>
        <v>166</v>
      </c>
      <c r="B174" s="58"/>
      <c r="C174" s="59"/>
      <c r="D174" s="60"/>
      <c r="E174" s="34"/>
      <c r="F174" s="56">
        <f t="shared" si="8"/>
        <v>0</v>
      </c>
      <c r="G174" s="164"/>
      <c r="H174" s="236"/>
      <c r="I174" s="237"/>
      <c r="J174" s="237"/>
      <c r="K174" s="238">
        <f t="shared" si="9"/>
        <v>0</v>
      </c>
      <c r="L174" s="237"/>
      <c r="M174" s="185"/>
      <c r="N174" s="184"/>
      <c r="O174" s="184"/>
      <c r="P174" s="56">
        <f t="shared" si="10"/>
        <v>0</v>
      </c>
      <c r="Q174" s="156"/>
    </row>
    <row r="175" spans="1:17">
      <c r="A175" s="155">
        <f t="shared" si="11"/>
        <v>167</v>
      </c>
      <c r="B175" s="58"/>
      <c r="C175" s="59"/>
      <c r="D175" s="60"/>
      <c r="E175" s="34"/>
      <c r="F175" s="56">
        <f t="shared" si="8"/>
        <v>0</v>
      </c>
      <c r="G175" s="164"/>
      <c r="H175" s="236"/>
      <c r="I175" s="237"/>
      <c r="J175" s="237"/>
      <c r="K175" s="238">
        <f t="shared" si="9"/>
        <v>0</v>
      </c>
      <c r="L175" s="237"/>
      <c r="M175" s="185"/>
      <c r="N175" s="184"/>
      <c r="O175" s="184"/>
      <c r="P175" s="56">
        <f t="shared" si="10"/>
        <v>0</v>
      </c>
      <c r="Q175" s="156"/>
    </row>
    <row r="176" spans="1:17">
      <c r="A176" s="155">
        <f t="shared" si="11"/>
        <v>168</v>
      </c>
      <c r="B176" s="58"/>
      <c r="C176" s="59"/>
      <c r="D176" s="60"/>
      <c r="E176" s="34"/>
      <c r="F176" s="56">
        <f t="shared" si="8"/>
        <v>0</v>
      </c>
      <c r="G176" s="164"/>
      <c r="H176" s="236"/>
      <c r="I176" s="237"/>
      <c r="J176" s="237"/>
      <c r="K176" s="238">
        <f t="shared" si="9"/>
        <v>0</v>
      </c>
      <c r="L176" s="237"/>
      <c r="M176" s="185"/>
      <c r="N176" s="184"/>
      <c r="O176" s="184"/>
      <c r="P176" s="56">
        <f t="shared" si="10"/>
        <v>0</v>
      </c>
      <c r="Q176" s="156"/>
    </row>
    <row r="177" spans="1:17">
      <c r="A177" s="155">
        <f t="shared" si="11"/>
        <v>169</v>
      </c>
      <c r="B177" s="58"/>
      <c r="C177" s="59"/>
      <c r="D177" s="60"/>
      <c r="E177" s="34"/>
      <c r="F177" s="56">
        <f t="shared" si="8"/>
        <v>0</v>
      </c>
      <c r="G177" s="164"/>
      <c r="H177" s="236"/>
      <c r="I177" s="237"/>
      <c r="J177" s="237"/>
      <c r="K177" s="238">
        <f t="shared" si="9"/>
        <v>0</v>
      </c>
      <c r="L177" s="237"/>
      <c r="M177" s="185"/>
      <c r="N177" s="184"/>
      <c r="O177" s="184"/>
      <c r="P177" s="56">
        <f t="shared" si="10"/>
        <v>0</v>
      </c>
      <c r="Q177" s="156"/>
    </row>
    <row r="178" spans="1:17">
      <c r="A178" s="155">
        <f t="shared" si="11"/>
        <v>170</v>
      </c>
      <c r="B178" s="58"/>
      <c r="C178" s="59"/>
      <c r="D178" s="60"/>
      <c r="E178" s="34"/>
      <c r="F178" s="56">
        <f t="shared" si="8"/>
        <v>0</v>
      </c>
      <c r="G178" s="164"/>
      <c r="H178" s="236"/>
      <c r="I178" s="237"/>
      <c r="J178" s="237"/>
      <c r="K178" s="238">
        <f t="shared" si="9"/>
        <v>0</v>
      </c>
      <c r="L178" s="237"/>
      <c r="M178" s="185"/>
      <c r="N178" s="184"/>
      <c r="O178" s="184"/>
      <c r="P178" s="56">
        <f t="shared" si="10"/>
        <v>0</v>
      </c>
      <c r="Q178" s="156"/>
    </row>
    <row r="179" spans="1:17">
      <c r="A179" s="155">
        <f t="shared" si="11"/>
        <v>171</v>
      </c>
      <c r="B179" s="58"/>
      <c r="C179" s="59"/>
      <c r="D179" s="60"/>
      <c r="E179" s="34"/>
      <c r="F179" s="56">
        <f t="shared" si="8"/>
        <v>0</v>
      </c>
      <c r="G179" s="164"/>
      <c r="H179" s="236"/>
      <c r="I179" s="237"/>
      <c r="J179" s="237"/>
      <c r="K179" s="238">
        <f t="shared" si="9"/>
        <v>0</v>
      </c>
      <c r="L179" s="237"/>
      <c r="M179" s="185"/>
      <c r="N179" s="184"/>
      <c r="O179" s="184"/>
      <c r="P179" s="56">
        <f t="shared" si="10"/>
        <v>0</v>
      </c>
      <c r="Q179" s="156"/>
    </row>
    <row r="180" spans="1:17">
      <c r="A180" s="155">
        <f t="shared" si="11"/>
        <v>172</v>
      </c>
      <c r="B180" s="58"/>
      <c r="C180" s="59"/>
      <c r="D180" s="60"/>
      <c r="E180" s="34"/>
      <c r="F180" s="56">
        <f t="shared" si="8"/>
        <v>0</v>
      </c>
      <c r="G180" s="164"/>
      <c r="H180" s="236"/>
      <c r="I180" s="237"/>
      <c r="J180" s="237"/>
      <c r="K180" s="238">
        <f t="shared" si="9"/>
        <v>0</v>
      </c>
      <c r="L180" s="237"/>
      <c r="M180" s="185"/>
      <c r="N180" s="184"/>
      <c r="O180" s="184"/>
      <c r="P180" s="56">
        <f t="shared" si="10"/>
        <v>0</v>
      </c>
      <c r="Q180" s="156"/>
    </row>
    <row r="181" spans="1:17">
      <c r="A181" s="155">
        <f t="shared" si="11"/>
        <v>173</v>
      </c>
      <c r="B181" s="58"/>
      <c r="C181" s="59"/>
      <c r="D181" s="60"/>
      <c r="E181" s="34"/>
      <c r="F181" s="56">
        <f t="shared" si="8"/>
        <v>0</v>
      </c>
      <c r="G181" s="164"/>
      <c r="H181" s="236"/>
      <c r="I181" s="237"/>
      <c r="J181" s="237"/>
      <c r="K181" s="238">
        <f t="shared" si="9"/>
        <v>0</v>
      </c>
      <c r="L181" s="237"/>
      <c r="M181" s="185"/>
      <c r="N181" s="184"/>
      <c r="O181" s="184"/>
      <c r="P181" s="56">
        <f t="shared" si="10"/>
        <v>0</v>
      </c>
      <c r="Q181" s="156"/>
    </row>
    <row r="182" spans="1:17">
      <c r="A182" s="155">
        <f t="shared" si="11"/>
        <v>174</v>
      </c>
      <c r="B182" s="58"/>
      <c r="C182" s="59"/>
      <c r="D182" s="60"/>
      <c r="E182" s="34"/>
      <c r="F182" s="56">
        <f t="shared" si="8"/>
        <v>0</v>
      </c>
      <c r="G182" s="164"/>
      <c r="H182" s="236"/>
      <c r="I182" s="237"/>
      <c r="J182" s="237"/>
      <c r="K182" s="238">
        <f t="shared" si="9"/>
        <v>0</v>
      </c>
      <c r="L182" s="237"/>
      <c r="M182" s="185"/>
      <c r="N182" s="184"/>
      <c r="O182" s="184"/>
      <c r="P182" s="56">
        <f t="shared" si="10"/>
        <v>0</v>
      </c>
      <c r="Q182" s="156"/>
    </row>
    <row r="183" spans="1:17">
      <c r="A183" s="155">
        <f t="shared" si="11"/>
        <v>175</v>
      </c>
      <c r="B183" s="58"/>
      <c r="C183" s="59"/>
      <c r="D183" s="60"/>
      <c r="E183" s="34"/>
      <c r="F183" s="56">
        <f t="shared" si="8"/>
        <v>0</v>
      </c>
      <c r="G183" s="164"/>
      <c r="H183" s="236"/>
      <c r="I183" s="237"/>
      <c r="J183" s="237"/>
      <c r="K183" s="238">
        <f t="shared" si="9"/>
        <v>0</v>
      </c>
      <c r="L183" s="237"/>
      <c r="M183" s="185"/>
      <c r="N183" s="184"/>
      <c r="O183" s="184"/>
      <c r="P183" s="56">
        <f t="shared" si="10"/>
        <v>0</v>
      </c>
      <c r="Q183" s="156"/>
    </row>
    <row r="184" spans="1:17">
      <c r="A184" s="155">
        <f t="shared" si="11"/>
        <v>176</v>
      </c>
      <c r="B184" s="58"/>
      <c r="C184" s="59"/>
      <c r="D184" s="60"/>
      <c r="E184" s="34"/>
      <c r="F184" s="56">
        <f t="shared" si="8"/>
        <v>0</v>
      </c>
      <c r="G184" s="164"/>
      <c r="H184" s="236"/>
      <c r="I184" s="237"/>
      <c r="J184" s="237"/>
      <c r="K184" s="238">
        <f t="shared" si="9"/>
        <v>0</v>
      </c>
      <c r="L184" s="237"/>
      <c r="M184" s="185"/>
      <c r="N184" s="184"/>
      <c r="O184" s="184"/>
      <c r="P184" s="56">
        <f t="shared" si="10"/>
        <v>0</v>
      </c>
      <c r="Q184" s="156"/>
    </row>
    <row r="185" spans="1:17">
      <c r="A185" s="155">
        <f t="shared" si="11"/>
        <v>177</v>
      </c>
      <c r="B185" s="58"/>
      <c r="C185" s="59"/>
      <c r="D185" s="60"/>
      <c r="E185" s="34"/>
      <c r="F185" s="56">
        <f t="shared" si="8"/>
        <v>0</v>
      </c>
      <c r="G185" s="164"/>
      <c r="H185" s="236"/>
      <c r="I185" s="237"/>
      <c r="J185" s="237"/>
      <c r="K185" s="238">
        <f t="shared" si="9"/>
        <v>0</v>
      </c>
      <c r="L185" s="237"/>
      <c r="M185" s="185"/>
      <c r="N185" s="184"/>
      <c r="O185" s="184"/>
      <c r="P185" s="56">
        <f t="shared" si="10"/>
        <v>0</v>
      </c>
      <c r="Q185" s="156"/>
    </row>
    <row r="186" spans="1:17">
      <c r="A186" s="155">
        <f t="shared" si="11"/>
        <v>178</v>
      </c>
      <c r="B186" s="58"/>
      <c r="C186" s="59"/>
      <c r="D186" s="60"/>
      <c r="E186" s="34"/>
      <c r="F186" s="56">
        <f t="shared" si="8"/>
        <v>0</v>
      </c>
      <c r="G186" s="164"/>
      <c r="H186" s="236"/>
      <c r="I186" s="237"/>
      <c r="J186" s="237"/>
      <c r="K186" s="238">
        <f t="shared" si="9"/>
        <v>0</v>
      </c>
      <c r="L186" s="237"/>
      <c r="M186" s="185"/>
      <c r="N186" s="184"/>
      <c r="O186" s="184"/>
      <c r="P186" s="56">
        <f t="shared" si="10"/>
        <v>0</v>
      </c>
      <c r="Q186" s="156"/>
    </row>
    <row r="187" spans="1:17">
      <c r="A187" s="155">
        <f t="shared" si="11"/>
        <v>179</v>
      </c>
      <c r="B187" s="58"/>
      <c r="C187" s="59"/>
      <c r="D187" s="60"/>
      <c r="E187" s="34"/>
      <c r="F187" s="56">
        <f t="shared" si="8"/>
        <v>0</v>
      </c>
      <c r="G187" s="164"/>
      <c r="H187" s="236"/>
      <c r="I187" s="237"/>
      <c r="J187" s="237"/>
      <c r="K187" s="238">
        <f t="shared" si="9"/>
        <v>0</v>
      </c>
      <c r="L187" s="237"/>
      <c r="M187" s="185"/>
      <c r="N187" s="184"/>
      <c r="O187" s="184"/>
      <c r="P187" s="56">
        <f t="shared" si="10"/>
        <v>0</v>
      </c>
      <c r="Q187" s="156"/>
    </row>
    <row r="188" spans="1:17">
      <c r="A188" s="155">
        <f t="shared" si="11"/>
        <v>180</v>
      </c>
      <c r="B188" s="58"/>
      <c r="C188" s="59"/>
      <c r="D188" s="60"/>
      <c r="E188" s="34"/>
      <c r="F188" s="56">
        <f t="shared" si="8"/>
        <v>0</v>
      </c>
      <c r="G188" s="164"/>
      <c r="H188" s="236"/>
      <c r="I188" s="237"/>
      <c r="J188" s="237"/>
      <c r="K188" s="238">
        <f t="shared" si="9"/>
        <v>0</v>
      </c>
      <c r="L188" s="237"/>
      <c r="M188" s="185"/>
      <c r="N188" s="184"/>
      <c r="O188" s="184"/>
      <c r="P188" s="56">
        <f t="shared" si="10"/>
        <v>0</v>
      </c>
      <c r="Q188" s="156"/>
    </row>
    <row r="189" spans="1:17">
      <c r="A189" s="155">
        <f t="shared" si="11"/>
        <v>181</v>
      </c>
      <c r="B189" s="58"/>
      <c r="C189" s="59"/>
      <c r="D189" s="60"/>
      <c r="E189" s="34"/>
      <c r="F189" s="56">
        <f t="shared" si="8"/>
        <v>0</v>
      </c>
      <c r="G189" s="164"/>
      <c r="H189" s="236"/>
      <c r="I189" s="237"/>
      <c r="J189" s="237"/>
      <c r="K189" s="238">
        <f t="shared" si="9"/>
        <v>0</v>
      </c>
      <c r="L189" s="237"/>
      <c r="M189" s="185"/>
      <c r="N189" s="184"/>
      <c r="O189" s="184"/>
      <c r="P189" s="56">
        <f t="shared" si="10"/>
        <v>0</v>
      </c>
      <c r="Q189" s="156"/>
    </row>
    <row r="190" spans="1:17">
      <c r="A190" s="155">
        <f t="shared" si="11"/>
        <v>182</v>
      </c>
      <c r="B190" s="58"/>
      <c r="C190" s="59"/>
      <c r="D190" s="60"/>
      <c r="E190" s="34"/>
      <c r="F190" s="56">
        <f t="shared" si="8"/>
        <v>0</v>
      </c>
      <c r="G190" s="164"/>
      <c r="H190" s="236"/>
      <c r="I190" s="237"/>
      <c r="J190" s="237"/>
      <c r="K190" s="238">
        <f t="shared" si="9"/>
        <v>0</v>
      </c>
      <c r="L190" s="237"/>
      <c r="M190" s="185"/>
      <c r="N190" s="184"/>
      <c r="O190" s="184"/>
      <c r="P190" s="56">
        <f t="shared" si="10"/>
        <v>0</v>
      </c>
      <c r="Q190" s="156"/>
    </row>
    <row r="191" spans="1:17">
      <c r="A191" s="155">
        <f t="shared" si="11"/>
        <v>183</v>
      </c>
      <c r="B191" s="58"/>
      <c r="C191" s="59"/>
      <c r="D191" s="60"/>
      <c r="E191" s="34"/>
      <c r="F191" s="56">
        <f t="shared" si="8"/>
        <v>0</v>
      </c>
      <c r="G191" s="164"/>
      <c r="H191" s="236"/>
      <c r="I191" s="237"/>
      <c r="J191" s="237"/>
      <c r="K191" s="238">
        <f t="shared" si="9"/>
        <v>0</v>
      </c>
      <c r="L191" s="237"/>
      <c r="M191" s="185"/>
      <c r="N191" s="184"/>
      <c r="O191" s="184"/>
      <c r="P191" s="56">
        <f t="shared" si="10"/>
        <v>0</v>
      </c>
      <c r="Q191" s="156"/>
    </row>
    <row r="192" spans="1:17">
      <c r="A192" s="155">
        <f t="shared" si="11"/>
        <v>184</v>
      </c>
      <c r="B192" s="58"/>
      <c r="C192" s="59"/>
      <c r="D192" s="60"/>
      <c r="E192" s="34"/>
      <c r="F192" s="56">
        <f t="shared" si="8"/>
        <v>0</v>
      </c>
      <c r="G192" s="164"/>
      <c r="H192" s="236"/>
      <c r="I192" s="237"/>
      <c r="J192" s="237"/>
      <c r="K192" s="238">
        <f t="shared" si="9"/>
        <v>0</v>
      </c>
      <c r="L192" s="237"/>
      <c r="M192" s="185"/>
      <c r="N192" s="184"/>
      <c r="O192" s="184"/>
      <c r="P192" s="56">
        <f t="shared" si="10"/>
        <v>0</v>
      </c>
      <c r="Q192" s="156"/>
    </row>
    <row r="193" spans="1:17">
      <c r="A193" s="155">
        <f t="shared" si="11"/>
        <v>185</v>
      </c>
      <c r="B193" s="58"/>
      <c r="C193" s="59"/>
      <c r="D193" s="60"/>
      <c r="E193" s="34"/>
      <c r="F193" s="56">
        <f t="shared" si="8"/>
        <v>0</v>
      </c>
      <c r="G193" s="164"/>
      <c r="H193" s="236"/>
      <c r="I193" s="237"/>
      <c r="J193" s="237"/>
      <c r="K193" s="238">
        <f t="shared" si="9"/>
        <v>0</v>
      </c>
      <c r="L193" s="237"/>
      <c r="M193" s="185"/>
      <c r="N193" s="184"/>
      <c r="O193" s="184"/>
      <c r="P193" s="56">
        <f t="shared" si="10"/>
        <v>0</v>
      </c>
      <c r="Q193" s="156"/>
    </row>
    <row r="194" spans="1:17">
      <c r="A194" s="155">
        <f t="shared" si="11"/>
        <v>186</v>
      </c>
      <c r="B194" s="58"/>
      <c r="C194" s="59"/>
      <c r="D194" s="60"/>
      <c r="E194" s="34"/>
      <c r="F194" s="56">
        <f t="shared" si="8"/>
        <v>0</v>
      </c>
      <c r="G194" s="164"/>
      <c r="H194" s="236"/>
      <c r="I194" s="237"/>
      <c r="J194" s="237"/>
      <c r="K194" s="238">
        <f t="shared" si="9"/>
        <v>0</v>
      </c>
      <c r="L194" s="237"/>
      <c r="M194" s="185"/>
      <c r="N194" s="184"/>
      <c r="O194" s="184"/>
      <c r="P194" s="56">
        <f t="shared" si="10"/>
        <v>0</v>
      </c>
      <c r="Q194" s="156"/>
    </row>
    <row r="195" spans="1:17">
      <c r="A195" s="155">
        <f t="shared" si="11"/>
        <v>187</v>
      </c>
      <c r="B195" s="58"/>
      <c r="C195" s="59"/>
      <c r="D195" s="60"/>
      <c r="E195" s="34"/>
      <c r="F195" s="56">
        <f t="shared" si="8"/>
        <v>0</v>
      </c>
      <c r="G195" s="164"/>
      <c r="H195" s="236"/>
      <c r="I195" s="237"/>
      <c r="J195" s="237"/>
      <c r="K195" s="238">
        <f t="shared" si="9"/>
        <v>0</v>
      </c>
      <c r="L195" s="237"/>
      <c r="M195" s="185"/>
      <c r="N195" s="184"/>
      <c r="O195" s="184"/>
      <c r="P195" s="56">
        <f t="shared" si="10"/>
        <v>0</v>
      </c>
      <c r="Q195" s="156"/>
    </row>
    <row r="196" spans="1:17">
      <c r="A196" s="155">
        <f t="shared" si="11"/>
        <v>188</v>
      </c>
      <c r="B196" s="58"/>
      <c r="C196" s="59"/>
      <c r="D196" s="60"/>
      <c r="E196" s="34"/>
      <c r="F196" s="56">
        <f t="shared" si="8"/>
        <v>0</v>
      </c>
      <c r="G196" s="164"/>
      <c r="H196" s="236"/>
      <c r="I196" s="237"/>
      <c r="J196" s="237"/>
      <c r="K196" s="238">
        <f t="shared" si="9"/>
        <v>0</v>
      </c>
      <c r="L196" s="237"/>
      <c r="M196" s="185"/>
      <c r="N196" s="184"/>
      <c r="O196" s="184"/>
      <c r="P196" s="56">
        <f t="shared" si="10"/>
        <v>0</v>
      </c>
      <c r="Q196" s="156"/>
    </row>
    <row r="197" spans="1:17">
      <c r="A197" s="155">
        <f t="shared" si="11"/>
        <v>189</v>
      </c>
      <c r="B197" s="58"/>
      <c r="C197" s="59"/>
      <c r="D197" s="60"/>
      <c r="E197" s="34"/>
      <c r="F197" s="56">
        <f t="shared" si="8"/>
        <v>0</v>
      </c>
      <c r="G197" s="164"/>
      <c r="H197" s="236"/>
      <c r="I197" s="237"/>
      <c r="J197" s="237"/>
      <c r="K197" s="238">
        <f t="shared" si="9"/>
        <v>0</v>
      </c>
      <c r="L197" s="237"/>
      <c r="M197" s="185"/>
      <c r="N197" s="184"/>
      <c r="O197" s="184"/>
      <c r="P197" s="56">
        <f t="shared" si="10"/>
        <v>0</v>
      </c>
      <c r="Q197" s="156"/>
    </row>
    <row r="198" spans="1:17">
      <c r="A198" s="155">
        <f t="shared" si="11"/>
        <v>190</v>
      </c>
      <c r="B198" s="58"/>
      <c r="C198" s="59"/>
      <c r="D198" s="60"/>
      <c r="E198" s="34"/>
      <c r="F198" s="56">
        <f t="shared" si="8"/>
        <v>0</v>
      </c>
      <c r="G198" s="164"/>
      <c r="H198" s="236"/>
      <c r="I198" s="237"/>
      <c r="J198" s="237"/>
      <c r="K198" s="238">
        <f t="shared" si="9"/>
        <v>0</v>
      </c>
      <c r="L198" s="237"/>
      <c r="M198" s="185"/>
      <c r="N198" s="184"/>
      <c r="O198" s="184"/>
      <c r="P198" s="56">
        <f t="shared" si="10"/>
        <v>0</v>
      </c>
      <c r="Q198" s="156"/>
    </row>
    <row r="199" spans="1:17">
      <c r="A199" s="155">
        <f t="shared" si="11"/>
        <v>191</v>
      </c>
      <c r="B199" s="58"/>
      <c r="C199" s="59"/>
      <c r="D199" s="60"/>
      <c r="E199" s="34"/>
      <c r="F199" s="56">
        <f t="shared" si="8"/>
        <v>0</v>
      </c>
      <c r="G199" s="164"/>
      <c r="H199" s="236"/>
      <c r="I199" s="237"/>
      <c r="J199" s="237"/>
      <c r="K199" s="238">
        <f t="shared" si="9"/>
        <v>0</v>
      </c>
      <c r="L199" s="237"/>
      <c r="M199" s="185"/>
      <c r="N199" s="184"/>
      <c r="O199" s="184"/>
      <c r="P199" s="56">
        <f t="shared" si="10"/>
        <v>0</v>
      </c>
      <c r="Q199" s="156"/>
    </row>
    <row r="200" spans="1:17">
      <c r="A200" s="155">
        <f t="shared" si="11"/>
        <v>192</v>
      </c>
      <c r="B200" s="58"/>
      <c r="C200" s="59"/>
      <c r="D200" s="60"/>
      <c r="E200" s="34"/>
      <c r="F200" s="56">
        <f t="shared" si="8"/>
        <v>0</v>
      </c>
      <c r="G200" s="164"/>
      <c r="H200" s="236"/>
      <c r="I200" s="237"/>
      <c r="J200" s="237"/>
      <c r="K200" s="238">
        <f t="shared" si="9"/>
        <v>0</v>
      </c>
      <c r="L200" s="237"/>
      <c r="M200" s="185"/>
      <c r="N200" s="184"/>
      <c r="O200" s="184"/>
      <c r="P200" s="56">
        <f t="shared" si="10"/>
        <v>0</v>
      </c>
      <c r="Q200" s="156"/>
    </row>
    <row r="201" spans="1:17">
      <c r="A201" s="155">
        <f t="shared" si="11"/>
        <v>193</v>
      </c>
      <c r="B201" s="58"/>
      <c r="C201" s="59"/>
      <c r="D201" s="60"/>
      <c r="E201" s="34"/>
      <c r="F201" s="56">
        <f t="shared" ref="F201:F220" si="12">D201*E201</f>
        <v>0</v>
      </c>
      <c r="G201" s="164"/>
      <c r="H201" s="236"/>
      <c r="I201" s="237"/>
      <c r="J201" s="237"/>
      <c r="K201" s="238">
        <f t="shared" ref="K201:K220" si="13">I201*J201</f>
        <v>0</v>
      </c>
      <c r="L201" s="237"/>
      <c r="M201" s="185"/>
      <c r="N201" s="184"/>
      <c r="O201" s="184"/>
      <c r="P201" s="56">
        <f t="shared" ref="P201:P220" si="14">N201*O201</f>
        <v>0</v>
      </c>
      <c r="Q201" s="156"/>
    </row>
    <row r="202" spans="1:17">
      <c r="A202" s="155">
        <f t="shared" ref="A202:A220" si="15">A201+1</f>
        <v>194</v>
      </c>
      <c r="B202" s="58"/>
      <c r="C202" s="59"/>
      <c r="D202" s="60"/>
      <c r="E202" s="34"/>
      <c r="F202" s="56">
        <f t="shared" si="12"/>
        <v>0</v>
      </c>
      <c r="G202" s="164"/>
      <c r="H202" s="236"/>
      <c r="I202" s="237"/>
      <c r="J202" s="237"/>
      <c r="K202" s="238">
        <f t="shared" si="13"/>
        <v>0</v>
      </c>
      <c r="L202" s="237"/>
      <c r="M202" s="185"/>
      <c r="N202" s="184"/>
      <c r="O202" s="184"/>
      <c r="P202" s="56">
        <f t="shared" si="14"/>
        <v>0</v>
      </c>
      <c r="Q202" s="156"/>
    </row>
    <row r="203" spans="1:17">
      <c r="A203" s="155">
        <f t="shared" si="15"/>
        <v>195</v>
      </c>
      <c r="B203" s="58"/>
      <c r="C203" s="59"/>
      <c r="D203" s="60"/>
      <c r="E203" s="34"/>
      <c r="F203" s="56">
        <f t="shared" si="12"/>
        <v>0</v>
      </c>
      <c r="G203" s="164"/>
      <c r="H203" s="236"/>
      <c r="I203" s="237"/>
      <c r="J203" s="237"/>
      <c r="K203" s="238">
        <f t="shared" si="13"/>
        <v>0</v>
      </c>
      <c r="L203" s="237"/>
      <c r="M203" s="185"/>
      <c r="N203" s="184"/>
      <c r="O203" s="184"/>
      <c r="P203" s="56">
        <f t="shared" si="14"/>
        <v>0</v>
      </c>
      <c r="Q203" s="156"/>
    </row>
    <row r="204" spans="1:17">
      <c r="A204" s="155">
        <f t="shared" si="15"/>
        <v>196</v>
      </c>
      <c r="B204" s="58"/>
      <c r="C204" s="59"/>
      <c r="D204" s="60"/>
      <c r="E204" s="34"/>
      <c r="F204" s="56">
        <f t="shared" si="12"/>
        <v>0</v>
      </c>
      <c r="G204" s="164"/>
      <c r="H204" s="236"/>
      <c r="I204" s="237"/>
      <c r="J204" s="237"/>
      <c r="K204" s="238">
        <f t="shared" si="13"/>
        <v>0</v>
      </c>
      <c r="L204" s="237"/>
      <c r="M204" s="185"/>
      <c r="N204" s="184"/>
      <c r="O204" s="184"/>
      <c r="P204" s="56">
        <f t="shared" si="14"/>
        <v>0</v>
      </c>
      <c r="Q204" s="156"/>
    </row>
    <row r="205" spans="1:17">
      <c r="A205" s="155">
        <f t="shared" si="15"/>
        <v>197</v>
      </c>
      <c r="B205" s="58"/>
      <c r="C205" s="59"/>
      <c r="D205" s="60"/>
      <c r="E205" s="34"/>
      <c r="F205" s="56">
        <f t="shared" si="12"/>
        <v>0</v>
      </c>
      <c r="G205" s="164"/>
      <c r="H205" s="236"/>
      <c r="I205" s="237"/>
      <c r="J205" s="237"/>
      <c r="K205" s="238">
        <f t="shared" si="13"/>
        <v>0</v>
      </c>
      <c r="L205" s="237"/>
      <c r="M205" s="185"/>
      <c r="N205" s="184"/>
      <c r="O205" s="184"/>
      <c r="P205" s="56">
        <f t="shared" si="14"/>
        <v>0</v>
      </c>
      <c r="Q205" s="156"/>
    </row>
    <row r="206" spans="1:17">
      <c r="A206" s="155">
        <f t="shared" si="15"/>
        <v>198</v>
      </c>
      <c r="B206" s="58"/>
      <c r="C206" s="59"/>
      <c r="D206" s="60"/>
      <c r="E206" s="34"/>
      <c r="F206" s="56">
        <f t="shared" si="12"/>
        <v>0</v>
      </c>
      <c r="G206" s="164"/>
      <c r="H206" s="236"/>
      <c r="I206" s="237"/>
      <c r="J206" s="237"/>
      <c r="K206" s="238">
        <f t="shared" si="13"/>
        <v>0</v>
      </c>
      <c r="L206" s="237"/>
      <c r="M206" s="185"/>
      <c r="N206" s="184"/>
      <c r="O206" s="184"/>
      <c r="P206" s="56">
        <f t="shared" si="14"/>
        <v>0</v>
      </c>
      <c r="Q206" s="156"/>
    </row>
    <row r="207" spans="1:17">
      <c r="A207" s="155">
        <f t="shared" si="15"/>
        <v>199</v>
      </c>
      <c r="B207" s="58"/>
      <c r="C207" s="59"/>
      <c r="D207" s="60"/>
      <c r="E207" s="34"/>
      <c r="F207" s="56">
        <f t="shared" si="12"/>
        <v>0</v>
      </c>
      <c r="G207" s="164"/>
      <c r="H207" s="236"/>
      <c r="I207" s="237"/>
      <c r="J207" s="237"/>
      <c r="K207" s="238">
        <f t="shared" si="13"/>
        <v>0</v>
      </c>
      <c r="L207" s="237"/>
      <c r="M207" s="185"/>
      <c r="N207" s="184"/>
      <c r="O207" s="184"/>
      <c r="P207" s="56">
        <f t="shared" si="14"/>
        <v>0</v>
      </c>
      <c r="Q207" s="156"/>
    </row>
    <row r="208" spans="1:17">
      <c r="A208" s="155">
        <f t="shared" si="15"/>
        <v>200</v>
      </c>
      <c r="B208" s="58"/>
      <c r="C208" s="59"/>
      <c r="D208" s="60"/>
      <c r="E208" s="34"/>
      <c r="F208" s="56">
        <f t="shared" si="12"/>
        <v>0</v>
      </c>
      <c r="G208" s="164"/>
      <c r="H208" s="236"/>
      <c r="I208" s="237"/>
      <c r="J208" s="237"/>
      <c r="K208" s="238">
        <f t="shared" si="13"/>
        <v>0</v>
      </c>
      <c r="L208" s="237"/>
      <c r="M208" s="185"/>
      <c r="N208" s="184"/>
      <c r="O208" s="184"/>
      <c r="P208" s="56">
        <f t="shared" si="14"/>
        <v>0</v>
      </c>
      <c r="Q208" s="156"/>
    </row>
    <row r="209" spans="1:17">
      <c r="A209" s="155">
        <f t="shared" si="15"/>
        <v>201</v>
      </c>
      <c r="B209" s="58"/>
      <c r="C209" s="59"/>
      <c r="D209" s="60"/>
      <c r="E209" s="34"/>
      <c r="F209" s="56">
        <f t="shared" si="12"/>
        <v>0</v>
      </c>
      <c r="G209" s="164"/>
      <c r="H209" s="236"/>
      <c r="I209" s="237"/>
      <c r="J209" s="237"/>
      <c r="K209" s="238">
        <f t="shared" si="13"/>
        <v>0</v>
      </c>
      <c r="L209" s="237"/>
      <c r="M209" s="185"/>
      <c r="N209" s="184"/>
      <c r="O209" s="184"/>
      <c r="P209" s="56">
        <f t="shared" si="14"/>
        <v>0</v>
      </c>
      <c r="Q209" s="156"/>
    </row>
    <row r="210" spans="1:17">
      <c r="A210" s="155">
        <f t="shared" si="15"/>
        <v>202</v>
      </c>
      <c r="B210" s="58"/>
      <c r="C210" s="59"/>
      <c r="D210" s="60"/>
      <c r="E210" s="34"/>
      <c r="F210" s="56">
        <f t="shared" si="12"/>
        <v>0</v>
      </c>
      <c r="G210" s="164"/>
      <c r="H210" s="236"/>
      <c r="I210" s="237"/>
      <c r="J210" s="237"/>
      <c r="K210" s="238">
        <f t="shared" si="13"/>
        <v>0</v>
      </c>
      <c r="L210" s="237"/>
      <c r="M210" s="185"/>
      <c r="N210" s="184"/>
      <c r="O210" s="184"/>
      <c r="P210" s="56">
        <f t="shared" si="14"/>
        <v>0</v>
      </c>
      <c r="Q210" s="156"/>
    </row>
    <row r="211" spans="1:17">
      <c r="A211" s="155">
        <f t="shared" si="15"/>
        <v>203</v>
      </c>
      <c r="B211" s="58"/>
      <c r="C211" s="59"/>
      <c r="D211" s="60"/>
      <c r="E211" s="34"/>
      <c r="F211" s="56">
        <f t="shared" si="12"/>
        <v>0</v>
      </c>
      <c r="G211" s="164"/>
      <c r="H211" s="236"/>
      <c r="I211" s="237"/>
      <c r="J211" s="237"/>
      <c r="K211" s="238">
        <f t="shared" si="13"/>
        <v>0</v>
      </c>
      <c r="L211" s="237"/>
      <c r="M211" s="185"/>
      <c r="N211" s="184"/>
      <c r="O211" s="184"/>
      <c r="P211" s="56">
        <f t="shared" si="14"/>
        <v>0</v>
      </c>
      <c r="Q211" s="156"/>
    </row>
    <row r="212" spans="1:17">
      <c r="A212" s="155">
        <f t="shared" si="15"/>
        <v>204</v>
      </c>
      <c r="B212" s="58"/>
      <c r="C212" s="59"/>
      <c r="D212" s="60"/>
      <c r="E212" s="34"/>
      <c r="F212" s="56">
        <f t="shared" si="12"/>
        <v>0</v>
      </c>
      <c r="G212" s="164"/>
      <c r="H212" s="236"/>
      <c r="I212" s="237"/>
      <c r="J212" s="237"/>
      <c r="K212" s="238">
        <f t="shared" si="13"/>
        <v>0</v>
      </c>
      <c r="L212" s="237"/>
      <c r="M212" s="185"/>
      <c r="N212" s="184"/>
      <c r="O212" s="184"/>
      <c r="P212" s="56">
        <f t="shared" si="14"/>
        <v>0</v>
      </c>
      <c r="Q212" s="156"/>
    </row>
    <row r="213" spans="1:17">
      <c r="A213" s="155">
        <f t="shared" si="15"/>
        <v>205</v>
      </c>
      <c r="B213" s="58"/>
      <c r="C213" s="59"/>
      <c r="D213" s="60"/>
      <c r="E213" s="34"/>
      <c r="F213" s="56">
        <f t="shared" si="12"/>
        <v>0</v>
      </c>
      <c r="G213" s="164"/>
      <c r="H213" s="236"/>
      <c r="I213" s="237"/>
      <c r="J213" s="237"/>
      <c r="K213" s="238">
        <f t="shared" si="13"/>
        <v>0</v>
      </c>
      <c r="L213" s="237"/>
      <c r="M213" s="185"/>
      <c r="N213" s="184"/>
      <c r="O213" s="184"/>
      <c r="P213" s="56">
        <f t="shared" si="14"/>
        <v>0</v>
      </c>
      <c r="Q213" s="156"/>
    </row>
    <row r="214" spans="1:17">
      <c r="A214" s="155">
        <f t="shared" si="15"/>
        <v>206</v>
      </c>
      <c r="B214" s="58"/>
      <c r="C214" s="59"/>
      <c r="D214" s="60"/>
      <c r="E214" s="34"/>
      <c r="F214" s="56">
        <f t="shared" si="12"/>
        <v>0</v>
      </c>
      <c r="G214" s="164"/>
      <c r="H214" s="236"/>
      <c r="I214" s="237"/>
      <c r="J214" s="237"/>
      <c r="K214" s="238">
        <f t="shared" si="13"/>
        <v>0</v>
      </c>
      <c r="L214" s="237"/>
      <c r="M214" s="185"/>
      <c r="N214" s="184"/>
      <c r="O214" s="184"/>
      <c r="P214" s="56">
        <f t="shared" si="14"/>
        <v>0</v>
      </c>
      <c r="Q214" s="156"/>
    </row>
    <row r="215" spans="1:17">
      <c r="A215" s="155">
        <f t="shared" si="15"/>
        <v>207</v>
      </c>
      <c r="B215" s="58"/>
      <c r="C215" s="59"/>
      <c r="D215" s="60"/>
      <c r="E215" s="34"/>
      <c r="F215" s="56">
        <f t="shared" si="12"/>
        <v>0</v>
      </c>
      <c r="G215" s="164"/>
      <c r="H215" s="236"/>
      <c r="I215" s="237"/>
      <c r="J215" s="237"/>
      <c r="K215" s="238">
        <f t="shared" si="13"/>
        <v>0</v>
      </c>
      <c r="L215" s="237"/>
      <c r="M215" s="185"/>
      <c r="N215" s="184"/>
      <c r="O215" s="184"/>
      <c r="P215" s="56">
        <f t="shared" si="14"/>
        <v>0</v>
      </c>
      <c r="Q215" s="156"/>
    </row>
    <row r="216" spans="1:17">
      <c r="A216" s="155">
        <f t="shared" si="15"/>
        <v>208</v>
      </c>
      <c r="B216" s="58"/>
      <c r="C216" s="59"/>
      <c r="D216" s="60"/>
      <c r="E216" s="34"/>
      <c r="F216" s="56">
        <f t="shared" si="12"/>
        <v>0</v>
      </c>
      <c r="G216" s="164"/>
      <c r="H216" s="236"/>
      <c r="I216" s="237"/>
      <c r="J216" s="237"/>
      <c r="K216" s="238">
        <f t="shared" si="13"/>
        <v>0</v>
      </c>
      <c r="L216" s="237"/>
      <c r="M216" s="185"/>
      <c r="N216" s="184"/>
      <c r="O216" s="184"/>
      <c r="P216" s="56">
        <f t="shared" si="14"/>
        <v>0</v>
      </c>
      <c r="Q216" s="156"/>
    </row>
    <row r="217" spans="1:17">
      <c r="A217" s="155">
        <f t="shared" si="15"/>
        <v>209</v>
      </c>
      <c r="B217" s="58"/>
      <c r="C217" s="59"/>
      <c r="D217" s="60"/>
      <c r="E217" s="34"/>
      <c r="F217" s="56">
        <f t="shared" si="12"/>
        <v>0</v>
      </c>
      <c r="G217" s="164"/>
      <c r="H217" s="236"/>
      <c r="I217" s="237"/>
      <c r="J217" s="237"/>
      <c r="K217" s="238">
        <f t="shared" si="13"/>
        <v>0</v>
      </c>
      <c r="L217" s="237"/>
      <c r="M217" s="185"/>
      <c r="N217" s="184"/>
      <c r="O217" s="184"/>
      <c r="P217" s="56">
        <f t="shared" si="14"/>
        <v>0</v>
      </c>
      <c r="Q217" s="156"/>
    </row>
    <row r="218" spans="1:17">
      <c r="A218" s="155">
        <f t="shared" si="15"/>
        <v>210</v>
      </c>
      <c r="B218" s="58"/>
      <c r="C218" s="59"/>
      <c r="D218" s="60"/>
      <c r="E218" s="34"/>
      <c r="F218" s="56">
        <f t="shared" si="12"/>
        <v>0</v>
      </c>
      <c r="G218" s="164"/>
      <c r="H218" s="236"/>
      <c r="I218" s="237"/>
      <c r="J218" s="237"/>
      <c r="K218" s="238">
        <f t="shared" si="13"/>
        <v>0</v>
      </c>
      <c r="L218" s="237"/>
      <c r="M218" s="185"/>
      <c r="N218" s="184"/>
      <c r="O218" s="184"/>
      <c r="P218" s="56">
        <f t="shared" si="14"/>
        <v>0</v>
      </c>
      <c r="Q218" s="156"/>
    </row>
    <row r="219" spans="1:17">
      <c r="A219" s="155">
        <f t="shared" si="15"/>
        <v>211</v>
      </c>
      <c r="B219" s="58"/>
      <c r="C219" s="59"/>
      <c r="D219" s="60"/>
      <c r="E219" s="34"/>
      <c r="F219" s="56">
        <f t="shared" si="12"/>
        <v>0</v>
      </c>
      <c r="G219" s="164"/>
      <c r="H219" s="236"/>
      <c r="I219" s="237"/>
      <c r="J219" s="237"/>
      <c r="K219" s="238">
        <f t="shared" si="13"/>
        <v>0</v>
      </c>
      <c r="L219" s="237"/>
      <c r="M219" s="185"/>
      <c r="N219" s="184"/>
      <c r="O219" s="184"/>
      <c r="P219" s="56">
        <f t="shared" si="14"/>
        <v>0</v>
      </c>
      <c r="Q219" s="156"/>
    </row>
    <row r="220" spans="1:17" ht="13.5" thickBot="1">
      <c r="A220" s="157">
        <f t="shared" si="15"/>
        <v>212</v>
      </c>
      <c r="B220" s="158"/>
      <c r="C220" s="159"/>
      <c r="D220" s="160"/>
      <c r="E220" s="161"/>
      <c r="F220" s="162">
        <f t="shared" si="12"/>
        <v>0</v>
      </c>
      <c r="G220" s="165"/>
      <c r="H220" s="239"/>
      <c r="I220" s="240"/>
      <c r="J220" s="240"/>
      <c r="K220" s="241">
        <f t="shared" si="13"/>
        <v>0</v>
      </c>
      <c r="L220" s="240"/>
      <c r="M220" s="187"/>
      <c r="N220" s="186"/>
      <c r="O220" s="186"/>
      <c r="P220" s="162">
        <f t="shared" si="14"/>
        <v>0</v>
      </c>
      <c r="Q220" s="163"/>
    </row>
  </sheetData>
  <mergeCells count="11">
    <mergeCell ref="G7:G8"/>
    <mergeCell ref="M7:Q7"/>
    <mergeCell ref="A4:P4"/>
    <mergeCell ref="A6:Q6"/>
    <mergeCell ref="H7:L7"/>
    <mergeCell ref="B7:B8"/>
    <mergeCell ref="A7:A8"/>
    <mergeCell ref="C7:C8"/>
    <mergeCell ref="D7:D8"/>
    <mergeCell ref="E7:E8"/>
    <mergeCell ref="F7:F8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12"/>
  <dimension ref="B1:E37"/>
  <sheetViews>
    <sheetView showGridLines="0" zoomScale="80" zoomScaleNormal="80" workbookViewId="0">
      <selection activeCell="B1" sqref="B1"/>
    </sheetView>
  </sheetViews>
  <sheetFormatPr defaultRowHeight="12.75"/>
  <cols>
    <col min="1" max="1" width="4.5703125" style="62" customWidth="1"/>
    <col min="2" max="2" width="21.42578125" style="62" customWidth="1"/>
    <col min="3" max="3" width="57.85546875" style="62" customWidth="1"/>
    <col min="4" max="4" width="15" style="62" customWidth="1"/>
    <col min="5" max="5" width="5" style="62" customWidth="1"/>
    <col min="6" max="16384" width="9.140625" style="62"/>
  </cols>
  <sheetData>
    <row r="1" spans="2:5" s="252" customFormat="1" ht="21" customHeight="1">
      <c r="B1" s="253" t="s">
        <v>290</v>
      </c>
      <c r="C1" s="283"/>
      <c r="D1" s="283"/>
      <c r="E1" s="284"/>
    </row>
    <row r="2" spans="2:5" s="256" customFormat="1" ht="18.75" customHeight="1">
      <c r="B2" s="257" t="s">
        <v>282</v>
      </c>
      <c r="C2" s="264" t="str">
        <f>'Histórico de Revisão'!C2</f>
        <v>SAAD - Sistema de Acompanhamento Administrativo de Documentos</v>
      </c>
      <c r="D2" s="259" t="s">
        <v>283</v>
      </c>
      <c r="E2" s="282" t="s">
        <v>286</v>
      </c>
    </row>
    <row r="3" spans="2:5">
      <c r="C3" s="420"/>
      <c r="D3" s="420"/>
      <c r="E3" s="420"/>
    </row>
    <row r="4" spans="2:5" s="36" customFormat="1" ht="45" customHeight="1">
      <c r="B4" s="387" t="s">
        <v>274</v>
      </c>
      <c r="C4" s="387"/>
      <c r="D4" s="387"/>
      <c r="E4" s="111"/>
    </row>
    <row r="5" spans="2:5" ht="13.5" thickBot="1"/>
    <row r="6" spans="2:5" ht="15.75" thickBot="1">
      <c r="B6" s="535" t="s">
        <v>275</v>
      </c>
      <c r="C6" s="535"/>
      <c r="D6" s="535"/>
      <c r="E6" s="535"/>
    </row>
    <row r="7" spans="2:5" ht="15">
      <c r="B7" s="126" t="s">
        <v>59</v>
      </c>
      <c r="C7" s="424" t="str">
        <f>NomeCliente</f>
        <v>STJ - Superior Tribunal de Justiça</v>
      </c>
      <c r="D7" s="424"/>
      <c r="E7" s="424"/>
    </row>
    <row r="8" spans="2:5" ht="15">
      <c r="B8" s="127" t="s">
        <v>60</v>
      </c>
      <c r="C8" s="426" t="str">
        <f>NomeProjeto</f>
        <v>SAAD - Sistema de Acompanhamento Administrativo de Documentos</v>
      </c>
      <c r="D8" s="426"/>
      <c r="E8" s="426"/>
    </row>
    <row r="9" spans="2:5" ht="15">
      <c r="B9" s="127" t="s">
        <v>61</v>
      </c>
      <c r="C9" s="415" t="str">
        <f>FaseProjeto</f>
        <v>Avaliação Técnica</v>
      </c>
      <c r="D9" s="415"/>
      <c r="E9" s="415"/>
    </row>
    <row r="10" spans="2:5" ht="15">
      <c r="B10" s="128" t="s">
        <v>62</v>
      </c>
      <c r="C10" s="428">
        <f>Capa!C17</f>
        <v>41834</v>
      </c>
      <c r="D10" s="428"/>
      <c r="E10" s="428"/>
    </row>
    <row r="11" spans="2:5" ht="15">
      <c r="B11" s="127" t="s">
        <v>63</v>
      </c>
      <c r="C11" s="415" t="str">
        <f>TipoContagem</f>
        <v>Desenvolvimento</v>
      </c>
      <c r="D11" s="415"/>
      <c r="E11" s="415"/>
    </row>
    <row r="12" spans="2:5" ht="15">
      <c r="B12" s="127" t="str">
        <f>"Responsável: "</f>
        <v xml:space="preserve">Responsável: </v>
      </c>
      <c r="C12" s="415" t="str">
        <f>Responsavel</f>
        <v>Márcia Silva de Morais</v>
      </c>
      <c r="D12" s="415"/>
      <c r="E12" s="415"/>
    </row>
    <row r="13" spans="2:5" ht="15">
      <c r="B13" s="127" t="str">
        <f>"Propósito: "</f>
        <v xml:space="preserve">Propósito: </v>
      </c>
      <c r="C13" s="415" t="str">
        <f>PropositoDaContagem</f>
        <v>Estimar em Pontos de Função o tamanho do projeto SAAD - Sistema de Acompanhamento Administrativo de Documentos como uma entrada para o processo de Iniciação e Planejamento da Gerência do Projeto.</v>
      </c>
      <c r="D13" s="415"/>
      <c r="E13" s="415"/>
    </row>
    <row r="14" spans="2:5" ht="75" customHeight="1">
      <c r="B14" s="127" t="str">
        <f>"Escopo: "</f>
        <v xml:space="preserve">Escopo: </v>
      </c>
      <c r="C14" s="415" t="str">
        <f>EscopoDaContagem</f>
        <v>Todas as funções transacionais e de dados identificadas no documento de visão, especificações suplementares, modelo conceitual  e ainda todas as funções identificadas através de integrações com os sistemas internos do STJ - Superior Tribunal de Justiça e sistemas Externos, que estejam devidamente registrados na documentação utilizada para esta contagem.</v>
      </c>
      <c r="D14" s="415"/>
      <c r="E14" s="415"/>
    </row>
    <row r="15" spans="2:5" ht="73.5" customHeight="1">
      <c r="B15" s="129" t="s">
        <v>64</v>
      </c>
      <c r="C15" s="417" t="str">
        <f>Documentação</f>
        <v>saad_dovs_visao_inicial_do_sistema_visão - Versão 0.03</v>
      </c>
      <c r="D15" s="418"/>
      <c r="E15" s="536"/>
    </row>
    <row r="16" spans="2:5" ht="15">
      <c r="B16" s="129" t="s">
        <v>65</v>
      </c>
      <c r="C16" s="415" t="str">
        <f>Observações</f>
        <v>Não se aplica.</v>
      </c>
      <c r="D16" s="415"/>
      <c r="E16" s="415"/>
    </row>
    <row r="17" spans="2:5" ht="16.5" customHeight="1">
      <c r="B17" s="127" t="s">
        <v>66</v>
      </c>
      <c r="C17" s="430">
        <f>Capa!F14+Capa!F15</f>
        <v>2</v>
      </c>
      <c r="D17" s="430"/>
      <c r="E17" s="430"/>
    </row>
    <row r="18" spans="2:5" ht="16.5" customHeight="1">
      <c r="B18" s="129" t="s">
        <v>68</v>
      </c>
      <c r="C18" s="415">
        <f>VAF</f>
        <v>1</v>
      </c>
      <c r="D18" s="415"/>
      <c r="E18" s="415"/>
    </row>
    <row r="19" spans="2:5" ht="16.5" customHeight="1">
      <c r="B19" s="540" t="s">
        <v>230</v>
      </c>
      <c r="C19" s="433"/>
      <c r="D19" s="433"/>
      <c r="E19" s="541"/>
    </row>
    <row r="20" spans="2:5" ht="16.5" customHeight="1">
      <c r="B20" s="127" t="s">
        <v>227</v>
      </c>
      <c r="C20" s="415">
        <f>IF(C35&lt;&gt;0,C35, IF(C31&lt;&gt;0,C31,C27))</f>
        <v>0</v>
      </c>
      <c r="D20" s="415"/>
      <c r="E20" s="415"/>
    </row>
    <row r="21" spans="2:5" ht="30">
      <c r="B21" s="127" t="s">
        <v>203</v>
      </c>
      <c r="C21" s="415">
        <f>IF(C36&lt;&gt;0,C36, IF(C32&lt;&gt;0,C32,C28))</f>
        <v>0</v>
      </c>
      <c r="D21" s="415"/>
      <c r="E21" s="415"/>
    </row>
    <row r="22" spans="2:5" ht="16.5" customHeight="1" thickBot="1">
      <c r="B22" s="166" t="s">
        <v>228</v>
      </c>
      <c r="C22" s="542">
        <f>IF(C37&lt;&gt;0,C37, IF(C33&lt;&gt;0,C33,C29))</f>
        <v>0</v>
      </c>
      <c r="D22" s="542"/>
      <c r="E22" s="542"/>
    </row>
    <row r="23" spans="2:5" ht="16.5" customHeight="1">
      <c r="B23" s="167"/>
      <c r="C23" s="168"/>
      <c r="D23" s="168"/>
      <c r="E23" s="168"/>
    </row>
    <row r="24" spans="2:5" ht="16.5" customHeight="1" thickBot="1">
      <c r="B24" s="167"/>
      <c r="C24" s="168"/>
      <c r="D24" s="168"/>
      <c r="E24" s="168"/>
    </row>
    <row r="25" spans="2:5" ht="16.5" customHeight="1" thickBot="1">
      <c r="B25" s="543" t="s">
        <v>229</v>
      </c>
      <c r="C25" s="544"/>
      <c r="D25" s="544"/>
      <c r="E25" s="545"/>
    </row>
    <row r="26" spans="2:5" ht="16.5" customHeight="1" thickBot="1">
      <c r="B26" s="543" t="s">
        <v>272</v>
      </c>
      <c r="C26" s="544"/>
      <c r="D26" s="544"/>
      <c r="E26" s="545"/>
    </row>
    <row r="27" spans="2:5" ht="15">
      <c r="B27" s="169" t="s">
        <v>67</v>
      </c>
      <c r="C27" s="539">
        <f>DFP</f>
        <v>0</v>
      </c>
      <c r="D27" s="539"/>
      <c r="E27" s="539"/>
    </row>
    <row r="28" spans="2:5" ht="30">
      <c r="B28" s="170" t="s">
        <v>203</v>
      </c>
      <c r="C28" s="533">
        <f>SUM(Total_PF_NMensuraveis)</f>
        <v>0</v>
      </c>
      <c r="D28" s="534"/>
      <c r="E28" s="534"/>
    </row>
    <row r="29" spans="2:5" ht="15.75" thickBot="1">
      <c r="B29" s="171" t="s">
        <v>204</v>
      </c>
      <c r="C29" s="537">
        <f>C27+C28</f>
        <v>0</v>
      </c>
      <c r="D29" s="538"/>
      <c r="E29" s="538"/>
    </row>
    <row r="30" spans="2:5" ht="15.75" thickBot="1">
      <c r="B30" s="524" t="s">
        <v>231</v>
      </c>
      <c r="C30" s="525"/>
      <c r="D30" s="525"/>
      <c r="E30" s="526"/>
    </row>
    <row r="31" spans="2:5" ht="15">
      <c r="B31" s="173" t="s">
        <v>70</v>
      </c>
      <c r="C31" s="527">
        <f>SUM(Afericao_Funcao_01)</f>
        <v>0</v>
      </c>
      <c r="D31" s="528"/>
      <c r="E31" s="528"/>
    </row>
    <row r="32" spans="2:5" ht="30">
      <c r="B32" s="129" t="s">
        <v>203</v>
      </c>
      <c r="C32" s="531">
        <f>SUM(Afericao_Nao_Mensuravel_01)</f>
        <v>0</v>
      </c>
      <c r="D32" s="532"/>
      <c r="E32" s="532"/>
    </row>
    <row r="33" spans="2:5" ht="30.75" thickBot="1">
      <c r="B33" s="172" t="s">
        <v>219</v>
      </c>
      <c r="C33" s="529">
        <f>C31+C32</f>
        <v>0</v>
      </c>
      <c r="D33" s="530"/>
      <c r="E33" s="530"/>
    </row>
    <row r="34" spans="2:5" ht="15.75" thickBot="1">
      <c r="B34" s="524" t="s">
        <v>225</v>
      </c>
      <c r="C34" s="525"/>
      <c r="D34" s="525"/>
      <c r="E34" s="526"/>
    </row>
    <row r="35" spans="2:5" ht="15">
      <c r="B35" s="174" t="s">
        <v>70</v>
      </c>
      <c r="C35" s="533">
        <f>SUM(Afericao_Funcao_02)</f>
        <v>0</v>
      </c>
      <c r="D35" s="534"/>
      <c r="E35" s="534"/>
    </row>
    <row r="36" spans="2:5" ht="30">
      <c r="B36" s="129" t="s">
        <v>203</v>
      </c>
      <c r="C36" s="531">
        <f>SUM(Afericao_Nao_Mensuravel_02)</f>
        <v>0</v>
      </c>
      <c r="D36" s="532"/>
      <c r="E36" s="532"/>
    </row>
    <row r="37" spans="2:5" ht="45.75" thickBot="1">
      <c r="B37" s="172" t="s">
        <v>226</v>
      </c>
      <c r="C37" s="529">
        <f>C35+C36</f>
        <v>0</v>
      </c>
      <c r="D37" s="530"/>
      <c r="E37" s="530"/>
    </row>
  </sheetData>
  <mergeCells count="32">
    <mergeCell ref="C29:E29"/>
    <mergeCell ref="C27:E27"/>
    <mergeCell ref="C18:E18"/>
    <mergeCell ref="C28:E28"/>
    <mergeCell ref="B19:E19"/>
    <mergeCell ref="C20:E20"/>
    <mergeCell ref="C21:E21"/>
    <mergeCell ref="C22:E22"/>
    <mergeCell ref="B25:E25"/>
    <mergeCell ref="B26:E26"/>
    <mergeCell ref="C17:E17"/>
    <mergeCell ref="C8:E8"/>
    <mergeCell ref="C9:E9"/>
    <mergeCell ref="C10:E10"/>
    <mergeCell ref="C11:E11"/>
    <mergeCell ref="C12:E12"/>
    <mergeCell ref="C13:E13"/>
    <mergeCell ref="C15:E15"/>
    <mergeCell ref="C16:E16"/>
    <mergeCell ref="C3:E3"/>
    <mergeCell ref="B6:E6"/>
    <mergeCell ref="C7:E7"/>
    <mergeCell ref="C14:E14"/>
    <mergeCell ref="B4:D4"/>
    <mergeCell ref="B30:E30"/>
    <mergeCell ref="C31:E31"/>
    <mergeCell ref="B34:E34"/>
    <mergeCell ref="C37:E37"/>
    <mergeCell ref="C36:E36"/>
    <mergeCell ref="C35:E35"/>
    <mergeCell ref="C32:E32"/>
    <mergeCell ref="C33:E33"/>
  </mergeCells>
  <pageMargins left="0.5" right="0.32013888888888892" top="0.98402777777777783" bottom="0.77986111111111112" header="0.51180555555555562" footer="0.51180555555555562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H75"/>
  <sheetViews>
    <sheetView showGridLines="0" zoomScale="80" zoomScaleNormal="80" zoomScaleSheetLayoutView="100" workbookViewId="0">
      <selection activeCell="B7" sqref="B7:H7"/>
    </sheetView>
  </sheetViews>
  <sheetFormatPr defaultRowHeight="12.75"/>
  <cols>
    <col min="1" max="1" width="1.5703125" style="62" customWidth="1"/>
    <col min="2" max="2" width="11.42578125" style="62" customWidth="1"/>
    <col min="3" max="3" width="12.85546875" style="62" customWidth="1"/>
    <col min="4" max="4" width="11.7109375" style="62" customWidth="1"/>
    <col min="5" max="5" width="24.5703125" style="62" customWidth="1"/>
    <col min="6" max="6" width="9.140625" style="62" customWidth="1"/>
    <col min="7" max="7" width="11.7109375" style="62" customWidth="1"/>
    <col min="8" max="8" width="12" style="62" customWidth="1"/>
    <col min="9" max="16384" width="9.140625" style="62"/>
  </cols>
  <sheetData>
    <row r="1" spans="1:8" s="252" customFormat="1" ht="21" customHeight="1">
      <c r="B1" s="253" t="s">
        <v>290</v>
      </c>
      <c r="C1" s="283"/>
      <c r="D1" s="283"/>
      <c r="E1" s="283"/>
      <c r="F1" s="283"/>
      <c r="G1" s="283"/>
      <c r="H1" s="284"/>
    </row>
    <row r="2" spans="1:8" s="256" customFormat="1" ht="18.75" customHeight="1">
      <c r="B2" s="257" t="s">
        <v>60</v>
      </c>
      <c r="C2" s="264" t="str">
        <f>'Histórico de Revisão'!C2</f>
        <v>SAAD - Sistema de Acompanhamento Administrativo de Documentos</v>
      </c>
      <c r="D2" s="258"/>
      <c r="E2" s="258"/>
      <c r="F2" s="258"/>
      <c r="G2" s="259" t="s">
        <v>283</v>
      </c>
      <c r="H2" s="282" t="s">
        <v>286</v>
      </c>
    </row>
    <row r="3" spans="1:8">
      <c r="B3" s="549"/>
      <c r="C3" s="549"/>
      <c r="D3" s="549"/>
      <c r="E3" s="549"/>
      <c r="F3" s="549"/>
      <c r="G3" s="549"/>
      <c r="H3" s="549"/>
    </row>
    <row r="4" spans="1:8" s="36" customFormat="1" ht="45" customHeight="1">
      <c r="B4" s="109"/>
      <c r="C4" s="387" t="s">
        <v>0</v>
      </c>
      <c r="D4" s="387"/>
      <c r="E4" s="387"/>
      <c r="F4" s="387"/>
      <c r="G4" s="387"/>
      <c r="H4" s="111"/>
    </row>
    <row r="5" spans="1:8" s="36" customFormat="1">
      <c r="B5" s="550"/>
      <c r="C5" s="550"/>
      <c r="D5" s="550"/>
      <c r="E5" s="550"/>
      <c r="F5" s="550"/>
      <c r="G5" s="550"/>
      <c r="H5" s="550"/>
    </row>
    <row r="6" spans="1:8" ht="22.5" customHeight="1">
      <c r="B6" s="546" t="s">
        <v>39</v>
      </c>
      <c r="C6" s="546"/>
      <c r="D6" s="546"/>
      <c r="E6" s="546"/>
      <c r="F6" s="546"/>
      <c r="G6" s="546"/>
      <c r="H6" s="546"/>
    </row>
    <row r="7" spans="1:8" ht="15">
      <c r="A7" s="49"/>
      <c r="B7" s="547" t="str">
        <f>CONCATENATE("Projeto  : ",NomeProjeto)</f>
        <v>Projeto  : SAAD - Sistema de Acompanhamento Administrativo de Documentos</v>
      </c>
      <c r="C7" s="547"/>
      <c r="D7" s="547"/>
      <c r="E7" s="547"/>
      <c r="F7" s="547"/>
      <c r="G7" s="547"/>
      <c r="H7" s="547"/>
    </row>
    <row r="8" spans="1:8" ht="15">
      <c r="A8" s="49"/>
      <c r="B8" s="548" t="str">
        <f>CONCATENATE("Responsável : ",Responsavel)</f>
        <v>Responsável : Márcia Silva de Morais</v>
      </c>
      <c r="C8" s="548"/>
      <c r="D8" s="548"/>
      <c r="E8" s="548"/>
      <c r="F8" s="548"/>
      <c r="G8" s="548"/>
      <c r="H8" s="548"/>
    </row>
    <row r="9" spans="1:8" ht="15">
      <c r="A9" s="49"/>
      <c r="B9" s="63"/>
      <c r="C9" s="49"/>
      <c r="D9" s="49"/>
      <c r="E9" s="49"/>
      <c r="F9" s="49"/>
      <c r="G9" s="49"/>
      <c r="H9" s="64"/>
    </row>
    <row r="10" spans="1:8">
      <c r="A10" s="47"/>
      <c r="B10" s="65"/>
      <c r="C10" s="52"/>
      <c r="D10" s="52"/>
      <c r="E10" s="52"/>
      <c r="F10" s="52"/>
      <c r="G10" s="52"/>
      <c r="H10" s="66"/>
    </row>
    <row r="11" spans="1:8">
      <c r="A11" s="47"/>
      <c r="B11" s="65"/>
      <c r="C11" s="67" t="s">
        <v>40</v>
      </c>
      <c r="D11" s="68"/>
      <c r="E11" s="68"/>
      <c r="F11" s="68"/>
      <c r="G11" s="51" t="s">
        <v>41</v>
      </c>
      <c r="H11" s="66"/>
    </row>
    <row r="12" spans="1:8">
      <c r="A12" s="47"/>
      <c r="B12" s="65"/>
      <c r="C12" s="69" t="s">
        <v>42</v>
      </c>
      <c r="D12" s="70"/>
      <c r="E12" s="70"/>
      <c r="F12" s="71"/>
      <c r="G12" s="81">
        <v>2</v>
      </c>
      <c r="H12" s="66"/>
    </row>
    <row r="13" spans="1:8">
      <c r="A13" s="47"/>
      <c r="B13" s="65"/>
      <c r="C13" s="72" t="s">
        <v>43</v>
      </c>
      <c r="D13" s="52"/>
      <c r="E13" s="52"/>
      <c r="F13" s="73"/>
      <c r="G13" s="81">
        <v>2</v>
      </c>
      <c r="H13" s="66"/>
    </row>
    <row r="14" spans="1:8">
      <c r="A14" s="47"/>
      <c r="B14" s="65"/>
      <c r="C14" s="72" t="s">
        <v>44</v>
      </c>
      <c r="D14" s="52"/>
      <c r="E14" s="52"/>
      <c r="F14" s="73"/>
      <c r="G14" s="81">
        <v>2</v>
      </c>
      <c r="H14" s="66"/>
    </row>
    <row r="15" spans="1:8">
      <c r="A15" s="47"/>
      <c r="B15" s="65"/>
      <c r="C15" s="72" t="s">
        <v>45</v>
      </c>
      <c r="D15" s="52"/>
      <c r="E15" s="52"/>
      <c r="F15" s="73"/>
      <c r="G15" s="81">
        <v>2</v>
      </c>
      <c r="H15" s="66"/>
    </row>
    <row r="16" spans="1:8">
      <c r="A16" s="47"/>
      <c r="B16" s="65"/>
      <c r="C16" s="72" t="s">
        <v>46</v>
      </c>
      <c r="D16" s="52"/>
      <c r="E16" s="52"/>
      <c r="F16" s="73"/>
      <c r="G16" s="81">
        <v>2</v>
      </c>
      <c r="H16" s="66"/>
    </row>
    <row r="17" spans="1:8">
      <c r="A17" s="47"/>
      <c r="B17" s="65"/>
      <c r="C17" s="72" t="s">
        <v>47</v>
      </c>
      <c r="D17" s="52"/>
      <c r="E17" s="52"/>
      <c r="F17" s="73"/>
      <c r="G17" s="81">
        <v>2</v>
      </c>
      <c r="H17" s="66"/>
    </row>
    <row r="18" spans="1:8">
      <c r="A18" s="47"/>
      <c r="B18" s="65"/>
      <c r="C18" s="72" t="s">
        <v>48</v>
      </c>
      <c r="D18" s="52"/>
      <c r="E18" s="52"/>
      <c r="F18" s="73"/>
      <c r="G18" s="81">
        <v>2</v>
      </c>
      <c r="H18" s="66"/>
    </row>
    <row r="19" spans="1:8">
      <c r="A19" s="47"/>
      <c r="B19" s="65"/>
      <c r="C19" s="72" t="s">
        <v>49</v>
      </c>
      <c r="D19" s="52"/>
      <c r="E19" s="52"/>
      <c r="F19" s="73"/>
      <c r="G19" s="81">
        <v>3</v>
      </c>
      <c r="H19" s="66"/>
    </row>
    <row r="20" spans="1:8">
      <c r="A20" s="47"/>
      <c r="B20" s="65"/>
      <c r="C20" s="72" t="s">
        <v>50</v>
      </c>
      <c r="D20" s="52"/>
      <c r="E20" s="52"/>
      <c r="F20" s="73"/>
      <c r="G20" s="81">
        <v>3</v>
      </c>
      <c r="H20" s="66"/>
    </row>
    <row r="21" spans="1:8">
      <c r="A21" s="47"/>
      <c r="B21" s="65"/>
      <c r="C21" s="72" t="s">
        <v>51</v>
      </c>
      <c r="D21" s="52"/>
      <c r="E21" s="52"/>
      <c r="F21" s="73"/>
      <c r="G21" s="81">
        <v>3</v>
      </c>
      <c r="H21" s="66"/>
    </row>
    <row r="22" spans="1:8">
      <c r="A22" s="47"/>
      <c r="B22" s="65"/>
      <c r="C22" s="72" t="s">
        <v>52</v>
      </c>
      <c r="D22" s="52"/>
      <c r="E22" s="52"/>
      <c r="F22" s="73"/>
      <c r="G22" s="81">
        <v>3</v>
      </c>
      <c r="H22" s="66"/>
    </row>
    <row r="23" spans="1:8">
      <c r="A23" s="47"/>
      <c r="B23" s="65"/>
      <c r="C23" s="72" t="s">
        <v>53</v>
      </c>
      <c r="D23" s="52"/>
      <c r="E23" s="52"/>
      <c r="F23" s="73"/>
      <c r="G23" s="81">
        <v>3</v>
      </c>
      <c r="H23" s="66"/>
    </row>
    <row r="24" spans="1:8">
      <c r="A24" s="47"/>
      <c r="B24" s="65"/>
      <c r="C24" s="72" t="s">
        <v>54</v>
      </c>
      <c r="D24" s="52"/>
      <c r="E24" s="52"/>
      <c r="F24" s="73"/>
      <c r="G24" s="81">
        <v>3</v>
      </c>
      <c r="H24" s="66"/>
    </row>
    <row r="25" spans="1:8">
      <c r="A25" s="47"/>
      <c r="B25" s="65"/>
      <c r="C25" s="74" t="s">
        <v>55</v>
      </c>
      <c r="D25" s="75"/>
      <c r="E25" s="75"/>
      <c r="F25" s="76"/>
      <c r="G25" s="82">
        <v>3</v>
      </c>
      <c r="H25" s="66"/>
    </row>
    <row r="26" spans="1:8">
      <c r="A26" s="47"/>
      <c r="B26" s="65"/>
      <c r="C26" s="52"/>
      <c r="D26" s="52"/>
      <c r="E26" s="52"/>
      <c r="F26" s="52"/>
      <c r="G26" s="52"/>
      <c r="H26" s="66"/>
    </row>
    <row r="27" spans="1:8">
      <c r="A27" s="47"/>
      <c r="B27" s="65"/>
      <c r="C27" s="52" t="s">
        <v>56</v>
      </c>
      <c r="D27" s="52"/>
      <c r="E27" s="52"/>
      <c r="F27" s="52"/>
      <c r="G27" s="77">
        <f>SUM(G12:G25)</f>
        <v>35</v>
      </c>
      <c r="H27" s="66"/>
    </row>
    <row r="28" spans="1:8">
      <c r="A28" s="47"/>
      <c r="B28" s="65"/>
      <c r="C28" s="52" t="s">
        <v>57</v>
      </c>
      <c r="D28" s="52"/>
      <c r="E28" s="52"/>
      <c r="F28" s="52"/>
      <c r="G28" s="2">
        <f>(G27*0.01)+0.65</f>
        <v>1</v>
      </c>
      <c r="H28" s="66"/>
    </row>
    <row r="29" spans="1:8">
      <c r="A29" s="47"/>
      <c r="B29" s="78"/>
      <c r="C29" s="79"/>
      <c r="D29" s="79"/>
      <c r="E29" s="79"/>
      <c r="F29" s="79"/>
      <c r="G29" s="79"/>
      <c r="H29" s="80"/>
    </row>
    <row r="30" spans="1:8">
      <c r="A30" s="47"/>
      <c r="B30" s="47"/>
      <c r="C30" s="47"/>
      <c r="D30" s="47"/>
      <c r="E30" s="47"/>
      <c r="F30" s="47"/>
      <c r="G30" s="47"/>
      <c r="H30" s="52"/>
    </row>
    <row r="75" spans="3:6">
      <c r="C75" s="62" t="s">
        <v>58</v>
      </c>
      <c r="E75" s="62">
        <v>10</v>
      </c>
      <c r="F75" s="62">
        <v>2</v>
      </c>
    </row>
  </sheetData>
  <mergeCells count="6">
    <mergeCell ref="B6:H6"/>
    <mergeCell ref="B7:H7"/>
    <mergeCell ref="B8:H8"/>
    <mergeCell ref="B3:H3"/>
    <mergeCell ref="B5:H5"/>
    <mergeCell ref="C4:G4"/>
  </mergeCells>
  <phoneticPr fontId="24" type="noConversion"/>
  <printOptions horizontalCentered="1"/>
  <pageMargins left="0.78749999999999998" right="0.78749999999999998" top="0.98402777777777783" bottom="0.98472222222222228" header="0.51180555555555562" footer="0.31527777777777777"/>
  <pageSetup paperSize="9" scale="78" firstPageNumber="0" orientation="portrait" horizontalDpi="300" verticalDpi="300" r:id="rId1"/>
  <headerFooter alignWithMargins="0">
    <oddFooter>&amp;CPágina &amp;P&amp;Rproposta de PPF.xls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6"/>
  <dimension ref="B1:N1048575"/>
  <sheetViews>
    <sheetView topLeftCell="A1048575" zoomScale="70" zoomScaleNormal="70" workbookViewId="0">
      <selection activeCell="A1048575" sqref="A1:XFD1048576"/>
    </sheetView>
  </sheetViews>
  <sheetFormatPr defaultColWidth="34.42578125" defaultRowHeight="12.75" zeroHeight="1"/>
  <cols>
    <col min="1" max="16384" width="34.42578125" style="83"/>
  </cols>
  <sheetData>
    <row r="1" spans="2:10" ht="13.5" hidden="1" thickBot="1">
      <c r="C1" s="84"/>
      <c r="D1" s="85"/>
      <c r="E1" s="85"/>
      <c r="F1" s="85"/>
      <c r="G1" s="84"/>
      <c r="H1" s="84"/>
    </row>
    <row r="2" spans="2:10" s="36" customFormat="1" ht="45" hidden="1" customHeight="1">
      <c r="B2" s="387" t="s">
        <v>0</v>
      </c>
      <c r="C2" s="387"/>
      <c r="D2" s="387"/>
      <c r="E2" s="387"/>
      <c r="F2" s="387"/>
      <c r="G2" s="387"/>
      <c r="H2" s="387"/>
      <c r="I2" s="387"/>
      <c r="J2" s="108" t="s">
        <v>214</v>
      </c>
    </row>
    <row r="3" spans="2:10" hidden="1">
      <c r="C3" s="84"/>
      <c r="D3" s="114"/>
      <c r="E3" s="114"/>
      <c r="F3" s="114"/>
      <c r="G3" s="84"/>
      <c r="H3" s="84"/>
    </row>
    <row r="4" spans="2:10" hidden="1"/>
    <row r="5" spans="2:10" s="86" customFormat="1" hidden="1">
      <c r="B5" s="86" t="s">
        <v>103</v>
      </c>
      <c r="C5" s="86" t="s">
        <v>104</v>
      </c>
      <c r="D5" s="86" t="s">
        <v>105</v>
      </c>
      <c r="E5" s="86" t="s">
        <v>5</v>
      </c>
      <c r="F5" s="86" t="s">
        <v>7</v>
      </c>
      <c r="G5" s="86" t="s">
        <v>106</v>
      </c>
      <c r="H5" s="86" t="s">
        <v>107</v>
      </c>
      <c r="I5" s="177" t="s">
        <v>108</v>
      </c>
      <c r="J5" s="177"/>
    </row>
    <row r="6" spans="2:10" hidden="1">
      <c r="B6" s="175" t="s">
        <v>15</v>
      </c>
      <c r="C6" s="175" t="s">
        <v>19</v>
      </c>
      <c r="D6" s="175" t="s">
        <v>17</v>
      </c>
      <c r="E6" s="176" t="s">
        <v>109</v>
      </c>
      <c r="F6" s="175" t="s">
        <v>110</v>
      </c>
      <c r="G6" s="175" t="s">
        <v>12</v>
      </c>
      <c r="H6" s="175" t="s">
        <v>111</v>
      </c>
      <c r="I6" s="175" t="s">
        <v>112</v>
      </c>
      <c r="J6" s="175">
        <v>0</v>
      </c>
    </row>
    <row r="7" spans="2:10" hidden="1">
      <c r="B7" s="175" t="s">
        <v>113</v>
      </c>
      <c r="C7" s="175" t="s">
        <v>114</v>
      </c>
      <c r="D7" s="175" t="s">
        <v>115</v>
      </c>
      <c r="E7" s="176" t="s">
        <v>116</v>
      </c>
      <c r="F7" s="175" t="s">
        <v>8</v>
      </c>
      <c r="G7" s="175" t="s">
        <v>1</v>
      </c>
      <c r="H7" s="175" t="s">
        <v>10</v>
      </c>
      <c r="I7" s="175" t="s">
        <v>117</v>
      </c>
      <c r="J7" s="175">
        <v>18.5</v>
      </c>
    </row>
    <row r="8" spans="2:10" hidden="1">
      <c r="B8" s="175" t="s">
        <v>118</v>
      </c>
      <c r="C8" s="175" t="s">
        <v>119</v>
      </c>
      <c r="D8" s="175" t="s">
        <v>120</v>
      </c>
      <c r="E8" s="176" t="s">
        <v>6</v>
      </c>
      <c r="F8" s="175" t="s">
        <v>121</v>
      </c>
      <c r="G8" s="175"/>
      <c r="H8" s="175"/>
      <c r="I8" s="175" t="s">
        <v>122</v>
      </c>
      <c r="J8" s="175">
        <v>15</v>
      </c>
    </row>
    <row r="9" spans="2:10" hidden="1">
      <c r="B9" s="175" t="s">
        <v>138</v>
      </c>
      <c r="C9" s="175" t="s">
        <v>123</v>
      </c>
      <c r="D9" s="175" t="s">
        <v>124</v>
      </c>
      <c r="E9" s="175"/>
      <c r="F9" s="175" t="s">
        <v>125</v>
      </c>
      <c r="G9" s="175"/>
      <c r="H9" s="175"/>
      <c r="I9" s="175" t="s">
        <v>21</v>
      </c>
      <c r="J9" s="175">
        <v>31.5</v>
      </c>
    </row>
    <row r="10" spans="2:10" hidden="1">
      <c r="B10" s="175"/>
      <c r="C10" s="175" t="s">
        <v>126</v>
      </c>
      <c r="D10" s="175"/>
      <c r="E10" s="175"/>
      <c r="F10" s="175"/>
      <c r="G10" s="175"/>
      <c r="H10" s="175"/>
      <c r="I10" s="175" t="s">
        <v>127</v>
      </c>
      <c r="J10" s="175">
        <v>18</v>
      </c>
    </row>
    <row r="11" spans="2:10" hidden="1">
      <c r="B11" s="175"/>
      <c r="C11" s="175"/>
      <c r="D11" s="175"/>
      <c r="E11" s="175"/>
      <c r="F11" s="175"/>
      <c r="G11" s="175"/>
      <c r="H11" s="175"/>
      <c r="I11" s="175" t="s">
        <v>128</v>
      </c>
      <c r="J11" s="175">
        <v>17</v>
      </c>
    </row>
    <row r="12" spans="2:10" hidden="1">
      <c r="B12" s="175"/>
      <c r="C12" s="175"/>
      <c r="D12" s="175"/>
      <c r="E12" s="175"/>
      <c r="F12" s="175"/>
      <c r="G12" s="175"/>
      <c r="H12" s="175"/>
      <c r="I12" s="175"/>
      <c r="J12" s="175">
        <f>SUM(J6:J11)</f>
        <v>100</v>
      </c>
    </row>
    <row r="13" spans="2:10" hidden="1">
      <c r="B13" s="175"/>
      <c r="C13" s="175"/>
      <c r="D13" s="175"/>
      <c r="E13" s="175"/>
      <c r="F13" s="175"/>
      <c r="G13" s="175"/>
      <c r="H13" s="175"/>
      <c r="I13" s="175"/>
      <c r="J13" s="175"/>
    </row>
    <row r="14" spans="2:10" hidden="1">
      <c r="B14" s="177" t="s">
        <v>1</v>
      </c>
      <c r="C14" s="177" t="s">
        <v>129</v>
      </c>
      <c r="D14" s="177" t="s">
        <v>20</v>
      </c>
      <c r="E14" s="177" t="s">
        <v>4</v>
      </c>
      <c r="F14" s="177"/>
      <c r="G14" s="175"/>
      <c r="H14" s="175"/>
      <c r="I14" s="175"/>
      <c r="J14" s="175"/>
    </row>
    <row r="15" spans="2:10" hidden="1">
      <c r="B15" s="175"/>
      <c r="C15" s="175"/>
      <c r="D15" s="175" t="s">
        <v>130</v>
      </c>
      <c r="E15" s="175" t="s">
        <v>131</v>
      </c>
      <c r="F15" s="178"/>
      <c r="G15" s="175"/>
      <c r="H15" s="175"/>
      <c r="I15" s="175"/>
      <c r="J15" s="175"/>
    </row>
    <row r="16" spans="2:10" hidden="1">
      <c r="B16" s="175"/>
      <c r="C16" s="175"/>
      <c r="D16" s="175" t="s">
        <v>132</v>
      </c>
      <c r="E16" s="175" t="s">
        <v>193</v>
      </c>
      <c r="F16" s="175"/>
      <c r="G16" s="175"/>
      <c r="H16" s="175"/>
      <c r="I16" s="175"/>
      <c r="J16" s="175"/>
    </row>
    <row r="17" spans="2:10" hidden="1">
      <c r="B17" s="175"/>
      <c r="C17" s="175"/>
      <c r="D17" s="175" t="s">
        <v>133</v>
      </c>
      <c r="E17" s="175" t="s">
        <v>194</v>
      </c>
      <c r="F17" s="175"/>
      <c r="G17" s="175"/>
      <c r="H17" s="175"/>
      <c r="I17" s="175"/>
      <c r="J17" s="175"/>
    </row>
    <row r="18" spans="2:10" hidden="1">
      <c r="B18" s="175"/>
      <c r="C18" s="175"/>
      <c r="D18" s="175" t="s">
        <v>21</v>
      </c>
      <c r="E18" s="175" t="s">
        <v>192</v>
      </c>
      <c r="F18" s="175"/>
      <c r="G18" s="175"/>
      <c r="H18" s="175"/>
      <c r="I18" s="175"/>
      <c r="J18" s="175"/>
    </row>
    <row r="19" spans="2:10" hidden="1">
      <c r="B19" s="175"/>
      <c r="C19" s="175"/>
      <c r="D19" s="175" t="s">
        <v>127</v>
      </c>
      <c r="E19" s="175"/>
      <c r="F19" s="175"/>
      <c r="G19" s="175"/>
      <c r="H19" s="175"/>
      <c r="I19" s="175"/>
      <c r="J19" s="175"/>
    </row>
    <row r="20" spans="2:10" hidden="1">
      <c r="B20" s="175"/>
      <c r="C20" s="175"/>
      <c r="D20" s="175" t="s">
        <v>128</v>
      </c>
      <c r="E20" s="175"/>
      <c r="F20" s="175"/>
      <c r="G20" s="175"/>
      <c r="H20" s="175"/>
      <c r="I20" s="175"/>
      <c r="J20" s="175"/>
    </row>
    <row r="21" spans="2:10" hidden="1">
      <c r="B21" s="175"/>
      <c r="C21" s="175"/>
      <c r="D21" s="175" t="s">
        <v>134</v>
      </c>
      <c r="E21" s="175"/>
      <c r="F21" s="175"/>
      <c r="G21" s="175"/>
      <c r="H21" s="175"/>
      <c r="I21" s="175"/>
      <c r="J21" s="175"/>
    </row>
    <row r="22" spans="2:10" hidden="1">
      <c r="B22" s="175"/>
      <c r="C22" s="175"/>
      <c r="D22" s="175"/>
      <c r="E22" s="175"/>
      <c r="F22" s="175"/>
      <c r="G22" s="175"/>
      <c r="H22" s="175"/>
      <c r="I22" s="175"/>
      <c r="J22" s="175"/>
    </row>
    <row r="23" spans="2:10" hidden="1">
      <c r="B23" s="175"/>
      <c r="C23" s="179" t="s">
        <v>135</v>
      </c>
      <c r="D23" s="175"/>
      <c r="E23" s="175"/>
      <c r="F23" s="175"/>
      <c r="G23" s="175"/>
      <c r="H23" s="175"/>
      <c r="I23" s="175"/>
      <c r="J23" s="175"/>
    </row>
    <row r="24" spans="2:10" hidden="1">
      <c r="B24" s="175"/>
      <c r="C24" s="180" t="e">
        <f>Capa!#REF!</f>
        <v>#REF!</v>
      </c>
      <c r="D24" s="175"/>
      <c r="E24" s="175"/>
      <c r="F24" s="175"/>
      <c r="G24" s="175"/>
      <c r="H24" s="175"/>
      <c r="I24" s="175"/>
      <c r="J24" s="175"/>
    </row>
    <row r="25" spans="2:10" hidden="1">
      <c r="B25" s="175"/>
      <c r="C25" s="181">
        <f ca="1">YEAR(TODAY())</f>
        <v>2014</v>
      </c>
      <c r="D25" s="175"/>
      <c r="E25" s="175"/>
      <c r="F25" s="182"/>
      <c r="G25" s="175"/>
      <c r="H25" s="175"/>
      <c r="I25" s="175"/>
      <c r="J25" s="175"/>
    </row>
    <row r="26" spans="2:10" hidden="1">
      <c r="B26" s="175"/>
      <c r="C26" s="179">
        <f ca="1">MONTH(TODAY())</f>
        <v>7</v>
      </c>
      <c r="D26" s="175"/>
      <c r="E26" s="175"/>
      <c r="F26" s="175"/>
      <c r="G26" s="175"/>
      <c r="H26" s="175"/>
      <c r="I26" s="175"/>
      <c r="J26" s="175"/>
    </row>
    <row r="27" spans="2:10" hidden="1">
      <c r="B27" s="175"/>
      <c r="C27" s="179">
        <f ca="1">DAY(TODAY())</f>
        <v>14</v>
      </c>
      <c r="D27" s="175"/>
      <c r="E27" s="175"/>
      <c r="F27" s="175"/>
      <c r="G27" s="175"/>
      <c r="H27" s="175"/>
      <c r="I27" s="175"/>
      <c r="J27" s="175"/>
    </row>
    <row r="28" spans="2:10" hidden="1">
      <c r="B28" s="175"/>
      <c r="C28" s="179" t="e">
        <f>HOUR(C24)</f>
        <v>#REF!</v>
      </c>
      <c r="D28" s="175"/>
      <c r="E28" s="175"/>
      <c r="F28" s="175"/>
      <c r="G28" s="175"/>
      <c r="H28" s="175"/>
      <c r="I28" s="175"/>
      <c r="J28" s="175"/>
    </row>
    <row r="29" spans="2:10" hidden="1">
      <c r="B29" s="175"/>
      <c r="C29" s="179" t="e">
        <f>MINUTE(C24)</f>
        <v>#REF!</v>
      </c>
      <c r="D29" s="175"/>
      <c r="E29" s="175"/>
      <c r="F29" s="175"/>
      <c r="G29" s="175"/>
      <c r="H29" s="175"/>
      <c r="I29" s="175"/>
      <c r="J29" s="175"/>
    </row>
    <row r="30" spans="2:10" hidden="1">
      <c r="B30" s="175"/>
      <c r="C30" s="179" t="e">
        <f>SECOND(C24)</f>
        <v>#REF!</v>
      </c>
      <c r="D30" s="175"/>
      <c r="E30" s="175"/>
      <c r="F30" s="175"/>
      <c r="G30" s="175"/>
      <c r="H30" s="175"/>
      <c r="I30" s="175"/>
      <c r="J30" s="175"/>
    </row>
    <row r="31" spans="2:10" hidden="1">
      <c r="B31" s="175"/>
      <c r="C31" s="183" t="e">
        <f ca="1">CONCATENATE(TEXT(C25,"00"),TEXT(C26,"00"),"/",TEXT(C27,"00"),TEXT(C28,"00"),TEXT(C29,"00"),TEXT(C30,"00"))</f>
        <v>#REF!</v>
      </c>
      <c r="D31" s="175"/>
      <c r="E31" s="175"/>
      <c r="F31" s="175"/>
      <c r="G31" s="175"/>
      <c r="H31" s="175"/>
      <c r="I31" s="175"/>
      <c r="J31" s="175"/>
    </row>
    <row r="32" spans="2:10" hidden="1">
      <c r="B32" s="175"/>
      <c r="C32" s="175"/>
      <c r="D32" s="175"/>
      <c r="E32" s="175"/>
      <c r="F32" s="175"/>
      <c r="G32" s="175"/>
      <c r="H32" s="175"/>
      <c r="I32" s="175"/>
      <c r="J32" s="175"/>
    </row>
    <row r="33" spans="2:14" hidden="1"/>
    <row r="34" spans="2:14" hidden="1"/>
    <row r="35" spans="2:14" hidden="1"/>
    <row r="36" spans="2:14" hidden="1">
      <c r="B36" s="20"/>
      <c r="C36" s="555" t="s">
        <v>187</v>
      </c>
      <c r="D36" s="555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hidden="1">
      <c r="B37" s="83">
        <v>1</v>
      </c>
      <c r="C37" s="83" t="s">
        <v>147</v>
      </c>
      <c r="E37" s="21">
        <v>0</v>
      </c>
      <c r="F37" s="20"/>
      <c r="N37" s="22"/>
    </row>
    <row r="38" spans="2:14" hidden="1">
      <c r="B38" s="83">
        <v>2</v>
      </c>
      <c r="C38" s="23" t="s">
        <v>148</v>
      </c>
      <c r="D38" s="32" t="s">
        <v>149</v>
      </c>
      <c r="E38" s="21">
        <v>10.199999999999999</v>
      </c>
      <c r="F38" s="20"/>
      <c r="N38" s="22"/>
    </row>
    <row r="39" spans="2:14" hidden="1">
      <c r="B39" s="83">
        <v>3</v>
      </c>
      <c r="C39" s="23" t="s">
        <v>151</v>
      </c>
      <c r="D39" s="32" t="s">
        <v>152</v>
      </c>
      <c r="E39" s="21">
        <v>4.08</v>
      </c>
      <c r="F39" s="20"/>
    </row>
    <row r="40" spans="2:14" hidden="1">
      <c r="B40" s="83">
        <v>4</v>
      </c>
      <c r="C40" s="23" t="s">
        <v>153</v>
      </c>
      <c r="D40" s="32" t="s">
        <v>154</v>
      </c>
      <c r="E40" s="21">
        <v>3.4</v>
      </c>
      <c r="F40" s="20"/>
    </row>
    <row r="41" spans="2:14" hidden="1">
      <c r="B41" s="83">
        <v>5</v>
      </c>
      <c r="C41" s="23" t="s">
        <v>155</v>
      </c>
      <c r="D41" s="32" t="s">
        <v>154</v>
      </c>
      <c r="E41" s="21">
        <v>7.14</v>
      </c>
      <c r="F41" s="20"/>
    </row>
    <row r="42" spans="2:14" hidden="1">
      <c r="B42" s="83">
        <v>6</v>
      </c>
      <c r="C42" s="23" t="s">
        <v>156</v>
      </c>
      <c r="D42" s="32" t="s">
        <v>154</v>
      </c>
      <c r="E42" s="21">
        <v>4.76</v>
      </c>
      <c r="F42" s="20"/>
    </row>
    <row r="43" spans="2:14" hidden="1">
      <c r="B43" s="83">
        <v>7</v>
      </c>
      <c r="C43" s="23" t="s">
        <v>160</v>
      </c>
      <c r="D43" s="32" t="s">
        <v>149</v>
      </c>
      <c r="E43" s="21">
        <v>5.0999999999999996</v>
      </c>
      <c r="F43" s="20"/>
    </row>
    <row r="44" spans="2:14" hidden="1">
      <c r="B44" s="83">
        <v>8</v>
      </c>
      <c r="C44" s="23" t="s">
        <v>162</v>
      </c>
      <c r="D44" s="32" t="s">
        <v>152</v>
      </c>
      <c r="E44" s="21">
        <v>3.22</v>
      </c>
      <c r="F44" s="20"/>
    </row>
    <row r="45" spans="2:14" hidden="1">
      <c r="B45" s="83">
        <v>9</v>
      </c>
      <c r="C45" s="23" t="s">
        <v>163</v>
      </c>
      <c r="D45" s="32"/>
      <c r="E45" s="21">
        <v>0</v>
      </c>
      <c r="F45" s="20"/>
    </row>
    <row r="46" spans="2:14" hidden="1">
      <c r="B46" s="83">
        <v>10</v>
      </c>
      <c r="C46" s="23" t="s">
        <v>166</v>
      </c>
      <c r="D46" s="32" t="s">
        <v>154</v>
      </c>
      <c r="E46" s="21">
        <v>4.76</v>
      </c>
      <c r="F46" s="20"/>
      <c r="N46" s="22"/>
    </row>
    <row r="47" spans="2:14" hidden="1">
      <c r="B47" s="83">
        <v>11</v>
      </c>
      <c r="C47" s="23" t="s">
        <v>167</v>
      </c>
      <c r="D47" s="32" t="s">
        <v>152</v>
      </c>
      <c r="E47" s="21">
        <v>2.72</v>
      </c>
      <c r="F47" s="20"/>
      <c r="N47" s="22"/>
    </row>
    <row r="48" spans="2:14" hidden="1">
      <c r="B48" s="83">
        <v>12</v>
      </c>
      <c r="C48" s="23" t="s">
        <v>168</v>
      </c>
      <c r="D48" s="32" t="s">
        <v>152</v>
      </c>
      <c r="E48" s="21">
        <v>5.12</v>
      </c>
      <c r="F48" s="20"/>
      <c r="N48" s="22"/>
    </row>
    <row r="49" spans="2:14" hidden="1">
      <c r="B49" s="83">
        <v>13</v>
      </c>
      <c r="C49" s="23" t="s">
        <v>169</v>
      </c>
      <c r="D49" s="32" t="s">
        <v>152</v>
      </c>
      <c r="E49" s="21">
        <v>4.95</v>
      </c>
      <c r="F49" s="20"/>
      <c r="N49" s="22"/>
    </row>
    <row r="50" spans="2:14" hidden="1">
      <c r="B50" s="83">
        <v>14</v>
      </c>
      <c r="C50" s="23" t="s">
        <v>170</v>
      </c>
      <c r="D50" s="32" t="s">
        <v>152</v>
      </c>
      <c r="E50" s="21">
        <v>4.95</v>
      </c>
      <c r="F50" s="20"/>
      <c r="N50" s="22"/>
    </row>
    <row r="51" spans="2:14" hidden="1">
      <c r="B51" s="83">
        <v>15</v>
      </c>
      <c r="C51" s="23" t="s">
        <v>171</v>
      </c>
      <c r="D51" s="32" t="s">
        <v>152</v>
      </c>
      <c r="E51" s="21">
        <v>4.08</v>
      </c>
      <c r="F51" s="20"/>
      <c r="N51" s="20"/>
    </row>
    <row r="52" spans="2:14" hidden="1">
      <c r="B52" s="83">
        <v>16</v>
      </c>
      <c r="C52" s="23" t="s">
        <v>172</v>
      </c>
      <c r="D52" s="32" t="s">
        <v>149</v>
      </c>
      <c r="E52" s="21">
        <v>10.199999999999999</v>
      </c>
      <c r="F52" s="20"/>
      <c r="N52" s="20"/>
    </row>
    <row r="53" spans="2:14" hidden="1">
      <c r="B53" s="83">
        <v>17</v>
      </c>
      <c r="C53" s="23" t="s">
        <v>173</v>
      </c>
      <c r="D53" s="32"/>
      <c r="E53" s="21">
        <v>0</v>
      </c>
      <c r="F53" s="20"/>
      <c r="N53" s="20"/>
    </row>
    <row r="54" spans="2:14" hidden="1">
      <c r="B54" s="83">
        <v>18</v>
      </c>
      <c r="C54" s="23" t="s">
        <v>174</v>
      </c>
      <c r="D54" s="32" t="s">
        <v>149</v>
      </c>
      <c r="E54" s="21">
        <v>10.199999999999999</v>
      </c>
      <c r="F54" s="20"/>
      <c r="G54" s="20"/>
      <c r="H54" s="20"/>
      <c r="I54" s="20"/>
      <c r="J54" s="20"/>
      <c r="K54" s="20"/>
      <c r="L54" s="20"/>
      <c r="M54" s="20"/>
      <c r="N54" s="20"/>
    </row>
    <row r="55" spans="2:14" hidden="1">
      <c r="B55" s="83">
        <v>19</v>
      </c>
      <c r="C55" s="23" t="s">
        <v>175</v>
      </c>
      <c r="D55" s="32" t="s">
        <v>152</v>
      </c>
      <c r="E55" s="21">
        <v>10.199999999999999</v>
      </c>
      <c r="F55" s="20"/>
      <c r="G55" s="20"/>
      <c r="H55" s="20"/>
      <c r="I55" s="20"/>
      <c r="J55" s="20"/>
      <c r="K55" s="20"/>
      <c r="L55" s="20"/>
      <c r="M55" s="20"/>
      <c r="N55" s="20"/>
    </row>
    <row r="56" spans="2:14" hidden="1">
      <c r="B56" s="83">
        <v>20</v>
      </c>
      <c r="C56" s="24" t="s">
        <v>176</v>
      </c>
      <c r="D56" s="32" t="s">
        <v>154</v>
      </c>
      <c r="E56" s="21">
        <v>0</v>
      </c>
      <c r="F56" s="20"/>
      <c r="G56" s="20"/>
      <c r="H56" s="20"/>
      <c r="I56" s="20"/>
      <c r="J56" s="20"/>
      <c r="K56" s="20"/>
      <c r="L56" s="20"/>
      <c r="M56" s="20"/>
      <c r="N56" s="20"/>
    </row>
    <row r="57" spans="2:14" hidden="1">
      <c r="B57" s="83">
        <v>21</v>
      </c>
      <c r="C57" s="24" t="s">
        <v>177</v>
      </c>
      <c r="D57" s="32" t="s">
        <v>149</v>
      </c>
      <c r="E57" s="21">
        <v>5.0999999999999996</v>
      </c>
      <c r="F57" s="20"/>
      <c r="G57" s="20"/>
      <c r="H57" s="20"/>
      <c r="I57" s="20"/>
      <c r="J57" s="20"/>
      <c r="K57" s="20"/>
      <c r="L57" s="20"/>
      <c r="M57" s="20"/>
      <c r="N57" s="20"/>
    </row>
    <row r="58" spans="2:14" hidden="1">
      <c r="B58" s="83">
        <v>22</v>
      </c>
      <c r="C58" s="104" t="s">
        <v>212</v>
      </c>
      <c r="D58" s="105" t="s">
        <v>152</v>
      </c>
      <c r="E58" s="21">
        <v>5.12</v>
      </c>
      <c r="F58" s="20"/>
      <c r="G58" s="20"/>
      <c r="H58" s="20"/>
      <c r="I58" s="20"/>
      <c r="J58" s="20"/>
      <c r="K58" s="20"/>
      <c r="L58" s="20"/>
      <c r="M58" s="20"/>
      <c r="N58" s="20"/>
    </row>
    <row r="59" spans="2:14" hidden="1">
      <c r="B59" s="83">
        <v>23</v>
      </c>
      <c r="C59" s="24" t="s">
        <v>178</v>
      </c>
      <c r="D59" s="32" t="s">
        <v>152</v>
      </c>
      <c r="E59" s="21">
        <v>0</v>
      </c>
      <c r="F59" s="20"/>
      <c r="G59" s="20"/>
      <c r="H59" s="20"/>
      <c r="I59" s="20"/>
      <c r="J59" s="20"/>
      <c r="K59" s="20"/>
      <c r="L59" s="20"/>
      <c r="M59" s="20"/>
      <c r="N59" s="20"/>
    </row>
    <row r="60" spans="2:14" hidden="1">
      <c r="B60" s="83">
        <v>24</v>
      </c>
      <c r="C60" s="23" t="s">
        <v>179</v>
      </c>
      <c r="D60" s="32" t="s">
        <v>154</v>
      </c>
      <c r="E60" s="21">
        <v>4.76</v>
      </c>
      <c r="F60" s="20"/>
      <c r="G60" s="20"/>
      <c r="H60" s="20"/>
      <c r="I60" s="20"/>
      <c r="J60" s="20"/>
      <c r="K60" s="20"/>
      <c r="L60" s="20"/>
      <c r="M60" s="20"/>
      <c r="N60" s="20"/>
    </row>
    <row r="61" spans="2:14" hidden="1">
      <c r="B61" s="83">
        <v>25</v>
      </c>
      <c r="C61" s="23" t="s">
        <v>180</v>
      </c>
      <c r="D61" s="32" t="s">
        <v>152</v>
      </c>
      <c r="E61" s="21">
        <v>5.12</v>
      </c>
      <c r="F61" s="20"/>
      <c r="G61" s="20"/>
      <c r="H61" s="20"/>
      <c r="I61" s="20"/>
      <c r="J61" s="20"/>
      <c r="K61" s="20"/>
      <c r="L61" s="20"/>
      <c r="M61" s="20"/>
      <c r="N61" s="20"/>
    </row>
    <row r="62" spans="2:14" hidden="1">
      <c r="B62" s="83">
        <v>26</v>
      </c>
      <c r="C62" s="23" t="s">
        <v>181</v>
      </c>
      <c r="D62" s="32"/>
      <c r="E62" s="21">
        <v>0</v>
      </c>
      <c r="F62" s="20"/>
      <c r="G62" s="20"/>
      <c r="H62" s="20"/>
      <c r="I62" s="20"/>
      <c r="J62" s="20"/>
      <c r="K62" s="20"/>
      <c r="L62" s="20"/>
      <c r="M62" s="20"/>
      <c r="N62" s="20"/>
    </row>
    <row r="63" spans="2:14" hidden="1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2:14" hidden="1"/>
    <row r="65" spans="3:10" hidden="1">
      <c r="C65" s="22"/>
      <c r="D65" s="554" t="s">
        <v>68</v>
      </c>
      <c r="E65" s="554"/>
      <c r="F65" s="25">
        <v>12.98</v>
      </c>
      <c r="G65" s="22"/>
      <c r="H65" s="26"/>
      <c r="I65" s="22"/>
    </row>
    <row r="66" spans="3:10" hidden="1">
      <c r="C66" s="552" t="s">
        <v>150</v>
      </c>
      <c r="D66" s="552"/>
      <c r="E66" s="552"/>
      <c r="F66" s="552"/>
      <c r="G66" s="552"/>
      <c r="H66" s="22"/>
      <c r="I66" s="22"/>
    </row>
    <row r="67" spans="3:10" hidden="1">
      <c r="C67" s="553" t="s">
        <v>186</v>
      </c>
      <c r="D67" s="18" t="s">
        <v>83</v>
      </c>
      <c r="E67" s="27">
        <v>0.7</v>
      </c>
      <c r="F67" s="27">
        <v>0.9</v>
      </c>
      <c r="G67" s="27">
        <v>1.1000000000000001</v>
      </c>
      <c r="H67" s="22"/>
      <c r="I67" s="28" t="s">
        <v>83</v>
      </c>
      <c r="J67" s="29">
        <f>IF(AND(Capa!$C$64=1,Esforço!$E$9&lt;300),E74,(IF(AND(Capa!$C$64=1,Esforço!$E$9&gt;=300,Esforço!$E$9&lt;=1000),F74,(IF(AND(Capa!$C$64=1,Esforço!$E$9&gt;1000),G74,"")))))</f>
        <v>9.0860000000000003</v>
      </c>
    </row>
    <row r="68" spans="3:10" hidden="1">
      <c r="C68" s="553"/>
      <c r="D68" s="18" t="s">
        <v>82</v>
      </c>
      <c r="E68" s="27">
        <v>0.8</v>
      </c>
      <c r="F68" s="27">
        <v>1</v>
      </c>
      <c r="G68" s="27">
        <v>1.2</v>
      </c>
      <c r="H68" s="22"/>
      <c r="I68" s="28" t="s">
        <v>82</v>
      </c>
      <c r="J68" s="29" t="str">
        <f>IF(AND(Capa!$C$64=2,Esforço!$E$9&lt;300),E75,(IF(AND(Capa!$C$64=2,Esforço!$E$9&gt;=300,Esforço!$E$9&lt;=1000),F75,(IF(AND(Capa!$C$64=2,Esforço!$E$9&gt;1000),G75,"")))))</f>
        <v/>
      </c>
    </row>
    <row r="69" spans="3:10" hidden="1">
      <c r="C69" s="553"/>
      <c r="D69" s="18" t="s">
        <v>81</v>
      </c>
      <c r="E69" s="27">
        <v>0.9</v>
      </c>
      <c r="F69" s="27">
        <v>1.1000000000000001</v>
      </c>
      <c r="G69" s="27">
        <v>1.3</v>
      </c>
      <c r="H69" s="22"/>
      <c r="I69" s="28" t="s">
        <v>81</v>
      </c>
      <c r="J69" s="29" t="str">
        <f>IF(AND(Capa!$C$64=3,Esforço!$E$9&lt;300),E76,(IF(AND(Capa!$C$64=3,Esforço!$E$9&gt;=300,Esforço!$E$9&lt;=1000),F76,(IF(AND(Capa!$C$64=3,Esforço!$E$9&gt;1000),G76,"")))))</f>
        <v/>
      </c>
    </row>
    <row r="70" spans="3:10" hidden="1">
      <c r="C70" s="22"/>
      <c r="D70" s="30"/>
      <c r="E70" s="18" t="s">
        <v>157</v>
      </c>
      <c r="F70" s="18" t="s">
        <v>158</v>
      </c>
      <c r="G70" s="18" t="s">
        <v>159</v>
      </c>
      <c r="H70" s="22"/>
      <c r="I70" s="22"/>
      <c r="J70" s="31">
        <f>SUM(J67:J69)</f>
        <v>9.0860000000000003</v>
      </c>
    </row>
    <row r="71" spans="3:10" hidden="1">
      <c r="C71" s="22"/>
      <c r="D71" s="30"/>
      <c r="E71" s="551" t="s">
        <v>161</v>
      </c>
      <c r="F71" s="551"/>
      <c r="G71" s="551"/>
      <c r="H71" s="22"/>
      <c r="I71" s="22"/>
      <c r="J71" s="22"/>
    </row>
    <row r="72" spans="3:10" hidden="1">
      <c r="C72" s="22"/>
      <c r="D72" s="22"/>
      <c r="E72" s="32"/>
      <c r="F72" s="32"/>
      <c r="G72" s="32"/>
      <c r="H72" s="22"/>
      <c r="I72" s="22"/>
      <c r="J72" s="22"/>
    </row>
    <row r="73" spans="3:10" hidden="1">
      <c r="C73" s="552" t="s">
        <v>164</v>
      </c>
      <c r="D73" s="552"/>
      <c r="E73" s="552"/>
      <c r="F73" s="552"/>
      <c r="G73" s="552"/>
      <c r="H73" s="22"/>
      <c r="I73" s="17" t="s">
        <v>165</v>
      </c>
      <c r="J73" s="25">
        <v>0.3</v>
      </c>
    </row>
    <row r="74" spans="3:10" hidden="1">
      <c r="C74" s="553" t="s">
        <v>186</v>
      </c>
      <c r="D74" s="17" t="s">
        <v>83</v>
      </c>
      <c r="E74" s="25">
        <f t="shared" ref="E74:G76" si="0">$F$65*E67</f>
        <v>9.0860000000000003</v>
      </c>
      <c r="F74" s="25">
        <f t="shared" si="0"/>
        <v>11.682</v>
      </c>
      <c r="G74" s="25">
        <f t="shared" si="0"/>
        <v>14.278000000000002</v>
      </c>
      <c r="H74" s="22"/>
      <c r="I74" s="22"/>
    </row>
    <row r="75" spans="3:10" hidden="1">
      <c r="C75" s="553"/>
      <c r="D75" s="17" t="s">
        <v>82</v>
      </c>
      <c r="E75" s="25">
        <f t="shared" si="0"/>
        <v>10.384</v>
      </c>
      <c r="F75" s="25">
        <f t="shared" si="0"/>
        <v>12.98</v>
      </c>
      <c r="G75" s="25">
        <f t="shared" si="0"/>
        <v>15.576000000000001</v>
      </c>
      <c r="H75" s="22"/>
      <c r="I75" s="22"/>
    </row>
    <row r="76" spans="3:10" hidden="1">
      <c r="C76" s="553"/>
      <c r="D76" s="17" t="s">
        <v>81</v>
      </c>
      <c r="E76" s="25">
        <f t="shared" si="0"/>
        <v>11.682</v>
      </c>
      <c r="F76" s="25">
        <f t="shared" si="0"/>
        <v>14.278000000000002</v>
      </c>
      <c r="G76" s="25">
        <f t="shared" si="0"/>
        <v>16.874000000000002</v>
      </c>
      <c r="H76" s="22"/>
      <c r="I76" s="22"/>
    </row>
    <row r="77" spans="3:10" hidden="1">
      <c r="C77" s="22"/>
      <c r="D77" s="22"/>
      <c r="E77" s="19" t="s">
        <v>157</v>
      </c>
      <c r="F77" s="19" t="s">
        <v>158</v>
      </c>
      <c r="G77" s="19" t="s">
        <v>159</v>
      </c>
      <c r="H77" s="22"/>
      <c r="I77" s="22"/>
    </row>
    <row r="78" spans="3:10" hidden="1">
      <c r="C78" s="22"/>
      <c r="D78" s="22"/>
      <c r="E78" s="554" t="s">
        <v>161</v>
      </c>
      <c r="F78" s="554"/>
      <c r="G78" s="554"/>
      <c r="H78" s="22"/>
      <c r="I78" s="22"/>
    </row>
    <row r="79" spans="3:10" hidden="1">
      <c r="C79" s="20"/>
      <c r="D79" s="20"/>
      <c r="E79" s="20"/>
      <c r="F79" s="20"/>
      <c r="G79" s="20"/>
      <c r="H79" s="20"/>
      <c r="I79" s="20"/>
    </row>
    <row r="80" spans="3:10" hidden="1">
      <c r="C80" s="20"/>
      <c r="D80" s="20"/>
      <c r="E80" s="20"/>
      <c r="F80" s="20"/>
      <c r="G80" s="20"/>
      <c r="H80" s="20"/>
      <c r="I80" s="20"/>
    </row>
    <row r="81" spans="3:9" hidden="1">
      <c r="C81" s="20"/>
      <c r="D81" s="20"/>
      <c r="E81" s="20"/>
      <c r="F81" s="20"/>
      <c r="G81" s="20"/>
      <c r="H81" s="20"/>
      <c r="I81" s="20"/>
    </row>
    <row r="1048575"/>
  </sheetData>
  <sheetProtection password="83AD" sheet="1" objects="1" scenarios="1" selectLockedCells="1" selectUnlockedCells="1"/>
  <mergeCells count="9">
    <mergeCell ref="B2:I2"/>
    <mergeCell ref="E71:G71"/>
    <mergeCell ref="C73:G73"/>
    <mergeCell ref="C74:C76"/>
    <mergeCell ref="E78:G78"/>
    <mergeCell ref="C67:C69"/>
    <mergeCell ref="C36:D36"/>
    <mergeCell ref="D65:E65"/>
    <mergeCell ref="C66:G66"/>
  </mergeCells>
  <phoneticPr fontId="24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32</vt:i4>
      </vt:variant>
    </vt:vector>
  </HeadingPairs>
  <TitlesOfParts>
    <vt:vector size="45" baseType="lpstr">
      <vt:lpstr>Histórico de Revisão</vt:lpstr>
      <vt:lpstr>Capa</vt:lpstr>
      <vt:lpstr>Estimativa</vt:lpstr>
      <vt:lpstr>Relatório da Estimativa</vt:lpstr>
      <vt:lpstr>Funções</vt:lpstr>
      <vt:lpstr>Itens Não Mensuráveis</vt:lpstr>
      <vt:lpstr>Relatório da Medição</vt:lpstr>
      <vt:lpstr>Fator de Ajuste</vt:lpstr>
      <vt:lpstr>Base</vt:lpstr>
      <vt:lpstr>Esforço</vt:lpstr>
      <vt:lpstr>Sumário</vt:lpstr>
      <vt:lpstr>Resumo Geral</vt:lpstr>
      <vt:lpstr>Termo de Aferição</vt:lpstr>
      <vt:lpstr>Afericao_Funcao_01</vt:lpstr>
      <vt:lpstr>Afericao_Funcao_02</vt:lpstr>
      <vt:lpstr>Afericao_Nao_Mensuravel_01</vt:lpstr>
      <vt:lpstr>Afericao_Nao_Mensuravel_02</vt:lpstr>
      <vt:lpstr>Ambiente</vt:lpstr>
      <vt:lpstr>Capa!Area_de_impressao</vt:lpstr>
      <vt:lpstr>CF</vt:lpstr>
      <vt:lpstr>DataContagem</vt:lpstr>
      <vt:lpstr>DFP</vt:lpstr>
      <vt:lpstr>DftAlt</vt:lpstr>
      <vt:lpstr>DftExcl</vt:lpstr>
      <vt:lpstr>DftIncl</vt:lpstr>
      <vt:lpstr>Documentação</vt:lpstr>
      <vt:lpstr>EscopoDaContagem</vt:lpstr>
      <vt:lpstr>Excel_BuiltIn__FilterDatabase_1</vt:lpstr>
      <vt:lpstr>FaseProjeto</vt:lpstr>
      <vt:lpstr>Maturidade</vt:lpstr>
      <vt:lpstr>Metodo</vt:lpstr>
      <vt:lpstr>NivelDetalhe</vt:lpstr>
      <vt:lpstr>NomeCliente</vt:lpstr>
      <vt:lpstr>NomeDepartamento</vt:lpstr>
      <vt:lpstr>NomeProjeto</vt:lpstr>
      <vt:lpstr>NomeSolicitante</vt:lpstr>
      <vt:lpstr>Observações</vt:lpstr>
      <vt:lpstr>PFNA</vt:lpstr>
      <vt:lpstr>PropositoDaContagem</vt:lpstr>
      <vt:lpstr>Responsavel</vt:lpstr>
      <vt:lpstr>Tipo_de_Contagem</vt:lpstr>
      <vt:lpstr>TipoContagem</vt:lpstr>
      <vt:lpstr>Total_PF_NMensuraveis</vt:lpstr>
      <vt:lpstr>UFP</vt:lpstr>
      <vt:lpstr>VAF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marcio.rosa</dc:creator>
  <cp:lastModifiedBy>marcia.morais</cp:lastModifiedBy>
  <cp:lastPrinted>2014-07-14T12:26:55Z</cp:lastPrinted>
  <dcterms:created xsi:type="dcterms:W3CDTF">2009-05-20T20:43:40Z</dcterms:created>
  <dcterms:modified xsi:type="dcterms:W3CDTF">2014-07-14T14:17:24Z</dcterms:modified>
</cp:coreProperties>
</file>