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B181A0B8-D2A9-4756-AD86-7DDB189FDE63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1" l="1"/>
  <c r="O48" i="1"/>
  <c r="N48" i="1"/>
  <c r="S48" i="1" s="1"/>
  <c r="S47" i="1"/>
  <c r="P47" i="1"/>
  <c r="O47" i="1"/>
  <c r="N47" i="1"/>
  <c r="Q46" i="1"/>
  <c r="P46" i="1"/>
  <c r="T46" i="1" s="1"/>
  <c r="O46" i="1"/>
  <c r="N46" i="1"/>
  <c r="S46" i="1" s="1"/>
  <c r="P45" i="1"/>
  <c r="O45" i="1"/>
  <c r="N45" i="1"/>
  <c r="S45" i="1" s="1"/>
  <c r="S44" i="1"/>
  <c r="P44" i="1"/>
  <c r="O44" i="1"/>
  <c r="N44" i="1"/>
  <c r="Y43" i="1"/>
  <c r="X43" i="1"/>
  <c r="Q43" i="1"/>
  <c r="P43" i="1"/>
  <c r="T43" i="1" s="1"/>
  <c r="O43" i="1"/>
  <c r="N43" i="1"/>
  <c r="S43" i="1" s="1"/>
  <c r="P42" i="1"/>
  <c r="O42" i="1"/>
  <c r="N42" i="1"/>
  <c r="S42" i="1" s="1"/>
  <c r="Q41" i="1"/>
  <c r="P41" i="1"/>
  <c r="T41" i="1" s="1"/>
  <c r="O41" i="1"/>
  <c r="N41" i="1"/>
  <c r="S41" i="1" s="1"/>
  <c r="P40" i="1"/>
  <c r="O40" i="1"/>
  <c r="N40" i="1"/>
  <c r="S40" i="1" s="1"/>
  <c r="Q39" i="1"/>
  <c r="P39" i="1"/>
  <c r="T39" i="1" s="1"/>
  <c r="O39" i="1"/>
  <c r="N39" i="1"/>
  <c r="U31" i="1"/>
  <c r="X45" i="1" s="1"/>
  <c r="U30" i="1"/>
  <c r="X44" i="1" s="1"/>
  <c r="N30" i="1"/>
  <c r="V30" i="1" s="1"/>
  <c r="Y44" i="1" s="1"/>
  <c r="R29" i="1"/>
  <c r="Y46" i="1" s="1"/>
  <c r="Q29" i="1"/>
  <c r="R30" i="1" s="1"/>
  <c r="Y47" i="1" s="1"/>
  <c r="N28" i="1"/>
  <c r="N26" i="1"/>
  <c r="Q47" i="1" s="1"/>
  <c r="T47" i="1" s="1"/>
  <c r="T40" i="1" l="1"/>
  <c r="T42" i="1"/>
  <c r="Q30" i="1"/>
  <c r="X47" i="1" s="1"/>
  <c r="X46" i="1"/>
  <c r="S39" i="1"/>
  <c r="X39" i="1" s="1"/>
  <c r="X48" i="1" s="1"/>
  <c r="Q45" i="1"/>
  <c r="T45" i="1" s="1"/>
  <c r="Q48" i="1"/>
  <c r="T48" i="1" s="1"/>
  <c r="N32" i="1"/>
  <c r="V31" i="1" s="1"/>
  <c r="Y45" i="1" s="1"/>
  <c r="Q40" i="1"/>
  <c r="Q42" i="1"/>
  <c r="Q44" i="1"/>
  <c r="T44" i="1" s="1"/>
  <c r="Y39" i="1" l="1"/>
  <c r="Y48" i="1" s="1"/>
  <c r="R24" i="1" l="1"/>
  <c r="S24" i="1" s="1"/>
  <c r="R23" i="1"/>
  <c r="T23" i="1" s="1"/>
  <c r="R22" i="1"/>
  <c r="T22" i="1" s="1"/>
  <c r="T21" i="1"/>
  <c r="R21" i="1"/>
  <c r="S21" i="1" s="1"/>
  <c r="R20" i="1"/>
  <c r="S20" i="1" s="1"/>
  <c r="U20" i="1" s="1"/>
  <c r="R19" i="1"/>
  <c r="S19" i="1" s="1"/>
  <c r="U19" i="1" s="1"/>
  <c r="T18" i="1"/>
  <c r="R18" i="1"/>
  <c r="S18" i="1" s="1"/>
  <c r="R17" i="1"/>
  <c r="S17" i="1" s="1"/>
  <c r="U17" i="1" s="1"/>
  <c r="R16" i="1"/>
  <c r="S16" i="1" s="1"/>
  <c r="U16" i="1" s="1"/>
  <c r="R15" i="1"/>
  <c r="S15" i="1" s="1"/>
  <c r="T14" i="1"/>
  <c r="R14" i="1"/>
  <c r="S14" i="1" s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U15" i="1" l="1"/>
  <c r="U18" i="1"/>
  <c r="U14" i="1"/>
  <c r="T16" i="1"/>
  <c r="S22" i="1"/>
  <c r="T19" i="1"/>
  <c r="S23" i="1"/>
  <c r="U23" i="1" s="1"/>
  <c r="T17" i="1"/>
  <c r="T20" i="1"/>
  <c r="T15" i="1"/>
  <c r="V16" i="1" s="1"/>
  <c r="AH19" i="1"/>
  <c r="AH22" i="1"/>
  <c r="AI19" i="1"/>
  <c r="AI22" i="1"/>
  <c r="U22" i="1" l="1"/>
  <c r="U21" i="1"/>
  <c r="W16" i="1" s="1"/>
  <c r="AH23" i="1"/>
  <c r="AH24" i="1" s="1"/>
  <c r="AH27" i="1" s="1"/>
  <c r="AH28" i="1" s="1"/>
  <c r="AI20" i="1"/>
  <c r="AH20" i="1"/>
  <c r="AH25" i="1" l="1"/>
  <c r="AI23" i="1"/>
  <c r="AI24" i="1" s="1"/>
  <c r="AI27" i="1" l="1"/>
  <c r="AI28" i="1" s="1"/>
  <c r="AI25" i="1"/>
  <c r="F10" i="1" l="1"/>
  <c r="AB9" i="1" l="1"/>
  <c r="M29" i="1" l="1"/>
  <c r="L36" i="1"/>
  <c r="I28" i="1"/>
  <c r="L27" i="1" s="1"/>
  <c r="I29" i="1"/>
  <c r="M27" i="1" s="1"/>
  <c r="I33" i="1"/>
  <c r="I34" i="1"/>
  <c r="L30" i="1" s="1"/>
  <c r="I35" i="1"/>
  <c r="M30" i="1" s="1"/>
  <c r="I36" i="1"/>
  <c r="L31" i="1" s="1"/>
  <c r="I38" i="1"/>
  <c r="L32" i="1" s="1"/>
  <c r="I39" i="1"/>
  <c r="M32" i="1" s="1"/>
  <c r="I40" i="1"/>
  <c r="L33" i="1" s="1"/>
  <c r="I41" i="1"/>
  <c r="M33" i="1" s="1"/>
  <c r="I45" i="1"/>
  <c r="M35" i="1" s="1"/>
  <c r="I46" i="1"/>
  <c r="H27" i="1"/>
  <c r="I26" i="1" s="1"/>
  <c r="L26" i="1" s="1"/>
  <c r="H28" i="1"/>
  <c r="H29" i="1"/>
  <c r="H30" i="1"/>
  <c r="I30" i="1" s="1"/>
  <c r="L28" i="1" s="1"/>
  <c r="H31" i="1"/>
  <c r="I31" i="1" s="1"/>
  <c r="M28" i="1" s="1"/>
  <c r="H32" i="1"/>
  <c r="I32" i="1" s="1"/>
  <c r="L29" i="1" s="1"/>
  <c r="H33" i="1"/>
  <c r="H34" i="1"/>
  <c r="H35" i="1"/>
  <c r="H36" i="1"/>
  <c r="H37" i="1"/>
  <c r="I37" i="1" s="1"/>
  <c r="M31" i="1" s="1"/>
  <c r="H38" i="1"/>
  <c r="H39" i="1"/>
  <c r="H40" i="1"/>
  <c r="H41" i="1"/>
  <c r="H42" i="1"/>
  <c r="I42" i="1" s="1"/>
  <c r="L34" i="1" s="1"/>
  <c r="H43" i="1"/>
  <c r="I43" i="1" s="1"/>
  <c r="M34" i="1" s="1"/>
  <c r="H44" i="1"/>
  <c r="I44" i="1" s="1"/>
  <c r="L35" i="1" s="1"/>
  <c r="H45" i="1"/>
  <c r="H46" i="1"/>
  <c r="H47" i="1"/>
  <c r="H26" i="1"/>
  <c r="G10" i="1"/>
  <c r="L3" i="1"/>
  <c r="AA9" i="1" s="1"/>
  <c r="I27" i="1" l="1"/>
  <c r="M26" i="1" s="1"/>
  <c r="AB24" i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AB25" i="1" l="1"/>
  <c r="M4" i="1"/>
  <c r="F26" i="1"/>
  <c r="J10" i="1"/>
  <c r="I11" i="1"/>
  <c r="I12" i="1"/>
  <c r="I13" i="1"/>
  <c r="I14" i="1"/>
  <c r="I15" i="1"/>
  <c r="I16" i="1"/>
  <c r="I17" i="1"/>
  <c r="I18" i="1"/>
  <c r="I19" i="1"/>
  <c r="I10" i="1"/>
  <c r="L19" i="1" l="1"/>
  <c r="L10" i="1"/>
  <c r="L20" i="1"/>
  <c r="O19" i="1" s="1"/>
  <c r="L18" i="1"/>
  <c r="L17" i="1"/>
  <c r="L11" i="1"/>
  <c r="L16" i="1"/>
  <c r="L15" i="1"/>
  <c r="L14" i="1"/>
  <c r="L13" i="1"/>
  <c r="L12" i="1"/>
  <c r="O12" i="1" l="1"/>
  <c r="O14" i="1"/>
  <c r="O16" i="1"/>
  <c r="O18" i="1"/>
  <c r="O13" i="1"/>
  <c r="O17" i="1"/>
  <c r="O15" i="1"/>
  <c r="O10" i="1"/>
  <c r="O11" i="1"/>
  <c r="R10" i="1" s="1"/>
  <c r="M12" i="1" l="1"/>
  <c r="M13" i="1"/>
  <c r="M14" i="1"/>
  <c r="M15" i="1"/>
  <c r="M10" i="1"/>
  <c r="M16" i="1"/>
  <c r="M17" i="1"/>
  <c r="M20" i="1"/>
  <c r="M18" i="1"/>
  <c r="M19" i="1"/>
  <c r="M11" i="1"/>
  <c r="P11" i="1" s="1"/>
  <c r="P19" i="1" l="1"/>
  <c r="P16" i="1"/>
  <c r="P10" i="1"/>
  <c r="P14" i="1"/>
  <c r="P17" i="1"/>
  <c r="P13" i="1"/>
  <c r="P18" i="1"/>
  <c r="P15" i="1"/>
  <c r="P12" i="1"/>
  <c r="S10" i="1" l="1"/>
</calcChain>
</file>

<file path=xl/sharedStrings.xml><?xml version="1.0" encoding="utf-8"?>
<sst xmlns="http://schemas.openxmlformats.org/spreadsheetml/2006/main" count="147" uniqueCount="111">
  <si>
    <t>t</t>
  </si>
  <si>
    <t>x</t>
  </si>
  <si>
    <t>y</t>
  </si>
  <si>
    <t>Tracker Excel</t>
  </si>
  <si>
    <t>M0001</t>
  </si>
  <si>
    <t>Prova</t>
  </si>
  <si>
    <t>Errore</t>
  </si>
  <si>
    <t>Delta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</si>
  <si>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</si>
  <si>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</si>
  <si>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</si>
  <si>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</si>
  <si>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</si>
  <si>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</si>
  <si>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</si>
  <si>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</si>
  <si>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TContatto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</si>
  <si>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</si>
  <si>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</si>
  <si>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</si>
  <si>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</si>
  <si>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</si>
  <si>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</si>
  <si>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MEDIE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</si>
  <si>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</si>
  <si>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</si>
  <si>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</si>
  <si>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</si>
  <si>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</si>
  <si>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</si>
  <si>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</si>
  <si>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</si>
  <si>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</si>
  <si>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</si>
  <si>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</si>
  <si>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</si>
  <si>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</si>
  <si>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</si>
  <si>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</si>
  <si>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</si>
  <si>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</si>
  <si>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</si>
  <si>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</si>
  <si>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</si>
  <si>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Lunghezza_Passo</t>
  </si>
  <si>
    <t>N steps</t>
  </si>
  <si>
    <t>PROCEDIMENTO:</t>
  </si>
  <si>
    <t>Misura lunghezza optojump nel video</t>
  </si>
  <si>
    <t>A)</t>
  </si>
  <si>
    <t>B)</t>
  </si>
  <si>
    <t>Copia_incolla in "Lunghezza Opto"</t>
  </si>
  <si>
    <t>C)</t>
  </si>
  <si>
    <t>Misura lunghezza passi segnando la posizione del tallone a piede completamente appoggiato</t>
  </si>
  <si>
    <t>D)</t>
  </si>
  <si>
    <t>Copia_Incolla in "Lunghezza Passo"</t>
  </si>
  <si>
    <t>E)</t>
  </si>
  <si>
    <t>Sistema il "N steps" in base al numero di passi registrato</t>
  </si>
  <si>
    <t>F)</t>
  </si>
  <si>
    <t>Controlla che sia lo stesso N di passi visto dall'Optojump (non necessario maybe)</t>
  </si>
  <si>
    <t>G)</t>
  </si>
  <si>
    <t>Verifica che la lunghezza misurata sia compatibile con quella misurata dall?optojump</t>
  </si>
  <si>
    <t>H)</t>
  </si>
  <si>
    <t>Misura i tempi di contatto e volo segnando la posizione del primo punto di atterraggio del piede e dell'ultimo punto di distacco</t>
  </si>
  <si>
    <t>I)</t>
  </si>
  <si>
    <t>Deltas T</t>
  </si>
  <si>
    <t>Actuali Times</t>
  </si>
  <si>
    <t>Copia_Incolla in "Tcontatto"</t>
  </si>
  <si>
    <t>L)</t>
  </si>
  <si>
    <t>Controlla che le formule successive considerino tutti dati presi</t>
  </si>
  <si>
    <t>M)</t>
  </si>
  <si>
    <t>Salva il file di tracker</t>
  </si>
  <si>
    <t>mass_A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</si>
  <si>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</si>
  <si>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</si>
  <si>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</si>
  <si>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</si>
  <si>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</si>
  <si>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</si>
  <si>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</si>
  <si>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</si>
  <si>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</si>
  <si>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</si>
  <si>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</si>
  <si>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</si>
  <si>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</si>
  <si>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</si>
  <si>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</si>
  <si>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</si>
  <si>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</si>
  <si>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</si>
  <si>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</si>
  <si>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</si>
  <si>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</si>
  <si>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</si>
  <si>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passi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</si>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</sst>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2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3" fillId="4" borderId="1" xfId="3" applyNumberFormat="1"/>
  </cellXfs>
  <cellStyles count="4">
    <cellStyle name="Calcolo" xfId="2" builtinId="22"/>
    <cellStyle name="Input" xfId="3" builtinId="20"/>
    <cellStyle name="Normale" xfId="0" builtinId="0" customBuiltin="1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topLeftCell="B1" zoomScale="70" zoomScaleNormal="70" workbookViewId="0">
      <selection activeCell="N25" sqref="N25:Y48"/>
    </sheetView>
  </sheetViews>
  <sheetFormatPr defaultRowHeight="15" x14ac:dyDescent="0.25"/>
  <cols>
    <col min="8" max="8" width="12.28515625" customWidth="1"/>
  </cols>
  <sheetData>
    <row r="1" spans="1:35" x14ac:dyDescent="0.25">
      <c r="A1" t="s">
        <v>3</v>
      </c>
    </row>
    <row r="2" spans="1:35" x14ac:dyDescent="0.25">
      <c r="D2" t="s">
        <v>71</v>
      </c>
      <c r="L2" t="s">
        <v>14</v>
      </c>
      <c r="M2" t="s">
        <v>6</v>
      </c>
      <c r="O2" t="s">
        <v>15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8" t="s">
        <v>9</v>
      </c>
      <c r="I3" s="8"/>
      <c r="J3" s="8"/>
      <c r="K3" s="8"/>
      <c r="L3">
        <f>E4-E5</f>
        <v>23.18568771</v>
      </c>
      <c r="M3">
        <v>0.01</v>
      </c>
      <c r="N3" t="s">
        <v>43</v>
      </c>
    </row>
    <row r="4" spans="1:35" x14ac:dyDescent="0.25">
      <c r="D4">
        <v>0</v>
      </c>
      <c r="E4">
        <v>11.60485993</v>
      </c>
      <c r="F4">
        <v>0.51708457259999996</v>
      </c>
      <c r="H4" s="8" t="s">
        <v>10</v>
      </c>
      <c r="I4" s="8"/>
      <c r="J4" s="8"/>
      <c r="K4" s="8"/>
      <c r="L4">
        <f>AA20</f>
        <v>8.879256719799443</v>
      </c>
      <c r="M4">
        <f>AB20</f>
        <v>0.1026825670066847</v>
      </c>
      <c r="P4" t="s">
        <v>17</v>
      </c>
    </row>
    <row r="5" spans="1:35" x14ac:dyDescent="0.25">
      <c r="D5">
        <v>3.3333333329999999E-2</v>
      </c>
      <c r="E5">
        <v>-11.58082778</v>
      </c>
      <c r="F5">
        <v>0.53967673469999999</v>
      </c>
      <c r="H5" s="8" t="s">
        <v>11</v>
      </c>
      <c r="I5" s="8"/>
      <c r="J5" s="8"/>
      <c r="K5" s="8"/>
      <c r="L5">
        <f>AA24</f>
        <v>0.61</v>
      </c>
      <c r="M5">
        <f>AB24</f>
        <v>0</v>
      </c>
    </row>
    <row r="6" spans="1:35" x14ac:dyDescent="0.25">
      <c r="H6" s="8" t="s">
        <v>22</v>
      </c>
      <c r="I6" s="8"/>
      <c r="J6" s="8"/>
      <c r="K6" s="8"/>
      <c r="L6">
        <v>4.1599999999999996E-3</v>
      </c>
      <c r="X6" t="s">
        <v>42</v>
      </c>
      <c r="AB6" t="s">
        <v>6</v>
      </c>
      <c r="AD6" t="s">
        <v>72</v>
      </c>
    </row>
    <row r="7" spans="1:35" x14ac:dyDescent="0.25">
      <c r="I7" s="2"/>
      <c r="X7" t="s">
        <v>25</v>
      </c>
      <c r="AA7">
        <v>20</v>
      </c>
      <c r="AB7">
        <v>0</v>
      </c>
      <c r="AH7" t="s">
        <v>14</v>
      </c>
      <c r="AI7" t="s">
        <v>6</v>
      </c>
    </row>
    <row r="8" spans="1:35" x14ac:dyDescent="0.25">
      <c r="A8" t="s">
        <v>5</v>
      </c>
      <c r="C8" t="s">
        <v>44</v>
      </c>
      <c r="X8" t="s">
        <v>26</v>
      </c>
      <c r="AA8">
        <v>1.22</v>
      </c>
      <c r="AB8">
        <v>0</v>
      </c>
      <c r="AE8" t="s">
        <v>73</v>
      </c>
      <c r="AH8">
        <v>20</v>
      </c>
      <c r="AI8">
        <v>0</v>
      </c>
    </row>
    <row r="9" spans="1:35" x14ac:dyDescent="0.25">
      <c r="A9">
        <v>2</v>
      </c>
      <c r="B9" s="4"/>
      <c r="C9" t="s">
        <v>0</v>
      </c>
      <c r="D9" t="s">
        <v>1</v>
      </c>
      <c r="E9" t="s">
        <v>2</v>
      </c>
      <c r="F9" t="s">
        <v>6</v>
      </c>
      <c r="G9" t="s">
        <v>45</v>
      </c>
      <c r="I9" t="s">
        <v>7</v>
      </c>
      <c r="J9" t="s">
        <v>6</v>
      </c>
      <c r="L9" t="s">
        <v>8</v>
      </c>
      <c r="M9" t="s">
        <v>6</v>
      </c>
      <c r="O9" t="s">
        <v>12</v>
      </c>
      <c r="P9" t="s">
        <v>6</v>
      </c>
      <c r="R9" s="6" t="s">
        <v>13</v>
      </c>
      <c r="S9" s="6" t="s">
        <v>6</v>
      </c>
      <c r="X9" t="s">
        <v>27</v>
      </c>
      <c r="AA9">
        <f>L3</f>
        <v>23.18568771</v>
      </c>
      <c r="AB9">
        <f>M3</f>
        <v>0.01</v>
      </c>
      <c r="AE9" t="s">
        <v>26</v>
      </c>
      <c r="AH9">
        <v>1.2</v>
      </c>
      <c r="AI9">
        <v>0</v>
      </c>
    </row>
    <row r="10" spans="1:35" x14ac:dyDescent="0.25">
      <c r="B10" s="4">
        <v>1</v>
      </c>
      <c r="C10">
        <v>0.68333333330000001</v>
      </c>
      <c r="D10">
        <v>11.25734967</v>
      </c>
      <c r="E10">
        <v>0.61500504420000002</v>
      </c>
      <c r="F10">
        <f>M3</f>
        <v>0.01</v>
      </c>
      <c r="G10" s="4">
        <f>B20</f>
        <v>11</v>
      </c>
      <c r="I10">
        <f t="shared" ref="I10:I19" si="0">ABS(D10-D11)</f>
        <v>2.0694062710000001</v>
      </c>
      <c r="J10">
        <f>SQRT((F10^2)+(F10^2))</f>
        <v>1.4142135623730951E-2</v>
      </c>
      <c r="L10">
        <f t="shared" ref="L10:L20" si="1">($L$4-$L$5)*(D10/$L$4)</f>
        <v>10.483976006482914</v>
      </c>
      <c r="M10">
        <f t="shared" ref="M10:M20" si="2">SQRT(((D10/$L$4)*$M$4)^2+((D10/$L$4)*$M$5)^2+(($L$4-$L$5)*$F$10)^2+(((($L$5-$L$4)*D10)/($L$4^2))*$M$4)^2)</f>
        <v>0.19617589028326601</v>
      </c>
      <c r="O10">
        <f>L10-L11</f>
        <v>1.9272392107217247</v>
      </c>
      <c r="P10">
        <f>SQRT((M10^2)+(M11^2))</f>
        <v>0.25769024236713156</v>
      </c>
      <c r="R10" s="5">
        <f>AVERAGE(O10:O19)</f>
        <v>1.9670530136460336</v>
      </c>
      <c r="S10" s="5">
        <f>SQRT(((P10^2)+(P11^2)+(P12^2)+(P13^2)+(P14^2)+(P15^2)+(P16^2)+(P17^2)+(P18^2)+(P19^2))/$G$10)</f>
        <v>0.17291890406853461</v>
      </c>
      <c r="X10" t="s">
        <v>28</v>
      </c>
      <c r="AA10">
        <f>AA9/2</f>
        <v>11.592843855</v>
      </c>
      <c r="AB10">
        <f>AB9</f>
        <v>0.01</v>
      </c>
      <c r="AE10" t="s">
        <v>74</v>
      </c>
      <c r="AH10">
        <f>L3</f>
        <v>23.18568771</v>
      </c>
      <c r="AI10">
        <f>M3</f>
        <v>0.01</v>
      </c>
    </row>
    <row r="11" spans="1:35" x14ac:dyDescent="0.25">
      <c r="B11" s="4">
        <v>2</v>
      </c>
      <c r="C11">
        <v>1.733333333</v>
      </c>
      <c r="D11">
        <v>9.1879433989999999</v>
      </c>
      <c r="E11">
        <v>0.60774114879999996</v>
      </c>
      <c r="I11">
        <f t="shared" si="0"/>
        <v>2.0743876429999997</v>
      </c>
      <c r="J11" s="1"/>
      <c r="L11">
        <f t="shared" si="1"/>
        <v>8.5567367957611893</v>
      </c>
      <c r="M11">
        <f t="shared" si="2"/>
        <v>0.16709063732836432</v>
      </c>
      <c r="O11">
        <f t="shared" ref="O11:O19" si="3">L11-L12</f>
        <v>1.9318783652348479</v>
      </c>
      <c r="P11">
        <f t="shared" ref="P11:P19" si="4">SQRT((M11^2)+(M12^2))</f>
        <v>0.2177016551456164</v>
      </c>
      <c r="AE11" t="s">
        <v>75</v>
      </c>
      <c r="AH11">
        <f>AH8/2</f>
        <v>10</v>
      </c>
      <c r="AI11">
        <f>AI8</f>
        <v>0</v>
      </c>
    </row>
    <row r="12" spans="1:35" x14ac:dyDescent="0.25">
      <c r="B12" s="4">
        <v>3</v>
      </c>
      <c r="C12">
        <v>2.6833333330000002</v>
      </c>
      <c r="D12">
        <v>7.1135557560000002</v>
      </c>
      <c r="E12">
        <v>0.61072709790000002</v>
      </c>
      <c r="I12">
        <f t="shared" si="0"/>
        <v>2.1049649100000005</v>
      </c>
      <c r="J12" s="1"/>
      <c r="L12">
        <f t="shared" si="1"/>
        <v>6.6248584305263414</v>
      </c>
      <c r="M12">
        <f t="shared" si="2"/>
        <v>0.1395518884513639</v>
      </c>
      <c r="O12">
        <f t="shared" si="3"/>
        <v>1.9603549909921618</v>
      </c>
      <c r="P12">
        <f t="shared" si="4"/>
        <v>0.18049195383897165</v>
      </c>
      <c r="R12" t="s">
        <v>90</v>
      </c>
      <c r="AA12" t="s">
        <v>14</v>
      </c>
      <c r="AB12" t="s">
        <v>6</v>
      </c>
      <c r="AE12" t="s">
        <v>76</v>
      </c>
      <c r="AH12">
        <v>1.2</v>
      </c>
      <c r="AI12">
        <v>0</v>
      </c>
    </row>
    <row r="13" spans="1:35" x14ac:dyDescent="0.25">
      <c r="B13" s="4">
        <v>4</v>
      </c>
      <c r="C13">
        <v>3.6833333330000002</v>
      </c>
      <c r="D13">
        <v>5.0085908459999997</v>
      </c>
      <c r="E13">
        <v>0.61405757949999995</v>
      </c>
      <c r="I13">
        <f t="shared" si="0"/>
        <v>2.1912559669999996</v>
      </c>
      <c r="J13" s="1"/>
      <c r="L13">
        <f t="shared" si="1"/>
        <v>4.6645034395341796</v>
      </c>
      <c r="M13">
        <f t="shared" si="2"/>
        <v>0.1144666581597784</v>
      </c>
      <c r="O13">
        <f t="shared" si="3"/>
        <v>2.0407179003519853</v>
      </c>
      <c r="P13">
        <f t="shared" si="4"/>
        <v>0.14806358250309345</v>
      </c>
      <c r="R13" t="s">
        <v>14</v>
      </c>
      <c r="S13" t="s">
        <v>6</v>
      </c>
      <c r="T13" t="s">
        <v>91</v>
      </c>
      <c r="U13" t="s">
        <v>6</v>
      </c>
      <c r="X13">
        <v>1</v>
      </c>
      <c r="Z13" t="s">
        <v>29</v>
      </c>
      <c r="AA13">
        <f>AA8</f>
        <v>1.22</v>
      </c>
      <c r="AB13">
        <f>AB8</f>
        <v>0</v>
      </c>
    </row>
    <row r="14" spans="1:35" x14ac:dyDescent="0.25">
      <c r="B14" s="4">
        <v>5</v>
      </c>
      <c r="C14">
        <v>4.7166666670000001</v>
      </c>
      <c r="D14">
        <v>2.8173348790000001</v>
      </c>
      <c r="E14">
        <v>0.64894150399999995</v>
      </c>
      <c r="I14">
        <f t="shared" si="0"/>
        <v>2.0234255306</v>
      </c>
      <c r="J14" s="1"/>
      <c r="L14">
        <f t="shared" si="1"/>
        <v>2.6237855391821943</v>
      </c>
      <c r="M14">
        <f t="shared" si="2"/>
        <v>9.3915965806580501E-2</v>
      </c>
      <c r="O14">
        <f t="shared" si="3"/>
        <v>1.8844173216230353</v>
      </c>
      <c r="P14">
        <f t="shared" si="4"/>
        <v>0.12576035916376554</v>
      </c>
      <c r="R14">
        <f t="shared" ref="R14:R24" si="5">D10*$AH$28</f>
        <v>10.056023970914687</v>
      </c>
      <c r="S14">
        <f>(SQRT(($M$3/D10)^2+($AI$28/$AH$28^2)))/100*R14</f>
        <v>1.0560407217982086E-2</v>
      </c>
      <c r="T14">
        <f>R14-R15</f>
        <v>1.8485700166349339</v>
      </c>
      <c r="U14">
        <f>SQRT(S14^2+S15^2)</f>
        <v>1.3631363015759901E-2</v>
      </c>
      <c r="Z14" t="s">
        <v>30</v>
      </c>
      <c r="AA14">
        <f>(AA9-AA7)/2</f>
        <v>1.5928438549999999</v>
      </c>
      <c r="AB14">
        <f>SQRT((AB9^2)+(AB7^2))</f>
        <v>0.01</v>
      </c>
      <c r="AH14" t="s">
        <v>14</v>
      </c>
      <c r="AI14" t="s">
        <v>6</v>
      </c>
    </row>
    <row r="15" spans="1:35" x14ac:dyDescent="0.25">
      <c r="B15" s="4">
        <v>6</v>
      </c>
      <c r="C15">
        <v>5.6166666669999996</v>
      </c>
      <c r="D15">
        <v>0.79390934840000005</v>
      </c>
      <c r="E15">
        <v>0.65135323209999996</v>
      </c>
      <c r="I15">
        <f t="shared" si="0"/>
        <v>2.0385993203999999</v>
      </c>
      <c r="J15" s="1"/>
      <c r="L15">
        <f t="shared" si="1"/>
        <v>0.73936821755915882</v>
      </c>
      <c r="M15">
        <f t="shared" si="2"/>
        <v>8.3638862400301148E-2</v>
      </c>
      <c r="O15">
        <f t="shared" si="3"/>
        <v>1.8985486805000327</v>
      </c>
      <c r="P15">
        <f t="shared" si="4"/>
        <v>0.11924933807528866</v>
      </c>
      <c r="R15">
        <f t="shared" si="5"/>
        <v>8.2074539542797531</v>
      </c>
      <c r="S15">
        <f t="shared" ref="S15:S24" si="6">(SQRT(($M$3/D11)^2+($AI$28/$AH$28^2)))/100*R15</f>
        <v>8.6192724204435436E-3</v>
      </c>
      <c r="T15">
        <f t="shared" ref="T15:T23" si="7">R15-R16</f>
        <v>1.8530198025710991</v>
      </c>
      <c r="U15">
        <f t="shared" ref="U15:U23" si="8">SQRT(S15^2+S16^2)</f>
        <v>1.0900809856174407E-2</v>
      </c>
      <c r="V15" s="6" t="s">
        <v>92</v>
      </c>
      <c r="W15" s="6" t="s">
        <v>93</v>
      </c>
      <c r="Z15" t="s">
        <v>31</v>
      </c>
      <c r="AA15">
        <f>AA14/AA13</f>
        <v>1.3056097172131147</v>
      </c>
      <c r="AB15">
        <f>(((AB13/AA13)*100+(AB14/AA14)*100)/100)*AA15</f>
        <v>8.1967213114754103E-3</v>
      </c>
      <c r="AE15">
        <v>1</v>
      </c>
      <c r="AG15" t="s">
        <v>77</v>
      </c>
      <c r="AH15">
        <f>AH11</f>
        <v>10</v>
      </c>
      <c r="AI15">
        <f>AI11</f>
        <v>0</v>
      </c>
    </row>
    <row r="16" spans="1:35" x14ac:dyDescent="0.25">
      <c r="B16" s="4">
        <v>7</v>
      </c>
      <c r="C16">
        <v>6.6666666670000003</v>
      </c>
      <c r="D16">
        <v>-1.244689972</v>
      </c>
      <c r="E16">
        <v>0.66412964890000004</v>
      </c>
      <c r="I16">
        <f t="shared" si="0"/>
        <v>2.130675654</v>
      </c>
      <c r="J16" s="1"/>
      <c r="L16">
        <f t="shared" si="1"/>
        <v>-1.1591804629408737</v>
      </c>
      <c r="M16">
        <f t="shared" si="2"/>
        <v>8.4999678398085615E-2</v>
      </c>
      <c r="O16">
        <f t="shared" si="3"/>
        <v>1.9842994211739087</v>
      </c>
      <c r="P16">
        <f t="shared" si="4"/>
        <v>0.13003125473685376</v>
      </c>
      <c r="R16">
        <f t="shared" si="5"/>
        <v>6.354434151708654</v>
      </c>
      <c r="S16">
        <f t="shared" si="6"/>
        <v>6.6735147008641837E-3</v>
      </c>
      <c r="T16">
        <f t="shared" si="7"/>
        <v>1.8803340229631758</v>
      </c>
      <c r="U16">
        <f t="shared" si="8"/>
        <v>8.161996413319909E-3</v>
      </c>
      <c r="V16" s="5">
        <f>AVERAGE(T14:T23)</f>
        <v>1.8867586348016054</v>
      </c>
      <c r="W16" s="5">
        <f>SQRT(((U14^2)+(U15^2)+(U16^2)+(U17^2)+(U18^2)+(U19^2)+(U20^2)+(U21^2)+(U22^2)+(U23^2))/$G$10)</f>
        <v>7.8464559637084711E-3</v>
      </c>
      <c r="Z16" t="s">
        <v>32</v>
      </c>
      <c r="AA16">
        <f>ATAN(AA14/AA13)</f>
        <v>0.91718045603028486</v>
      </c>
      <c r="AB16">
        <f>(ABS(1/(1+AA15)))*AB15</f>
        <v>3.5551209080533909E-3</v>
      </c>
      <c r="AG16" t="s">
        <v>78</v>
      </c>
      <c r="AH16">
        <f>AH10/2</f>
        <v>11.592843855</v>
      </c>
      <c r="AI16">
        <f>AI10</f>
        <v>0.01</v>
      </c>
    </row>
    <row r="17" spans="2:35" x14ac:dyDescent="0.25">
      <c r="B17" s="4">
        <v>8</v>
      </c>
      <c r="C17">
        <v>7.65</v>
      </c>
      <c r="D17">
        <v>-3.3753656259999998</v>
      </c>
      <c r="E17">
        <v>0.64736239630000003</v>
      </c>
      <c r="I17">
        <f t="shared" si="0"/>
        <v>2.1613677650000005</v>
      </c>
      <c r="L17">
        <f t="shared" si="1"/>
        <v>-3.1434798841147824</v>
      </c>
      <c r="M17">
        <f t="shared" si="2"/>
        <v>9.8403159911979288E-2</v>
      </c>
      <c r="O17">
        <f t="shared" si="3"/>
        <v>2.0128830012122743</v>
      </c>
      <c r="P17">
        <f t="shared" si="4"/>
        <v>0.15548831287353948</v>
      </c>
      <c r="R17">
        <f t="shared" si="5"/>
        <v>4.4741001287454782</v>
      </c>
      <c r="S17">
        <f t="shared" si="6"/>
        <v>4.6991900353568023E-3</v>
      </c>
      <c r="T17">
        <f t="shared" si="7"/>
        <v>1.9574165479894732</v>
      </c>
      <c r="U17">
        <f t="shared" si="8"/>
        <v>5.3921108645564415E-3</v>
      </c>
      <c r="Z17" t="s">
        <v>33</v>
      </c>
      <c r="AA17">
        <f>SQRT((AA14^2)+(AA13^2))</f>
        <v>2.0063777177817892</v>
      </c>
      <c r="AB17">
        <f>SQRT(((ABS(AA13*(AA13^2+AA14^2)))*AB13)^2+((ABS(AA14*(AA13^2+AA14^2)))*AB14)^2)</f>
        <v>6.4120750436869239E-2</v>
      </c>
      <c r="AG17" t="s">
        <v>79</v>
      </c>
      <c r="AH17">
        <f>(AH16)-AH15</f>
        <v>1.5928438549999999</v>
      </c>
      <c r="AI17">
        <f>AI16</f>
        <v>0.01</v>
      </c>
    </row>
    <row r="18" spans="2:35" x14ac:dyDescent="0.25">
      <c r="B18" s="4">
        <v>9</v>
      </c>
      <c r="C18">
        <v>8.6833333330000002</v>
      </c>
      <c r="D18">
        <v>-5.5367333910000003</v>
      </c>
      <c r="E18">
        <v>0.62074725389999996</v>
      </c>
      <c r="I18">
        <f t="shared" si="0"/>
        <v>2.2373515569999993</v>
      </c>
      <c r="L18">
        <f t="shared" si="1"/>
        <v>-5.1563628853270567</v>
      </c>
      <c r="M18">
        <f t="shared" si="2"/>
        <v>0.12038867704064669</v>
      </c>
      <c r="O18">
        <f t="shared" si="3"/>
        <v>2.0836467489470092</v>
      </c>
      <c r="P18">
        <f t="shared" si="4"/>
        <v>0.19085039378493168</v>
      </c>
      <c r="R18">
        <f t="shared" si="5"/>
        <v>2.5166835807560051</v>
      </c>
      <c r="S18">
        <f t="shared" si="6"/>
        <v>2.6443283811340363E-3</v>
      </c>
      <c r="T18">
        <f t="shared" si="7"/>
        <v>1.8074961012625606</v>
      </c>
      <c r="U18">
        <f t="shared" si="8"/>
        <v>2.7486501408617121E-3</v>
      </c>
      <c r="Z18" t="s">
        <v>34</v>
      </c>
      <c r="AA18">
        <f>AA17/AA14</f>
        <v>1.2596198374898393</v>
      </c>
      <c r="AB18">
        <f>(((AB17/AA17)*100+(AB14/AA14)*100)/100)*AA18</f>
        <v>4.8163508664675503E-2</v>
      </c>
      <c r="AG18" t="s">
        <v>80</v>
      </c>
      <c r="AH18">
        <f>2*AH9</f>
        <v>2.4</v>
      </c>
      <c r="AI18">
        <f>AI9</f>
        <v>0</v>
      </c>
    </row>
    <row r="19" spans="2:35" x14ac:dyDescent="0.25">
      <c r="B19" s="4">
        <v>10</v>
      </c>
      <c r="C19">
        <v>9.6999999999999993</v>
      </c>
      <c r="D19">
        <v>-7.7740849479999996</v>
      </c>
      <c r="E19">
        <v>0.63576313259999995</v>
      </c>
      <c r="I19">
        <f t="shared" si="0"/>
        <v>2.0901356529999999</v>
      </c>
      <c r="L19">
        <f t="shared" si="1"/>
        <v>-7.2400096342740659</v>
      </c>
      <c r="M19">
        <f t="shared" si="2"/>
        <v>0.14808929484694819</v>
      </c>
      <c r="O19">
        <f t="shared" si="3"/>
        <v>1.946544495703356</v>
      </c>
      <c r="P19">
        <f t="shared" si="4"/>
        <v>0.23036339047970406</v>
      </c>
      <c r="R19">
        <f t="shared" si="5"/>
        <v>0.70918747949344463</v>
      </c>
      <c r="S19">
        <f t="shared" si="6"/>
        <v>7.5007000312514633E-4</v>
      </c>
      <c r="T19">
        <f t="shared" si="7"/>
        <v>1.8210506232798567</v>
      </c>
      <c r="U19">
        <f t="shared" si="8"/>
        <v>1.3906292521064785E-3</v>
      </c>
      <c r="Z19" t="s">
        <v>35</v>
      </c>
      <c r="AA19">
        <f>1/AA15</f>
        <v>0.76592567197994432</v>
      </c>
      <c r="AB19">
        <f>AB15</f>
        <v>8.1967213114754103E-3</v>
      </c>
      <c r="AG19" t="s">
        <v>81</v>
      </c>
      <c r="AH19">
        <f>AH17/AH18</f>
        <v>0.6636849395833333</v>
      </c>
      <c r="AI19">
        <f>SQRT((AI17/AH18)^2)</f>
        <v>4.1666666666666666E-3</v>
      </c>
    </row>
    <row r="20" spans="2:35" x14ac:dyDescent="0.25">
      <c r="B20" s="4">
        <v>11</v>
      </c>
      <c r="C20">
        <v>10.766666669999999</v>
      </c>
      <c r="D20">
        <v>-9.8642206009999995</v>
      </c>
      <c r="E20">
        <v>0.59815165839999995</v>
      </c>
      <c r="L20">
        <f t="shared" si="1"/>
        <v>-9.1865541299774218</v>
      </c>
      <c r="M20">
        <f t="shared" si="2"/>
        <v>0.17645637541624348</v>
      </c>
      <c r="R20">
        <f t="shared" si="5"/>
        <v>-1.1118631437864122</v>
      </c>
      <c r="S20">
        <f t="shared" si="6"/>
        <v>-1.1710015829306409E-3</v>
      </c>
      <c r="T20">
        <f t="shared" si="7"/>
        <v>1.9033010503322427</v>
      </c>
      <c r="U20">
        <f t="shared" si="8"/>
        <v>3.3770660864736401E-3</v>
      </c>
      <c r="Z20" t="s">
        <v>36</v>
      </c>
      <c r="AA20">
        <f>AA10*AA19</f>
        <v>8.879256719799443</v>
      </c>
      <c r="AB20">
        <f>(((AB10/AA10)*100+(AB19/AA19)*100)/100)*AA20</f>
        <v>0.1026825670066847</v>
      </c>
      <c r="AG20" t="s">
        <v>82</v>
      </c>
      <c r="AH20">
        <f>ATAN(AH19)</f>
        <v>0.58593548916655402</v>
      </c>
      <c r="AI20">
        <f>(ABS(1/(1+AH19)))*AI19</f>
        <v>2.5044806065926159E-3</v>
      </c>
    </row>
    <row r="21" spans="2:35" x14ac:dyDescent="0.25">
      <c r="B21" s="4"/>
      <c r="D21" s="2"/>
      <c r="R21">
        <f t="shared" si="5"/>
        <v>-3.0151641941186549</v>
      </c>
      <c r="S21">
        <f t="shared" si="6"/>
        <v>-3.1675433138608098E-3</v>
      </c>
      <c r="T21">
        <f t="shared" si="7"/>
        <v>1.9307178591710485</v>
      </c>
      <c r="U21">
        <f t="shared" si="8"/>
        <v>6.0841220253837498E-3</v>
      </c>
      <c r="Z21" t="s">
        <v>37</v>
      </c>
      <c r="AA21">
        <f>AA10*AA18</f>
        <v>14.602576092680183</v>
      </c>
      <c r="AB21">
        <f>(((AB10/AA10)*100+(AB18/AA18)*100)/100)*AA21</f>
        <v>0.57094823383342108</v>
      </c>
    </row>
    <row r="22" spans="2:35" x14ac:dyDescent="0.25">
      <c r="B22" s="4"/>
      <c r="R22">
        <f t="shared" si="5"/>
        <v>-4.9458820532897034</v>
      </c>
      <c r="S22">
        <f t="shared" si="6"/>
        <v>-5.1945365697601302E-3</v>
      </c>
      <c r="T22">
        <f t="shared" si="7"/>
        <v>1.9985930568109724</v>
      </c>
      <c r="U22">
        <f t="shared" si="8"/>
        <v>8.9538924847326531E-3</v>
      </c>
      <c r="AE22">
        <v>2</v>
      </c>
      <c r="AG22" t="s">
        <v>83</v>
      </c>
      <c r="AH22">
        <f>AH18/AH17</f>
        <v>1.5067390268457921</v>
      </c>
      <c r="AI22">
        <f>SQRT((AI17*(AH18/(AH17^2)))^2)</f>
        <v>9.4594270625841855E-3</v>
      </c>
    </row>
    <row r="23" spans="2:35" x14ac:dyDescent="0.25">
      <c r="R23">
        <f t="shared" si="5"/>
        <v>-6.9444751101006759</v>
      </c>
      <c r="S23">
        <f t="shared" si="6"/>
        <v>-7.2930775707911229E-3</v>
      </c>
      <c r="T23">
        <f t="shared" si="7"/>
        <v>1.8670872670006897</v>
      </c>
      <c r="U23">
        <f t="shared" si="8"/>
        <v>1.1782130145520067E-2</v>
      </c>
      <c r="AA23" t="s">
        <v>14</v>
      </c>
      <c r="AB23" t="s">
        <v>6</v>
      </c>
      <c r="AG23" t="s">
        <v>36</v>
      </c>
      <c r="AH23">
        <f>AH22*AH16</f>
        <v>17.467390268457919</v>
      </c>
      <c r="AI23">
        <f>((SQRT((((AI19/AH19)*100)^2)+(((AI16/AH16)*100)^2)))/100)*AH23</f>
        <v>0.11069194243303537</v>
      </c>
    </row>
    <row r="24" spans="2:35" x14ac:dyDescent="0.25">
      <c r="C24" t="s">
        <v>16</v>
      </c>
      <c r="R24">
        <f t="shared" si="5"/>
        <v>-8.8115623771013656</v>
      </c>
      <c r="S24">
        <f t="shared" si="6"/>
        <v>-9.253626873415426E-3</v>
      </c>
      <c r="X24">
        <v>2</v>
      </c>
      <c r="Z24" t="s">
        <v>38</v>
      </c>
      <c r="AA24">
        <f>AA8/2</f>
        <v>0.61</v>
      </c>
      <c r="AB24">
        <f>AB8</f>
        <v>0</v>
      </c>
      <c r="AG24" t="s">
        <v>84</v>
      </c>
      <c r="AH24">
        <f>AH23-(AH9/2)</f>
        <v>16.867390268457918</v>
      </c>
      <c r="AI24">
        <f>AI23</f>
        <v>0.11069194243303537</v>
      </c>
    </row>
    <row r="25" spans="2:35" x14ac:dyDescent="0.25">
      <c r="C25" t="s">
        <v>0</v>
      </c>
      <c r="D25" t="s">
        <v>1</v>
      </c>
      <c r="E25" t="s">
        <v>2</v>
      </c>
      <c r="F25" t="s">
        <v>6</v>
      </c>
      <c r="H25" t="s">
        <v>65</v>
      </c>
      <c r="I25" t="s">
        <v>64</v>
      </c>
      <c r="K25" t="s">
        <v>19</v>
      </c>
      <c r="L25" t="s">
        <v>18</v>
      </c>
      <c r="M25" t="s">
        <v>20</v>
      </c>
      <c r="N25" t="s">
        <v>6</v>
      </c>
      <c r="Z25" t="s">
        <v>39</v>
      </c>
      <c r="AA25">
        <f>AA20-AA24</f>
        <v>8.2692567197994435</v>
      </c>
      <c r="AB25">
        <f>SQRT((AB20^2)+(AB24^2))</f>
        <v>0.1026825670066847</v>
      </c>
      <c r="AG25" t="s">
        <v>85</v>
      </c>
      <c r="AH25">
        <f>AH22*AH24</f>
        <v>25.414755198524468</v>
      </c>
      <c r="AI25">
        <f>((SQRT((((AI22/AH22)*100)^2)+(((AI24/AH24)*100)^2)))/100)*AH25</f>
        <v>0.23081362132821262</v>
      </c>
    </row>
    <row r="26" spans="2:35" x14ac:dyDescent="0.25">
      <c r="C26">
        <v>0.61666666670000003</v>
      </c>
      <c r="D26">
        <v>11.226887250000001</v>
      </c>
      <c r="E26">
        <v>0.62554199909999997</v>
      </c>
      <c r="F26">
        <f>L6</f>
        <v>4.1599999999999996E-3</v>
      </c>
      <c r="H26">
        <f>C26/4</f>
        <v>0.15416666667500001</v>
      </c>
      <c r="I26">
        <f>H26-H27</f>
        <v>-0.108333333325</v>
      </c>
      <c r="K26">
        <v>1</v>
      </c>
      <c r="L26">
        <f>ABS(I26)</f>
        <v>0.108333333325</v>
      </c>
      <c r="M26">
        <f>ABS(I27)</f>
        <v>0.14583333324999997</v>
      </c>
      <c r="N26">
        <f>SQRT((F26^2)*2)</f>
        <v>5.8831284194720748E-3</v>
      </c>
      <c r="Z26" t="s">
        <v>40</v>
      </c>
      <c r="AA26" t="s">
        <v>41</v>
      </c>
    </row>
    <row r="27" spans="2:35" x14ac:dyDescent="0.25">
      <c r="C27">
        <v>1.05</v>
      </c>
      <c r="D27">
        <v>10.94630853</v>
      </c>
      <c r="E27">
        <v>0.60321915859999997</v>
      </c>
      <c r="H27">
        <f t="shared" ref="H27:H47" si="9">C27/4</f>
        <v>0.26250000000000001</v>
      </c>
      <c r="I27">
        <f t="shared" ref="I27:I46" si="10">H27-H28</f>
        <v>-0.14583333324999997</v>
      </c>
      <c r="K27">
        <v>2</v>
      </c>
      <c r="L27">
        <f>ABS(I28)</f>
        <v>0.10416666674999997</v>
      </c>
      <c r="M27">
        <f>ABS(I29)</f>
        <v>0.13333333325000007</v>
      </c>
      <c r="N27" s="3" t="s">
        <v>94</v>
      </c>
      <c r="AE27">
        <v>3</v>
      </c>
      <c r="AG27" t="s">
        <v>86</v>
      </c>
      <c r="AH27">
        <f>AH24-((3/2)*AH9)</f>
        <v>15.067390268457917</v>
      </c>
      <c r="AI27">
        <f>AI24</f>
        <v>0.11069194243303537</v>
      </c>
    </row>
    <row r="28" spans="2:35" x14ac:dyDescent="0.25">
      <c r="C28">
        <v>1.6333333329999999</v>
      </c>
      <c r="D28">
        <v>9.1570215990000001</v>
      </c>
      <c r="E28">
        <v>0.57750841419999999</v>
      </c>
      <c r="H28">
        <f t="shared" si="9"/>
        <v>0.40833333324999999</v>
      </c>
      <c r="I28">
        <f t="shared" si="10"/>
        <v>-0.10416666674999997</v>
      </c>
      <c r="K28">
        <v>3</v>
      </c>
      <c r="L28">
        <f>ABS(I30)</f>
        <v>0.11249999999999993</v>
      </c>
      <c r="M28">
        <f>ABS(I31)</f>
        <v>0.13750000000000007</v>
      </c>
      <c r="N28" s="3">
        <f>G10</f>
        <v>11</v>
      </c>
      <c r="Q28" s="6" t="s">
        <v>14</v>
      </c>
      <c r="R28" s="6" t="s">
        <v>6</v>
      </c>
      <c r="T28" t="s">
        <v>23</v>
      </c>
      <c r="AG28" t="s">
        <v>87</v>
      </c>
      <c r="AH28">
        <f>AH27/AH24</f>
        <v>0.89328521061340427</v>
      </c>
      <c r="AI28">
        <f>SQRT((AI27/AH24)^2+((AH27*AI24/(AH24^2))^2))</f>
        <v>8.79949892837204E-3</v>
      </c>
    </row>
    <row r="29" spans="2:35" x14ac:dyDescent="0.25">
      <c r="C29">
        <v>2.0499999999999998</v>
      </c>
      <c r="D29">
        <v>8.9380567840000005</v>
      </c>
      <c r="E29">
        <v>0.59526619800000002</v>
      </c>
      <c r="H29">
        <f t="shared" si="9"/>
        <v>0.51249999999999996</v>
      </c>
      <c r="I29">
        <f t="shared" si="10"/>
        <v>-0.13333333325000007</v>
      </c>
      <c r="K29">
        <v>4</v>
      </c>
      <c r="L29">
        <f>ABS(I32)</f>
        <v>0.11666666674999993</v>
      </c>
      <c r="M29">
        <f>ABS(I33)</f>
        <v>0.15000000000000013</v>
      </c>
      <c r="N29" t="s">
        <v>95</v>
      </c>
      <c r="P29" s="6" t="s">
        <v>21</v>
      </c>
      <c r="Q29" s="5">
        <f>SUM(L26:M36)</f>
        <v>2.616666665825</v>
      </c>
      <c r="R29" s="5">
        <f>SQRT((N26^2)*$N$28)</f>
        <v>1.9512129560865465E-2</v>
      </c>
      <c r="T29" s="6"/>
      <c r="U29" s="6" t="s">
        <v>14</v>
      </c>
      <c r="V29" s="6" t="s">
        <v>6</v>
      </c>
      <c r="AG29" t="s">
        <v>88</v>
      </c>
    </row>
    <row r="30" spans="2:35" x14ac:dyDescent="0.25">
      <c r="C30">
        <v>2.5833333330000001</v>
      </c>
      <c r="D30">
        <v>6.9098795749999997</v>
      </c>
      <c r="E30">
        <v>0.62831261530000004</v>
      </c>
      <c r="H30">
        <f t="shared" si="9"/>
        <v>0.64583333325000003</v>
      </c>
      <c r="I30">
        <f t="shared" si="10"/>
        <v>-0.11249999999999993</v>
      </c>
      <c r="K30">
        <v>5</v>
      </c>
      <c r="L30">
        <f>ABS(I34)</f>
        <v>0.10416666674999986</v>
      </c>
      <c r="M30">
        <f>ABS(I35)</f>
        <v>0.125</v>
      </c>
      <c r="N30">
        <f>G10</f>
        <v>11</v>
      </c>
      <c r="P30" s="6" t="s">
        <v>24</v>
      </c>
      <c r="Q30" s="5">
        <f>K36/Q29</f>
        <v>4.2038216574031404</v>
      </c>
      <c r="R30" s="5">
        <f>(N28/(Q29^2))*R29</f>
        <v>3.1347329754040615E-2</v>
      </c>
      <c r="T30" s="6" t="s">
        <v>18</v>
      </c>
      <c r="U30" s="9">
        <f>AVERAGE(L26:L36)</f>
        <v>0.10454545434772729</v>
      </c>
      <c r="V30" s="9">
        <f>SQRT(((N26)^2)/N30)</f>
        <v>1.7738299600786787E-3</v>
      </c>
      <c r="AG30" t="s">
        <v>89</v>
      </c>
    </row>
    <row r="31" spans="2:35" x14ac:dyDescent="0.25">
      <c r="C31">
        <v>3.0333333329999999</v>
      </c>
      <c r="D31">
        <v>6.8486676190000004</v>
      </c>
      <c r="E31">
        <v>0.62390546930000002</v>
      </c>
      <c r="H31">
        <f t="shared" si="9"/>
        <v>0.75833333324999996</v>
      </c>
      <c r="I31">
        <f t="shared" si="10"/>
        <v>-0.13750000000000007</v>
      </c>
      <c r="K31">
        <v>6</v>
      </c>
      <c r="L31">
        <f>ABS(I36)</f>
        <v>0.11666666650000002</v>
      </c>
      <c r="M31">
        <f>ABS(I37)</f>
        <v>0.13333333349999998</v>
      </c>
      <c r="N31" t="s">
        <v>96</v>
      </c>
      <c r="T31" s="6" t="s">
        <v>20</v>
      </c>
      <c r="U31" s="9">
        <f>AVERAGE(M26:M35)</f>
        <v>0.14666666679999998</v>
      </c>
      <c r="V31" s="9">
        <f>SQRT(((N26)^2)/N32)</f>
        <v>1.8604085572798247E-3</v>
      </c>
    </row>
    <row r="32" spans="2:35" x14ac:dyDescent="0.25">
      <c r="C32">
        <v>3.5833333330000001</v>
      </c>
      <c r="D32">
        <v>4.9985706900000002</v>
      </c>
      <c r="E32">
        <v>0.62946105730000002</v>
      </c>
      <c r="H32">
        <f t="shared" si="9"/>
        <v>0.89583333325000003</v>
      </c>
      <c r="I32">
        <f t="shared" si="10"/>
        <v>-0.11666666674999993</v>
      </c>
      <c r="K32">
        <v>7</v>
      </c>
      <c r="L32">
        <f>ABS(I38)</f>
        <v>0.10000000000000009</v>
      </c>
      <c r="M32">
        <f>ABS(I39)</f>
        <v>0.15416666649999988</v>
      </c>
      <c r="N32">
        <f>N30-1</f>
        <v>10</v>
      </c>
    </row>
    <row r="33" spans="3:42" x14ac:dyDescent="0.25">
      <c r="C33">
        <v>4.05</v>
      </c>
      <c r="D33">
        <v>4.7182790749999999</v>
      </c>
      <c r="E33">
        <v>0.63261927269999996</v>
      </c>
      <c r="H33">
        <f t="shared" si="9"/>
        <v>1.0125</v>
      </c>
      <c r="I33">
        <f t="shared" si="10"/>
        <v>-0.15000000000000013</v>
      </c>
      <c r="K33">
        <v>8</v>
      </c>
      <c r="L33">
        <f>ABS(I40)</f>
        <v>9.1666666750000125E-2</v>
      </c>
      <c r="M33">
        <f>ABS(I41)</f>
        <v>0.17083333324999983</v>
      </c>
      <c r="O33" s="3"/>
      <c r="P33" s="3"/>
    </row>
    <row r="34" spans="3:42" x14ac:dyDescent="0.25">
      <c r="C34">
        <v>4.6500000000000004</v>
      </c>
      <c r="D34">
        <v>2.6235065880000001</v>
      </c>
      <c r="E34">
        <v>0.63583491020000005</v>
      </c>
      <c r="H34">
        <f t="shared" si="9"/>
        <v>1.1625000000000001</v>
      </c>
      <c r="I34">
        <f t="shared" si="10"/>
        <v>-0.10416666674999986</v>
      </c>
      <c r="K34">
        <v>9</v>
      </c>
      <c r="L34">
        <f>ABS(I42)</f>
        <v>8.3333333500000162E-2</v>
      </c>
      <c r="M34">
        <f>ABS(I43)</f>
        <v>0.15833333324999987</v>
      </c>
      <c r="O34" s="3"/>
      <c r="P34" s="3"/>
    </row>
    <row r="35" spans="3:42" x14ac:dyDescent="0.25">
      <c r="C35">
        <v>5.0666666669999998</v>
      </c>
      <c r="D35">
        <v>2.547120842</v>
      </c>
      <c r="E35">
        <v>0.64179245279999997</v>
      </c>
      <c r="H35">
        <f t="shared" si="9"/>
        <v>1.2666666667499999</v>
      </c>
      <c r="I35">
        <f t="shared" si="10"/>
        <v>-0.125</v>
      </c>
      <c r="K35">
        <v>10</v>
      </c>
      <c r="L35">
        <f>ABS(I44)</f>
        <v>0.10833333249999999</v>
      </c>
      <c r="M35">
        <f>ABS(I45)</f>
        <v>0.15833333500000002</v>
      </c>
      <c r="N35" s="3"/>
      <c r="O35" s="3"/>
      <c r="P35" s="3"/>
    </row>
    <row r="36" spans="3:42" x14ac:dyDescent="0.25">
      <c r="C36">
        <v>5.5666666669999998</v>
      </c>
      <c r="D36">
        <v>0.77352450360000002</v>
      </c>
      <c r="E36">
        <v>0.6515829205</v>
      </c>
      <c r="H36">
        <f t="shared" si="9"/>
        <v>1.3916666667499999</v>
      </c>
      <c r="I36">
        <f t="shared" si="10"/>
        <v>-0.11666666650000002</v>
      </c>
      <c r="K36">
        <v>11</v>
      </c>
      <c r="L36">
        <f>ABS(I46)</f>
        <v>0.10416666500000016</v>
      </c>
      <c r="O36" s="3"/>
      <c r="P36" s="3"/>
      <c r="AD36" t="s">
        <v>46</v>
      </c>
    </row>
    <row r="37" spans="3:42" x14ac:dyDescent="0.25">
      <c r="C37">
        <v>6.0333333329999999</v>
      </c>
      <c r="D37">
        <v>0.5750019556</v>
      </c>
      <c r="E37">
        <v>0.67420722710000003</v>
      </c>
      <c r="H37">
        <f t="shared" si="9"/>
        <v>1.50833333325</v>
      </c>
      <c r="I37">
        <f t="shared" si="10"/>
        <v>-0.13333333349999998</v>
      </c>
      <c r="N37" t="s">
        <v>97</v>
      </c>
      <c r="AC37" s="7" t="s">
        <v>48</v>
      </c>
      <c r="AD37" s="8" t="s">
        <v>47</v>
      </c>
      <c r="AE37" s="8"/>
      <c r="AF37" s="8"/>
      <c r="AG37" s="8"/>
    </row>
    <row r="38" spans="3:42" x14ac:dyDescent="0.25">
      <c r="C38">
        <v>6.5666666669999998</v>
      </c>
      <c r="D38">
        <v>-1.4384608409999999</v>
      </c>
      <c r="E38">
        <v>0.65611926629999995</v>
      </c>
      <c r="H38">
        <f t="shared" si="9"/>
        <v>1.6416666667499999</v>
      </c>
      <c r="I38">
        <f t="shared" si="10"/>
        <v>-0.10000000000000009</v>
      </c>
      <c r="N38" t="s">
        <v>98</v>
      </c>
      <c r="O38" t="s">
        <v>99</v>
      </c>
      <c r="P38" t="s">
        <v>100</v>
      </c>
      <c r="Q38" t="s">
        <v>101</v>
      </c>
      <c r="S38" t="s">
        <v>102</v>
      </c>
      <c r="T38" t="s">
        <v>103</v>
      </c>
      <c r="X38" s="6" t="s">
        <v>14</v>
      </c>
      <c r="Y38" s="6" t="s">
        <v>6</v>
      </c>
      <c r="AC38" s="7" t="s">
        <v>49</v>
      </c>
      <c r="AD38" s="8" t="s">
        <v>50</v>
      </c>
      <c r="AE38" s="8"/>
      <c r="AF38" s="8"/>
      <c r="AG38" s="8"/>
    </row>
    <row r="39" spans="3:42" x14ac:dyDescent="0.25">
      <c r="C39">
        <v>6.9666666670000001</v>
      </c>
      <c r="D39">
        <v>-1.4384034189999999</v>
      </c>
      <c r="E39">
        <v>0.66121547749999998</v>
      </c>
      <c r="H39">
        <f t="shared" si="9"/>
        <v>1.74166666675</v>
      </c>
      <c r="I39">
        <f t="shared" si="10"/>
        <v>-0.15416666649999988</v>
      </c>
      <c r="N39">
        <f>T14</f>
        <v>1.8485700166349339</v>
      </c>
      <c r="O39">
        <f>U14</f>
        <v>1.3631363015759901E-2</v>
      </c>
      <c r="P39">
        <f>C28/4-C26/4</f>
        <v>0.25416666657499998</v>
      </c>
      <c r="Q39">
        <f>$N$26</f>
        <v>5.8831284194720748E-3</v>
      </c>
      <c r="S39">
        <f>N39/P39</f>
        <v>7.2730623631539597</v>
      </c>
      <c r="T39">
        <f>SQRT(((1/P39)*O39)^2+((N39/(P39^2))*Q39)^2)</f>
        <v>0.17668411765725434</v>
      </c>
      <c r="V39" s="6" t="s">
        <v>104</v>
      </c>
      <c r="W39" s="6"/>
      <c r="X39" s="5">
        <f>AVERAGE(S39:S48)</f>
        <v>7.522348805050342</v>
      </c>
      <c r="Y39" s="10">
        <f>SQRT(SUM(T39^2+T40^2+T41^2+T42^2+T43^2+T44^2+T45^2+T46^2+T47^2+T48^2)/(N28^2))</f>
        <v>5.1898464827062334E-2</v>
      </c>
      <c r="AC39" s="7" t="s">
        <v>51</v>
      </c>
      <c r="AD39" s="8" t="s">
        <v>52</v>
      </c>
      <c r="AE39" s="8"/>
      <c r="AF39" s="8"/>
      <c r="AG39" s="8"/>
      <c r="AH39" s="8"/>
      <c r="AI39" s="8"/>
      <c r="AJ39" s="8"/>
      <c r="AK39" s="8"/>
      <c r="AL39" s="8"/>
      <c r="AM39" s="8"/>
    </row>
    <row r="40" spans="3:42" x14ac:dyDescent="0.25">
      <c r="C40">
        <v>7.5833333329999997</v>
      </c>
      <c r="D40">
        <v>-3.4213463709999998</v>
      </c>
      <c r="E40">
        <v>0.63768677279999997</v>
      </c>
      <c r="H40">
        <f t="shared" si="9"/>
        <v>1.8958333332499999</v>
      </c>
      <c r="I40">
        <f t="shared" si="10"/>
        <v>-9.1666666750000125E-2</v>
      </c>
      <c r="N40">
        <f t="shared" ref="N40:O48" si="11">T15</f>
        <v>1.8530198025710991</v>
      </c>
      <c r="O40">
        <f t="shared" si="11"/>
        <v>1.0900809856174407E-2</v>
      </c>
      <c r="P40">
        <f>C30/4-C28/4</f>
        <v>0.23750000000000004</v>
      </c>
      <c r="Q40">
        <f t="shared" ref="Q40:Q48" si="12">$N$26</f>
        <v>5.8831284194720748E-3</v>
      </c>
      <c r="S40">
        <f t="shared" ref="S40:S48" si="13">N40/P40</f>
        <v>7.8021886424046265</v>
      </c>
      <c r="T40">
        <f t="shared" ref="T40:T48" si="14">SQRT(((1/P40)*O40)^2+((N40/(P40^2))*Q40)^2)</f>
        <v>0.19864382093031147</v>
      </c>
      <c r="AC40" s="7" t="s">
        <v>53</v>
      </c>
      <c r="AD40" s="8" t="s">
        <v>54</v>
      </c>
      <c r="AE40" s="8"/>
      <c r="AF40" s="8"/>
      <c r="AG40" s="8"/>
    </row>
    <row r="41" spans="3:42" x14ac:dyDescent="0.25">
      <c r="C41">
        <v>7.95</v>
      </c>
      <c r="D41">
        <v>-3.6099061849999998</v>
      </c>
      <c r="E41">
        <v>0.63981139050000002</v>
      </c>
      <c r="H41">
        <f t="shared" si="9"/>
        <v>1.9875</v>
      </c>
      <c r="I41">
        <f t="shared" si="10"/>
        <v>-0.17083333324999983</v>
      </c>
      <c r="N41">
        <f t="shared" si="11"/>
        <v>1.8803340229631758</v>
      </c>
      <c r="O41">
        <f t="shared" si="11"/>
        <v>8.161996413319909E-3</v>
      </c>
      <c r="P41">
        <f>C32/4-C30/4</f>
        <v>0.25</v>
      </c>
      <c r="Q41">
        <f t="shared" si="12"/>
        <v>5.8831284194720748E-3</v>
      </c>
      <c r="S41">
        <f t="shared" si="13"/>
        <v>7.521336091852703</v>
      </c>
      <c r="T41">
        <f t="shared" si="14"/>
        <v>0.17998181941970076</v>
      </c>
      <c r="V41" t="s">
        <v>105</v>
      </c>
      <c r="AC41" s="7" t="s">
        <v>55</v>
      </c>
      <c r="AD41" s="8" t="s">
        <v>56</v>
      </c>
      <c r="AE41" s="8"/>
      <c r="AF41" s="8"/>
      <c r="AG41" s="8"/>
      <c r="AH41" s="8"/>
      <c r="AI41" s="8"/>
    </row>
    <row r="42" spans="3:42" x14ac:dyDescent="0.25">
      <c r="C42">
        <v>8.6333333329999995</v>
      </c>
      <c r="D42">
        <v>-5.5368482349999999</v>
      </c>
      <c r="E42">
        <v>0.61055483160000001</v>
      </c>
      <c r="H42">
        <f t="shared" si="9"/>
        <v>2.1583333332499999</v>
      </c>
      <c r="I42">
        <f t="shared" si="10"/>
        <v>-8.3333333500000162E-2</v>
      </c>
      <c r="N42">
        <f t="shared" si="11"/>
        <v>1.9574165479894732</v>
      </c>
      <c r="O42">
        <f t="shared" si="11"/>
        <v>5.3921108645564415E-3</v>
      </c>
      <c r="P42">
        <f>C34/4-C32/4</f>
        <v>0.26666666675000006</v>
      </c>
      <c r="Q42">
        <f t="shared" si="12"/>
        <v>5.8831284194720748E-3</v>
      </c>
      <c r="S42">
        <f t="shared" si="13"/>
        <v>7.3403120526666754</v>
      </c>
      <c r="T42">
        <f t="shared" si="14"/>
        <v>0.16319750888819778</v>
      </c>
      <c r="AC42" s="7" t="s">
        <v>57</v>
      </c>
      <c r="AD42" s="8" t="s">
        <v>58</v>
      </c>
      <c r="AE42" s="8"/>
      <c r="AF42" s="8"/>
      <c r="AG42" s="8"/>
      <c r="AH42" s="8"/>
      <c r="AI42" s="8"/>
      <c r="AJ42" s="8"/>
      <c r="AK42" s="8"/>
    </row>
    <row r="43" spans="3:42" x14ac:dyDescent="0.25">
      <c r="C43">
        <v>8.9666666670000001</v>
      </c>
      <c r="D43">
        <v>-5.7508316830000004</v>
      </c>
      <c r="E43">
        <v>0.61806277089999995</v>
      </c>
      <c r="H43">
        <f t="shared" si="9"/>
        <v>2.24166666675</v>
      </c>
      <c r="I43">
        <f t="shared" si="10"/>
        <v>-0.15833333324999987</v>
      </c>
      <c r="N43">
        <f t="shared" si="11"/>
        <v>1.8074961012625606</v>
      </c>
      <c r="O43">
        <f t="shared" si="11"/>
        <v>2.7486501408617121E-3</v>
      </c>
      <c r="P43">
        <f>C36/4-C34/4</f>
        <v>0.22916666674999986</v>
      </c>
      <c r="Q43">
        <f t="shared" si="12"/>
        <v>5.8831284194720748E-3</v>
      </c>
      <c r="S43">
        <f t="shared" si="13"/>
        <v>7.887255711732176</v>
      </c>
      <c r="T43">
        <f t="shared" si="14"/>
        <v>0.2028352422437151</v>
      </c>
      <c r="V43" s="11" t="s">
        <v>106</v>
      </c>
      <c r="W43" s="11"/>
      <c r="X43" s="9">
        <f>ABS(V16)</f>
        <v>1.8867586348016054</v>
      </c>
      <c r="Y43" s="9">
        <f>ABS(W16)</f>
        <v>7.8464559637084711E-3</v>
      </c>
      <c r="AC43" s="7" t="s">
        <v>59</v>
      </c>
      <c r="AD43" s="8" t="s">
        <v>60</v>
      </c>
      <c r="AE43" s="8"/>
      <c r="AF43" s="8"/>
      <c r="AG43" s="8"/>
      <c r="AH43" s="8"/>
      <c r="AI43" s="8"/>
      <c r="AJ43" s="8"/>
      <c r="AK43" s="8"/>
      <c r="AL43" s="8"/>
    </row>
    <row r="44" spans="3:42" x14ac:dyDescent="0.25">
      <c r="C44">
        <v>9.6</v>
      </c>
      <c r="D44">
        <v>-7.7795256909999999</v>
      </c>
      <c r="E44">
        <v>0.6052432875</v>
      </c>
      <c r="H44">
        <f t="shared" si="9"/>
        <v>2.4</v>
      </c>
      <c r="I44">
        <f t="shared" si="10"/>
        <v>-0.10833333249999999</v>
      </c>
      <c r="N44">
        <f t="shared" si="11"/>
        <v>1.8210506232798567</v>
      </c>
      <c r="O44">
        <f t="shared" si="11"/>
        <v>1.3906292521064785E-3</v>
      </c>
      <c r="P44">
        <f>C38/4-C36/4</f>
        <v>0.25</v>
      </c>
      <c r="Q44">
        <f t="shared" si="12"/>
        <v>5.8831284194720748E-3</v>
      </c>
      <c r="S44">
        <f t="shared" si="13"/>
        <v>7.2842024931194267</v>
      </c>
      <c r="T44">
        <f t="shared" si="14"/>
        <v>0.17150582420646232</v>
      </c>
      <c r="V44" s="11" t="s">
        <v>107</v>
      </c>
      <c r="W44" s="11"/>
      <c r="X44" s="9">
        <f>ABS(U30)</f>
        <v>0.10454545434772729</v>
      </c>
      <c r="Y44" s="9">
        <f>ABS(V30)</f>
        <v>1.7738299600786787E-3</v>
      </c>
      <c r="AC44" s="7" t="s">
        <v>61</v>
      </c>
      <c r="AD44" s="8" t="s">
        <v>62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3:42" x14ac:dyDescent="0.25">
      <c r="C45">
        <v>10.03333333</v>
      </c>
      <c r="D45">
        <v>-7.855796593</v>
      </c>
      <c r="E45">
        <v>0.62139325249999999</v>
      </c>
      <c r="H45">
        <f t="shared" si="9"/>
        <v>2.5083333324999999</v>
      </c>
      <c r="I45">
        <f t="shared" si="10"/>
        <v>-0.15833333500000002</v>
      </c>
      <c r="N45">
        <f t="shared" si="11"/>
        <v>1.9033010503322427</v>
      </c>
      <c r="O45">
        <f t="shared" si="11"/>
        <v>3.3770660864736401E-3</v>
      </c>
      <c r="P45">
        <f>C40/4-C38/4</f>
        <v>0.25416666649999997</v>
      </c>
      <c r="Q45">
        <f t="shared" si="12"/>
        <v>5.8831284194720748E-3</v>
      </c>
      <c r="S45">
        <f t="shared" si="13"/>
        <v>7.488397579988102</v>
      </c>
      <c r="T45">
        <f t="shared" si="14"/>
        <v>0.17384045946803292</v>
      </c>
      <c r="V45" s="11" t="s">
        <v>108</v>
      </c>
      <c r="W45" s="11"/>
      <c r="X45" s="9">
        <f>ABS(U31)</f>
        <v>0.14666666679999998</v>
      </c>
      <c r="Y45" s="9">
        <f>ABS(V31)</f>
        <v>1.8604085572798247E-3</v>
      </c>
      <c r="AC45" s="7" t="s">
        <v>63</v>
      </c>
      <c r="AD45" s="8" t="s">
        <v>66</v>
      </c>
      <c r="AE45" s="8"/>
      <c r="AF45" s="8"/>
    </row>
    <row r="46" spans="3:42" x14ac:dyDescent="0.25">
      <c r="C46">
        <v>10.66666667</v>
      </c>
      <c r="D46">
        <v>-9.8996643899999999</v>
      </c>
      <c r="E46">
        <v>0.61893845790000002</v>
      </c>
      <c r="H46">
        <f t="shared" si="9"/>
        <v>2.6666666674999999</v>
      </c>
      <c r="I46">
        <f t="shared" si="10"/>
        <v>-0.10416666500000016</v>
      </c>
      <c r="N46">
        <f t="shared" si="11"/>
        <v>1.9307178591710485</v>
      </c>
      <c r="O46">
        <f t="shared" si="11"/>
        <v>6.0841220253837498E-3</v>
      </c>
      <c r="P46">
        <f>C42/4-C40/4</f>
        <v>0.26249999999999996</v>
      </c>
      <c r="Q46">
        <f t="shared" si="12"/>
        <v>5.8831284194720748E-3</v>
      </c>
      <c r="S46">
        <f t="shared" si="13"/>
        <v>7.3551156539849485</v>
      </c>
      <c r="T46">
        <f t="shared" si="14"/>
        <v>0.16646371380784988</v>
      </c>
      <c r="V46" s="11" t="s">
        <v>109</v>
      </c>
      <c r="W46" s="11"/>
      <c r="X46" s="5">
        <f>ABS(Q29)</f>
        <v>2.616666665825</v>
      </c>
      <c r="Y46" s="5">
        <f>ABS(R29)</f>
        <v>1.9512129560865465E-2</v>
      </c>
      <c r="AC46" s="7" t="s">
        <v>67</v>
      </c>
      <c r="AD46" s="8" t="s">
        <v>68</v>
      </c>
      <c r="AE46" s="8"/>
      <c r="AF46" s="8"/>
      <c r="AG46" s="8"/>
      <c r="AH46" s="8"/>
      <c r="AI46" s="8"/>
      <c r="AJ46" s="8"/>
    </row>
    <row r="47" spans="3:42" x14ac:dyDescent="0.25">
      <c r="C47">
        <v>11.08333333</v>
      </c>
      <c r="D47">
        <v>-10.05741725</v>
      </c>
      <c r="E47">
        <v>0.64110338769999997</v>
      </c>
      <c r="H47">
        <f t="shared" si="9"/>
        <v>2.7708333325000001</v>
      </c>
      <c r="N47">
        <f t="shared" si="11"/>
        <v>1.9985930568109724</v>
      </c>
      <c r="O47">
        <f t="shared" si="11"/>
        <v>8.9538924847326531E-3</v>
      </c>
      <c r="P47">
        <f>C44/4-C42/4</f>
        <v>0.24166666675000004</v>
      </c>
      <c r="Q47">
        <f t="shared" si="12"/>
        <v>5.8831284194720748E-3</v>
      </c>
      <c r="S47">
        <f t="shared" si="13"/>
        <v>8.2700402322281459</v>
      </c>
      <c r="T47">
        <f t="shared" si="14"/>
        <v>0.20470657077937751</v>
      </c>
      <c r="V47" s="11" t="s">
        <v>110</v>
      </c>
      <c r="W47" s="11"/>
      <c r="X47" s="5">
        <f>ABS(Q30)</f>
        <v>4.2038216574031404</v>
      </c>
      <c r="Y47" s="5">
        <f>ABS(R30)</f>
        <v>3.1347329754040615E-2</v>
      </c>
      <c r="AC47" s="7" t="s">
        <v>69</v>
      </c>
      <c r="AD47" s="8" t="s">
        <v>70</v>
      </c>
      <c r="AE47" s="8"/>
      <c r="AF47" s="8"/>
    </row>
    <row r="48" spans="3:42" x14ac:dyDescent="0.25">
      <c r="I48" s="3"/>
      <c r="N48">
        <f t="shared" si="11"/>
        <v>1.8670872670006897</v>
      </c>
      <c r="O48">
        <f t="shared" si="11"/>
        <v>1.1782130145520067E-2</v>
      </c>
      <c r="P48">
        <f>C46/4-C44/4</f>
        <v>0.26666666750000001</v>
      </c>
      <c r="Q48">
        <f t="shared" si="12"/>
        <v>5.8831284194720748E-3</v>
      </c>
      <c r="S48">
        <f t="shared" si="13"/>
        <v>7.001577229372657</v>
      </c>
      <c r="T48">
        <f t="shared" si="14"/>
        <v>0.16066164710108727</v>
      </c>
      <c r="V48" s="11" t="s">
        <v>102</v>
      </c>
      <c r="W48" s="11"/>
      <c r="X48" s="5">
        <f>ABS(X39)</f>
        <v>7.522348805050342</v>
      </c>
      <c r="Y48" s="5">
        <f>ABS(Y39)</f>
        <v>5.1898464827062334E-2</v>
      </c>
    </row>
  </sheetData>
  <mergeCells count="15">
    <mergeCell ref="AD43:AL43"/>
    <mergeCell ref="AD44:AP44"/>
    <mergeCell ref="AD45:AF45"/>
    <mergeCell ref="AD46:AJ46"/>
    <mergeCell ref="AD47:AF47"/>
    <mergeCell ref="AD38:AG38"/>
    <mergeCell ref="AD39:AM39"/>
    <mergeCell ref="AD40:AG40"/>
    <mergeCell ref="AD41:AI41"/>
    <mergeCell ref="AD42:AK42"/>
    <mergeCell ref="H3:K3"/>
    <mergeCell ref="H4:K4"/>
    <mergeCell ref="H5:K5"/>
    <mergeCell ref="H6:K6"/>
    <mergeCell ref="AD37:AG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2019-09-04T11:41:49Z</dcterms:modified>
</cp:coreProperties>
</file>