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6D230C48-425C-444D-BAF6-3EFEB73BA3D2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2" i="1" l="1"/>
  <c r="W32" i="1"/>
  <c r="W31" i="1"/>
  <c r="S31" i="1"/>
  <c r="P28" i="1"/>
  <c r="P30" i="1" s="1"/>
  <c r="P26" i="1"/>
  <c r="X32" i="1" s="1"/>
  <c r="T31" i="1" l="1"/>
  <c r="T32" i="1" s="1"/>
  <c r="X31" i="1"/>
  <c r="S32" i="1"/>
  <c r="Y17" i="1" l="1"/>
  <c r="U15" i="1"/>
  <c r="AA46" i="1"/>
  <c r="AA45" i="1"/>
  <c r="AB45" i="1"/>
  <c r="AB44" i="1"/>
  <c r="AA44" i="1"/>
  <c r="AB43" i="1"/>
  <c r="AA43" i="1"/>
  <c r="S46" i="1"/>
  <c r="S45" i="1"/>
  <c r="S44" i="1"/>
  <c r="S43" i="1"/>
  <c r="S42" i="1"/>
  <c r="S41" i="1"/>
  <c r="V41" i="1" s="1"/>
  <c r="S40" i="1"/>
  <c r="S39" i="1"/>
  <c r="S38" i="1"/>
  <c r="V38" i="1"/>
  <c r="W39" i="1"/>
  <c r="W40" i="1"/>
  <c r="V39" i="1"/>
  <c r="V40" i="1"/>
  <c r="V42" i="1"/>
  <c r="V43" i="1"/>
  <c r="V44" i="1"/>
  <c r="V45" i="1"/>
  <c r="V46" i="1"/>
  <c r="T39" i="1"/>
  <c r="T40" i="1"/>
  <c r="T41" i="1"/>
  <c r="T42" i="1"/>
  <c r="W42" i="1" s="1"/>
  <c r="T43" i="1"/>
  <c r="W43" i="1" s="1"/>
  <c r="T44" i="1"/>
  <c r="W44" i="1" s="1"/>
  <c r="T45" i="1"/>
  <c r="W45" i="1" s="1"/>
  <c r="T46" i="1"/>
  <c r="W46" i="1" s="1"/>
  <c r="T38" i="1"/>
  <c r="R39" i="1"/>
  <c r="R40" i="1"/>
  <c r="R41" i="1"/>
  <c r="R42" i="1"/>
  <c r="R43" i="1"/>
  <c r="R44" i="1"/>
  <c r="R45" i="1"/>
  <c r="R46" i="1"/>
  <c r="Q39" i="1"/>
  <c r="Q40" i="1"/>
  <c r="Q41" i="1"/>
  <c r="Q42" i="1"/>
  <c r="Q43" i="1"/>
  <c r="Q44" i="1"/>
  <c r="Q45" i="1"/>
  <c r="Q46" i="1"/>
  <c r="Q38" i="1"/>
  <c r="W41" i="1" l="1"/>
  <c r="AA38" i="1"/>
  <c r="AA47" i="1" s="1"/>
  <c r="X17" i="1" l="1"/>
  <c r="U11" i="1"/>
  <c r="T11" i="1"/>
  <c r="U24" i="1" l="1"/>
  <c r="T24" i="1" l="1"/>
  <c r="T23" i="1"/>
  <c r="V23" i="1" s="1"/>
  <c r="V22" i="1"/>
  <c r="U22" i="1"/>
  <c r="T22" i="1"/>
  <c r="T21" i="1"/>
  <c r="V21" i="1" s="1"/>
  <c r="T20" i="1"/>
  <c r="V20" i="1" s="1"/>
  <c r="V19" i="1"/>
  <c r="U19" i="1"/>
  <c r="T19" i="1"/>
  <c r="T18" i="1"/>
  <c r="V18" i="1" s="1"/>
  <c r="T17" i="1"/>
  <c r="V16" i="1" s="1"/>
  <c r="T16" i="1"/>
  <c r="U16" i="1" s="1"/>
  <c r="T15" i="1"/>
  <c r="V15" i="1" s="1"/>
  <c r="AI18" i="1"/>
  <c r="AH18" i="1"/>
  <c r="AI16" i="1"/>
  <c r="AI17" i="1" s="1"/>
  <c r="AH16" i="1"/>
  <c r="AH17" i="1" s="1"/>
  <c r="AI15" i="1"/>
  <c r="AH15" i="1"/>
  <c r="AI11" i="1"/>
  <c r="AH11" i="1"/>
  <c r="AI10" i="1"/>
  <c r="AH10" i="1"/>
  <c r="U17" i="1" l="1"/>
  <c r="U20" i="1"/>
  <c r="U23" i="1"/>
  <c r="W22" i="1" s="1"/>
  <c r="W15" i="1"/>
  <c r="V17" i="1"/>
  <c r="U18" i="1"/>
  <c r="W18" i="1" s="1"/>
  <c r="U21" i="1"/>
  <c r="W21" i="1" s="1"/>
  <c r="AH19" i="1"/>
  <c r="AH22" i="1"/>
  <c r="AI19" i="1"/>
  <c r="AI22" i="1"/>
  <c r="R38" i="1" l="1"/>
  <c r="W38" i="1" s="1"/>
  <c r="AB38" i="1" s="1"/>
  <c r="AB47" i="1" s="1"/>
  <c r="AB42" i="1"/>
  <c r="W20" i="1"/>
  <c r="W23" i="1"/>
  <c r="W17" i="1"/>
  <c r="W16" i="1"/>
  <c r="W19" i="1"/>
  <c r="AH23" i="1"/>
  <c r="AH24" i="1" s="1"/>
  <c r="AH27" i="1" s="1"/>
  <c r="AH28" i="1" s="1"/>
  <c r="AI20" i="1"/>
  <c r="AH20" i="1"/>
  <c r="AH25" i="1" l="1"/>
  <c r="AI23" i="1"/>
  <c r="AI24" i="1" s="1"/>
  <c r="AI27" i="1" l="1"/>
  <c r="AI28" i="1" s="1"/>
  <c r="AI25" i="1"/>
  <c r="H13" i="1" l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O20" i="1"/>
  <c r="O19" i="1"/>
  <c r="O18" i="1"/>
  <c r="O17" i="1"/>
  <c r="O16" i="1"/>
  <c r="O15" i="1"/>
  <c r="O14" i="1"/>
  <c r="O13" i="1"/>
  <c r="O12" i="1"/>
  <c r="O11" i="1"/>
  <c r="N20" i="1"/>
  <c r="N19" i="1"/>
  <c r="N18" i="1"/>
  <c r="N17" i="1"/>
  <c r="N16" i="1"/>
  <c r="N15" i="1"/>
  <c r="N14" i="1"/>
  <c r="N13" i="1"/>
  <c r="N12" i="1"/>
  <c r="N11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s="1"/>
  <c r="AB24" i="1" l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AB25" i="1" l="1"/>
  <c r="M4" i="1"/>
  <c r="H12" i="1"/>
  <c r="L11" i="1"/>
  <c r="AB46" i="1" l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<sst xmlns="http://schemas.openxmlformats.org/spreadsheetml/2006/main" count="170" uniqueCount="112">
  <si>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</si>
  <si>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</si>
  <si>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</si>
  <si>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</si>
  <si>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</si>
  <si>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</si>
  <si>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</si>
  <si>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</si>
  <si>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</si>
  <si>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</si>
  <si>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</si>
  <si>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</si>
  <si>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</si>
  <si>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</si>
  <si>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</si>
  <si>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</si>
  <si>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</si>
  <si>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</si>
  <si>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</si>
  <si>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</si>
  <si>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</si>
  <si>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</si>
  <si>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</si>
  <si>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</si>
  <si>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</si>
  <si>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</si>
  <si>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</si>
  <si>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</si>
  <si>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</si>
  <si>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</si>
  <si>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</si>
  <si>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</si>
  <si>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</si>
  <si>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</si>
  <si>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</si>
  <si>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</si>
  <si>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</si>
  <si>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</si>
  <si>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</si>
  <si>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</si>
  <si>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</si>
  <si>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</si>
  <si>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</si>
  <si>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</si>
  <si>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A)</t>
  </si>
  <si>
    <t>B)</t>
  </si>
  <si>
    <t>Copia_incolla in "Lunghezza Opto"</t>
  </si>
  <si>
    <t>C)</t>
  </si>
  <si>
    <t>D)</t>
  </si>
  <si>
    <t>E)</t>
  </si>
  <si>
    <t>Sistema il "N steps" in base al numero di passi registrato</t>
  </si>
  <si>
    <t>F)</t>
  </si>
  <si>
    <t>Controlla che sia lo stesso N di passi visto dall'Optojump (non necessario maybe)</t>
  </si>
  <si>
    <t>G)</t>
  </si>
  <si>
    <t>Verifica che la lunghezza misurata sia compatibile con quella misurata dall?optojump</t>
  </si>
  <si>
    <t>H)</t>
  </si>
  <si>
    <t>I)</t>
  </si>
  <si>
    <t>Deltas T</t>
  </si>
  <si>
    <t>Actuali Times</t>
  </si>
  <si>
    <t>Controlla che le formule successive considerino tutti dati presi</t>
  </si>
  <si>
    <t>Salva il file di tracker</t>
  </si>
  <si>
    <t>Delta NO</t>
  </si>
  <si>
    <t>Lunghezza_Optojump_Vicino</t>
  </si>
  <si>
    <t>CALCOLO LUNGHEZZA PASSO</t>
  </si>
  <si>
    <t>TEMPO TOTALE E RITMO</t>
  </si>
  <si>
    <t>MEDIE t_CONTATTO E t_VOLO</t>
  </si>
  <si>
    <t>data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</si>
  <si>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</si>
  <si>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</si>
  <si>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</si>
  <si>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</si>
  <si>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</si>
  <si>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</si>
  <si>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</si>
  <si>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</si>
  <si>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</si>
  <si>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</si>
  <si>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</si>
  <si>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</si>
  <si>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</si>
  <si>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</si>
  <si>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</si>
  <si>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</si>
  <si>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</si>
  <si>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</si>
  <si>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</si>
  <si>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</si>
  <si>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</si>
  <si>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</si>
  <si>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</si>
  <si>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</si>
  <si>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</si>
  <si>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</si>
  <si>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</si>
  <si>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</si>
  <si>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</si>
  <si>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Raggruppamento 1</t>
  </si>
  <si>
    <t>Lunghezza Passo</t>
  </si>
  <si>
    <t>T. Contatto</t>
  </si>
  <si>
    <t>T. Volo</t>
  </si>
  <si>
    <t>T.Totale</t>
  </si>
  <si>
    <t>Ritmo</t>
  </si>
  <si>
    <t>Calcolo Velocità</t>
  </si>
  <si>
    <t>DX</t>
  </si>
  <si>
    <t>DT</t>
  </si>
  <si>
    <t>errDX</t>
  </si>
  <si>
    <t>errDT</t>
  </si>
  <si>
    <t>Velocità</t>
  </si>
  <si>
    <t>ErrV</t>
  </si>
  <si>
    <t>Velocità Media</t>
  </si>
  <si>
    <t>N Contatti</t>
  </si>
  <si>
    <t>N Voli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</si>
</sst>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165" fontId="0" fillId="0" borderId="0"/>
    <xf numFmtId="0" fontId="1" fillId="2" borderId="2" applyNumberFormat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2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5" fillId="6" borderId="1" xfId="5" applyNumberFormat="1"/>
    <xf numFmtId="166" fontId="1" fillId="2" borderId="2" xfId="1" applyNumberFormat="1"/>
    <xf numFmtId="164" fontId="1" fillId="2" borderId="2" xfId="1" applyNumberFormat="1"/>
    <xf numFmtId="165" fontId="0" fillId="0" borderId="0" xfId="0" applyAlignment="1">
      <alignment horizontal="center"/>
    </xf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0" zoomScaleNormal="60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  <col min="27" max="27" width="19" bestFit="1" customWidth="1"/>
  </cols>
  <sheetData>
    <row r="1" spans="1:35" x14ac:dyDescent="0.25">
      <c r="A1" t="s">
        <v>3</v>
      </c>
    </row>
    <row r="2" spans="1:35" x14ac:dyDescent="0.25">
      <c r="D2" t="s">
        <v>62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>
        <v>0</v>
      </c>
      <c r="E3" t="s">
        <v>1</v>
      </c>
      <c r="F3" t="s">
        <v>2</v>
      </c>
      <c r="H3" s="14" t="s">
        <v>8</v>
      </c>
      <c r="I3" s="14"/>
      <c r="J3" s="14"/>
      <c r="K3" s="14"/>
      <c r="L3">
        <f>E4-E5</f>
        <v>23.28681108</v>
      </c>
      <c r="M3">
        <v>0.01</v>
      </c>
      <c r="N3" t="s">
        <v>40</v>
      </c>
    </row>
    <row r="4" spans="1:35" x14ac:dyDescent="0.25">
      <c r="D4">
        <v>0</v>
      </c>
      <c r="E4">
        <v>11.64286446</v>
      </c>
      <c r="F4">
        <v>0.47300482620000001</v>
      </c>
      <c r="H4" s="14" t="s">
        <v>9</v>
      </c>
      <c r="I4" s="14"/>
      <c r="J4" s="14"/>
      <c r="K4" s="14"/>
      <c r="L4">
        <f>AA20</f>
        <v>8.6436089042270119</v>
      </c>
      <c r="M4">
        <f>AB20</f>
        <v>0.10286135923209583</v>
      </c>
      <c r="P4" t="s">
        <v>15</v>
      </c>
    </row>
    <row r="5" spans="1:35" x14ac:dyDescent="0.25">
      <c r="D5">
        <v>3.3333333329999999E-2</v>
      </c>
      <c r="E5">
        <v>-11.643946619999999</v>
      </c>
      <c r="F5">
        <v>0.5241151959</v>
      </c>
      <c r="H5" s="14" t="s">
        <v>10</v>
      </c>
      <c r="I5" s="14"/>
      <c r="J5" s="14"/>
      <c r="K5" s="14"/>
      <c r="L5">
        <f>AA24</f>
        <v>0.61</v>
      </c>
      <c r="M5">
        <f>AB24</f>
        <v>0</v>
      </c>
    </row>
    <row r="6" spans="1:35" x14ac:dyDescent="0.25">
      <c r="H6" s="14" t="s">
        <v>20</v>
      </c>
      <c r="I6" s="14"/>
      <c r="J6" s="14"/>
      <c r="K6" s="14"/>
      <c r="L6">
        <v>4.1599999999999996E-3</v>
      </c>
      <c r="X6" t="s">
        <v>39</v>
      </c>
      <c r="AB6" t="s">
        <v>6</v>
      </c>
      <c r="AD6" t="s">
        <v>74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66</v>
      </c>
      <c r="X8" t="s">
        <v>23</v>
      </c>
      <c r="AA8">
        <v>1.22</v>
      </c>
      <c r="AB8">
        <v>0</v>
      </c>
      <c r="AE8" t="s">
        <v>75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63</v>
      </c>
      <c r="X9" t="s">
        <v>24</v>
      </c>
      <c r="AA9">
        <f>L3</f>
        <v>23.28681108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67</v>
      </c>
      <c r="C10">
        <v>1</v>
      </c>
      <c r="D10">
        <v>0.75</v>
      </c>
      <c r="E10">
        <v>10.71648723</v>
      </c>
      <c r="F10">
        <v>0.61459878629999998</v>
      </c>
      <c r="H10" t="s">
        <v>13</v>
      </c>
      <c r="K10" t="s">
        <v>61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11.64340554</v>
      </c>
      <c r="AB10">
        <f>AB9</f>
        <v>0.01</v>
      </c>
      <c r="AE10" t="s">
        <v>76</v>
      </c>
      <c r="AH10">
        <f>L3</f>
        <v>23.28681108</v>
      </c>
      <c r="AI10">
        <f>M3</f>
        <v>0.01</v>
      </c>
    </row>
    <row r="11" spans="1:35" x14ac:dyDescent="0.25">
      <c r="B11" s="5" t="s">
        <v>68</v>
      </c>
      <c r="C11">
        <v>1</v>
      </c>
      <c r="D11">
        <v>0.85</v>
      </c>
      <c r="E11">
        <v>10.72961862</v>
      </c>
      <c r="F11">
        <v>0.54931694490000005</v>
      </c>
      <c r="G11" t="s">
        <v>70</v>
      </c>
      <c r="H11">
        <f>M3</f>
        <v>0.01</v>
      </c>
      <c r="K11">
        <f>ABS(E11-E14)</f>
        <v>2.1600034400000006</v>
      </c>
      <c r="L11">
        <f>SQRT((H11^2)+(H11^2))</f>
        <v>1.4142135623730951E-2</v>
      </c>
      <c r="N11">
        <f>($L$4-$L$5)*(E11/$L$4)</f>
        <v>9.9724039622429554</v>
      </c>
      <c r="O11">
        <f>SQRT(((E11/$L$4)*$M$4)^2+((E11/$L$4)*$M$5)^2+(($L$4-$L$5)*$H$11)^2+(((($L$5-$L$4)*E11)/($L$4^2))*$M$4)^2)</f>
        <v>0.19194028856993736</v>
      </c>
      <c r="Q11">
        <f>N11-N12</f>
        <v>2.0075668694657116</v>
      </c>
      <c r="R11">
        <f>SQRT((O11^2)+(O12^2))</f>
        <v>0.25035777156140571</v>
      </c>
      <c r="T11" s="5">
        <f>AVERAGE(Q11:Q19)</f>
        <v>2.0396407062411104</v>
      </c>
      <c r="U11" s="5">
        <f>SQRT(((R11^2)+(R12^2)+(R13^2)+(R14^2)+(R15^2)+(R16^2)+(R17^2)+(R18^2)+(R19^2))/$H$13)</f>
        <v>0.16695835306643075</v>
      </c>
      <c r="AE11" t="s">
        <v>77</v>
      </c>
      <c r="AH11">
        <f>AH8/2</f>
        <v>10</v>
      </c>
      <c r="AI11">
        <f>AI8</f>
        <v>0</v>
      </c>
    </row>
    <row r="12" spans="1:35" x14ac:dyDescent="0.25">
      <c r="B12" s="9" t="s">
        <v>69</v>
      </c>
      <c r="C12">
        <v>1</v>
      </c>
      <c r="D12">
        <v>1.233333333</v>
      </c>
      <c r="E12">
        <v>10.412178519999999</v>
      </c>
      <c r="F12">
        <v>0.57016836650000002</v>
      </c>
      <c r="G12" t="s">
        <v>71</v>
      </c>
      <c r="H12">
        <f>L6</f>
        <v>4.1599999999999996E-3</v>
      </c>
      <c r="K12">
        <f>ABS(E14-E17)</f>
        <v>1.9795470539999993</v>
      </c>
      <c r="L12" s="1"/>
      <c r="N12">
        <f>($L$4-$L$5)*(E14/$L$4)</f>
        <v>7.9648370927772438</v>
      </c>
      <c r="O12">
        <f>SQRT(((E14/$L$4)*$M$4)^2+((E14/$L$4)*$M$5)^2+(($L$4-$L$5)*$H$11)^2+(((($L$5-$L$4)*E14)/($L$4^2))*$M$4)^2)</f>
        <v>0.16074184086566315</v>
      </c>
      <c r="Q12">
        <f t="shared" ref="Q12:Q19" si="0">N12-N13</f>
        <v>1.8398457190229536</v>
      </c>
      <c r="R12">
        <f t="shared" ref="R12:R19" si="1">SQRT((O12^2)+(O13^2))</f>
        <v>0.20917676153689277</v>
      </c>
      <c r="AA12" t="s">
        <v>13</v>
      </c>
      <c r="AB12" t="s">
        <v>6</v>
      </c>
      <c r="AE12" t="s">
        <v>78</v>
      </c>
      <c r="AH12">
        <v>1.2</v>
      </c>
      <c r="AI12">
        <v>0</v>
      </c>
    </row>
    <row r="13" spans="1:35" x14ac:dyDescent="0.25">
      <c r="B13" s="8" t="s">
        <v>67</v>
      </c>
      <c r="C13">
        <v>2</v>
      </c>
      <c r="D13">
        <v>1.766666667</v>
      </c>
      <c r="E13">
        <v>8.5780016359999998</v>
      </c>
      <c r="F13">
        <v>0.60716626019999997</v>
      </c>
      <c r="G13" t="s">
        <v>41</v>
      </c>
      <c r="H13" s="4">
        <f>C39</f>
        <v>10</v>
      </c>
      <c r="K13">
        <f>ABS(E17-E20)</f>
        <v>2.2023836600000006</v>
      </c>
      <c r="L13" s="1"/>
      <c r="N13">
        <f>($L$4-$L$5)*(E17/$L$4)</f>
        <v>6.1249913737542903</v>
      </c>
      <c r="O13">
        <f>SQRT(((E17/$L$4)*$M$4)^2+((E17/$L$4)*$M$5)^2+(($L$4-$L$5)*$H$11)^2+(((($L$5-$L$4)*E17)/($L$4^2))*$M$4)^2)</f>
        <v>0.13385431693516622</v>
      </c>
      <c r="Q13">
        <f t="shared" si="0"/>
        <v>2.046956216731135</v>
      </c>
      <c r="R13">
        <f t="shared" si="1"/>
        <v>0.17161694105002995</v>
      </c>
      <c r="T13" t="s">
        <v>92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68</v>
      </c>
      <c r="C14">
        <v>2</v>
      </c>
      <c r="D14">
        <v>1.8833333329999999</v>
      </c>
      <c r="E14">
        <v>8.5696151799999996</v>
      </c>
      <c r="F14">
        <v>0.5495425706</v>
      </c>
      <c r="K14">
        <f>ABS(E20-E23)</f>
        <v>2.1563200289999997</v>
      </c>
      <c r="L14" s="1"/>
      <c r="N14">
        <f>($L$4-$L$5)*(E20/$L$4)</f>
        <v>4.0780351570231552</v>
      </c>
      <c r="O14">
        <f>SQRT(((E20/$L$4)*$M$4)^2+((E20/$L$4)*$M$5)^2+(($L$4-$L$5)*$H$11)^2+(((($L$5-$L$4)*E20)/($L$4^2))*$M$4)^2)</f>
        <v>0.10740296221794597</v>
      </c>
      <c r="Q14">
        <f t="shared" si="0"/>
        <v>2.0041434055242728</v>
      </c>
      <c r="R14">
        <f t="shared" si="1"/>
        <v>0.13893699283792021</v>
      </c>
      <c r="T14" t="s">
        <v>13</v>
      </c>
      <c r="U14" t="s">
        <v>6</v>
      </c>
      <c r="V14" t="s">
        <v>93</v>
      </c>
      <c r="W14" t="s">
        <v>6</v>
      </c>
      <c r="Z14" t="s">
        <v>27</v>
      </c>
      <c r="AA14">
        <f>(AA9-AA7)/2</f>
        <v>1.6434055399999998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69</v>
      </c>
      <c r="C15">
        <v>2</v>
      </c>
      <c r="D15">
        <v>2.233333333</v>
      </c>
      <c r="E15">
        <v>8.3168742709999997</v>
      </c>
      <c r="F15">
        <v>0.55464070560000001</v>
      </c>
      <c r="K15">
        <f>ABS(E26-E23)</f>
        <v>2.1047522195999999</v>
      </c>
      <c r="L15" s="1"/>
      <c r="N15">
        <f>($L$4-$L$5)*(E23/$L$4)</f>
        <v>2.0738917514988824</v>
      </c>
      <c r="O15">
        <f>SQRT(((E23/$L$4)*$M$4)^2+((E23/$L$4)*$M$5)^2+(($L$4-$L$5)*$H$11)^2+(((($L$5-$L$4)*E23)/($L$4^2))*$M$4)^2)</f>
        <v>8.8136778280436145E-2</v>
      </c>
      <c r="Q15">
        <f t="shared" si="0"/>
        <v>1.9562148588538271</v>
      </c>
      <c r="R15">
        <f t="shared" si="1"/>
        <v>0.11927367765709544</v>
      </c>
      <c r="T15">
        <f>E11*$AH$28</f>
        <v>9.5522518493479716</v>
      </c>
      <c r="U15">
        <f>(SQRT(($M$3/E11)^2+($AI$28/$AH$28^2)))/100*T15</f>
        <v>9.9092670916483584E-3</v>
      </c>
      <c r="V15">
        <f>T15-T16</f>
        <v>1.9229851111276481</v>
      </c>
      <c r="W15">
        <f>SQRT(U15^2+U16^2)</f>
        <v>1.2682047820470324E-2</v>
      </c>
      <c r="Z15" t="s">
        <v>28</v>
      </c>
      <c r="AA15">
        <f>AA14/AA13</f>
        <v>1.3470537213114753</v>
      </c>
      <c r="AB15">
        <f>(((AB13/AA13)*100+(AB14/AA14)*100)/100)*AA15</f>
        <v>8.1967213114754085E-3</v>
      </c>
      <c r="AE15">
        <v>1</v>
      </c>
      <c r="AG15" t="s">
        <v>79</v>
      </c>
      <c r="AH15">
        <f>AH11</f>
        <v>10</v>
      </c>
      <c r="AI15">
        <f>AI11</f>
        <v>0</v>
      </c>
    </row>
    <row r="16" spans="1:35" x14ac:dyDescent="0.25">
      <c r="B16" s="8" t="s">
        <v>67</v>
      </c>
      <c r="C16">
        <v>3</v>
      </c>
      <c r="D16">
        <v>2.75</v>
      </c>
      <c r="E16">
        <v>6.5950624900000001</v>
      </c>
      <c r="F16">
        <v>0.61104436029999998</v>
      </c>
      <c r="K16">
        <f>ABS(E29-E26)</f>
        <v>2.3053007864000001</v>
      </c>
      <c r="L16" s="1"/>
      <c r="N16">
        <f>($L$4-$L$5)*(E26/$L$4)</f>
        <v>0.11767689264505532</v>
      </c>
      <c r="O16">
        <f>SQRT(((E26/$L$4)*$M$4)^2+((E26/$L$4)*$M$5)^2+(($L$4-$L$5)*$H$11)^2+(((($L$5-$L$4)*E26)/($L$4^2))*$M$4)^2)</f>
        <v>8.0362419676077129E-2</v>
      </c>
      <c r="Q16">
        <f t="shared" si="0"/>
        <v>2.1426102371993876</v>
      </c>
      <c r="R16">
        <f t="shared" si="1"/>
        <v>0.11901635883394444</v>
      </c>
      <c r="T16">
        <f>E14*$AH$28</f>
        <v>7.6292667382203234</v>
      </c>
      <c r="U16">
        <f>(SQRT(($M$3/E14)^2+($AI$28/$AH$28^2)))/100*T16</f>
        <v>7.9145917536579853E-3</v>
      </c>
      <c r="V16">
        <f t="shared" ref="V16:V23" si="2">T16-T17</f>
        <v>1.7623303005566493</v>
      </c>
      <c r="W16">
        <f t="shared" ref="W16:W23" si="3">SQRT(U16^2+U17^2)</f>
        <v>9.9843721997909113E-3</v>
      </c>
      <c r="X16" s="6" t="s">
        <v>94</v>
      </c>
      <c r="Y16" s="6" t="s">
        <v>95</v>
      </c>
      <c r="Z16" t="s">
        <v>29</v>
      </c>
      <c r="AA16">
        <f>ATAN(AA14/AA13)</f>
        <v>0.93220220168416956</v>
      </c>
      <c r="AB16">
        <f>(ABS(1/(1+AA15)))*AB15</f>
        <v>3.4923449928088075E-3</v>
      </c>
      <c r="AG16" t="s">
        <v>80</v>
      </c>
      <c r="AH16">
        <f>AH10/2</f>
        <v>11.64340554</v>
      </c>
      <c r="AI16">
        <f>AI10</f>
        <v>0.01</v>
      </c>
    </row>
    <row r="17" spans="2:35" x14ac:dyDescent="0.25">
      <c r="B17" s="5" t="s">
        <v>68</v>
      </c>
      <c r="C17">
        <v>3</v>
      </c>
      <c r="D17">
        <v>2.9166666669999999</v>
      </c>
      <c r="E17">
        <v>6.5900681260000002</v>
      </c>
      <c r="F17">
        <v>0.54251608699999998</v>
      </c>
      <c r="K17">
        <f>ABS(E32-E29)</f>
        <v>2.1462894099999996</v>
      </c>
      <c r="L17" s="1"/>
      <c r="N17">
        <f>($L$4-$L$5)*(E29/$L$4)</f>
        <v>-2.024933344554332</v>
      </c>
      <c r="O17">
        <f>SQRT(((E29/$L$4)*$M$4)^2+((E29/$L$4)*$M$5)^2+(($L$4-$L$5)*$H$11)^2+(((($L$5-$L$4)*E29)/($L$4^2))*$M$4)^2)</f>
        <v>8.7788240521702435E-2</v>
      </c>
      <c r="Q17">
        <f t="shared" si="0"/>
        <v>1.9948206711194456</v>
      </c>
      <c r="R17">
        <f t="shared" si="1"/>
        <v>0.13819538637947962</v>
      </c>
      <c r="T17">
        <f>E17*$AH$28</f>
        <v>5.8669364376636741</v>
      </c>
      <c r="U17">
        <f>(SQRT(($M$3/E17)^2+($AI$28/$AH$28^2)))/100*T17</f>
        <v>6.086618568374942E-3</v>
      </c>
      <c r="V17">
        <f t="shared" si="2"/>
        <v>1.9607149269960504</v>
      </c>
      <c r="W17">
        <f t="shared" si="3"/>
        <v>7.3125908075300991E-3</v>
      </c>
      <c r="X17" s="5">
        <f>AVERAGE(V15:V23)</f>
        <v>1.9537076297714446</v>
      </c>
      <c r="Y17" s="5">
        <f>SQRT(((W15^2)+(W16^2)+(W17^2)+(W18^2)+(W19^2)+(W20^2)+(W21^2)+(W22^2)+(W23^2))/$H$13)</f>
        <v>7.2489072653285011E-3</v>
      </c>
      <c r="Z17" t="s">
        <v>30</v>
      </c>
      <c r="AA17">
        <f>SQRT((AA14^2)+(AA13^2))</f>
        <v>2.0467490732629368</v>
      </c>
      <c r="AB17">
        <f>SQRT(((ABS(AA13*(AA13^2+AA14^2)))*AB13)^2+((ABS(AA14*(AA13^2+AA14^2)))*AB14)^2)</f>
        <v>6.8845245270816799E-2</v>
      </c>
      <c r="AG17" t="s">
        <v>81</v>
      </c>
      <c r="AH17">
        <f>(AH16)-AH15</f>
        <v>1.6434055399999998</v>
      </c>
      <c r="AI17">
        <f>AI16</f>
        <v>0.01</v>
      </c>
    </row>
    <row r="18" spans="2:35" x14ac:dyDescent="0.25">
      <c r="B18" s="9" t="s">
        <v>69</v>
      </c>
      <c r="C18">
        <v>3</v>
      </c>
      <c r="D18">
        <v>3.1666666669999999</v>
      </c>
      <c r="E18">
        <v>6.2943643570000001</v>
      </c>
      <c r="F18">
        <v>0.56654110999999996</v>
      </c>
      <c r="K18">
        <f>ABS(E35-E32)</f>
        <v>2.3950555830000004</v>
      </c>
      <c r="N18">
        <f>($L$4-$L$5)*(E32/$L$4)</f>
        <v>-4.0197540156737777</v>
      </c>
      <c r="O18">
        <f>SQRT(((E32/$L$4)*$M$4)^2+((E32/$L$4)*$M$5)^2+(($L$4-$L$5)*$H$11)^2+(((($L$5-$L$4)*E32)/($L$4^2))*$M$4)^2)</f>
        <v>0.1067295162674196</v>
      </c>
      <c r="Q18">
        <f t="shared" si="0"/>
        <v>2.2260308247285412</v>
      </c>
      <c r="R18">
        <f t="shared" si="1"/>
        <v>0.1725246730939215</v>
      </c>
      <c r="T18">
        <f>E20*$AH$28</f>
        <v>3.9062215106676237</v>
      </c>
      <c r="U18">
        <f>(SQRT(($M$3/E20)^2+($AI$28/$AH$28^2)))/100*T18</f>
        <v>4.0530308068761432E-3</v>
      </c>
      <c r="V18">
        <f t="shared" si="2"/>
        <v>1.9197058827801392</v>
      </c>
      <c r="W18">
        <f t="shared" si="3"/>
        <v>4.5476785471876089E-3</v>
      </c>
      <c r="Z18" t="s">
        <v>31</v>
      </c>
      <c r="AA18">
        <f>AA17/AA14</f>
        <v>1.2454315282781248</v>
      </c>
      <c r="AB18">
        <f>(((AB17/AA17)*100+(AB14/AA14)*100)/100)*AA18</f>
        <v>4.9470175543888002E-2</v>
      </c>
      <c r="AG18" t="s">
        <v>82</v>
      </c>
      <c r="AH18">
        <f>2*AH9</f>
        <v>2.4</v>
      </c>
      <c r="AI18">
        <f>AI9</f>
        <v>0</v>
      </c>
    </row>
    <row r="19" spans="2:35" x14ac:dyDescent="0.25">
      <c r="B19" s="8" t="s">
        <v>67</v>
      </c>
      <c r="C19">
        <v>4</v>
      </c>
      <c r="D19">
        <v>3.7833333329999999</v>
      </c>
      <c r="E19">
        <v>4.3741160939999997</v>
      </c>
      <c r="F19">
        <v>0.63417161089999996</v>
      </c>
      <c r="K19">
        <f>ABS(E38-E35)</f>
        <v>2.3009618969999996</v>
      </c>
      <c r="N19">
        <f>($L$4-$L$5)*(E35/$L$4)</f>
        <v>-6.2457848404023188</v>
      </c>
      <c r="O19">
        <f>SQRT(((E35/$L$4)*$M$4)^2+((E35/$L$4)*$M$5)^2+(($L$4-$L$5)*$H$11)^2+(((($L$5-$L$4)*E35)/($L$4^2))*$M$4)^2)</f>
        <v>0.13554915412309695</v>
      </c>
      <c r="Q19">
        <f t="shared" si="0"/>
        <v>2.1385775535247191</v>
      </c>
      <c r="R19">
        <f t="shared" si="1"/>
        <v>0.2151912900407533</v>
      </c>
      <c r="T19">
        <f>E23*$AH$28</f>
        <v>1.9865156278874845</v>
      </c>
      <c r="U19">
        <f>(SQRT(($M$3/E23)^2+($AI$28/$AH$28^2)))/100*T19</f>
        <v>2.0626006513776054E-3</v>
      </c>
      <c r="V19">
        <f t="shared" si="2"/>
        <v>1.8737966365940923</v>
      </c>
      <c r="W19">
        <f t="shared" si="3"/>
        <v>2.0678295870110511E-3</v>
      </c>
      <c r="Z19" t="s">
        <v>32</v>
      </c>
      <c r="AA19">
        <f>1/AA15</f>
        <v>0.74236089042270126</v>
      </c>
      <c r="AB19">
        <f>AB15</f>
        <v>8.1967213114754085E-3</v>
      </c>
      <c r="AG19" t="s">
        <v>83</v>
      </c>
      <c r="AH19">
        <f>AH17/AH18</f>
        <v>0.68475230833333334</v>
      </c>
      <c r="AI19">
        <f>SQRT((AI17/AH18)^2)</f>
        <v>4.1666666666666666E-3</v>
      </c>
    </row>
    <row r="20" spans="2:35" x14ac:dyDescent="0.25">
      <c r="B20" s="5" t="s">
        <v>68</v>
      </c>
      <c r="C20">
        <v>4</v>
      </c>
      <c r="D20">
        <v>3.9</v>
      </c>
      <c r="E20">
        <v>4.3876844659999996</v>
      </c>
      <c r="F20">
        <v>0.59055327599999996</v>
      </c>
      <c r="N20">
        <f>($L$4-$L$5)*(E38/$L$4)</f>
        <v>-8.384362393927038</v>
      </c>
      <c r="O20">
        <f>SQRT(((E38/$L$4)*$M$4)^2+((E38/$L$4)*$M$5)^2+(($L$4-$L$5)*$H$11)^2+(((($L$5-$L$4)*E38)/($L$4^2))*$M$4)^2)</f>
        <v>0.16713383297799558</v>
      </c>
      <c r="T20">
        <f>E26*$AH$28</f>
        <v>0.11271899129339208</v>
      </c>
      <c r="U20">
        <f>(SQRT(($M$3/E26)^2+($AI$28/$AH$28^2)))/100*T20</f>
        <v>1.4696174282776084E-4</v>
      </c>
      <c r="V20">
        <f t="shared" si="2"/>
        <v>2.0523389022556642</v>
      </c>
      <c r="W20">
        <f t="shared" si="3"/>
        <v>2.0193553860199894E-3</v>
      </c>
      <c r="Z20" t="s">
        <v>33</v>
      </c>
      <c r="AA20">
        <f>AA10*AA19</f>
        <v>8.6436089042270119</v>
      </c>
      <c r="AB20">
        <f>(((AB10/AA10)*100+(AB19/AA19)*100)/100)*AA20</f>
        <v>0.10286135923209583</v>
      </c>
      <c r="AG20" t="s">
        <v>84</v>
      </c>
      <c r="AH20">
        <f>ATAN(AH19)</f>
        <v>0.60041914534312879</v>
      </c>
      <c r="AI20">
        <f>(ABS(1/(1+AH19)))*AI19</f>
        <v>2.4731627587372797E-3</v>
      </c>
    </row>
    <row r="21" spans="2:35" x14ac:dyDescent="0.25">
      <c r="B21" s="9" t="s">
        <v>69</v>
      </c>
      <c r="C21">
        <v>4</v>
      </c>
      <c r="D21">
        <v>4.2</v>
      </c>
      <c r="E21">
        <v>4.116599313</v>
      </c>
      <c r="F21">
        <v>0.58157322580000004</v>
      </c>
      <c r="T21">
        <f>E29*$AH$28</f>
        <v>-1.9396199109622723</v>
      </c>
      <c r="U21">
        <f>(SQRT(($M$3/E29)^2+($AI$28/$AH$28^2)))/100*T21</f>
        <v>-2.0140006010905178E-3</v>
      </c>
      <c r="V21">
        <f t="shared" si="2"/>
        <v>1.9107759289498834</v>
      </c>
      <c r="W21">
        <f t="shared" si="3"/>
        <v>4.4740701160273441E-3</v>
      </c>
      <c r="Z21" t="s">
        <v>34</v>
      </c>
      <c r="AA21">
        <f>AA10*AA18</f>
        <v>14.501064356044184</v>
      </c>
      <c r="AB21">
        <f>(((AB10/AA10)*100+(AB18/AA18)*100)/100)*AA21</f>
        <v>0.58845563127525935</v>
      </c>
    </row>
    <row r="22" spans="2:35" x14ac:dyDescent="0.25">
      <c r="B22" s="8" t="s">
        <v>67</v>
      </c>
      <c r="C22">
        <v>5</v>
      </c>
      <c r="D22">
        <v>4.8</v>
      </c>
      <c r="E22">
        <v>2.210647727</v>
      </c>
      <c r="F22">
        <v>0.64169123589999999</v>
      </c>
      <c r="T22">
        <f>E32*$AH$28</f>
        <v>-3.8503958399121556</v>
      </c>
      <c r="U22">
        <f>(SQRT(($M$3/E32)^2+($AI$28/$AH$28^2)))/100*T22</f>
        <v>-3.9951351644138353E-3</v>
      </c>
      <c r="V22">
        <f t="shared" si="2"/>
        <v>2.1322448571804822</v>
      </c>
      <c r="W22">
        <f t="shared" si="3"/>
        <v>7.3812843675147219E-3</v>
      </c>
      <c r="AE22">
        <v>2</v>
      </c>
      <c r="AG22" t="s">
        <v>85</v>
      </c>
      <c r="AH22">
        <f>AH18/AH17</f>
        <v>1.4603820795200679</v>
      </c>
      <c r="AI22">
        <f>SQRT((AI17*(AH18/(AH17^2)))^2)</f>
        <v>8.8863159090973257E-3</v>
      </c>
    </row>
    <row r="23" spans="2:35" x14ac:dyDescent="0.25">
      <c r="B23" s="5" t="s">
        <v>68</v>
      </c>
      <c r="C23">
        <v>5</v>
      </c>
      <c r="D23">
        <v>4.95</v>
      </c>
      <c r="E23">
        <v>2.2313644369999999</v>
      </c>
      <c r="F23">
        <v>0.59431665560000002</v>
      </c>
      <c r="T23">
        <f>E35*$AH$28</f>
        <v>-5.9826406970926378</v>
      </c>
      <c r="U23">
        <f>(SQRT(($M$3/E35)^2+($AI$28/$AH$28^2)))/100*T23</f>
        <v>-6.2066298368906488E-3</v>
      </c>
      <c r="V23">
        <f t="shared" si="2"/>
        <v>2.048476121502393</v>
      </c>
      <c r="W23">
        <f t="shared" si="3"/>
        <v>1.0389167343369398E-2</v>
      </c>
      <c r="AA23" t="s">
        <v>13</v>
      </c>
      <c r="AB23" t="s">
        <v>6</v>
      </c>
      <c r="AG23" t="s">
        <v>33</v>
      </c>
      <c r="AH23">
        <f>AH22*AH16</f>
        <v>17.003820795200678</v>
      </c>
      <c r="AI23">
        <f>((SQRT((((AI19/AH19)*100)^2)+(((AI16/AH16)*100)^2)))/100)*AH23</f>
        <v>0.10449252369707725</v>
      </c>
    </row>
    <row r="24" spans="2:35" x14ac:dyDescent="0.25">
      <c r="B24" s="9" t="s">
        <v>69</v>
      </c>
      <c r="C24">
        <v>5</v>
      </c>
      <c r="D24">
        <v>5.233333333</v>
      </c>
      <c r="E24">
        <v>1.9100952550000001</v>
      </c>
      <c r="F24">
        <v>0.60440915449999999</v>
      </c>
      <c r="T24">
        <f>E38*$AH$28</f>
        <v>-8.0311168185950308</v>
      </c>
      <c r="U24">
        <f>(SQRT(($M$3/E38)^2+($AI$28/$AH$28^2)))/100*T24</f>
        <v>-8.3314190961895507E-3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86</v>
      </c>
      <c r="AH24">
        <f>AH23-(AH9/2)</f>
        <v>16.403820795200676</v>
      </c>
      <c r="AI24">
        <f>AI23</f>
        <v>0.10449252369707725</v>
      </c>
    </row>
    <row r="25" spans="2:35" x14ac:dyDescent="0.25">
      <c r="B25" s="8" t="s">
        <v>67</v>
      </c>
      <c r="C25">
        <v>6</v>
      </c>
      <c r="D25">
        <v>5.75</v>
      </c>
      <c r="E25">
        <v>7.6719510190000006E-2</v>
      </c>
      <c r="F25">
        <v>0.68112347669999995</v>
      </c>
      <c r="J25" t="s">
        <v>58</v>
      </c>
      <c r="K25" t="s">
        <v>57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8.0336089042270125</v>
      </c>
      <c r="AB25">
        <f>SQRT((AB20^2)+(AB24^2))</f>
        <v>0.10286135923209583</v>
      </c>
      <c r="AG25" t="s">
        <v>87</v>
      </c>
      <c r="AH25">
        <f>AH22*AH24</f>
        <v>23.955845924969697</v>
      </c>
      <c r="AI25">
        <f>((SQRT((((AI22/AH22)*100)^2)+(((AI24/AH24)*100)^2)))/100)*AH25</f>
        <v>0.21103368100653036</v>
      </c>
    </row>
    <row r="26" spans="2:35" x14ac:dyDescent="0.25">
      <c r="B26" s="5" t="s">
        <v>68</v>
      </c>
      <c r="C26">
        <v>6</v>
      </c>
      <c r="D26">
        <v>5.8666666669999996</v>
      </c>
      <c r="E26">
        <v>0.1266122174</v>
      </c>
      <c r="F26">
        <v>0.64760859000000004</v>
      </c>
      <c r="J26">
        <f>D10/4</f>
        <v>0.1875</v>
      </c>
      <c r="K26">
        <f>J26-J27</f>
        <v>-0.12083333325000001</v>
      </c>
      <c r="M26">
        <v>1</v>
      </c>
      <c r="N26">
        <f>ABS(K26)</f>
        <v>0.12083333325000001</v>
      </c>
      <c r="O26">
        <f>ABS(K27)</f>
        <v>0.13333333349999998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69</v>
      </c>
      <c r="C27">
        <v>6</v>
      </c>
      <c r="D27">
        <v>6.25</v>
      </c>
      <c r="E27">
        <v>-0.14020687649999999</v>
      </c>
      <c r="F27">
        <v>0.67105096900000005</v>
      </c>
      <c r="J27">
        <f>D12/4</f>
        <v>0.30833333325000001</v>
      </c>
      <c r="K27">
        <f t="shared" ref="K27:K44" si="4">J27-J28</f>
        <v>-0.13333333349999998</v>
      </c>
      <c r="M27">
        <v>2</v>
      </c>
      <c r="N27">
        <f>ABS(K28)</f>
        <v>0.11666666650000002</v>
      </c>
      <c r="O27">
        <f>ABS(K29)</f>
        <v>0.12916666674999999</v>
      </c>
      <c r="P27" t="s">
        <v>110</v>
      </c>
      <c r="AE27">
        <v>3</v>
      </c>
      <c r="AG27" t="s">
        <v>88</v>
      </c>
      <c r="AH27">
        <f>AH24-((3/2)*AH9)</f>
        <v>14.603820795200676</v>
      </c>
      <c r="AI27">
        <f>AI24</f>
        <v>0.10449252369707725</v>
      </c>
    </row>
    <row r="28" spans="2:35" x14ac:dyDescent="0.25">
      <c r="B28" s="8" t="s">
        <v>67</v>
      </c>
      <c r="C28">
        <v>7</v>
      </c>
      <c r="D28">
        <v>6.85</v>
      </c>
      <c r="E28">
        <v>-2.1921841099999999</v>
      </c>
      <c r="F28">
        <v>0.65464934210000003</v>
      </c>
      <c r="J28">
        <f>D13/4</f>
        <v>0.44166666674999999</v>
      </c>
      <c r="K28">
        <f t="shared" si="4"/>
        <v>-0.11666666650000002</v>
      </c>
      <c r="M28">
        <v>3</v>
      </c>
      <c r="N28">
        <f>ABS(K30)</f>
        <v>0.10416666674999997</v>
      </c>
      <c r="O28">
        <f>ABS(K31)</f>
        <v>0.15416666649999999</v>
      </c>
      <c r="P28">
        <f>H13</f>
        <v>10</v>
      </c>
      <c r="AG28" t="s">
        <v>89</v>
      </c>
      <c r="AH28">
        <f>AH27/AH24</f>
        <v>0.89026946694476006</v>
      </c>
      <c r="AI28">
        <f>SQRT((AI27/AH24)^2+((AH27*AI24/(AH24^2))^2))</f>
        <v>8.5286333063445303E-3</v>
      </c>
    </row>
    <row r="29" spans="2:35" x14ac:dyDescent="0.25">
      <c r="B29" s="5" t="s">
        <v>68</v>
      </c>
      <c r="C29">
        <v>7</v>
      </c>
      <c r="D29">
        <v>6.983333333</v>
      </c>
      <c r="E29">
        <v>-2.1786885690000002</v>
      </c>
      <c r="F29">
        <v>0.60742042269999996</v>
      </c>
      <c r="J29">
        <f>D15/4</f>
        <v>0.55833333325000001</v>
      </c>
      <c r="K29">
        <f t="shared" si="4"/>
        <v>-0.12916666674999999</v>
      </c>
      <c r="M29">
        <v>4</v>
      </c>
      <c r="N29">
        <f>ABS(K32)</f>
        <v>0.10416666675000008</v>
      </c>
      <c r="O29">
        <f>ABS(K33)</f>
        <v>0.14999999999999991</v>
      </c>
      <c r="P29" t="s">
        <v>111</v>
      </c>
      <c r="R29" t="s">
        <v>64</v>
      </c>
      <c r="V29" t="s">
        <v>65</v>
      </c>
      <c r="AG29" t="s">
        <v>90</v>
      </c>
    </row>
    <row r="30" spans="2:35" x14ac:dyDescent="0.25">
      <c r="B30" s="9" t="s">
        <v>69</v>
      </c>
      <c r="C30">
        <v>7</v>
      </c>
      <c r="D30">
        <v>7.3</v>
      </c>
      <c r="E30">
        <v>-2.5071789189999998</v>
      </c>
      <c r="F30">
        <v>0.61765858259999995</v>
      </c>
      <c r="J30">
        <f>D16/4</f>
        <v>0.6875</v>
      </c>
      <c r="K30">
        <f t="shared" si="4"/>
        <v>-0.10416666674999997</v>
      </c>
      <c r="M30">
        <v>5</v>
      </c>
      <c r="N30">
        <f>ABS(K34)</f>
        <v>0.10833333325000005</v>
      </c>
      <c r="O30">
        <f>ABS(K35)</f>
        <v>0.12916666674999999</v>
      </c>
      <c r="P30">
        <f>P28-1</f>
        <v>9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91</v>
      </c>
    </row>
    <row r="31" spans="2:35" x14ac:dyDescent="0.25">
      <c r="B31" s="8" t="s">
        <v>67</v>
      </c>
      <c r="C31">
        <v>8</v>
      </c>
      <c r="D31">
        <v>7.85</v>
      </c>
      <c r="E31">
        <v>-4.3266221399999996</v>
      </c>
      <c r="F31">
        <v>0.6688074919</v>
      </c>
      <c r="J31">
        <f>D18/4</f>
        <v>0.79166666674999997</v>
      </c>
      <c r="K31">
        <f t="shared" si="4"/>
        <v>-0.15416666649999999</v>
      </c>
      <c r="M31">
        <v>6</v>
      </c>
      <c r="N31">
        <f>ABS(K36)</f>
        <v>0.125</v>
      </c>
      <c r="O31">
        <f>ABS(K37)</f>
        <v>0.14999999999999991</v>
      </c>
      <c r="R31" s="6" t="s">
        <v>19</v>
      </c>
      <c r="S31" s="5">
        <f>SUM(N26:O35)</f>
        <v>2.4041666675000002</v>
      </c>
      <c r="T31" s="5">
        <f>SQRT((P26^2)*10)</f>
        <v>1.8604085572798249E-2</v>
      </c>
      <c r="V31" s="6" t="s">
        <v>16</v>
      </c>
      <c r="W31" s="5">
        <f>AVERAGE(N26:N35)</f>
        <v>0.10958333340000008</v>
      </c>
      <c r="X31" s="13">
        <f>SQRT(((P26)^2)/P28)</f>
        <v>1.8604085572798247E-3</v>
      </c>
    </row>
    <row r="32" spans="2:35" x14ac:dyDescent="0.25">
      <c r="B32" s="5" t="s">
        <v>68</v>
      </c>
      <c r="C32">
        <v>8</v>
      </c>
      <c r="D32">
        <v>7.9666666670000001</v>
      </c>
      <c r="E32">
        <v>-4.3249779789999998</v>
      </c>
      <c r="F32">
        <v>0.57124888230000004</v>
      </c>
      <c r="J32">
        <f>D19/4</f>
        <v>0.94583333324999996</v>
      </c>
      <c r="K32">
        <f t="shared" si="4"/>
        <v>-0.10416666675000008</v>
      </c>
      <c r="M32">
        <v>7</v>
      </c>
      <c r="N32">
        <f>ABS(K38)</f>
        <v>0.11250000000000004</v>
      </c>
      <c r="O32">
        <f>ABS(K39)</f>
        <v>0.13749999999999996</v>
      </c>
      <c r="R32" s="6" t="s">
        <v>21</v>
      </c>
      <c r="S32" s="5">
        <f>H13/S31</f>
        <v>4.1594454058372801</v>
      </c>
      <c r="T32" s="5">
        <f>(H13/(S31^2))*T31</f>
        <v>3.2186902560314819E-2</v>
      </c>
      <c r="V32" s="6" t="s">
        <v>18</v>
      </c>
      <c r="W32" s="5">
        <f>AVERAGE(O26:O34)</f>
        <v>0.14537037038888881</v>
      </c>
      <c r="X32" s="13">
        <f>SQRT(((P26)^2)/P30)</f>
        <v>1.9610428064906916E-3</v>
      </c>
    </row>
    <row r="33" spans="2:42" x14ac:dyDescent="0.25">
      <c r="B33" s="9" t="s">
        <v>69</v>
      </c>
      <c r="C33">
        <v>8</v>
      </c>
      <c r="D33">
        <v>8.2666666670000009</v>
      </c>
      <c r="E33">
        <v>-4.6134605799999999</v>
      </c>
      <c r="F33">
        <v>0.5951282443</v>
      </c>
      <c r="J33">
        <f>D21/4</f>
        <v>1.05</v>
      </c>
      <c r="K33">
        <f t="shared" si="4"/>
        <v>-0.14999999999999991</v>
      </c>
      <c r="M33">
        <v>8</v>
      </c>
      <c r="N33">
        <f>ABS(K40)</f>
        <v>0.1041666667500003</v>
      </c>
      <c r="O33">
        <f>ABS(K41)</f>
        <v>0.15416666649999966</v>
      </c>
      <c r="P33" s="3"/>
      <c r="Q33" s="3"/>
    </row>
    <row r="34" spans="2:42" x14ac:dyDescent="0.25">
      <c r="B34" s="8" t="s">
        <v>67</v>
      </c>
      <c r="C34">
        <v>9</v>
      </c>
      <c r="D34">
        <v>8.8833333329999995</v>
      </c>
      <c r="E34">
        <v>-6.7193052570000003</v>
      </c>
      <c r="F34">
        <v>0.59426141259999998</v>
      </c>
      <c r="J34">
        <f>D22/4</f>
        <v>1.2</v>
      </c>
      <c r="K34">
        <f t="shared" si="4"/>
        <v>-0.10833333325000005</v>
      </c>
      <c r="M34">
        <v>9</v>
      </c>
      <c r="N34">
        <f>ABS(K42)</f>
        <v>0.10000000000000009</v>
      </c>
      <c r="O34">
        <f>ABS(K43)</f>
        <v>0.17083333350000007</v>
      </c>
      <c r="P34" s="3"/>
      <c r="Q34" s="3"/>
      <c r="R34" s="3"/>
    </row>
    <row r="35" spans="2:42" x14ac:dyDescent="0.25">
      <c r="B35" s="5" t="s">
        <v>68</v>
      </c>
      <c r="C35">
        <v>9</v>
      </c>
      <c r="D35">
        <v>9</v>
      </c>
      <c r="E35">
        <v>-6.7200335620000002</v>
      </c>
      <c r="F35">
        <v>0.55815556840000002</v>
      </c>
      <c r="J35">
        <f>D24/4</f>
        <v>1.30833333325</v>
      </c>
      <c r="K35">
        <f t="shared" si="4"/>
        <v>-0.12916666674999999</v>
      </c>
      <c r="M35">
        <v>10</v>
      </c>
      <c r="N35">
        <f>ABS(K44)</f>
        <v>0.10000000075000015</v>
      </c>
      <c r="P35" s="3"/>
      <c r="Q35" s="3"/>
    </row>
    <row r="36" spans="2:42" x14ac:dyDescent="0.25">
      <c r="B36" s="9" t="s">
        <v>69</v>
      </c>
      <c r="C36">
        <v>9</v>
      </c>
      <c r="D36">
        <v>9.2833333329999999</v>
      </c>
      <c r="E36">
        <v>-6.951038134</v>
      </c>
      <c r="F36">
        <v>0.56642730480000003</v>
      </c>
      <c r="J36">
        <f>D25/4</f>
        <v>1.4375</v>
      </c>
      <c r="K36">
        <f t="shared" si="4"/>
        <v>-0.125</v>
      </c>
      <c r="Q36" t="s">
        <v>102</v>
      </c>
      <c r="AD36" t="s">
        <v>42</v>
      </c>
    </row>
    <row r="37" spans="2:42" x14ac:dyDescent="0.25">
      <c r="B37" s="8" t="s">
        <v>67</v>
      </c>
      <c r="C37">
        <v>10</v>
      </c>
      <c r="D37">
        <v>9.9666666670000001</v>
      </c>
      <c r="E37">
        <v>-9.0122448500000001</v>
      </c>
      <c r="F37">
        <v>0.62967702640000001</v>
      </c>
      <c r="J37">
        <f>D27/4</f>
        <v>1.5625</v>
      </c>
      <c r="K37">
        <f t="shared" si="4"/>
        <v>-0.14999999999999991</v>
      </c>
      <c r="Q37" t="s">
        <v>103</v>
      </c>
      <c r="R37" t="s">
        <v>105</v>
      </c>
      <c r="S37" t="s">
        <v>104</v>
      </c>
      <c r="T37" t="s">
        <v>106</v>
      </c>
      <c r="V37" t="s">
        <v>107</v>
      </c>
      <c r="W37" t="s">
        <v>108</v>
      </c>
      <c r="AA37" s="6" t="s">
        <v>13</v>
      </c>
      <c r="AB37" s="6" t="s">
        <v>6</v>
      </c>
      <c r="AC37" s="7" t="s">
        <v>44</v>
      </c>
      <c r="AD37" s="10" t="s">
        <v>43</v>
      </c>
      <c r="AE37" s="10"/>
      <c r="AF37" s="10"/>
      <c r="AG37" s="10"/>
    </row>
    <row r="38" spans="2:42" x14ac:dyDescent="0.25">
      <c r="B38" s="5" t="s">
        <v>68</v>
      </c>
      <c r="C38">
        <v>10</v>
      </c>
      <c r="D38">
        <v>10.1</v>
      </c>
      <c r="E38">
        <v>-9.0209954589999999</v>
      </c>
      <c r="F38">
        <v>0.55400041479999995</v>
      </c>
      <c r="J38">
        <f>D28/4</f>
        <v>1.7124999999999999</v>
      </c>
      <c r="K38">
        <f t="shared" si="4"/>
        <v>-0.11250000000000004</v>
      </c>
      <c r="Q38">
        <f t="shared" ref="Q38:Q46" si="5">V15</f>
        <v>1.9229851111276481</v>
      </c>
      <c r="R38">
        <f t="shared" ref="R38:R46" si="6">W15</f>
        <v>1.2682047820470324E-2</v>
      </c>
      <c r="S38">
        <f>D13/4-D10/4</f>
        <v>0.25416666674999999</v>
      </c>
      <c r="T38">
        <f>$P$26</f>
        <v>5.8831284194720748E-3</v>
      </c>
      <c r="V38">
        <f>Q38/S38</f>
        <v>7.5658430576937494</v>
      </c>
      <c r="W38">
        <f>SQRT(((1/S38)*R38)^2+((Q38/(S38^2))*T38)^2)</f>
        <v>0.18209415486006522</v>
      </c>
      <c r="Y38" s="6" t="s">
        <v>109</v>
      </c>
      <c r="Z38" s="6"/>
      <c r="AA38" s="5">
        <f>AVERAGE(V38:V47)</f>
        <v>7.632303245738969</v>
      </c>
      <c r="AB38" s="12">
        <f>SQRT(SUM(W38^2+W39^2+W40^2+W41^2+W42^2+W43^2+W44^2+W45^2+W46^2+W47^2)/(H13^2))</f>
        <v>5.3563247494600834E-2</v>
      </c>
      <c r="AC38" s="7" t="s">
        <v>45</v>
      </c>
      <c r="AD38" s="10" t="s">
        <v>46</v>
      </c>
      <c r="AE38" s="10"/>
      <c r="AF38" s="10"/>
      <c r="AG38" s="10"/>
    </row>
    <row r="39" spans="2:42" x14ac:dyDescent="0.25">
      <c r="B39" s="9" t="s">
        <v>69</v>
      </c>
      <c r="C39">
        <v>10</v>
      </c>
      <c r="D39">
        <v>10.366666670000001</v>
      </c>
      <c r="E39">
        <v>-9.2986463060000002</v>
      </c>
      <c r="F39">
        <v>0.57766128530000005</v>
      </c>
      <c r="J39">
        <f>D30/4</f>
        <v>1.825</v>
      </c>
      <c r="K39">
        <f t="shared" si="4"/>
        <v>-0.13749999999999996</v>
      </c>
      <c r="Q39">
        <f t="shared" si="5"/>
        <v>1.7623303005566493</v>
      </c>
      <c r="R39">
        <f t="shared" si="6"/>
        <v>9.9843721997909113E-3</v>
      </c>
      <c r="S39">
        <f>D16/4-D13/4</f>
        <v>0.24583333325000001</v>
      </c>
      <c r="T39">
        <f t="shared" ref="T39:T46" si="7">$P$26</f>
        <v>5.8831284194720748E-3</v>
      </c>
      <c r="V39">
        <f t="shared" ref="V39:V46" si="8">Q39/S39</f>
        <v>7.1688012250334214</v>
      </c>
      <c r="W39">
        <f t="shared" ref="W39:W46" si="9">SQRT(((1/S39)*R39)^2+((Q39/(S39^2))*T39)^2)</f>
        <v>0.17630116197072865</v>
      </c>
      <c r="AC39" s="7" t="s">
        <v>47</v>
      </c>
      <c r="AD39" s="10" t="s">
        <v>72</v>
      </c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1.9624999999999999</v>
      </c>
      <c r="K40">
        <f t="shared" si="4"/>
        <v>-0.1041666667500003</v>
      </c>
      <c r="Q40">
        <f t="shared" si="5"/>
        <v>1.9607149269960504</v>
      </c>
      <c r="R40">
        <f t="shared" si="6"/>
        <v>7.3125908075300991E-3</v>
      </c>
      <c r="S40">
        <f>D19/4-D16/4</f>
        <v>0.25833333324999996</v>
      </c>
      <c r="T40">
        <f t="shared" si="7"/>
        <v>5.8831284194720748E-3</v>
      </c>
      <c r="V40">
        <f t="shared" si="8"/>
        <v>7.5898642359814428</v>
      </c>
      <c r="W40">
        <f t="shared" si="9"/>
        <v>0.17514955413262739</v>
      </c>
      <c r="Y40" t="s">
        <v>96</v>
      </c>
      <c r="AC40" s="7" t="s">
        <v>48</v>
      </c>
      <c r="AD40" s="10" t="s">
        <v>73</v>
      </c>
      <c r="AE40" s="10"/>
      <c r="AF40" s="10"/>
      <c r="AG40" s="10"/>
    </row>
    <row r="41" spans="2:42" x14ac:dyDescent="0.25">
      <c r="B41" s="5"/>
      <c r="J41">
        <f>D33/4</f>
        <v>2.0666666667500002</v>
      </c>
      <c r="K41">
        <f t="shared" si="4"/>
        <v>-0.15416666649999966</v>
      </c>
      <c r="Q41">
        <f t="shared" si="5"/>
        <v>1.9197058827801392</v>
      </c>
      <c r="R41">
        <f t="shared" si="6"/>
        <v>4.5476785471876089E-3</v>
      </c>
      <c r="S41">
        <f>D22/4-D19/4</f>
        <v>0.25416666674999999</v>
      </c>
      <c r="T41">
        <f t="shared" si="7"/>
        <v>5.8831284194720748E-3</v>
      </c>
      <c r="V41">
        <f t="shared" si="8"/>
        <v>7.5529411756749933</v>
      </c>
      <c r="W41">
        <f t="shared" si="9"/>
        <v>0.17573914241094274</v>
      </c>
      <c r="AC41" s="7" t="s">
        <v>49</v>
      </c>
      <c r="AD41" s="10" t="s">
        <v>50</v>
      </c>
      <c r="AE41" s="10"/>
      <c r="AF41" s="10"/>
      <c r="AG41" s="10"/>
      <c r="AH41" s="10"/>
      <c r="AI41" s="10"/>
    </row>
    <row r="42" spans="2:42" x14ac:dyDescent="0.25">
      <c r="B42" s="9"/>
      <c r="J42">
        <f>D34/4</f>
        <v>2.2208333332499999</v>
      </c>
      <c r="K42">
        <f t="shared" si="4"/>
        <v>-0.10000000000000009</v>
      </c>
      <c r="Q42">
        <f t="shared" si="5"/>
        <v>1.8737966365940923</v>
      </c>
      <c r="R42">
        <f t="shared" si="6"/>
        <v>2.0678295870110511E-3</v>
      </c>
      <c r="S42">
        <f>D25/4-D22/4</f>
        <v>0.23750000000000004</v>
      </c>
      <c r="T42">
        <f t="shared" si="7"/>
        <v>5.8831284194720748E-3</v>
      </c>
      <c r="V42">
        <f t="shared" si="8"/>
        <v>7.8896700488172291</v>
      </c>
      <c r="W42">
        <f t="shared" si="9"/>
        <v>0.19562939007487437</v>
      </c>
      <c r="Y42" s="11" t="s">
        <v>97</v>
      </c>
      <c r="Z42" s="11"/>
      <c r="AA42" s="13">
        <f>$X$17*100</f>
        <v>195.37076297714447</v>
      </c>
      <c r="AB42" s="13">
        <f>$Y$17</f>
        <v>7.2489072653285011E-3</v>
      </c>
      <c r="AC42" s="7" t="s">
        <v>51</v>
      </c>
      <c r="AD42" s="10" t="s">
        <v>59</v>
      </c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2.32083333325</v>
      </c>
      <c r="K43">
        <f t="shared" si="4"/>
        <v>-0.17083333350000007</v>
      </c>
      <c r="Q43">
        <f t="shared" si="5"/>
        <v>2.0523389022556642</v>
      </c>
      <c r="R43">
        <f t="shared" si="6"/>
        <v>2.0193553860199894E-3</v>
      </c>
      <c r="S43">
        <f>D28/4-D25/4</f>
        <v>0.27499999999999991</v>
      </c>
      <c r="T43">
        <f t="shared" si="7"/>
        <v>5.8831284194720748E-3</v>
      </c>
      <c r="V43">
        <f t="shared" si="8"/>
        <v>7.4630505536569629</v>
      </c>
      <c r="W43">
        <f t="shared" si="9"/>
        <v>0.15982726540977793</v>
      </c>
      <c r="Y43" s="11" t="s">
        <v>98</v>
      </c>
      <c r="Z43" s="11"/>
      <c r="AA43" s="13">
        <f>$W$31</f>
        <v>0.10958333340000008</v>
      </c>
      <c r="AB43" s="13">
        <f>$X$31</f>
        <v>1.8604085572798247E-3</v>
      </c>
      <c r="AC43" s="7" t="s">
        <v>53</v>
      </c>
      <c r="AD43" s="10" t="s">
        <v>60</v>
      </c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2.49166666675</v>
      </c>
      <c r="K44">
        <f t="shared" si="4"/>
        <v>-0.10000000075000015</v>
      </c>
      <c r="Q44">
        <f t="shared" si="5"/>
        <v>1.9107759289498834</v>
      </c>
      <c r="R44">
        <f t="shared" si="6"/>
        <v>4.4740701160273441E-3</v>
      </c>
      <c r="S44">
        <f>D31/4-D28/4</f>
        <v>0.25</v>
      </c>
      <c r="T44">
        <f t="shared" si="7"/>
        <v>5.8831284194720748E-3</v>
      </c>
      <c r="V44">
        <f t="shared" si="8"/>
        <v>7.6431037157995334</v>
      </c>
      <c r="W44">
        <f t="shared" si="9"/>
        <v>0.18074959318530109</v>
      </c>
      <c r="Y44" s="11" t="s">
        <v>99</v>
      </c>
      <c r="Z44" s="11"/>
      <c r="AA44" s="13">
        <f>$W$32</f>
        <v>0.14537037038888881</v>
      </c>
      <c r="AB44" s="13">
        <f>$X$32</f>
        <v>1.9610428064906916E-3</v>
      </c>
      <c r="AC44" s="7" t="s">
        <v>55</v>
      </c>
      <c r="AD44" s="10" t="s">
        <v>52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2.5916666675000002</v>
      </c>
      <c r="Q45">
        <f t="shared" si="5"/>
        <v>2.1322448571804822</v>
      </c>
      <c r="R45">
        <f t="shared" si="6"/>
        <v>7.3812843675147219E-3</v>
      </c>
      <c r="S45">
        <f>D34/4-D31/4</f>
        <v>0.25833333324999996</v>
      </c>
      <c r="T45">
        <f t="shared" si="7"/>
        <v>5.8831284194720748E-3</v>
      </c>
      <c r="V45">
        <f t="shared" si="8"/>
        <v>8.2538510627160129</v>
      </c>
      <c r="W45">
        <f t="shared" si="9"/>
        <v>0.19012749592484657</v>
      </c>
      <c r="Y45" s="11" t="s">
        <v>100</v>
      </c>
      <c r="Z45" s="11"/>
      <c r="AA45" s="5">
        <f>$S$31</f>
        <v>2.4041666675000002</v>
      </c>
      <c r="AB45" s="5">
        <f>$T$31</f>
        <v>1.8604085572798249E-2</v>
      </c>
      <c r="AC45" s="7" t="s">
        <v>56</v>
      </c>
      <c r="AD45" s="10" t="s">
        <v>54</v>
      </c>
      <c r="AE45" s="10"/>
      <c r="AF45" s="10"/>
      <c r="AG45" s="10"/>
      <c r="AH45" s="10"/>
      <c r="AI45" s="10"/>
      <c r="AJ45" s="10"/>
      <c r="AK45" s="10"/>
      <c r="AL45" s="10"/>
    </row>
    <row r="46" spans="2:42" x14ac:dyDescent="0.25">
      <c r="Q46">
        <f t="shared" si="5"/>
        <v>2.048476121502393</v>
      </c>
      <c r="R46">
        <f t="shared" si="6"/>
        <v>1.0389167343369398E-2</v>
      </c>
      <c r="S46">
        <f>D37/4-D34/4</f>
        <v>0.27083333350000016</v>
      </c>
      <c r="T46">
        <f t="shared" si="7"/>
        <v>5.8831284194720748E-3</v>
      </c>
      <c r="V46">
        <f t="shared" si="8"/>
        <v>7.563604136277382</v>
      </c>
      <c r="W46">
        <f t="shared" si="9"/>
        <v>0.16871769797334435</v>
      </c>
      <c r="Y46" s="11" t="s">
        <v>101</v>
      </c>
      <c r="Z46" s="11"/>
      <c r="AA46" s="5">
        <f>$S$32</f>
        <v>4.1594454058372801</v>
      </c>
      <c r="AB46" s="5">
        <f>$T$32</f>
        <v>3.2186902560314819E-2</v>
      </c>
      <c r="AE46" s="10"/>
      <c r="AF46" s="10"/>
      <c r="AG46" s="10"/>
      <c r="AH46" s="10"/>
      <c r="AI46" s="10"/>
      <c r="AJ46" s="10"/>
    </row>
    <row r="47" spans="2:42" x14ac:dyDescent="0.25">
      <c r="Y47" s="11" t="s">
        <v>107</v>
      </c>
      <c r="Z47" s="11"/>
      <c r="AA47" s="5">
        <f>$AA$38</f>
        <v>7.632303245738969</v>
      </c>
      <c r="AB47" s="5">
        <f>$AB$38</f>
        <v>5.3563247494600834E-2</v>
      </c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2019-09-04T11:08:14Z</dcterms:modified>
</cp:coreProperties>
</file>