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F9FB6B19-1344-464A-A16D-5FB019C74CCD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" i="1" l="1"/>
  <c r="T46" i="1"/>
  <c r="S46" i="1"/>
  <c r="W46" i="1" s="1"/>
  <c r="R46" i="1"/>
  <c r="Q46" i="1"/>
  <c r="T45" i="1"/>
  <c r="S45" i="1"/>
  <c r="W45" i="1" s="1"/>
  <c r="R45" i="1"/>
  <c r="Q45" i="1"/>
  <c r="V45" i="1" s="1"/>
  <c r="AA44" i="1"/>
  <c r="T44" i="1"/>
  <c r="S44" i="1"/>
  <c r="W44" i="1" s="1"/>
  <c r="R44" i="1"/>
  <c r="Q44" i="1"/>
  <c r="V44" i="1" s="1"/>
  <c r="V43" i="1"/>
  <c r="T43" i="1"/>
  <c r="S43" i="1"/>
  <c r="W43" i="1" s="1"/>
  <c r="R43" i="1"/>
  <c r="Q43" i="1"/>
  <c r="AB42" i="1"/>
  <c r="AA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AA38" i="1" s="1"/>
  <c r="AA47" i="1" s="1"/>
  <c r="W32" i="1"/>
  <c r="W31" i="1"/>
  <c r="AA43" i="1" s="1"/>
  <c r="T31" i="1"/>
  <c r="AB45" i="1" s="1"/>
  <c r="S31" i="1"/>
  <c r="T32" i="1" s="1"/>
  <c r="AB46" i="1" s="1"/>
  <c r="P28" i="1"/>
  <c r="X31" i="1" s="1"/>
  <c r="AB43" i="1" s="1"/>
  <c r="P26" i="1"/>
  <c r="AB38" i="1" l="1"/>
  <c r="AB47" i="1" s="1"/>
  <c r="P30" i="1"/>
  <c r="X32" i="1" s="1"/>
  <c r="AB44" i="1" s="1"/>
  <c r="S32" i="1"/>
  <c r="AA46" i="1" s="1"/>
  <c r="AA45" i="1"/>
  <c r="Y17" i="1" l="1"/>
  <c r="X17" i="1"/>
  <c r="U11" i="1"/>
  <c r="T11" i="1"/>
  <c r="U24" i="1" l="1"/>
  <c r="T24" i="1" l="1"/>
  <c r="T23" i="1"/>
  <c r="V23" i="1" s="1"/>
  <c r="V22" i="1"/>
  <c r="T22" i="1"/>
  <c r="U22" i="1" s="1"/>
  <c r="T21" i="1"/>
  <c r="V21" i="1" s="1"/>
  <c r="T20" i="1"/>
  <c r="V20" i="1" s="1"/>
  <c r="V19" i="1"/>
  <c r="T19" i="1"/>
  <c r="U19" i="1" s="1"/>
  <c r="T18" i="1"/>
  <c r="V18" i="1" s="1"/>
  <c r="T17" i="1"/>
  <c r="V16" i="1" s="1"/>
  <c r="U16" i="1"/>
  <c r="T16" i="1"/>
  <c r="T15" i="1"/>
  <c r="V15" i="1" s="1"/>
  <c r="AI18" i="1"/>
  <c r="AH18" i="1"/>
  <c r="AI16" i="1"/>
  <c r="AI17" i="1" s="1"/>
  <c r="AH16" i="1"/>
  <c r="AH17" i="1" s="1"/>
  <c r="AI15" i="1"/>
  <c r="AH15" i="1"/>
  <c r="AI11" i="1"/>
  <c r="AH11" i="1"/>
  <c r="AI10" i="1"/>
  <c r="AH10" i="1"/>
  <c r="U23" i="1" l="1"/>
  <c r="V17" i="1"/>
  <c r="U15" i="1"/>
  <c r="W15" i="1" s="1"/>
  <c r="U18" i="1"/>
  <c r="W18" i="1" s="1"/>
  <c r="U21" i="1"/>
  <c r="W21" i="1" s="1"/>
  <c r="U17" i="1"/>
  <c r="W17" i="1" s="1"/>
  <c r="U20" i="1"/>
  <c r="W20" i="1" s="1"/>
  <c r="AH19" i="1"/>
  <c r="AH22" i="1"/>
  <c r="AI19" i="1"/>
  <c r="AI22" i="1"/>
  <c r="W16" i="1" l="1"/>
  <c r="W23" i="1"/>
  <c r="W22" i="1"/>
  <c r="W19" i="1"/>
  <c r="AH23" i="1"/>
  <c r="AH24" i="1" s="1"/>
  <c r="AH27" i="1" s="1"/>
  <c r="AH28" i="1" s="1"/>
  <c r="AI20" i="1"/>
  <c r="AH20" i="1"/>
  <c r="AH25" i="1" l="1"/>
  <c r="AI23" i="1"/>
  <c r="AI24" i="1" s="1"/>
  <c r="AI27" i="1" l="1"/>
  <c r="AI28" i="1" s="1"/>
  <c r="AI25" i="1"/>
  <c r="H13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26" i="1"/>
  <c r="N26" i="1" s="1"/>
  <c r="L3" i="1"/>
  <c r="AA9" i="1" s="1"/>
  <c r="AB24" i="1" l="1"/>
  <c r="M5" i="1" s="1"/>
  <c r="AA24" i="1"/>
  <c r="L5" i="1" s="1"/>
  <c r="AB14" i="1"/>
  <c r="AA14" i="1"/>
  <c r="AB13" i="1"/>
  <c r="AA13" i="1"/>
  <c r="AB10" i="1"/>
  <c r="AA10" i="1"/>
  <c r="AB17" i="1" l="1"/>
  <c r="AA17" i="1"/>
  <c r="AA18" i="1" s="1"/>
  <c r="AA21" i="1" s="1"/>
  <c r="AA15" i="1"/>
  <c r="AB15" i="1" s="1"/>
  <c r="AB19" i="1" s="1"/>
  <c r="AA16" i="1"/>
  <c r="AB18" i="1" l="1"/>
  <c r="AB21" i="1" s="1"/>
  <c r="AB16" i="1"/>
  <c r="AA19" i="1"/>
  <c r="AA20" i="1" s="1"/>
  <c r="AA25" i="1" l="1"/>
  <c r="L4" i="1"/>
  <c r="AB20" i="1"/>
  <c r="N20" i="1" l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O17" i="1" l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<sst xmlns="http://schemas.openxmlformats.org/spreadsheetml/2006/main" count="162" uniqueCount="103">
  <si>
    <t>t</t>
  </si>
  <si>
    <t>x</t>
  </si>
  <si>
    <t>y</t>
  </si>
  <si>
    <t>Tracker Excel</t>
  </si>
  <si>
    <t>M0001</t>
  </si>
  <si>
    <t>Prova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</si>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</sst>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4" fontId="1" fillId="2" borderId="0" xfId="1" applyNumberFormat="1"/>
    <xf numFmtId="166" fontId="1" fillId="2" borderId="0" xfId="1" applyNumberFormat="1"/>
    <xf numFmtId="165" fontId="5" fillId="6" borderId="1" xfId="5" applyNumberFormat="1"/>
    <xf numFmtId="165" fontId="0" fillId="0" borderId="0" xfId="0" applyAlignment="1">
      <alignment horizontal="center"/>
    </xf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O54" sqref="O47:X54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63</v>
      </c>
      <c r="L2" t="s">
        <v>13</v>
      </c>
      <c r="M2" t="s">
        <v>6</v>
      </c>
      <c r="O2" t="s">
        <v>14</v>
      </c>
    </row>
    <row r="3" spans="1:35" x14ac:dyDescent="0.25">
      <c r="A3" t="s">
        <v>4</v>
      </c>
      <c r="D3" t="s">
        <v>0</v>
      </c>
      <c r="E3" t="s">
        <v>1</v>
      </c>
      <c r="F3" t="s">
        <v>2</v>
      </c>
      <c r="H3" s="14" t="s">
        <v>8</v>
      </c>
      <c r="I3" s="14"/>
      <c r="J3" s="14"/>
      <c r="K3" s="14"/>
      <c r="L3">
        <f>E4-E5</f>
        <v>23.646691400000002</v>
      </c>
      <c r="M3">
        <v>0.01</v>
      </c>
      <c r="N3" t="s">
        <v>40</v>
      </c>
    </row>
    <row r="4" spans="1:35" x14ac:dyDescent="0.25">
      <c r="D4">
        <v>0</v>
      </c>
      <c r="E4">
        <v>11.824035179999999</v>
      </c>
      <c r="F4">
        <v>0.52267568509999995</v>
      </c>
      <c r="H4" s="14" t="s">
        <v>9</v>
      </c>
      <c r="I4" s="14"/>
      <c r="J4" s="14"/>
      <c r="K4" s="14"/>
      <c r="L4">
        <f>AA20</f>
        <v>7.9109966661834852</v>
      </c>
      <c r="M4">
        <f>AB20</f>
        <v>0.10360366633831464</v>
      </c>
      <c r="P4" t="s">
        <v>15</v>
      </c>
    </row>
    <row r="5" spans="1:35" x14ac:dyDescent="0.25">
      <c r="D5">
        <v>3.3333333329999999E-2</v>
      </c>
      <c r="E5">
        <v>-11.822656220000001</v>
      </c>
      <c r="F5">
        <v>0.55349914389999999</v>
      </c>
      <c r="H5" s="14" t="s">
        <v>10</v>
      </c>
      <c r="I5" s="14"/>
      <c r="J5" s="14"/>
      <c r="K5" s="14"/>
      <c r="L5">
        <f>AA24</f>
        <v>0.61</v>
      </c>
      <c r="M5">
        <f>AB24</f>
        <v>0</v>
      </c>
    </row>
    <row r="6" spans="1:35" x14ac:dyDescent="0.25">
      <c r="H6" s="14" t="s">
        <v>20</v>
      </c>
      <c r="I6" s="14"/>
      <c r="J6" s="14"/>
      <c r="K6" s="14"/>
      <c r="L6">
        <v>4.1599999999999996E-3</v>
      </c>
      <c r="X6" t="s">
        <v>39</v>
      </c>
      <c r="AB6" t="s">
        <v>6</v>
      </c>
      <c r="AD6" t="s">
        <v>65</v>
      </c>
    </row>
    <row r="7" spans="1:35" x14ac:dyDescent="0.25">
      <c r="I7" s="2"/>
      <c r="X7" t="s">
        <v>22</v>
      </c>
      <c r="AA7">
        <v>20</v>
      </c>
      <c r="AB7">
        <v>0</v>
      </c>
      <c r="AH7" t="s">
        <v>13</v>
      </c>
      <c r="AI7" t="s">
        <v>6</v>
      </c>
    </row>
    <row r="8" spans="1:35" x14ac:dyDescent="0.25">
      <c r="A8" t="s">
        <v>5</v>
      </c>
      <c r="D8" t="s">
        <v>64</v>
      </c>
      <c r="X8" t="s">
        <v>23</v>
      </c>
      <c r="AA8">
        <v>1.22</v>
      </c>
      <c r="AB8">
        <v>0</v>
      </c>
      <c r="AE8" t="s">
        <v>66</v>
      </c>
      <c r="AH8">
        <v>20</v>
      </c>
      <c r="AI8">
        <v>0</v>
      </c>
    </row>
    <row r="9" spans="1:35" x14ac:dyDescent="0.25">
      <c r="A9">
        <v>2</v>
      </c>
      <c r="D9" t="s">
        <v>0</v>
      </c>
      <c r="E9" t="s">
        <v>1</v>
      </c>
      <c r="F9" t="s">
        <v>2</v>
      </c>
      <c r="K9" t="s">
        <v>53</v>
      </c>
      <c r="X9" t="s">
        <v>24</v>
      </c>
      <c r="AA9">
        <f>L3</f>
        <v>23.646691400000002</v>
      </c>
      <c r="AB9">
        <f>M3</f>
        <v>0.01</v>
      </c>
      <c r="AE9" t="s">
        <v>23</v>
      </c>
      <c r="AH9">
        <v>1.2</v>
      </c>
      <c r="AI9">
        <v>0</v>
      </c>
    </row>
    <row r="10" spans="1:35" x14ac:dyDescent="0.25">
      <c r="B10" s="8" t="s">
        <v>56</v>
      </c>
      <c r="C10">
        <v>1</v>
      </c>
      <c r="D10">
        <v>0.56666666669999999</v>
      </c>
      <c r="E10">
        <v>11.32735989</v>
      </c>
      <c r="F10">
        <v>0.66132139140000001</v>
      </c>
      <c r="H10" t="s">
        <v>13</v>
      </c>
      <c r="K10" t="s">
        <v>52</v>
      </c>
      <c r="L10" t="s">
        <v>6</v>
      </c>
      <c r="N10" t="s">
        <v>7</v>
      </c>
      <c r="O10" t="s">
        <v>6</v>
      </c>
      <c r="Q10" t="s">
        <v>11</v>
      </c>
      <c r="R10" t="s">
        <v>6</v>
      </c>
      <c r="T10" s="6" t="s">
        <v>12</v>
      </c>
      <c r="U10" s="6" t="s">
        <v>6</v>
      </c>
      <c r="X10" t="s">
        <v>25</v>
      </c>
      <c r="AA10">
        <f>AA9/2</f>
        <v>11.823345700000001</v>
      </c>
      <c r="AB10">
        <f>AB9</f>
        <v>0.01</v>
      </c>
      <c r="AE10" t="s">
        <v>67</v>
      </c>
      <c r="AH10">
        <f>L3</f>
        <v>23.646691400000002</v>
      </c>
      <c r="AI10">
        <f>M3</f>
        <v>0.01</v>
      </c>
    </row>
    <row r="11" spans="1:35" x14ac:dyDescent="0.25">
      <c r="B11" s="5" t="s">
        <v>57</v>
      </c>
      <c r="C11">
        <v>1</v>
      </c>
      <c r="D11">
        <v>0.71666666670000001</v>
      </c>
      <c r="E11">
        <v>11.30608558</v>
      </c>
      <c r="F11">
        <v>0.61216723510000004</v>
      </c>
      <c r="G11" t="s">
        <v>59</v>
      </c>
      <c r="H11">
        <f>M3</f>
        <v>0.01</v>
      </c>
      <c r="K11">
        <f>ABS(E11-E14)</f>
        <v>2.2665981479999999</v>
      </c>
      <c r="L11">
        <f>SQRT((H11^2)+(H11^2))</f>
        <v>1.4142135623730951E-2</v>
      </c>
      <c r="N11">
        <f>($L$4-$L$5)*(E11/$L$4)</f>
        <v>10.434297549386761</v>
      </c>
      <c r="O11">
        <f>SQRT(((E11/$L$4)*$M$4)^2+((E11/$L$4)*$M$5)^2+(($L$4-$L$5)*$H$11)^2+(((($L$5-$L$4)*E11)/($L$4^2))*$M$4)^2)</f>
        <v>0.21430606388911705</v>
      </c>
      <c r="Q11">
        <f>N11-N12</f>
        <v>2.0918256220311555</v>
      </c>
      <c r="R11">
        <f>SQRT((O11^2)+(O12^2))</f>
        <v>0.27786414755121058</v>
      </c>
      <c r="T11" s="5">
        <f>AVERAGE(Q11:Q19)</f>
        <v>2.1121729791898902</v>
      </c>
      <c r="U11" s="5">
        <f>SQRT(((R11^2)+(R12^2)+(R13^2)+(R14^2)+(R15^2)+(R16^2)+(R17^2)+(R18^2)+(R19^2))/$H$13)</f>
        <v>0.17615793072830979</v>
      </c>
      <c r="AE11" t="s">
        <v>68</v>
      </c>
      <c r="AH11">
        <f>AH8/2</f>
        <v>10</v>
      </c>
      <c r="AI11">
        <f>AI8</f>
        <v>0</v>
      </c>
    </row>
    <row r="12" spans="1:35" x14ac:dyDescent="0.25">
      <c r="B12" s="9" t="s">
        <v>58</v>
      </c>
      <c r="C12">
        <v>1</v>
      </c>
      <c r="D12">
        <v>1.05</v>
      </c>
      <c r="E12">
        <v>11.00495651</v>
      </c>
      <c r="F12">
        <v>0.58744227189999998</v>
      </c>
      <c r="G12" t="s">
        <v>60</v>
      </c>
      <c r="H12">
        <f>L6</f>
        <v>4.1599999999999996E-3</v>
      </c>
      <c r="K12">
        <f>ABS(E14-E17)</f>
        <v>2.187366999</v>
      </c>
      <c r="L12" s="1"/>
      <c r="N12">
        <f>($L$4-$L$5)*(E14/$L$4)</f>
        <v>8.3424719273556054</v>
      </c>
      <c r="O12">
        <f>SQRT(((E14/$L$4)*$M$4)^2+((E14/$L$4)*$M$5)^2+(($L$4-$L$5)*$H$11)^2+(((($L$5-$L$4)*E14)/($L$4^2))*$M$4)^2)</f>
        <v>0.17686547281681245</v>
      </c>
      <c r="Q12">
        <f t="shared" ref="Q12:Q19" si="0">N12-N13</f>
        <v>2.0187038171415619</v>
      </c>
      <c r="R12">
        <f t="shared" ref="R12:R19" si="1">SQRT((O12^2)+(O13^2))</f>
        <v>0.22698711227009383</v>
      </c>
      <c r="AA12" t="s">
        <v>13</v>
      </c>
      <c r="AB12" t="s">
        <v>6</v>
      </c>
      <c r="AE12" t="s">
        <v>69</v>
      </c>
      <c r="AH12">
        <v>1.2</v>
      </c>
      <c r="AI12">
        <v>0</v>
      </c>
    </row>
    <row r="13" spans="1:35" x14ac:dyDescent="0.25">
      <c r="B13" s="8" t="s">
        <v>56</v>
      </c>
      <c r="C13">
        <v>2</v>
      </c>
      <c r="D13">
        <v>1.55</v>
      </c>
      <c r="E13">
        <v>9.031924171</v>
      </c>
      <c r="F13">
        <v>0.63502603040000005</v>
      </c>
      <c r="G13" t="s">
        <v>41</v>
      </c>
      <c r="H13" s="4">
        <f>C39</f>
        <v>10</v>
      </c>
      <c r="K13">
        <f>ABS(E17-E20)</f>
        <v>2.3855610649999992</v>
      </c>
      <c r="L13" s="1"/>
      <c r="N13">
        <f>($L$4-$L$5)*(E17/$L$4)</f>
        <v>6.3237681102140435</v>
      </c>
      <c r="O13">
        <f>SQRT(((E17/$L$4)*$M$4)^2+((E17/$L$4)*$M$5)^2+(($L$4-$L$5)*$H$11)^2+(((($L$5-$L$4)*E17)/($L$4^2))*$M$4)^2)</f>
        <v>0.14227351707890529</v>
      </c>
      <c r="Q13">
        <f t="shared" si="0"/>
        <v>2.201615563433756</v>
      </c>
      <c r="R13">
        <f t="shared" si="1"/>
        <v>0.17862854872228412</v>
      </c>
      <c r="T13" t="s">
        <v>83</v>
      </c>
      <c r="Y13">
        <v>1</v>
      </c>
      <c r="Z13" t="s">
        <v>26</v>
      </c>
      <c r="AA13">
        <f>AA8</f>
        <v>1.22</v>
      </c>
      <c r="AB13">
        <f>AB8</f>
        <v>0</v>
      </c>
    </row>
    <row r="14" spans="1:35" x14ac:dyDescent="0.25">
      <c r="B14" s="5" t="s">
        <v>57</v>
      </c>
      <c r="C14">
        <v>2</v>
      </c>
      <c r="D14">
        <v>1.75</v>
      </c>
      <c r="E14">
        <v>9.0394874319999996</v>
      </c>
      <c r="F14">
        <v>0.58547751410000004</v>
      </c>
      <c r="K14">
        <f>ABS(E20-E23)</f>
        <v>2.2990483420000003</v>
      </c>
      <c r="L14" s="1"/>
      <c r="N14">
        <f>($L$4-$L$5)*(E20/$L$4)</f>
        <v>4.1221525467802875</v>
      </c>
      <c r="O14">
        <f>SQRT(((E20/$L$4)*$M$4)^2+((E20/$L$4)*$M$5)^2+(($L$4-$L$5)*$H$11)^2+(((($L$5-$L$4)*E20)/($L$4^2))*$M$4)^2)</f>
        <v>0.1080111325587686</v>
      </c>
      <c r="Q14">
        <f t="shared" si="0"/>
        <v>2.1217736511112006</v>
      </c>
      <c r="R14">
        <f t="shared" si="1"/>
        <v>0.13597399117545525</v>
      </c>
      <c r="T14" t="s">
        <v>13</v>
      </c>
      <c r="U14" t="s">
        <v>6</v>
      </c>
      <c r="V14" t="s">
        <v>84</v>
      </c>
      <c r="W14" t="s">
        <v>6</v>
      </c>
      <c r="Z14" t="s">
        <v>27</v>
      </c>
      <c r="AA14">
        <f>(AA9-AA7)/2</f>
        <v>1.8233457000000008</v>
      </c>
      <c r="AB14">
        <f>SQRT((AB9^2)+(AB7^2))</f>
        <v>0.01</v>
      </c>
      <c r="AH14" t="s">
        <v>13</v>
      </c>
      <c r="AI14" t="s">
        <v>6</v>
      </c>
    </row>
    <row r="15" spans="1:35" x14ac:dyDescent="0.25">
      <c r="B15" s="9" t="s">
        <v>58</v>
      </c>
      <c r="C15">
        <v>2</v>
      </c>
      <c r="D15">
        <v>1.933333333</v>
      </c>
      <c r="E15">
        <v>8.7799492610000005</v>
      </c>
      <c r="F15">
        <v>0.58902675400000004</v>
      </c>
      <c r="K15">
        <f>ABS(E26-E23)</f>
        <v>2.08008699696</v>
      </c>
      <c r="L15" s="1"/>
      <c r="N15">
        <f>($L$4-$L$5)*(E23/$L$4)</f>
        <v>2.0003788956690869</v>
      </c>
      <c r="O15">
        <f>SQRT(((E23/$L$4)*$M$4)^2+((E23/$L$4)*$M$5)^2+(($L$4-$L$5)*$H$11)^2+(((($L$5-$L$4)*E23)/($L$4^2))*$M$4)^2)</f>
        <v>8.2598556401155696E-2</v>
      </c>
      <c r="Q15">
        <f t="shared" si="0"/>
        <v>1.919695946162385</v>
      </c>
      <c r="R15">
        <f t="shared" si="1"/>
        <v>0.11025154906852215</v>
      </c>
      <c r="T15">
        <f>E11*$AH$28</f>
        <v>9.9459655642110736</v>
      </c>
      <c r="U15">
        <f>(SQRT(($M$3/E11)^2+($AI$28/$AH$28^2)))/100*T15</f>
        <v>9.9132238894263768E-3</v>
      </c>
      <c r="V15">
        <f>T15-T16</f>
        <v>1.9939268076823264</v>
      </c>
      <c r="W15">
        <f>SQRT(U15^2+U16^2)</f>
        <v>1.2692283967130317E-2</v>
      </c>
      <c r="Z15" t="s">
        <v>28</v>
      </c>
      <c r="AA15">
        <f>AA14/AA13</f>
        <v>1.4945456557377057</v>
      </c>
      <c r="AB15">
        <f>(((AB13/AA13)*100+(AB14/AA14)*100)/100)*AA15</f>
        <v>8.1967213114754103E-3</v>
      </c>
      <c r="AE15">
        <v>1</v>
      </c>
      <c r="AG15" t="s">
        <v>70</v>
      </c>
      <c r="AH15">
        <f>AH11</f>
        <v>10</v>
      </c>
      <c r="AI15">
        <f>AI11</f>
        <v>0</v>
      </c>
    </row>
    <row r="16" spans="1:35" x14ac:dyDescent="0.25">
      <c r="B16" s="8" t="s">
        <v>56</v>
      </c>
      <c r="C16">
        <v>3</v>
      </c>
      <c r="D16">
        <v>2.4666666670000001</v>
      </c>
      <c r="E16">
        <v>6.8608104369999996</v>
      </c>
      <c r="F16">
        <v>0.66059605070000005</v>
      </c>
      <c r="K16">
        <f>ABS(E29-E26)</f>
        <v>2.3987650830400002</v>
      </c>
      <c r="L16" s="1"/>
      <c r="N16">
        <f>($L$4-$L$5)*(E26/$L$4)</f>
        <v>8.0682949506701782E-2</v>
      </c>
      <c r="O16">
        <f>SQRT(((E26/$L$4)*$M$4)^2+((E26/$L$4)*$M$5)^2+(($L$4-$L$5)*$H$11)^2+(((($L$5-$L$4)*E26)/($L$4^2))*$M$4)^2)</f>
        <v>7.3026587983102756E-2</v>
      </c>
      <c r="Q16">
        <f t="shared" si="0"/>
        <v>2.2138014479383412</v>
      </c>
      <c r="R16">
        <f t="shared" si="1"/>
        <v>0.11117550464336989</v>
      </c>
      <c r="T16">
        <f>E14*$AH$28</f>
        <v>7.9520387565287471</v>
      </c>
      <c r="U16">
        <f>(SQRT(($M$3/E14)^2+($AI$28/$AH$28^2)))/100*T16</f>
        <v>7.9260371195433773E-3</v>
      </c>
      <c r="V16">
        <f t="shared" ref="V16:V23" si="2">T16-T17</f>
        <v>1.9242271513343461</v>
      </c>
      <c r="W16">
        <f t="shared" ref="W16:W23" si="3">SQRT(U16^2+U17^2)</f>
        <v>9.945986325970789E-3</v>
      </c>
      <c r="X16" s="6" t="s">
        <v>85</v>
      </c>
      <c r="Y16" s="6" t="s">
        <v>86</v>
      </c>
      <c r="Z16" t="s">
        <v>29</v>
      </c>
      <c r="AA16">
        <f>ATAN(AA14/AA13)</f>
        <v>0.98111122956571695</v>
      </c>
      <c r="AB16">
        <f>(ABS(1/(1+AA15)))*AB15</f>
        <v>3.2858574035805389E-3</v>
      </c>
      <c r="AG16" t="s">
        <v>71</v>
      </c>
      <c r="AH16">
        <f>AH10/2</f>
        <v>11.823345700000001</v>
      </c>
      <c r="AI16">
        <f>AI10</f>
        <v>0.01</v>
      </c>
    </row>
    <row r="17" spans="2:35" x14ac:dyDescent="0.25">
      <c r="B17" s="5" t="s">
        <v>57</v>
      </c>
      <c r="C17">
        <v>3</v>
      </c>
      <c r="D17">
        <v>2.6166666670000001</v>
      </c>
      <c r="E17">
        <v>6.8521204329999996</v>
      </c>
      <c r="F17">
        <v>0.62775149699999999</v>
      </c>
      <c r="K17">
        <f>ABS(E32-E29)</f>
        <v>2.270605126</v>
      </c>
      <c r="L17" s="1"/>
      <c r="N17">
        <f>($L$4-$L$5)*(E29/$L$4)</f>
        <v>-2.1331184984316396</v>
      </c>
      <c r="O17">
        <f>SQRT(((E29/$L$4)*$M$4)^2+((E29/$L$4)*$M$5)^2+(($L$4-$L$5)*$H$11)^2+(((($L$5-$L$4)*E29)/($L$4^2))*$M$4)^2)</f>
        <v>8.3827861002497922E-2</v>
      </c>
      <c r="Q17">
        <f t="shared" si="0"/>
        <v>2.095523630544359</v>
      </c>
      <c r="R17">
        <f t="shared" si="1"/>
        <v>0.13793151495571734</v>
      </c>
      <c r="T17">
        <f>E17*$AH$28</f>
        <v>6.0278116051944011</v>
      </c>
      <c r="U17">
        <f>(SQRT(($M$3/E17)^2+($AI$28/$AH$28^2)))/100*T17</f>
        <v>6.0083757851867453E-3</v>
      </c>
      <c r="V17">
        <f t="shared" si="2"/>
        <v>2.0985785076476207</v>
      </c>
      <c r="W17">
        <f t="shared" si="3"/>
        <v>7.1724823036760435E-3</v>
      </c>
      <c r="X17" s="5">
        <f>AVERAGE(V15:V23)</f>
        <v>2.0133218951489855</v>
      </c>
      <c r="Y17" s="5">
        <f>SQRT(((W15^2)+(W16^2)+(W17^2)+(W18^2)+(W19^2)+(W20^2)+(W21^2)+(W22^2)+(W23^2))/$H$13)</f>
        <v>7.2042875430990217E-3</v>
      </c>
      <c r="Z17" t="s">
        <v>30</v>
      </c>
      <c r="AA17">
        <f>SQRT((AA14^2)+(AA13^2))</f>
        <v>2.1938526709212933</v>
      </c>
      <c r="AB17">
        <f>SQRT(((ABS(AA13*(AA13^2+AA14^2)))*AB13)^2+((ABS(AA14*(AA13^2+AA14^2)))*AB14)^2)</f>
        <v>8.7757437850191564E-2</v>
      </c>
      <c r="AG17" t="s">
        <v>72</v>
      </c>
      <c r="AH17">
        <f>(AH16)-AH15</f>
        <v>1.8233457000000008</v>
      </c>
      <c r="AI17">
        <f>AI16</f>
        <v>0.01</v>
      </c>
    </row>
    <row r="18" spans="2:35" x14ac:dyDescent="0.25">
      <c r="B18" s="9" t="s">
        <v>58</v>
      </c>
      <c r="C18">
        <v>3</v>
      </c>
      <c r="D18">
        <v>2.8666666670000001</v>
      </c>
      <c r="E18">
        <v>6.5923005760000004</v>
      </c>
      <c r="F18">
        <v>0.61070246939999995</v>
      </c>
      <c r="K18">
        <f>ABS(E35-E32)</f>
        <v>2.54227691</v>
      </c>
      <c r="N18">
        <f>($L$4-$L$5)*(E32/$L$4)</f>
        <v>-4.2286421289759986</v>
      </c>
      <c r="O18">
        <f>SQRT(((E32/$L$4)*$M$4)^2+((E32/$L$4)*$M$5)^2+(($L$4-$L$5)*$H$11)^2+(((($L$5-$L$4)*E32)/($L$4^2))*$M$4)^2)</f>
        <v>0.10953534834803405</v>
      </c>
      <c r="Q18">
        <f t="shared" si="0"/>
        <v>2.3462473854611972</v>
      </c>
      <c r="R18">
        <f t="shared" si="1"/>
        <v>0.18288667893198626</v>
      </c>
      <c r="T18">
        <f>E20*$AH$28</f>
        <v>3.9292330975467804</v>
      </c>
      <c r="U18">
        <f>(SQRT(($M$3/E20)^2+($AI$28/$AH$28^2)))/100*T18</f>
        <v>3.9171319636345618E-3</v>
      </c>
      <c r="V18">
        <f t="shared" si="2"/>
        <v>2.0224732493125681</v>
      </c>
      <c r="W18">
        <f t="shared" si="3"/>
        <v>4.3546770599757903E-3</v>
      </c>
      <c r="Z18" t="s">
        <v>31</v>
      </c>
      <c r="AA18">
        <f>AA17/AA14</f>
        <v>1.2032017137075499</v>
      </c>
      <c r="AB18">
        <f>(((AB17/AA17)*100+(AB14/AA14)*100)/100)*AA18</f>
        <v>5.4728763167218933E-2</v>
      </c>
      <c r="AG18" t="s">
        <v>73</v>
      </c>
      <c r="AH18">
        <f>2*AH9</f>
        <v>2.4</v>
      </c>
      <c r="AI18">
        <f>AI9</f>
        <v>0</v>
      </c>
    </row>
    <row r="19" spans="2:35" x14ac:dyDescent="0.25">
      <c r="B19" s="8" t="s">
        <v>56</v>
      </c>
      <c r="C19">
        <v>4</v>
      </c>
      <c r="D19">
        <v>3.4333333330000002</v>
      </c>
      <c r="E19">
        <v>4.4511511590000001</v>
      </c>
      <c r="F19">
        <v>0.71827119979999998</v>
      </c>
      <c r="K19">
        <f>ABS(E38-E35)</f>
        <v>2.1675011149999994</v>
      </c>
      <c r="N19">
        <f>($L$4-$L$5)*(E35/$L$4)</f>
        <v>-6.5748895144371957</v>
      </c>
      <c r="O19">
        <f>SQRT(((E35/$L$4)*$M$4)^2+((E35/$L$4)*$M$5)^2+(($L$4-$L$5)*$H$11)^2+(((($L$5-$L$4)*E35)/($L$4^2))*$M$4)^2)</f>
        <v>0.1464566310996066</v>
      </c>
      <c r="Q19">
        <f t="shared" si="0"/>
        <v>2.0003697488850563</v>
      </c>
      <c r="R19">
        <f t="shared" si="1"/>
        <v>0.2328076678407375</v>
      </c>
      <c r="T19">
        <f>E23*$AH$28</f>
        <v>1.9067598482342123</v>
      </c>
      <c r="U19">
        <f>(SQRT(($M$3/E23)^2+($AI$28/$AH$28^2)))/100*T19</f>
        <v>1.9024430283590187E-3</v>
      </c>
      <c r="V19">
        <f t="shared" si="2"/>
        <v>1.829852913808157</v>
      </c>
      <c r="W19">
        <f t="shared" si="3"/>
        <v>1.9060177167428982E-3</v>
      </c>
      <c r="Z19" t="s">
        <v>32</v>
      </c>
      <c r="AA19">
        <f>1/AA15</f>
        <v>0.66909966661834852</v>
      </c>
      <c r="AB19">
        <f>AB15</f>
        <v>8.1967213114754103E-3</v>
      </c>
      <c r="AG19" t="s">
        <v>74</v>
      </c>
      <c r="AH19">
        <f>AH17/AH18</f>
        <v>0.75972737500000043</v>
      </c>
      <c r="AI19">
        <f>SQRT((AI17/AH18)^2)</f>
        <v>4.1666666666666666E-3</v>
      </c>
    </row>
    <row r="20" spans="2:35" x14ac:dyDescent="0.25">
      <c r="B20" s="5" t="s">
        <v>57</v>
      </c>
      <c r="C20">
        <v>4</v>
      </c>
      <c r="D20">
        <v>3.5666666669999998</v>
      </c>
      <c r="E20">
        <v>4.4665593680000004</v>
      </c>
      <c r="F20">
        <v>0.6397724346</v>
      </c>
      <c r="N20">
        <f>($L$4-$L$5)*(E38/$L$4)</f>
        <v>-8.575259263322252</v>
      </c>
      <c r="O20">
        <f>SQRT(((E38/$L$4)*$M$4)^2+((E38/$L$4)*$M$5)^2+(($L$4-$L$5)*$H$11)^2+(((($L$5-$L$4)*E38)/($L$4^2))*$M$4)^2)</f>
        <v>0.18096923885676514</v>
      </c>
      <c r="T20">
        <f>E26*$AH$28</f>
        <v>7.6906934426055271E-2</v>
      </c>
      <c r="U20">
        <f>(SQRT(($M$3/E26)^2+($AI$28/$AH$28^2)))/100*T20</f>
        <v>1.1667930573146495E-4</v>
      </c>
      <c r="V20">
        <f t="shared" si="2"/>
        <v>2.1101940847459746</v>
      </c>
      <c r="W20">
        <f t="shared" si="3"/>
        <v>2.0317753866542156E-3</v>
      </c>
      <c r="Z20" t="s">
        <v>33</v>
      </c>
      <c r="AA20">
        <f>AA10*AA19</f>
        <v>7.9109966661834852</v>
      </c>
      <c r="AB20">
        <f>(((AB10/AA10)*100+(AB19/AA19)*100)/100)*AA20</f>
        <v>0.10360366633831464</v>
      </c>
      <c r="AG20" t="s">
        <v>75</v>
      </c>
      <c r="AH20">
        <f>ATAN(AH19)</f>
        <v>0.64969761675008875</v>
      </c>
      <c r="AI20">
        <f>(ABS(1/(1+AH19)))*AI19</f>
        <v>2.367791014597739E-3</v>
      </c>
    </row>
    <row r="21" spans="2:35" x14ac:dyDescent="0.25">
      <c r="B21" s="9" t="s">
        <v>58</v>
      </c>
      <c r="C21">
        <v>4</v>
      </c>
      <c r="D21">
        <v>3.8166666669999998</v>
      </c>
      <c r="E21">
        <v>4.2275631269999998</v>
      </c>
      <c r="F21">
        <v>0.63892033540000004</v>
      </c>
      <c r="T21">
        <f>E29*$AH$28</f>
        <v>-2.0332871503199192</v>
      </c>
      <c r="U21">
        <f>(SQRT(($M$3/E29)^2+($AI$28/$AH$28^2)))/100*T21</f>
        <v>-2.0284223331022339E-3</v>
      </c>
      <c r="V21">
        <f t="shared" si="2"/>
        <v>1.9974517469659161</v>
      </c>
      <c r="W21">
        <f t="shared" si="3"/>
        <v>4.5012252956668835E-3</v>
      </c>
      <c r="Z21" t="s">
        <v>34</v>
      </c>
      <c r="AA21">
        <f>AA10*AA18</f>
        <v>14.225869807996792</v>
      </c>
      <c r="AB21">
        <f>(((AB10/AA10)*100+(AB18/AA18)*100)/100)*AA21</f>
        <v>0.65910910379653198</v>
      </c>
    </row>
    <row r="22" spans="2:35" x14ac:dyDescent="0.25">
      <c r="B22" s="8" t="s">
        <v>56</v>
      </c>
      <c r="C22">
        <v>5</v>
      </c>
      <c r="D22">
        <v>4.4000000000000004</v>
      </c>
      <c r="E22">
        <v>2.1517647950000001</v>
      </c>
      <c r="F22">
        <v>0.70439113639999995</v>
      </c>
      <c r="T22">
        <f>E32*$AH$28</f>
        <v>-4.0307388972858353</v>
      </c>
      <c r="U22">
        <f>(SQRT(($M$3/E32)^2+($AI$28/$AH$28^2)))/100*T22</f>
        <v>-4.0182747542849171E-3</v>
      </c>
      <c r="V22">
        <f t="shared" si="2"/>
        <v>2.2364414653182676</v>
      </c>
      <c r="W22">
        <f t="shared" si="3"/>
        <v>7.4276896470387155E-3</v>
      </c>
      <c r="AE22">
        <v>2</v>
      </c>
      <c r="AG22" t="s">
        <v>76</v>
      </c>
      <c r="AH22">
        <f>AH18/AH17</f>
        <v>1.3162616392492104</v>
      </c>
      <c r="AI22">
        <f>SQRT((AI17*(AH18/(AH17^2)))^2)</f>
        <v>7.218936262329243E-3</v>
      </c>
    </row>
    <row r="23" spans="2:35" x14ac:dyDescent="0.25">
      <c r="B23" s="5" t="s">
        <v>57</v>
      </c>
      <c r="C23">
        <v>5</v>
      </c>
      <c r="D23">
        <v>4.5666666669999998</v>
      </c>
      <c r="E23">
        <v>2.1675110260000001</v>
      </c>
      <c r="F23">
        <v>0.6506102923</v>
      </c>
      <c r="T23">
        <f>E35*$AH$28</f>
        <v>-6.2671803626041029</v>
      </c>
      <c r="U23">
        <f>(SQRT(($M$3/E35)^2+($AI$28/$AH$28^2)))/100*T23</f>
        <v>-6.2469225616940856E-3</v>
      </c>
      <c r="V23">
        <f t="shared" si="2"/>
        <v>1.9067511295256896</v>
      </c>
      <c r="W23">
        <f t="shared" si="3"/>
        <v>1.0266476592833177E-2</v>
      </c>
      <c r="AA23" t="s">
        <v>13</v>
      </c>
      <c r="AB23" t="s">
        <v>6</v>
      </c>
      <c r="AG23" t="s">
        <v>33</v>
      </c>
      <c r="AH23">
        <f>AH22*AH16</f>
        <v>15.562616392492103</v>
      </c>
      <c r="AI23">
        <f>((SQRT((((AI19/AH19)*100)^2)+(((AI16/AH16)*100)^2)))/100)*AH23</f>
        <v>8.6360956410908407E-2</v>
      </c>
    </row>
    <row r="24" spans="2:35" x14ac:dyDescent="0.25">
      <c r="B24" s="9" t="s">
        <v>58</v>
      </c>
      <c r="C24">
        <v>5</v>
      </c>
      <c r="D24">
        <v>4.7833333329999999</v>
      </c>
      <c r="E24">
        <v>1.9490003789999999</v>
      </c>
      <c r="F24">
        <v>0.64123720029999998</v>
      </c>
      <c r="T24">
        <f>E38*$AH$28</f>
        <v>-8.1739314921297925</v>
      </c>
      <c r="U24">
        <f>(SQRT(($M$3/E38)^2+($AI$28/$AH$28^2)))/100*T24</f>
        <v>-8.1471774338962889E-3</v>
      </c>
      <c r="Y24">
        <v>2</v>
      </c>
      <c r="Z24" t="s">
        <v>35</v>
      </c>
      <c r="AA24">
        <f>AA8/2</f>
        <v>0.61</v>
      </c>
      <c r="AB24">
        <f>AB8</f>
        <v>0</v>
      </c>
      <c r="AG24" t="s">
        <v>77</v>
      </c>
      <c r="AH24">
        <f>AH23-(AH9/2)</f>
        <v>14.962616392492103</v>
      </c>
      <c r="AI24">
        <f>AI23</f>
        <v>8.6360956410908407E-2</v>
      </c>
    </row>
    <row r="25" spans="2:35" x14ac:dyDescent="0.25">
      <c r="B25" s="8" t="s">
        <v>56</v>
      </c>
      <c r="C25">
        <v>6</v>
      </c>
      <c r="D25">
        <v>5.3</v>
      </c>
      <c r="E25">
        <v>2.7093992149999999E-2</v>
      </c>
      <c r="F25">
        <v>0.81173451829999999</v>
      </c>
      <c r="J25" t="s">
        <v>49</v>
      </c>
      <c r="K25" t="s">
        <v>48</v>
      </c>
      <c r="M25" t="s">
        <v>17</v>
      </c>
      <c r="N25" t="s">
        <v>16</v>
      </c>
      <c r="O25" t="s">
        <v>18</v>
      </c>
      <c r="P25" t="s">
        <v>6</v>
      </c>
      <c r="Z25" t="s">
        <v>36</v>
      </c>
      <c r="AA25">
        <f>AA20-AA24</f>
        <v>7.3009966661834849</v>
      </c>
      <c r="AB25">
        <f>SQRT((AB20^2)+(AB24^2))</f>
        <v>0.10360366633831464</v>
      </c>
      <c r="AG25" t="s">
        <v>78</v>
      </c>
      <c r="AH25">
        <f>AH22*AH24</f>
        <v>19.694717980238764</v>
      </c>
      <c r="AI25">
        <f>((SQRT((((AI22/AH22)*100)^2)+(((AI24/AH24)*100)^2)))/100)*AH25</f>
        <v>0.15680801104717304</v>
      </c>
    </row>
    <row r="26" spans="2:35" x14ac:dyDescent="0.25">
      <c r="B26" s="5" t="s">
        <v>57</v>
      </c>
      <c r="C26">
        <v>6</v>
      </c>
      <c r="D26">
        <v>5.483333333</v>
      </c>
      <c r="E26">
        <v>8.7424029040000004E-2</v>
      </c>
      <c r="F26">
        <v>0.70377847000000004</v>
      </c>
      <c r="J26">
        <f>D10/4</f>
        <v>0.141666666675</v>
      </c>
      <c r="K26">
        <f>J26-J27</f>
        <v>-0.12083333332500001</v>
      </c>
      <c r="M26">
        <v>1</v>
      </c>
      <c r="N26">
        <f>ABS(K26)</f>
        <v>0.12083333332500001</v>
      </c>
      <c r="O26">
        <f>ABS(K27)</f>
        <v>0.125</v>
      </c>
      <c r="P26">
        <f>SQRT((H12^2)*2)</f>
        <v>5.8831284194720748E-3</v>
      </c>
      <c r="Z26" t="s">
        <v>37</v>
      </c>
      <c r="AA26" t="s">
        <v>38</v>
      </c>
    </row>
    <row r="27" spans="2:35" x14ac:dyDescent="0.25">
      <c r="B27" s="9" t="s">
        <v>58</v>
      </c>
      <c r="C27">
        <v>6</v>
      </c>
      <c r="D27">
        <v>5.6666666670000003</v>
      </c>
      <c r="E27">
        <v>-0.18887444149999999</v>
      </c>
      <c r="F27">
        <v>0.68695479100000001</v>
      </c>
      <c r="J27">
        <f>D12/4</f>
        <v>0.26250000000000001</v>
      </c>
      <c r="K27">
        <f t="shared" ref="K27:K44" si="4">J27-J28</f>
        <v>-0.125</v>
      </c>
      <c r="M27">
        <v>2</v>
      </c>
      <c r="N27">
        <f>ABS(K28)</f>
        <v>9.5833333249999986E-2</v>
      </c>
      <c r="O27">
        <f>ABS(K29)</f>
        <v>0.13333333350000004</v>
      </c>
      <c r="P27" t="s">
        <v>87</v>
      </c>
      <c r="AE27">
        <v>3</v>
      </c>
      <c r="AG27" t="s">
        <v>79</v>
      </c>
      <c r="AH27">
        <f>AH24-((3/2)*AH9)</f>
        <v>13.162616392492104</v>
      </c>
      <c r="AI27">
        <f>AI24</f>
        <v>8.6360956410908407E-2</v>
      </c>
    </row>
    <row r="28" spans="2:35" x14ac:dyDescent="0.25">
      <c r="B28" s="8" t="s">
        <v>56</v>
      </c>
      <c r="C28">
        <v>7</v>
      </c>
      <c r="D28">
        <v>6.266666667</v>
      </c>
      <c r="E28">
        <v>-2.3185662919999999</v>
      </c>
      <c r="F28">
        <v>0.7284400539</v>
      </c>
      <c r="J28">
        <f>D13/4</f>
        <v>0.38750000000000001</v>
      </c>
      <c r="K28">
        <f t="shared" si="4"/>
        <v>-9.5833333249999986E-2</v>
      </c>
      <c r="M28">
        <v>3</v>
      </c>
      <c r="N28">
        <f>ABS(K30)</f>
        <v>9.9999999999999978E-2</v>
      </c>
      <c r="O28">
        <f>ABS(K31)</f>
        <v>0.14166666650000004</v>
      </c>
      <c r="P28">
        <f>H13</f>
        <v>10</v>
      </c>
      <c r="AG28" t="s">
        <v>80</v>
      </c>
      <c r="AH28">
        <f>AH27/AH24</f>
        <v>0.87970018392617499</v>
      </c>
      <c r="AI28">
        <f>SQRT((AI27/AH24)^2+((AH27*AI24/(AH24^2))^2))</f>
        <v>7.6872515279493665E-3</v>
      </c>
    </row>
    <row r="29" spans="2:35" x14ac:dyDescent="0.25">
      <c r="B29" s="5" t="s">
        <v>57</v>
      </c>
      <c r="C29">
        <v>7</v>
      </c>
      <c r="D29">
        <v>6.4166666670000003</v>
      </c>
      <c r="E29">
        <v>-2.3113410540000001</v>
      </c>
      <c r="F29">
        <v>0.65417361650000005</v>
      </c>
      <c r="J29">
        <f>D15/4</f>
        <v>0.48333333325</v>
      </c>
      <c r="K29">
        <f t="shared" si="4"/>
        <v>-0.13333333350000004</v>
      </c>
      <c r="M29">
        <v>4</v>
      </c>
      <c r="N29">
        <f>ABS(K32)</f>
        <v>9.5833333499999895E-2</v>
      </c>
      <c r="O29">
        <f>ABS(K33)</f>
        <v>0.14583333325000014</v>
      </c>
      <c r="P29" t="s">
        <v>88</v>
      </c>
      <c r="R29" t="s">
        <v>54</v>
      </c>
      <c r="V29" t="s">
        <v>55</v>
      </c>
      <c r="AG29" t="s">
        <v>81</v>
      </c>
    </row>
    <row r="30" spans="2:35" x14ac:dyDescent="0.25">
      <c r="B30" s="9" t="s">
        <v>58</v>
      </c>
      <c r="C30">
        <v>7</v>
      </c>
      <c r="D30">
        <v>6.6833333330000002</v>
      </c>
      <c r="E30">
        <v>-2.575224226</v>
      </c>
      <c r="F30">
        <v>0.64130057959999998</v>
      </c>
      <c r="J30">
        <f>D16/4</f>
        <v>0.61666666675000004</v>
      </c>
      <c r="K30">
        <f t="shared" si="4"/>
        <v>-9.9999999999999978E-2</v>
      </c>
      <c r="M30">
        <v>5</v>
      </c>
      <c r="N30">
        <f>ABS(K34)</f>
        <v>9.5833333249999875E-2</v>
      </c>
      <c r="O30">
        <f>ABS(K35)</f>
        <v>0.12916666674999999</v>
      </c>
      <c r="P30">
        <f>P28-1</f>
        <v>9</v>
      </c>
      <c r="S30" s="6" t="s">
        <v>13</v>
      </c>
      <c r="T30" s="6" t="s">
        <v>6</v>
      </c>
      <c r="V30" s="6"/>
      <c r="W30" s="6" t="s">
        <v>13</v>
      </c>
      <c r="X30" s="6" t="s">
        <v>6</v>
      </c>
      <c r="AG30" t="s">
        <v>82</v>
      </c>
    </row>
    <row r="31" spans="2:35" x14ac:dyDescent="0.25">
      <c r="B31" s="8" t="s">
        <v>56</v>
      </c>
      <c r="C31">
        <v>8</v>
      </c>
      <c r="D31">
        <v>7.233333333</v>
      </c>
      <c r="E31">
        <v>-4.6014740420000004</v>
      </c>
      <c r="F31">
        <v>0.71433464199999996</v>
      </c>
      <c r="J31">
        <f>D18/4</f>
        <v>0.71666666675000001</v>
      </c>
      <c r="K31">
        <f t="shared" si="4"/>
        <v>-0.14166666650000004</v>
      </c>
      <c r="M31">
        <v>6</v>
      </c>
      <c r="N31">
        <f>ABS(K36)</f>
        <v>9.1666666750000125E-2</v>
      </c>
      <c r="O31">
        <f>ABS(K37)</f>
        <v>0.14999999999999991</v>
      </c>
      <c r="R31" s="6" t="s">
        <v>19</v>
      </c>
      <c r="S31" s="5">
        <f>SUM(N26:O35)</f>
        <v>2.2458333333250002</v>
      </c>
      <c r="T31" s="5">
        <f>SQRT((P26^2)*10)</f>
        <v>1.8604085572798249E-2</v>
      </c>
      <c r="V31" s="6" t="s">
        <v>16</v>
      </c>
      <c r="W31" s="5">
        <f>AVERAGE(N26:N35)</f>
        <v>9.8750000007499977E-2</v>
      </c>
      <c r="X31" s="11">
        <f>SQRT(((P26)^2)/P28)</f>
        <v>1.8604085572798247E-3</v>
      </c>
    </row>
    <row r="32" spans="2:35" x14ac:dyDescent="0.25">
      <c r="B32" s="5" t="s">
        <v>57</v>
      </c>
      <c r="C32">
        <v>8</v>
      </c>
      <c r="D32">
        <v>7.4</v>
      </c>
      <c r="E32">
        <v>-4.5819461800000001</v>
      </c>
      <c r="F32">
        <v>0.63577953970000001</v>
      </c>
      <c r="J32">
        <f>D19/4</f>
        <v>0.85833333325000005</v>
      </c>
      <c r="K32">
        <f t="shared" si="4"/>
        <v>-9.5833333499999895E-2</v>
      </c>
      <c r="M32">
        <v>7</v>
      </c>
      <c r="N32">
        <f>ABS(K38)</f>
        <v>0.10416666650000006</v>
      </c>
      <c r="O32">
        <f>ABS(K39)</f>
        <v>0.13749999999999996</v>
      </c>
      <c r="R32" s="6" t="s">
        <v>21</v>
      </c>
      <c r="S32" s="5">
        <f>H13/S31</f>
        <v>4.4526901669924026</v>
      </c>
      <c r="T32" s="5">
        <f>(H13/(S31^2))*T31</f>
        <v>3.6885296725576854E-2</v>
      </c>
      <c r="V32" s="6" t="s">
        <v>18</v>
      </c>
      <c r="W32" s="5">
        <f>AVERAGE(O26:O34)</f>
        <v>0.1398148148055556</v>
      </c>
      <c r="X32" s="11">
        <f>SQRT(((P26)^2)/P30)</f>
        <v>1.9610428064906916E-3</v>
      </c>
    </row>
    <row r="33" spans="2:42" x14ac:dyDescent="0.25">
      <c r="B33" s="9" t="s">
        <v>58</v>
      </c>
      <c r="C33">
        <v>8</v>
      </c>
      <c r="D33">
        <v>7.6166666669999996</v>
      </c>
      <c r="E33">
        <v>-4.8167100930000002</v>
      </c>
      <c r="F33">
        <v>0.64311041030000005</v>
      </c>
      <c r="J33">
        <f>D21/4</f>
        <v>0.95416666674999995</v>
      </c>
      <c r="K33">
        <f t="shared" si="4"/>
        <v>-0.14583333325000014</v>
      </c>
      <c r="M33">
        <v>8</v>
      </c>
      <c r="N33">
        <f>ABS(K40)</f>
        <v>9.5833333499999895E-2</v>
      </c>
      <c r="O33">
        <f>ABS(K41)</f>
        <v>0.16250000000000031</v>
      </c>
      <c r="P33" s="3"/>
      <c r="Q33" s="3"/>
    </row>
    <row r="34" spans="2:42" x14ac:dyDescent="0.25">
      <c r="B34" s="8" t="s">
        <v>56</v>
      </c>
      <c r="C34">
        <v>9</v>
      </c>
      <c r="D34">
        <v>8.2666666670000009</v>
      </c>
      <c r="E34">
        <v>-7.1478706049999996</v>
      </c>
      <c r="F34">
        <v>0.71619376769999998</v>
      </c>
      <c r="J34">
        <f>D22/4</f>
        <v>1.1000000000000001</v>
      </c>
      <c r="K34">
        <f t="shared" si="4"/>
        <v>-9.5833333249999875E-2</v>
      </c>
      <c r="M34">
        <v>9</v>
      </c>
      <c r="N34">
        <f>ABS(K42)</f>
        <v>9.5833333249999875E-2</v>
      </c>
      <c r="O34">
        <f>ABS(K43)</f>
        <v>0.13333333324999996</v>
      </c>
      <c r="P34" s="3"/>
      <c r="Q34" s="3"/>
      <c r="R34" s="3"/>
    </row>
    <row r="35" spans="2:42" x14ac:dyDescent="0.25">
      <c r="B35" s="5" t="s">
        <v>57</v>
      </c>
      <c r="C35">
        <v>9</v>
      </c>
      <c r="D35">
        <v>8.4333333330000002</v>
      </c>
      <c r="E35">
        <v>-7.1242230900000001</v>
      </c>
      <c r="F35">
        <v>0.63758232820000005</v>
      </c>
      <c r="J35">
        <f>D24/4</f>
        <v>1.19583333325</v>
      </c>
      <c r="K35">
        <f t="shared" si="4"/>
        <v>-0.12916666674999999</v>
      </c>
      <c r="M35">
        <v>10</v>
      </c>
      <c r="N35">
        <f>ABS(K44)</f>
        <v>9.1666666750000125E-2</v>
      </c>
      <c r="P35" s="3"/>
      <c r="Q35" s="3"/>
    </row>
    <row r="36" spans="2:42" x14ac:dyDescent="0.25">
      <c r="B36" s="9" t="s">
        <v>58</v>
      </c>
      <c r="C36">
        <v>9</v>
      </c>
      <c r="D36">
        <v>8.65</v>
      </c>
      <c r="E36">
        <v>-7.371740323</v>
      </c>
      <c r="F36">
        <v>0.61624463569999999</v>
      </c>
      <c r="J36">
        <f>D25/4</f>
        <v>1.325</v>
      </c>
      <c r="K36">
        <f t="shared" si="4"/>
        <v>-9.1666666750000125E-2</v>
      </c>
      <c r="Q36" t="s">
        <v>89</v>
      </c>
      <c r="AC36" t="s">
        <v>42</v>
      </c>
    </row>
    <row r="37" spans="2:42" x14ac:dyDescent="0.25">
      <c r="B37" s="8" t="s">
        <v>56</v>
      </c>
      <c r="C37">
        <v>10</v>
      </c>
      <c r="D37">
        <v>9.1833333330000002</v>
      </c>
      <c r="E37">
        <v>-9.3032381080000004</v>
      </c>
      <c r="F37">
        <v>0.68798294390000003</v>
      </c>
      <c r="J37">
        <f>D27/4</f>
        <v>1.4166666667500001</v>
      </c>
      <c r="K37">
        <f t="shared" si="4"/>
        <v>-0.14999999999999991</v>
      </c>
      <c r="Q37" t="s">
        <v>90</v>
      </c>
      <c r="R37" t="s">
        <v>91</v>
      </c>
      <c r="S37" t="s">
        <v>92</v>
      </c>
      <c r="T37" t="s">
        <v>93</v>
      </c>
      <c r="V37" t="s">
        <v>94</v>
      </c>
      <c r="W37" t="s">
        <v>95</v>
      </c>
      <c r="AA37" s="6" t="s">
        <v>13</v>
      </c>
      <c r="AB37" s="6" t="s">
        <v>6</v>
      </c>
      <c r="AC37" t="s">
        <v>43</v>
      </c>
      <c r="AD37" s="10"/>
      <c r="AE37" s="10"/>
      <c r="AF37" s="10"/>
      <c r="AG37" s="10"/>
    </row>
    <row r="38" spans="2:42" x14ac:dyDescent="0.25">
      <c r="B38" s="5" t="s">
        <v>57</v>
      </c>
      <c r="C38">
        <v>10</v>
      </c>
      <c r="D38">
        <v>9.3166666669999998</v>
      </c>
      <c r="E38">
        <v>-9.2917242049999995</v>
      </c>
      <c r="F38">
        <v>0.62601912989999997</v>
      </c>
      <c r="J38">
        <f>D28/4</f>
        <v>1.56666666675</v>
      </c>
      <c r="K38">
        <f t="shared" si="4"/>
        <v>-0.10416666650000006</v>
      </c>
      <c r="Q38">
        <f t="shared" ref="Q38:Q47" si="5">V15</f>
        <v>1.9939268076823264</v>
      </c>
      <c r="R38">
        <f t="shared" ref="R38:R47" si="6">W15</f>
        <v>1.2692283967130317E-2</v>
      </c>
      <c r="S38">
        <f>D13/4-D10/4</f>
        <v>0.24583333332500001</v>
      </c>
      <c r="T38">
        <f>$P$26</f>
        <v>5.8831284194720748E-3</v>
      </c>
      <c r="V38">
        <f>Q38/S38</f>
        <v>8.1108887094911886</v>
      </c>
      <c r="W38">
        <f>SQRT(((1/S38)*R38)^2+((Q38/(S38^2))*T38)^2)</f>
        <v>0.20085378879843668</v>
      </c>
      <c r="Y38" s="6" t="s">
        <v>96</v>
      </c>
      <c r="Z38" s="6"/>
      <c r="AA38" s="5">
        <f>AVERAGE(V38:V47)</f>
        <v>8.407504484310742</v>
      </c>
      <c r="AB38" s="12">
        <f>SQRT(SUM(W38^2+W39^2+W40^2+W41^2+W42^2+W43^2+W44^2+W45^2+W46^2+W47^2)/(H13^2))</f>
        <v>6.2832975248928766E-2</v>
      </c>
      <c r="AC38" t="s">
        <v>44</v>
      </c>
      <c r="AD38" s="10"/>
      <c r="AE38" s="10"/>
      <c r="AF38" s="10"/>
      <c r="AG38" s="10"/>
    </row>
    <row r="39" spans="2:42" x14ac:dyDescent="0.25">
      <c r="B39" s="9" t="s">
        <v>58</v>
      </c>
      <c r="C39">
        <v>10</v>
      </c>
      <c r="D39">
        <v>9.5500000000000007</v>
      </c>
      <c r="E39">
        <v>-9.5473680709999993</v>
      </c>
      <c r="F39">
        <v>0.61303341860000005</v>
      </c>
      <c r="J39">
        <f>D30/4</f>
        <v>1.6708333332500001</v>
      </c>
      <c r="K39">
        <f t="shared" si="4"/>
        <v>-0.13749999999999996</v>
      </c>
      <c r="Q39">
        <f t="shared" si="5"/>
        <v>1.9242271513343461</v>
      </c>
      <c r="R39">
        <f t="shared" si="6"/>
        <v>9.945986325970789E-3</v>
      </c>
      <c r="S39">
        <f>D16/4-D13/4</f>
        <v>0.22916666675000003</v>
      </c>
      <c r="T39">
        <f t="shared" ref="T39:T47" si="7">$P$26</f>
        <v>5.8831284194720748E-3</v>
      </c>
      <c r="V39">
        <f t="shared" ref="V39:V47" si="8">Q39/S39</f>
        <v>8.3966275664056447</v>
      </c>
      <c r="W39">
        <f t="shared" ref="W39:W47" si="9">SQRT(((1/S39)*R39)^2+((Q39/(S39^2))*T39)^2)</f>
        <v>0.21988260780376548</v>
      </c>
      <c r="AC39" t="s">
        <v>61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1.80833333325</v>
      </c>
      <c r="K40">
        <f t="shared" si="4"/>
        <v>-9.5833333499999895E-2</v>
      </c>
      <c r="Q40">
        <f t="shared" si="5"/>
        <v>2.0985785076476207</v>
      </c>
      <c r="R40">
        <f t="shared" si="6"/>
        <v>7.1724823036760435E-3</v>
      </c>
      <c r="S40">
        <f>D19/4-D16/4</f>
        <v>0.24166666650000002</v>
      </c>
      <c r="T40">
        <f t="shared" si="7"/>
        <v>5.8831284194720748E-3</v>
      </c>
      <c r="V40">
        <f t="shared" si="8"/>
        <v>8.6837731410824119</v>
      </c>
      <c r="W40">
        <f t="shared" si="9"/>
        <v>0.21347084368147681</v>
      </c>
      <c r="Y40" t="s">
        <v>97</v>
      </c>
      <c r="AC40" t="s">
        <v>62</v>
      </c>
      <c r="AD40" s="10"/>
      <c r="AE40" s="10"/>
      <c r="AF40" s="10"/>
      <c r="AG40" s="10"/>
    </row>
    <row r="41" spans="2:42" x14ac:dyDescent="0.25">
      <c r="B41" s="5"/>
      <c r="J41">
        <f>D33/4</f>
        <v>1.9041666667499999</v>
      </c>
      <c r="K41">
        <f t="shared" si="4"/>
        <v>-0.16250000000000031</v>
      </c>
      <c r="Q41">
        <f t="shared" si="5"/>
        <v>2.0224732493125681</v>
      </c>
      <c r="R41">
        <f t="shared" si="6"/>
        <v>4.3546770599757903E-3</v>
      </c>
      <c r="S41">
        <f>D22/4-D19/4</f>
        <v>0.24166666675000004</v>
      </c>
      <c r="T41">
        <f t="shared" si="7"/>
        <v>5.8831284194720748E-3</v>
      </c>
      <c r="V41">
        <f t="shared" si="8"/>
        <v>8.3688548218558481</v>
      </c>
      <c r="W41">
        <f t="shared" si="9"/>
        <v>0.20452655525076793</v>
      </c>
      <c r="AC41" t="s">
        <v>45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2.0666666667500002</v>
      </c>
      <c r="K42">
        <f t="shared" si="4"/>
        <v>-9.5833333249999875E-2</v>
      </c>
      <c r="Q42">
        <f t="shared" si="5"/>
        <v>1.829852913808157</v>
      </c>
      <c r="R42">
        <f t="shared" si="6"/>
        <v>1.9060177167428982E-3</v>
      </c>
      <c r="S42">
        <f>D25/4-D22/4</f>
        <v>0.22499999999999987</v>
      </c>
      <c r="T42">
        <f t="shared" si="7"/>
        <v>5.8831284194720748E-3</v>
      </c>
      <c r="V42">
        <f t="shared" si="8"/>
        <v>8.132679616925147</v>
      </c>
      <c r="W42">
        <f t="shared" si="9"/>
        <v>0.21281577065347895</v>
      </c>
      <c r="Y42" s="13" t="s">
        <v>98</v>
      </c>
      <c r="Z42" s="13"/>
      <c r="AA42" s="11">
        <f>$X$17*100</f>
        <v>201.33218951489854</v>
      </c>
      <c r="AB42" s="11">
        <f>$Y$17</f>
        <v>7.2042875430990217E-3</v>
      </c>
      <c r="AC42" t="s">
        <v>50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2.1625000000000001</v>
      </c>
      <c r="K43">
        <f t="shared" si="4"/>
        <v>-0.13333333324999996</v>
      </c>
      <c r="Q43">
        <f t="shared" si="5"/>
        <v>2.1101940847459746</v>
      </c>
      <c r="R43">
        <f t="shared" si="6"/>
        <v>2.0317753866542156E-3</v>
      </c>
      <c r="S43">
        <f>D28/4-D25/4</f>
        <v>0.24166666675000004</v>
      </c>
      <c r="T43">
        <f t="shared" si="7"/>
        <v>5.8831284194720748E-3</v>
      </c>
      <c r="V43">
        <f t="shared" si="8"/>
        <v>8.7318375890413282</v>
      </c>
      <c r="W43">
        <f t="shared" si="9"/>
        <v>0.21273387278337741</v>
      </c>
      <c r="Y43" s="13" t="s">
        <v>99</v>
      </c>
      <c r="Z43" s="13"/>
      <c r="AA43" s="11">
        <f>$W$31</f>
        <v>9.8750000007499977E-2</v>
      </c>
      <c r="AB43" s="11">
        <f>$X$31</f>
        <v>1.8604085572798247E-3</v>
      </c>
      <c r="AC43" t="s">
        <v>51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2.2958333332500001</v>
      </c>
      <c r="K44">
        <f t="shared" si="4"/>
        <v>-9.1666666750000125E-2</v>
      </c>
      <c r="Q44">
        <f t="shared" si="5"/>
        <v>1.9974517469659161</v>
      </c>
      <c r="R44">
        <f t="shared" si="6"/>
        <v>4.5012252956668835E-3</v>
      </c>
      <c r="S44">
        <f>D31/4-D28/4</f>
        <v>0.24166666650000002</v>
      </c>
      <c r="T44">
        <f t="shared" si="7"/>
        <v>5.8831284194720748E-3</v>
      </c>
      <c r="V44">
        <f t="shared" si="8"/>
        <v>8.2653175793522848</v>
      </c>
      <c r="W44">
        <f t="shared" si="9"/>
        <v>0.20207096296348956</v>
      </c>
      <c r="Y44" s="13" t="s">
        <v>100</v>
      </c>
      <c r="Z44" s="13"/>
      <c r="AA44" s="11">
        <f>$W$32</f>
        <v>0.1398148148055556</v>
      </c>
      <c r="AB44" s="11">
        <f>$X$32</f>
        <v>1.9610428064906916E-3</v>
      </c>
      <c r="AC44" t="s">
        <v>46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2.3875000000000002</v>
      </c>
      <c r="Q45">
        <f t="shared" si="5"/>
        <v>2.2364414653182676</v>
      </c>
      <c r="R45">
        <f t="shared" si="6"/>
        <v>7.4276896470387155E-3</v>
      </c>
      <c r="S45">
        <f>D34/4-D31/4</f>
        <v>0.25833333350000021</v>
      </c>
      <c r="T45">
        <f t="shared" si="7"/>
        <v>5.8831284194720748E-3</v>
      </c>
      <c r="V45">
        <f t="shared" si="8"/>
        <v>8.6571927633886467</v>
      </c>
      <c r="W45">
        <f t="shared" si="9"/>
        <v>0.19923926661966912</v>
      </c>
      <c r="Y45" s="13" t="s">
        <v>101</v>
      </c>
      <c r="Z45" s="13"/>
      <c r="AA45" s="5">
        <f>$S$31</f>
        <v>2.2458333333250002</v>
      </c>
      <c r="AB45" s="5">
        <f>$T$31</f>
        <v>1.8604085572798249E-2</v>
      </c>
      <c r="AC45" t="s">
        <v>47</v>
      </c>
      <c r="AD45" s="10"/>
      <c r="AE45" s="10"/>
      <c r="AF45" s="10"/>
    </row>
    <row r="46" spans="2:42" x14ac:dyDescent="0.25">
      <c r="Q46">
        <f t="shared" si="5"/>
        <v>1.9067511295256896</v>
      </c>
      <c r="R46">
        <f t="shared" si="6"/>
        <v>1.0266476592833177E-2</v>
      </c>
      <c r="S46">
        <f>D37/4-D34/4</f>
        <v>0.22916666649999984</v>
      </c>
      <c r="T46">
        <f t="shared" si="7"/>
        <v>5.8831284194720748E-3</v>
      </c>
      <c r="V46">
        <f t="shared" si="8"/>
        <v>8.3203685712541926</v>
      </c>
      <c r="W46">
        <f t="shared" si="9"/>
        <v>0.2182465279558124</v>
      </c>
      <c r="Y46" s="13" t="s">
        <v>102</v>
      </c>
      <c r="Z46" s="13"/>
      <c r="AA46" s="5">
        <f>$S$32</f>
        <v>4.4526901669924026</v>
      </c>
      <c r="AB46" s="5">
        <f>$T$32</f>
        <v>3.6885296725576854E-2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3" t="s">
        <v>94</v>
      </c>
      <c r="Z47" s="13"/>
      <c r="AA47" s="5">
        <f>$AA$38</f>
        <v>8.407504484310742</v>
      </c>
      <c r="AB47" s="5">
        <f>$AB$38</f>
        <v>6.2832975248928766E-2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2019-09-04T11:09:21Z</dcterms:modified>
</cp:coreProperties>
</file>