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2DF9BC0A-C525-4420-99C1-25274266E91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W41" i="1" s="1"/>
  <c r="T40" i="1"/>
  <c r="S40" i="1"/>
  <c r="W40" i="1" s="1"/>
  <c r="R40" i="1"/>
  <c r="Q40" i="1"/>
  <c r="V40" i="1" s="1"/>
  <c r="T39" i="1"/>
  <c r="S39" i="1"/>
  <c r="R39" i="1"/>
  <c r="Q39" i="1"/>
  <c r="W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AB38" i="1" l="1"/>
  <c r="AB47" i="1" s="1"/>
  <c r="P30" i="1"/>
  <c r="X32" i="1" s="1"/>
  <c r="AB44" i="1" s="1"/>
  <c r="V38" i="1"/>
  <c r="AA45" i="1"/>
  <c r="T32" i="1"/>
  <c r="AB46" i="1" s="1"/>
  <c r="V39" i="1"/>
  <c r="V41" i="1"/>
  <c r="AA38" i="1" l="1"/>
  <c r="AA47" i="1" s="1"/>
  <c r="Y17" i="1" l="1"/>
  <c r="X17" i="1"/>
  <c r="U11" i="1"/>
  <c r="T11" i="1"/>
  <c r="U24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24" i="1" l="1"/>
  <c r="T17" i="1"/>
  <c r="T16" i="1"/>
  <c r="V16" i="1" s="1"/>
  <c r="T15" i="1"/>
  <c r="V15" i="1" s="1"/>
  <c r="T22" i="1"/>
  <c r="T21" i="1"/>
  <c r="U21" i="1" s="1"/>
  <c r="T23" i="1"/>
  <c r="T20" i="1"/>
  <c r="V20" i="1" s="1"/>
  <c r="T19" i="1"/>
  <c r="T18" i="1"/>
  <c r="V18" i="1" s="1"/>
  <c r="AH25" i="1"/>
  <c r="AI25" i="1"/>
  <c r="AA25" i="1"/>
  <c r="L4" i="1"/>
  <c r="AB20" i="1"/>
  <c r="U18" i="1" l="1"/>
  <c r="U22" i="1"/>
  <c r="V22" i="1"/>
  <c r="U17" i="1"/>
  <c r="W17" i="1" s="1"/>
  <c r="V17" i="1"/>
  <c r="U19" i="1"/>
  <c r="V19" i="1"/>
  <c r="U15" i="1"/>
  <c r="W15" i="1" s="1"/>
  <c r="W21" i="1"/>
  <c r="V23" i="1"/>
  <c r="U20" i="1"/>
  <c r="W20" i="1" s="1"/>
  <c r="U16" i="1"/>
  <c r="V21" i="1"/>
  <c r="U23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P26" i="1" s="1"/>
  <c r="L11" i="1"/>
  <c r="W19" i="1" l="1"/>
  <c r="W23" i="1"/>
  <c r="W22" i="1"/>
  <c r="W16" i="1"/>
  <c r="W18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<sst xmlns="http://schemas.openxmlformats.org/spreadsheetml/2006/main" count="162" uniqueCount="103">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</sst>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1" t="s">
        <v>8</v>
      </c>
      <c r="I3" s="11"/>
      <c r="J3" s="11"/>
      <c r="K3" s="11"/>
      <c r="L3">
        <f>E4-E5</f>
        <v>23.62349124</v>
      </c>
      <c r="M3">
        <v>0.01</v>
      </c>
      <c r="N3" t="s">
        <v>40</v>
      </c>
    </row>
    <row r="4" spans="1:35" x14ac:dyDescent="0.25">
      <c r="D4">
        <v>0</v>
      </c>
      <c r="E4">
        <v>11.811132450000001</v>
      </c>
      <c r="F4">
        <v>0.50639611250000005</v>
      </c>
      <c r="H4" s="11" t="s">
        <v>9</v>
      </c>
      <c r="I4" s="11"/>
      <c r="J4" s="11"/>
      <c r="K4" s="11"/>
      <c r="L4">
        <f>AA20</f>
        <v>7.9538371708054694</v>
      </c>
      <c r="M4">
        <f>AB20</f>
        <v>0.10355142421998581</v>
      </c>
      <c r="P4" t="s">
        <v>15</v>
      </c>
    </row>
    <row r="5" spans="1:35" x14ac:dyDescent="0.25">
      <c r="D5">
        <v>3.3333333329999999E-2</v>
      </c>
      <c r="E5">
        <v>-11.812358789999999</v>
      </c>
      <c r="F5">
        <v>0.547362919</v>
      </c>
      <c r="H5" s="11" t="s">
        <v>10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20</v>
      </c>
      <c r="I6" s="11"/>
      <c r="J6" s="11"/>
      <c r="K6" s="11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23.62349124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1.016666667</v>
      </c>
      <c r="E10">
        <v>9.9706962679999993</v>
      </c>
      <c r="F10">
        <v>0.58723572719999995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11.81174562</v>
      </c>
      <c r="AB10">
        <f>AB9</f>
        <v>0.01</v>
      </c>
      <c r="AE10" t="s">
        <v>67</v>
      </c>
      <c r="AH10">
        <f>L3</f>
        <v>23.62349124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1.1000000000000001</v>
      </c>
      <c r="E11">
        <v>10.23853888</v>
      </c>
      <c r="F11">
        <v>0.5961698876</v>
      </c>
      <c r="G11" t="s">
        <v>59</v>
      </c>
      <c r="H11">
        <f>M3</f>
        <v>0.01</v>
      </c>
      <c r="K11">
        <f>ABS(E11-E14)</f>
        <v>2.3732730059999998</v>
      </c>
      <c r="L11">
        <f>SQRT((H11^2)+(H11^2))</f>
        <v>1.4142135623730951E-2</v>
      </c>
      <c r="N11">
        <f>($L$4-$L$5)*(E11/$L$4)</f>
        <v>9.4533192957062564</v>
      </c>
      <c r="O11">
        <f>SQRT(((E11/$L$4)*$M$4)^2+((E11/$L$4)*$M$5)^2+(($L$4-$L$5)*$H$11)^2+(((($L$5-$L$4)*E11)/($L$4^2))*$M$4)^2)</f>
        <v>0.19572446400661339</v>
      </c>
      <c r="Q11">
        <f>N11-N12</f>
        <v>2.1912606637089409</v>
      </c>
      <c r="R11">
        <f>SQRT((O11^2)+(O12^2))</f>
        <v>0.25124779482532628</v>
      </c>
      <c r="T11" s="5">
        <f>AVERAGE(Q11:Q19)</f>
        <v>2.0764759358545106</v>
      </c>
      <c r="U11" s="5">
        <f>SQRT(((R11^2)+(R12^2)+(R13^2)+(R14^2)+(R15^2)+(R16^2)+(R17^2)+(R18^2)+(R19^2))/$H$13)</f>
        <v>0.1718669864728774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1.45</v>
      </c>
      <c r="E12">
        <v>9.9609045030000001</v>
      </c>
      <c r="F12">
        <v>0.58738651470000003</v>
      </c>
      <c r="G12" t="s">
        <v>60</v>
      </c>
      <c r="H12">
        <f>L6</f>
        <v>4.1599999999999996E-3</v>
      </c>
      <c r="K12">
        <f>ABS(E14-E17)</f>
        <v>2.1772366660000007</v>
      </c>
      <c r="L12" s="1"/>
      <c r="N12">
        <f>($L$4-$L$5)*(E14/$L$4)</f>
        <v>7.2620586319973155</v>
      </c>
      <c r="O12">
        <f>SQRT(((E14/$L$4)*$M$4)^2+((E14/$L$4)*$M$5)^2+(($L$4-$L$5)*$H$11)^2+(((($L$5-$L$4)*E14)/($L$4^2))*$M$4)^2)</f>
        <v>0.15753535664704973</v>
      </c>
      <c r="Q12">
        <f t="shared" ref="Q12:Q19" si="0">N12-N13</f>
        <v>2.0102588491627582</v>
      </c>
      <c r="R12">
        <f t="shared" ref="R12:R19" si="1">SQRT((O12^2)+(O13^2))</f>
        <v>0.2009211852497253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2.0499999999999998</v>
      </c>
      <c r="E13">
        <v>7.5680479710000004</v>
      </c>
      <c r="F13">
        <v>0.59811755960000001</v>
      </c>
      <c r="G13" t="s">
        <v>41</v>
      </c>
      <c r="H13" s="4">
        <f>C39</f>
        <v>10</v>
      </c>
      <c r="K13">
        <f>ABS(E17-E20)</f>
        <v>2.3434956109999998</v>
      </c>
      <c r="L13" s="1"/>
      <c r="N13">
        <f>($L$4-$L$5)*(E17/$L$4)</f>
        <v>5.2517997828345573</v>
      </c>
      <c r="O13">
        <f>SQRT(((E17/$L$4)*$M$4)^2+((E17/$L$4)*$M$5)^2+(($L$4-$L$5)*$H$11)^2+(((($L$5-$L$4)*E17)/($L$4^2))*$M$4)^2)</f>
        <v>0.12470739387959831</v>
      </c>
      <c r="Q13">
        <f t="shared" si="0"/>
        <v>2.1637669728582622</v>
      </c>
      <c r="R13">
        <f t="shared" si="1"/>
        <v>0.15638859896970547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2.1666666669999999</v>
      </c>
      <c r="E14">
        <v>7.8652658740000003</v>
      </c>
      <c r="F14">
        <v>0.60659935750000005</v>
      </c>
      <c r="K14">
        <f>ABS(E20-E23)</f>
        <v>2.2002349039999998</v>
      </c>
      <c r="L14" s="1"/>
      <c r="N14">
        <f>($L$4-$L$5)*(E20/$L$4)</f>
        <v>3.088032809976295</v>
      </c>
      <c r="O14">
        <f>SQRT(((E20/$L$4)*$M$4)^2+((E20/$L$4)*$M$5)^2+(($L$4-$L$5)*$H$11)^2+(((($L$5-$L$4)*E20)/($L$4^2))*$M$4)^2)</f>
        <v>9.4368743763314375E-2</v>
      </c>
      <c r="Q14">
        <f t="shared" si="0"/>
        <v>2.0314932938038126</v>
      </c>
      <c r="R14">
        <f t="shared" si="1"/>
        <v>0.12128396111880152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1.8117456199999999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2.4166666669999999</v>
      </c>
      <c r="E15">
        <v>7.5648845739999997</v>
      </c>
      <c r="F15">
        <v>0.60469566509999995</v>
      </c>
      <c r="K15">
        <f>ABS(E26-E23)</f>
        <v>2.1512760809999998</v>
      </c>
      <c r="L15" s="1"/>
      <c r="N15">
        <f>($L$4-$L$5)*(E23/$L$4)</f>
        <v>1.0565395161724822</v>
      </c>
      <c r="O15">
        <f>SQRT(((E23/$L$4)*$M$4)^2+((E23/$L$4)*$M$5)^2+(($L$4-$L$5)*$H$11)^2+(((($L$5-$L$4)*E23)/($L$4^2))*$M$4)^2)</f>
        <v>7.6186215453984019E-2</v>
      </c>
      <c r="Q15">
        <f t="shared" si="0"/>
        <v>1.986289247446666</v>
      </c>
      <c r="R15">
        <f t="shared" si="1"/>
        <v>0.10731225972680693</v>
      </c>
      <c r="T15">
        <f>E11*$AH$28</f>
        <v>9.0137431540617712</v>
      </c>
      <c r="U15">
        <f>(SQRT(($M$3/E11)^2+($AI$28/$AH$28^2)))/100*T15</f>
        <v>9.0059337364412368E-3</v>
      </c>
      <c r="V15">
        <f>T15-T16</f>
        <v>2.0893677858995536</v>
      </c>
      <c r="W15">
        <f>SQRT(U15^2+U16^2)</f>
        <v>1.13566697507636E-2</v>
      </c>
      <c r="Z15" t="s">
        <v>28</v>
      </c>
      <c r="AA15">
        <f>AA14/AA13</f>
        <v>1.4850373934426229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3</v>
      </c>
      <c r="E16">
        <v>5.4201865979999999</v>
      </c>
      <c r="F16">
        <v>0.61813460249999996</v>
      </c>
      <c r="K16">
        <f>ABS(E29-E26)</f>
        <v>2.2596891660000002</v>
      </c>
      <c r="L16" s="1"/>
      <c r="N16">
        <f>($L$4-$L$5)*(E26/$L$4)</f>
        <v>-0.92974973127418392</v>
      </c>
      <c r="O16">
        <f>SQRT(((E26/$L$4)*$M$4)^2+((E26/$L$4)*$M$5)^2+(($L$4-$L$5)*$H$11)^2+(((($L$5-$L$4)*E26)/($L$4^2))*$M$4)^2)</f>
        <v>7.5575006863862038E-2</v>
      </c>
      <c r="Q16">
        <f t="shared" si="0"/>
        <v>2.0863878572531411</v>
      </c>
      <c r="R16">
        <f t="shared" si="1"/>
        <v>0.12023061574680999</v>
      </c>
      <c r="T16">
        <f>E14*$AH$28</f>
        <v>6.9243753681622175</v>
      </c>
      <c r="U16">
        <f>(SQRT(($M$3/E14)^2+($AI$28/$AH$28^2)))/100*T16</f>
        <v>6.9186057383506519E-3</v>
      </c>
      <c r="V16">
        <f t="shared" ref="V16:V23" si="2">T16-T17</f>
        <v>1.9167824943523373</v>
      </c>
      <c r="W16">
        <f t="shared" ref="W16:W23" si="3">SQRT(U16^2+U17^2)</f>
        <v>8.5384435274925268E-3</v>
      </c>
      <c r="X16" s="6" t="s">
        <v>85</v>
      </c>
      <c r="Y16" s="6" t="s">
        <v>86</v>
      </c>
      <c r="Z16" t="s">
        <v>29</v>
      </c>
      <c r="AA16">
        <f>ATAN(AA14/AA13)</f>
        <v>0.97815786287771622</v>
      </c>
      <c r="AB16">
        <f>(ABS(1/(1+AA15)))*AB15</f>
        <v>3.2984297673364828E-3</v>
      </c>
      <c r="AG16" t="s">
        <v>71</v>
      </c>
      <c r="AH16">
        <f>AH10/2</f>
        <v>11.81174562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3.0833333330000001</v>
      </c>
      <c r="E17">
        <v>5.6880292079999997</v>
      </c>
      <c r="F17">
        <v>0.62706876290000002</v>
      </c>
      <c r="K17">
        <f>ABS(E32-E29)</f>
        <v>2.252708959</v>
      </c>
      <c r="L17" s="1"/>
      <c r="N17">
        <f>($L$4-$L$5)*(E29/$L$4)</f>
        <v>-3.0161375885273252</v>
      </c>
      <c r="O17">
        <f>SQRT(((E29/$L$4)*$M$4)^2+((E29/$L$4)*$M$5)^2+(($L$4-$L$5)*$H$11)^2+(((($L$5-$L$4)*E29)/($L$4^2))*$M$4)^2)</f>
        <v>9.35083916040923E-2</v>
      </c>
      <c r="Q17">
        <f t="shared" si="0"/>
        <v>2.0799429800793074</v>
      </c>
      <c r="R17">
        <f t="shared" si="1"/>
        <v>0.15395537770975254</v>
      </c>
      <c r="T17">
        <f>E17*$AH$28</f>
        <v>5.0075928738098803</v>
      </c>
      <c r="U17">
        <f>(SQRT(($M$3/E17)^2+($AI$28/$AH$28^2)))/100*T17</f>
        <v>5.0037898146745204E-3</v>
      </c>
      <c r="V17">
        <f t="shared" si="2"/>
        <v>2.0631525423503643</v>
      </c>
      <c r="W17">
        <f t="shared" si="3"/>
        <v>5.8051312376363809E-3</v>
      </c>
      <c r="X17" s="5">
        <f>AVERAGE(V15:V23)</f>
        <v>1.9799205089670329</v>
      </c>
      <c r="Y17" s="5">
        <f>SQRT(((W15^2)+(W16^2)+(W17^2)+(W18^2)+(W19^2)+(W20^2)+(W21^2)+(W22^2)+(W23^2))/$H$13)</f>
        <v>6.9910250862587932E-3</v>
      </c>
      <c r="Z17" t="s">
        <v>30</v>
      </c>
      <c r="AA17">
        <f>SQRT((AA14^2)+(AA13^2))</f>
        <v>2.1842211865077181</v>
      </c>
      <c r="AB17">
        <f>SQRT(((ABS(AA13*(AA13^2+AA14^2)))*AB13)^2+((ABS(AA14*(AA13^2+AA14^2)))*AB14)^2)</f>
        <v>8.6435162094105053E-2</v>
      </c>
      <c r="AG17" t="s">
        <v>72</v>
      </c>
      <c r="AH17">
        <f>(AH16)-AH15</f>
        <v>1.8117456199999999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3.4333333330000002</v>
      </c>
      <c r="E18">
        <v>5.4169729389999999</v>
      </c>
      <c r="F18">
        <v>0.62144878650000002</v>
      </c>
      <c r="K18">
        <f>ABS(E35-E32)</f>
        <v>2.5110613809999993</v>
      </c>
      <c r="N18">
        <f>($L$4-$L$5)*(E32/$L$4)</f>
        <v>-5.0960805686066326</v>
      </c>
      <c r="O18">
        <f>SQRT(((E32/$L$4)*$M$4)^2+((E32/$L$4)*$M$5)^2+(($L$4-$L$5)*$H$11)^2+(((($L$5-$L$4)*E32)/($L$4^2))*$M$4)^2)</f>
        <v>0.12230469747874891</v>
      </c>
      <c r="Q18">
        <f t="shared" si="0"/>
        <v>2.3184816978211336</v>
      </c>
      <c r="R18">
        <f t="shared" si="1"/>
        <v>0.20149494297721721</v>
      </c>
      <c r="T18">
        <f>E20*$AH$28</f>
        <v>2.944440331459516</v>
      </c>
      <c r="U18">
        <f>(SQRT(($M$3/E20)^2+($AI$28/$AH$28^2)))/100*T18</f>
        <v>2.9430657785277626E-3</v>
      </c>
      <c r="V18">
        <f t="shared" si="2"/>
        <v>1.9370295445181489</v>
      </c>
      <c r="W18">
        <f t="shared" si="3"/>
        <v>3.1116568968760959E-3</v>
      </c>
      <c r="Z18" t="s">
        <v>31</v>
      </c>
      <c r="AA18">
        <f>AA17/AA14</f>
        <v>1.2055893290956146</v>
      </c>
      <c r="AB18">
        <f>(((AB17/AA17)*100+(AB14/AA14)*100)/100)*AA18</f>
        <v>5.4362518831457811E-2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3.983333333</v>
      </c>
      <c r="E19">
        <v>3.0635850389999999</v>
      </c>
      <c r="F19">
        <v>0.65116021020000003</v>
      </c>
      <c r="K19">
        <f>ABS(E38-E35)</f>
        <v>1.9716096160000003</v>
      </c>
      <c r="N19">
        <f>($L$4-$L$5)*(E35/$L$4)</f>
        <v>-7.4145622664277662</v>
      </c>
      <c r="O19">
        <f>SQRT(((E35/$L$4)*$M$4)^2+((E35/$L$4)*$M$5)^2+(($L$4-$L$5)*$H$11)^2+(((($L$5-$L$4)*E35)/($L$4^2))*$M$4)^2)</f>
        <v>0.16013048747825545</v>
      </c>
      <c r="Q19">
        <f t="shared" si="0"/>
        <v>1.8204018605565713</v>
      </c>
      <c r="R19">
        <f t="shared" si="1"/>
        <v>0.24989367293288739</v>
      </c>
      <c r="T19">
        <f>E23*$AH$28</f>
        <v>1.0074107869413671</v>
      </c>
      <c r="U19">
        <f>(SQRT(($M$3/E23)^2+($AI$28/$AH$28^2)))/100*T19</f>
        <v>1.0103328496764562E-3</v>
      </c>
      <c r="V19">
        <f t="shared" si="2"/>
        <v>1.8939274709879879</v>
      </c>
      <c r="W19">
        <f t="shared" si="3"/>
        <v>1.3464763968511508E-3</v>
      </c>
      <c r="Z19" t="s">
        <v>32</v>
      </c>
      <c r="AA19">
        <f>1/AA15</f>
        <v>0.6733837170805469</v>
      </c>
      <c r="AB19">
        <f>AB15</f>
        <v>8.1967213114754103E-3</v>
      </c>
      <c r="AG19" t="s">
        <v>74</v>
      </c>
      <c r="AH19">
        <f>AH17/AH18</f>
        <v>0.75489400833333331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4.0666666669999998</v>
      </c>
      <c r="E20">
        <v>3.3445335969999999</v>
      </c>
      <c r="F20">
        <v>0.66315724200000004</v>
      </c>
      <c r="K20">
        <f>ABS(E41-E38)</f>
        <v>10.00204651</v>
      </c>
      <c r="N20">
        <f>($L$4-$L$5)*(E38/$L$4)</f>
        <v>-9.2349641269843374</v>
      </c>
      <c r="O20">
        <f>SQRT(((E38/$L$4)*$M$4)^2+((E38/$L$4)*$M$5)^2+(($L$4-$L$5)*$H$11)^2+(((($L$5-$L$4)*E38)/($L$4^2))*$M$4)^2)</f>
        <v>0.19184648746293265</v>
      </c>
      <c r="T20">
        <f>E26*$AH$28</f>
        <v>-0.88651668404662087</v>
      </c>
      <c r="U20">
        <f>(SQRT(($M$3/E26)^2+($AI$28/$AH$28^2)))/100*T20</f>
        <v>-8.9007090736744634E-4</v>
      </c>
      <c r="V20">
        <f t="shared" si="2"/>
        <v>1.9893715293817444</v>
      </c>
      <c r="W20">
        <f t="shared" si="3"/>
        <v>3.0092516814242132E-3</v>
      </c>
      <c r="Z20" t="s">
        <v>33</v>
      </c>
      <c r="AA20">
        <f>AA10*AA19</f>
        <v>7.9538371708054694</v>
      </c>
      <c r="AB20">
        <f>(((AB10/AA10)*100+(AB19/AA19)*100)/100)*AA20</f>
        <v>0.10355142421998581</v>
      </c>
      <c r="AG20" t="s">
        <v>75</v>
      </c>
      <c r="AH20">
        <f>ATAN(AH19)</f>
        <v>0.64662592335508773</v>
      </c>
      <c r="AI20">
        <f>(ABS(1/(1+AH19)))*AI19</f>
        <v>2.374312435326994E-3</v>
      </c>
    </row>
    <row r="21" spans="2:35" x14ac:dyDescent="0.25">
      <c r="B21" s="9" t="s">
        <v>58</v>
      </c>
      <c r="C21">
        <v>4</v>
      </c>
      <c r="D21">
        <v>4.4000000000000004</v>
      </c>
      <c r="E21">
        <v>3.0572079830000001</v>
      </c>
      <c r="F21">
        <v>0.66105249960000001</v>
      </c>
      <c r="T21">
        <f>E29*$AH$28</f>
        <v>-2.8758882134283654</v>
      </c>
      <c r="U21">
        <f>(SQRT(($M$3/E29)^2+($AI$28/$AH$28^2)))/100*T21</f>
        <v>-2.874607705759613E-3</v>
      </c>
      <c r="V21">
        <f t="shared" si="2"/>
        <v>1.9832263368110459</v>
      </c>
      <c r="W21">
        <f t="shared" si="3"/>
        <v>5.6426028529473803E-3</v>
      </c>
      <c r="Z21" t="s">
        <v>34</v>
      </c>
      <c r="AA21">
        <f>AA10*AA18</f>
        <v>14.240114477463864</v>
      </c>
      <c r="AB21">
        <f>(((AB10/AA10)*100+(AB18/AA18)*100)/100)*AA21</f>
        <v>0.6541721369905954</v>
      </c>
    </row>
    <row r="22" spans="2:35" x14ac:dyDescent="0.25">
      <c r="B22" s="8" t="s">
        <v>56</v>
      </c>
      <c r="C22">
        <v>5</v>
      </c>
      <c r="D22">
        <v>4.95</v>
      </c>
      <c r="E22">
        <v>0.88629811030000005</v>
      </c>
      <c r="F22">
        <v>0.66836569420000003</v>
      </c>
      <c r="T22">
        <f>E32*$AH$28</f>
        <v>-4.8591145502394113</v>
      </c>
      <c r="U22">
        <f>(SQRT(($M$3/E32)^2+($AI$28/$AH$28^2)))/100*T22</f>
        <v>-4.8554708828369439E-3</v>
      </c>
      <c r="V22">
        <f t="shared" si="2"/>
        <v>2.2106730850659853</v>
      </c>
      <c r="W22">
        <f t="shared" si="3"/>
        <v>8.5716921992390234E-3</v>
      </c>
      <c r="AE22">
        <v>2</v>
      </c>
      <c r="AG22" t="s">
        <v>76</v>
      </c>
      <c r="AH22">
        <f>AH18/AH17</f>
        <v>1.3246892795027152</v>
      </c>
      <c r="AI22">
        <f>SQRT((AI17*(AH18/(AH17^2)))^2)</f>
        <v>7.311673696789262E-3</v>
      </c>
    </row>
    <row r="23" spans="2:35" x14ac:dyDescent="0.25">
      <c r="B23" s="5" t="s">
        <v>57</v>
      </c>
      <c r="C23">
        <v>5</v>
      </c>
      <c r="D23">
        <v>5.0333333329999999</v>
      </c>
      <c r="E23">
        <v>1.1442986930000001</v>
      </c>
      <c r="F23">
        <v>0.67418672059999996</v>
      </c>
      <c r="T23">
        <f>E35*$AH$28</f>
        <v>-7.0697876353053966</v>
      </c>
      <c r="U23">
        <f>(SQRT(($M$3/E35)^2+($AI$28/$AH$28^2)))/100*T23</f>
        <v>-7.0638735594868744E-3</v>
      </c>
      <c r="V23">
        <f t="shared" si="2"/>
        <v>1.7357537913361289</v>
      </c>
      <c r="W23">
        <f t="shared" si="3"/>
        <v>1.1282815519755461E-2</v>
      </c>
      <c r="AA23" t="s">
        <v>13</v>
      </c>
      <c r="AB23" t="s">
        <v>6</v>
      </c>
      <c r="AG23" t="s">
        <v>33</v>
      </c>
      <c r="AH23">
        <f>AH22*AH16</f>
        <v>15.646892795027153</v>
      </c>
      <c r="AI23">
        <f>((SQRT((((AI19/AH19)*100)^2)+(((AI16/AH16)*100)^2)))/100)*AH23</f>
        <v>8.7373661446397133E-2</v>
      </c>
    </row>
    <row r="24" spans="2:35" x14ac:dyDescent="0.25">
      <c r="B24" s="9" t="s">
        <v>58</v>
      </c>
      <c r="C24">
        <v>5</v>
      </c>
      <c r="D24">
        <v>5.3666666669999996</v>
      </c>
      <c r="E24">
        <v>0.88298392640000001</v>
      </c>
      <c r="F24">
        <v>0.66515203519999999</v>
      </c>
      <c r="T24">
        <f>E38*$AH$28</f>
        <v>-8.8055414266415255</v>
      </c>
      <c r="U24">
        <f>(SQRT(($M$3/E38)^2+($AI$28/$AH$28^2)))/100*T24</f>
        <v>-8.797932506470877E-3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15.046892795027153</v>
      </c>
      <c r="AI24">
        <f>AI23</f>
        <v>8.7373661446397133E-2</v>
      </c>
    </row>
    <row r="25" spans="2:35" x14ac:dyDescent="0.25">
      <c r="B25" s="8" t="s">
        <v>56</v>
      </c>
      <c r="C25">
        <v>6</v>
      </c>
      <c r="D25">
        <v>5.9166666670000003</v>
      </c>
      <c r="E25">
        <v>-1.258550654</v>
      </c>
      <c r="F25">
        <v>0.67201286719999997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7.3438371708054691</v>
      </c>
      <c r="AB25">
        <f>SQRT((AB20^2)+(AB24^2))</f>
        <v>0.10355142421998581</v>
      </c>
      <c r="AG25" t="s">
        <v>78</v>
      </c>
      <c r="AH25">
        <f>AH22*AH24</f>
        <v>19.932457575399116</v>
      </c>
      <c r="AI25">
        <f>((SQRT((((AI22/AH22)*100)^2)+(((AI24/AH24)*100)^2)))/100)*AH25</f>
        <v>0.15968839928158141</v>
      </c>
    </row>
    <row r="26" spans="2:35" x14ac:dyDescent="0.25">
      <c r="B26" s="5" t="s">
        <v>57</v>
      </c>
      <c r="C26">
        <v>6</v>
      </c>
      <c r="D26">
        <v>6</v>
      </c>
      <c r="E26">
        <v>-1.0069773879999999</v>
      </c>
      <c r="F26">
        <v>0.68446226160000001</v>
      </c>
      <c r="J26">
        <f>D10/4</f>
        <v>0.25416666674999999</v>
      </c>
      <c r="K26">
        <f>J26-J27</f>
        <v>-0.10833333325</v>
      </c>
      <c r="M26">
        <v>1</v>
      </c>
      <c r="N26">
        <f>ABS(K26)</f>
        <v>0.10833333325</v>
      </c>
      <c r="O26">
        <f>ABS(K27)</f>
        <v>0.14999999999999997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6.3166666669999998</v>
      </c>
      <c r="E27">
        <v>-1.2749707859999999</v>
      </c>
      <c r="F27">
        <v>0.66573633679999999</v>
      </c>
      <c r="J27">
        <f>D12/4</f>
        <v>0.36249999999999999</v>
      </c>
      <c r="K27">
        <f t="shared" ref="K27:K44" si="4">J27-J28</f>
        <v>-0.14999999999999997</v>
      </c>
      <c r="M27">
        <v>2</v>
      </c>
      <c r="N27">
        <f>ABS(K28)</f>
        <v>9.1666666750000014E-2</v>
      </c>
      <c r="O27">
        <f>ABS(K29)</f>
        <v>0.14583333325000003</v>
      </c>
      <c r="P27" t="s">
        <v>87</v>
      </c>
      <c r="AE27">
        <v>3</v>
      </c>
      <c r="AG27" t="s">
        <v>79</v>
      </c>
      <c r="AH27">
        <f>AH24-((3/2)*AH9)</f>
        <v>13.246892795027154</v>
      </c>
      <c r="AI27">
        <f>AI24</f>
        <v>8.7373661446397133E-2</v>
      </c>
    </row>
    <row r="28" spans="2:35" x14ac:dyDescent="0.25">
      <c r="B28" s="8" t="s">
        <v>56</v>
      </c>
      <c r="C28">
        <v>7</v>
      </c>
      <c r="D28">
        <v>6.8666666669999996</v>
      </c>
      <c r="E28">
        <v>-3.5509292960000001</v>
      </c>
      <c r="F28">
        <v>0.63549087400000004</v>
      </c>
      <c r="J28">
        <f>D13/4</f>
        <v>0.51249999999999996</v>
      </c>
      <c r="K28">
        <f t="shared" si="4"/>
        <v>-9.1666666750000014E-2</v>
      </c>
      <c r="M28">
        <v>3</v>
      </c>
      <c r="N28">
        <f>ABS(K30)</f>
        <v>0.10833333325000005</v>
      </c>
      <c r="O28">
        <f>ABS(K31)</f>
        <v>0.13749999999999996</v>
      </c>
      <c r="P28">
        <f>H13</f>
        <v>10</v>
      </c>
      <c r="AG28" t="s">
        <v>80</v>
      </c>
      <c r="AH28">
        <f>AH27/AH24</f>
        <v>0.88037397325015299</v>
      </c>
      <c r="AI28">
        <f>SQRT((AI27/AH24)^2+((AH27*AI24/(AH24^2))^2))</f>
        <v>7.7364197244258947E-3</v>
      </c>
    </row>
    <row r="29" spans="2:35" x14ac:dyDescent="0.25">
      <c r="B29" s="5" t="s">
        <v>57</v>
      </c>
      <c r="C29">
        <v>7</v>
      </c>
      <c r="D29">
        <v>6.9666666670000001</v>
      </c>
      <c r="E29">
        <v>-3.2666665539999999</v>
      </c>
      <c r="F29">
        <v>0.65070156479999997</v>
      </c>
      <c r="J29">
        <f>D15/4</f>
        <v>0.60416666674999997</v>
      </c>
      <c r="K29">
        <f t="shared" si="4"/>
        <v>-0.14583333325000003</v>
      </c>
      <c r="M29">
        <v>4</v>
      </c>
      <c r="N29">
        <f>ABS(K32)</f>
        <v>0.10416666675000008</v>
      </c>
      <c r="O29">
        <f>ABS(K33)</f>
        <v>0.13749999999999996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7.3</v>
      </c>
      <c r="E30">
        <v>-3.5509292960000001</v>
      </c>
      <c r="F30">
        <v>0.63549087400000004</v>
      </c>
      <c r="J30">
        <f>D16/4</f>
        <v>0.75</v>
      </c>
      <c r="K30">
        <f t="shared" si="4"/>
        <v>-0.10833333325000005</v>
      </c>
      <c r="M30">
        <v>5</v>
      </c>
      <c r="N30">
        <f>ABS(K34)</f>
        <v>0.10416666674999986</v>
      </c>
      <c r="O30">
        <f>ABS(K35)</f>
        <v>0.13750000000000018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7.8333333329999997</v>
      </c>
      <c r="E31">
        <v>-5.7546291710000004</v>
      </c>
      <c r="F31">
        <v>0.63351492929999997</v>
      </c>
      <c r="J31">
        <f>D18/4</f>
        <v>0.85833333325000005</v>
      </c>
      <c r="K31">
        <f t="shared" si="4"/>
        <v>-0.13749999999999996</v>
      </c>
      <c r="M31">
        <v>6</v>
      </c>
      <c r="N31">
        <f>ABS(K36)</f>
        <v>9.9999999999999867E-2</v>
      </c>
      <c r="O31">
        <f>ABS(K37)</f>
        <v>0.13749999999999996</v>
      </c>
      <c r="R31" s="6" t="s">
        <v>19</v>
      </c>
      <c r="S31" s="5">
        <f>SUM(N26:O35)</f>
        <v>2.2916666657499998</v>
      </c>
      <c r="T31" s="5">
        <f>SQRT((P26^2)*10)</f>
        <v>1.8604085572798249E-2</v>
      </c>
      <c r="V31" s="6" t="s">
        <v>16</v>
      </c>
      <c r="W31" s="5">
        <f>AVERAGE(N26:N35)</f>
        <v>0.10041666657499997</v>
      </c>
      <c r="X31" s="12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7.9</v>
      </c>
      <c r="E32">
        <v>-5.519375513</v>
      </c>
      <c r="F32">
        <v>0.6462156362</v>
      </c>
      <c r="J32">
        <f>D19/4</f>
        <v>0.99583333325000001</v>
      </c>
      <c r="K32">
        <f t="shared" si="4"/>
        <v>-0.10416666675000008</v>
      </c>
      <c r="M32">
        <v>7</v>
      </c>
      <c r="N32">
        <f>ABS(K38)</f>
        <v>0.10833333325000005</v>
      </c>
      <c r="O32">
        <f>ABS(K39)</f>
        <v>0.13333333324999996</v>
      </c>
      <c r="R32" s="6" t="s">
        <v>21</v>
      </c>
      <c r="S32" s="5">
        <f>H13/S31</f>
        <v>4.3636363653818186</v>
      </c>
      <c r="T32" s="5">
        <f>(H13/(S31^2))*T31</f>
        <v>3.5424639003320844E-2</v>
      </c>
      <c r="V32" s="6" t="s">
        <v>18</v>
      </c>
      <c r="W32" s="5">
        <f>AVERAGE(O26:O34)</f>
        <v>0.1430555555555556</v>
      </c>
      <c r="X32" s="12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8.1999999999999993</v>
      </c>
      <c r="E33">
        <v>-5.7547799590000004</v>
      </c>
      <c r="F33">
        <v>0.62372316490000002</v>
      </c>
      <c r="J33">
        <f>D21/4</f>
        <v>1.1000000000000001</v>
      </c>
      <c r="K33">
        <f t="shared" si="4"/>
        <v>-0.13749999999999996</v>
      </c>
      <c r="M33">
        <v>8</v>
      </c>
      <c r="N33">
        <f>ABS(K40)</f>
        <v>9.1666666749999903E-2</v>
      </c>
      <c r="O33">
        <f>ABS(K41)</f>
        <v>0.17916666675000004</v>
      </c>
      <c r="P33" s="3"/>
      <c r="Q33" s="3"/>
    </row>
    <row r="34" spans="2:42" x14ac:dyDescent="0.25">
      <c r="B34" s="8" t="s">
        <v>56</v>
      </c>
      <c r="C34">
        <v>9</v>
      </c>
      <c r="D34">
        <v>8.9166666669999994</v>
      </c>
      <c r="E34">
        <v>-8.1608429650000005</v>
      </c>
      <c r="F34">
        <v>0.62486349549999998</v>
      </c>
      <c r="J34">
        <f>D22/4</f>
        <v>1.2375</v>
      </c>
      <c r="K34">
        <f t="shared" si="4"/>
        <v>-0.10416666674999986</v>
      </c>
      <c r="M34">
        <v>9</v>
      </c>
      <c r="N34">
        <f>ABS(K42)</f>
        <v>9.1666666500000105E-2</v>
      </c>
      <c r="O34">
        <f>ABS(K43)</f>
        <v>0.12916666675000021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9.0500000000000007</v>
      </c>
      <c r="E35">
        <v>-8.0304368939999993</v>
      </c>
      <c r="F35">
        <v>0.61306123089999998</v>
      </c>
      <c r="J35">
        <f>D24/4</f>
        <v>1.3416666667499999</v>
      </c>
      <c r="K35">
        <f t="shared" si="4"/>
        <v>-0.13750000000000018</v>
      </c>
      <c r="M35">
        <v>10</v>
      </c>
      <c r="N35">
        <f>ABS(K44)</f>
        <v>9.5833332499999813E-2</v>
      </c>
      <c r="P35" s="3"/>
      <c r="Q35" s="3"/>
    </row>
    <row r="36" spans="2:42" x14ac:dyDescent="0.25">
      <c r="B36" s="9" t="s">
        <v>58</v>
      </c>
      <c r="C36">
        <v>9</v>
      </c>
      <c r="D36">
        <v>9.2833333329999999</v>
      </c>
      <c r="E36">
        <v>-8.1282037500000008</v>
      </c>
      <c r="F36">
        <v>0.62436087039999999</v>
      </c>
      <c r="J36">
        <f>D25/4</f>
        <v>1.4791666667500001</v>
      </c>
      <c r="K36">
        <f t="shared" si="4"/>
        <v>-9.9999999999999867E-2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9.8000000000000007</v>
      </c>
      <c r="E37">
        <v>-10.227407879999999</v>
      </c>
      <c r="F37">
        <v>0.62404044700000005</v>
      </c>
      <c r="J37">
        <f>D27/4</f>
        <v>1.5791666667499999</v>
      </c>
      <c r="K37">
        <f t="shared" si="4"/>
        <v>-0.13749999999999996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9.9</v>
      </c>
      <c r="E38">
        <v>-10.00204651</v>
      </c>
      <c r="F38">
        <v>0.63036409849999997</v>
      </c>
      <c r="J38">
        <f>D28/4</f>
        <v>1.7166666667499999</v>
      </c>
      <c r="K38">
        <f t="shared" si="4"/>
        <v>-0.10833333325000005</v>
      </c>
      <c r="Q38">
        <f>V15</f>
        <v>2.0893677858995536</v>
      </c>
      <c r="R38">
        <f>W15</f>
        <v>1.13566697507636E-2</v>
      </c>
      <c r="S38">
        <f>D13/4-D10/4</f>
        <v>0.25833333324999996</v>
      </c>
      <c r="T38">
        <f>$P$26</f>
        <v>5.8831284194720748E-3</v>
      </c>
      <c r="V38">
        <f>Q38/S38</f>
        <v>8.0878753028653296</v>
      </c>
      <c r="W38">
        <f>SQRT(((1/S38)*R38)^2+((Q38/(S38^2))*T38)^2)</f>
        <v>0.18936201034616623</v>
      </c>
      <c r="Y38" s="6" t="s">
        <v>96</v>
      </c>
      <c r="Z38" s="6"/>
      <c r="AA38" s="5">
        <f>AVERAGE(V38:V47)</f>
        <v>7.3008516671548751</v>
      </c>
      <c r="AB38" s="13">
        <f>SQRT(SUM(W38^2+W39^2+W40^2+W41^2+W42^2+W43^2+W44^2+W45^2+W46^2+W47^2)/(H13^2))</f>
        <v>5.9602653371627838E-2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10.18333333</v>
      </c>
      <c r="E39">
        <v>-10.211088269999999</v>
      </c>
      <c r="F39">
        <v>0.62378913439999994</v>
      </c>
      <c r="J39">
        <f>D30/4</f>
        <v>1.825</v>
      </c>
      <c r="K39">
        <f t="shared" si="4"/>
        <v>-0.13333333324999996</v>
      </c>
      <c r="Q39">
        <f>V16</f>
        <v>1.9167824943523373</v>
      </c>
      <c r="R39">
        <f>W16</f>
        <v>8.5384435274925268E-3</v>
      </c>
      <c r="S39">
        <f>D16/4-D13/4</f>
        <v>0.23750000000000004</v>
      </c>
      <c r="T39">
        <f t="shared" ref="T39:T47" si="5">$P$26</f>
        <v>5.8831284194720748E-3</v>
      </c>
      <c r="V39">
        <f t="shared" ref="V39:V47" si="6">Q39/S39</f>
        <v>8.0706631341151027</v>
      </c>
      <c r="W39">
        <f t="shared" ref="W39:W47" si="7">SQRT(((1/S39)*R39)^2+((Q39/(S39^2))*T39)^2)</f>
        <v>0.20312577504971549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1.9583333332499999</v>
      </c>
      <c r="K40">
        <f t="shared" si="4"/>
        <v>-9.1666666749999903E-2</v>
      </c>
      <c r="Q40">
        <f>V17</f>
        <v>2.0631525423503643</v>
      </c>
      <c r="R40">
        <f>W17</f>
        <v>5.8051312376363809E-3</v>
      </c>
      <c r="S40">
        <f>D19/4-D16/4</f>
        <v>0.24583333325000001</v>
      </c>
      <c r="T40">
        <f t="shared" si="5"/>
        <v>5.8831284194720748E-3</v>
      </c>
      <c r="V40">
        <f t="shared" si="6"/>
        <v>8.3924849208802907</v>
      </c>
      <c r="W40">
        <f t="shared" si="7"/>
        <v>0.20222710352669587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2.0499999999999998</v>
      </c>
      <c r="K41">
        <f t="shared" si="4"/>
        <v>-0.17916666675000004</v>
      </c>
      <c r="Q41">
        <f>V18</f>
        <v>1.9370295445181489</v>
      </c>
      <c r="R41">
        <f>W18</f>
        <v>3.1116568968760959E-3</v>
      </c>
      <c r="S41">
        <f>D22/4-D19/4</f>
        <v>0.24166666675000004</v>
      </c>
      <c r="T41">
        <f t="shared" si="5"/>
        <v>5.8831284194720748E-3</v>
      </c>
      <c r="V41">
        <f t="shared" si="6"/>
        <v>8.0152946642077545</v>
      </c>
      <c r="W41">
        <f t="shared" si="7"/>
        <v>0.19554853260269428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2.2291666667499999</v>
      </c>
      <c r="K42">
        <f t="shared" si="4"/>
        <v>-9.1666666500000105E-2</v>
      </c>
      <c r="Q42">
        <f>V19</f>
        <v>1.8939274709879879</v>
      </c>
      <c r="R42">
        <f>W19</f>
        <v>1.3464763968511508E-3</v>
      </c>
      <c r="S42">
        <f>D25/4-D22/4</f>
        <v>0.24166666675000004</v>
      </c>
      <c r="T42">
        <f t="shared" si="5"/>
        <v>5.8831284194720748E-3</v>
      </c>
      <c r="V42">
        <f t="shared" si="6"/>
        <v>7.8369412565582444</v>
      </c>
      <c r="W42">
        <f t="shared" si="7"/>
        <v>0.19086367836195314</v>
      </c>
      <c r="Y42" s="14" t="s">
        <v>98</v>
      </c>
      <c r="Z42" s="14"/>
      <c r="AA42" s="12">
        <f>$X$17*100</f>
        <v>197.99205089670329</v>
      </c>
      <c r="AB42" s="12">
        <f>$Y$17</f>
        <v>6.9910250862587932E-3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2.32083333325</v>
      </c>
      <c r="K43">
        <f t="shared" si="4"/>
        <v>-0.12916666675000021</v>
      </c>
      <c r="Q43">
        <f>V20</f>
        <v>1.9893715293817444</v>
      </c>
      <c r="R43">
        <f>W20</f>
        <v>3.0092516814242132E-3</v>
      </c>
      <c r="S43">
        <f>D28/4-D25/4</f>
        <v>0.23749999999999982</v>
      </c>
      <c r="T43">
        <f t="shared" si="5"/>
        <v>5.8831284194720748E-3</v>
      </c>
      <c r="V43">
        <f t="shared" si="6"/>
        <v>8.3763011763441941</v>
      </c>
      <c r="W43">
        <f t="shared" si="7"/>
        <v>0.20787642590142971</v>
      </c>
      <c r="Y43" s="14" t="s">
        <v>99</v>
      </c>
      <c r="Z43" s="14"/>
      <c r="AA43" s="12">
        <f>$W$31</f>
        <v>0.10041666657499997</v>
      </c>
      <c r="AB43" s="12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2.4500000000000002</v>
      </c>
      <c r="K44">
        <f t="shared" si="4"/>
        <v>-9.5833332499999813E-2</v>
      </c>
      <c r="Q44">
        <f>V21</f>
        <v>1.9832263368110459</v>
      </c>
      <c r="R44">
        <f>W21</f>
        <v>5.6426028529473803E-3</v>
      </c>
      <c r="S44">
        <f>D31/4-D28/4</f>
        <v>0.24166666650000002</v>
      </c>
      <c r="T44">
        <f t="shared" si="5"/>
        <v>5.8831284194720748E-3</v>
      </c>
      <c r="V44">
        <f t="shared" si="6"/>
        <v>8.2064538131536064</v>
      </c>
      <c r="W44">
        <f t="shared" si="7"/>
        <v>0.20113753806437418</v>
      </c>
      <c r="Y44" s="14" t="s">
        <v>100</v>
      </c>
      <c r="Z44" s="14"/>
      <c r="AA44" s="12">
        <f>$W$32</f>
        <v>0.1430555555555556</v>
      </c>
      <c r="AB44" s="12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2.5458333325</v>
      </c>
      <c r="Q45">
        <f>V22</f>
        <v>2.2106730850659853</v>
      </c>
      <c r="R45">
        <f>W22</f>
        <v>8.5716921992390234E-3</v>
      </c>
      <c r="S45">
        <f>D34/4-D31/4</f>
        <v>0.27083333349999994</v>
      </c>
      <c r="T45">
        <f t="shared" si="5"/>
        <v>5.8831284194720748E-3</v>
      </c>
      <c r="V45">
        <f t="shared" si="6"/>
        <v>8.1624852321436485</v>
      </c>
      <c r="W45">
        <f t="shared" si="7"/>
        <v>0.1801106569017521</v>
      </c>
      <c r="Y45" s="14" t="s">
        <v>101</v>
      </c>
      <c r="Z45" s="14"/>
      <c r="AA45" s="5">
        <f>$S$31</f>
        <v>2.2916666657499998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>V23</f>
        <v>1.7357537913361289</v>
      </c>
      <c r="R46">
        <f>W23</f>
        <v>1.1282815519755461E-2</v>
      </c>
      <c r="S46">
        <f>D37/4-D34/4</f>
        <v>0.22083333325000032</v>
      </c>
      <c r="T46">
        <f t="shared" si="5"/>
        <v>5.8831284194720748E-3</v>
      </c>
      <c r="V46">
        <f t="shared" si="6"/>
        <v>7.8600171712805791</v>
      </c>
      <c r="W46">
        <f t="shared" si="7"/>
        <v>0.21553848224041763</v>
      </c>
      <c r="Y46" s="14" t="s">
        <v>102</v>
      </c>
      <c r="Z46" s="14"/>
      <c r="AA46" s="5">
        <f>$S$32</f>
        <v>4.3636363653818186</v>
      </c>
      <c r="AB46" s="5">
        <f>$T$32</f>
        <v>3.5424639003320844E-2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Q47">
        <f>V24</f>
        <v>0</v>
      </c>
      <c r="R47">
        <f>W24</f>
        <v>0</v>
      </c>
      <c r="S47">
        <f>D40/4-D37/4</f>
        <v>-2.4500000000000002</v>
      </c>
      <c r="T47">
        <f t="shared" si="5"/>
        <v>5.8831284194720748E-3</v>
      </c>
      <c r="V47">
        <f t="shared" si="6"/>
        <v>0</v>
      </c>
      <c r="W47">
        <f t="shared" si="7"/>
        <v>0</v>
      </c>
      <c r="Y47" s="14" t="s">
        <v>94</v>
      </c>
      <c r="Z47" s="14"/>
      <c r="AA47" s="5">
        <f>$AA$38</f>
        <v>7.3008516671548751</v>
      </c>
      <c r="AB47" s="5">
        <f>$AB$38</f>
        <v>5.9602653371627838E-2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2019-09-04T11:00:16Z</dcterms:modified>
</cp:coreProperties>
</file>