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EEFB040E-F240-44C1-8B09-DFD3A74E9D4A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S32" i="1" s="1"/>
  <c r="AA46" i="1" s="1"/>
  <c r="P28" i="1"/>
  <c r="X31" i="1" s="1"/>
  <c r="AB43" i="1" s="1"/>
  <c r="AB38" i="1" l="1"/>
  <c r="AB47" i="1" s="1"/>
  <c r="P30" i="1"/>
  <c r="X32" i="1" s="1"/>
  <c r="AB44" i="1" s="1"/>
  <c r="AA45" i="1"/>
  <c r="T32" i="1"/>
  <c r="AB46" i="1" s="1"/>
  <c r="V38" i="1"/>
  <c r="AA38" i="1" s="1"/>
  <c r="AA47" i="1" s="1"/>
  <c r="Y17" i="1" l="1"/>
  <c r="X17" i="1"/>
  <c r="U11" i="1"/>
  <c r="T11" i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H20" i="1"/>
  <c r="AI20" i="1"/>
  <c r="AB18" i="1"/>
  <c r="AB21" i="1" s="1"/>
  <c r="AB16" i="1"/>
  <c r="AA19" i="1"/>
  <c r="AA20" i="1" s="1"/>
  <c r="T23" i="1" l="1"/>
  <c r="T15" i="1"/>
  <c r="T21" i="1"/>
  <c r="T19" i="1"/>
  <c r="T18" i="1"/>
  <c r="V18" i="1" s="1"/>
  <c r="T17" i="1"/>
  <c r="T16" i="1"/>
  <c r="V16" i="1" s="1"/>
  <c r="T22" i="1"/>
  <c r="T20" i="1"/>
  <c r="AI25" i="1"/>
  <c r="AA25" i="1"/>
  <c r="L4" i="1"/>
  <c r="AB20" i="1"/>
  <c r="V21" i="1" l="1"/>
  <c r="V15" i="1"/>
  <c r="U16" i="1"/>
  <c r="U19" i="1"/>
  <c r="V19" i="1"/>
  <c r="U18" i="1"/>
  <c r="W18" i="1" s="1"/>
  <c r="U22" i="1"/>
  <c r="W22" i="1" s="1"/>
  <c r="V22" i="1"/>
  <c r="W16" i="1"/>
  <c r="V20" i="1"/>
  <c r="U21" i="1"/>
  <c r="W21" i="1" s="1"/>
  <c r="U15" i="1"/>
  <c r="U20" i="1"/>
  <c r="U17" i="1"/>
  <c r="V17" i="1"/>
  <c r="U23" i="1"/>
  <c r="N19" i="1"/>
  <c r="N13" i="1"/>
  <c r="N18" i="1"/>
  <c r="N17" i="1"/>
  <c r="N16" i="1"/>
  <c r="N14" i="1"/>
  <c r="N15" i="1"/>
  <c r="N12" i="1"/>
  <c r="N11" i="1"/>
  <c r="AB25" i="1"/>
  <c r="M4" i="1"/>
  <c r="H12" i="1"/>
  <c r="P26" i="1" s="1"/>
  <c r="L11" i="1"/>
  <c r="W20" i="1" l="1"/>
  <c r="W15" i="1"/>
  <c r="W17" i="1"/>
  <c r="W19" i="1"/>
  <c r="O17" i="1"/>
  <c r="O19" i="1"/>
  <c r="O11" i="1"/>
  <c r="O16" i="1"/>
  <c r="O12" i="1"/>
  <c r="O13" i="1"/>
  <c r="O14" i="1"/>
  <c r="O18" i="1"/>
  <c r="O15" i="1"/>
  <c r="Q13" i="1" l="1"/>
  <c r="Q15" i="1"/>
  <c r="Q17" i="1"/>
  <c r="Q14" i="1"/>
  <c r="Q18" i="1"/>
  <c r="Q16" i="1"/>
  <c r="Q11" i="1"/>
  <c r="Q12" i="1"/>
  <c r="R12" i="1" l="1"/>
  <c r="R17" i="1" l="1"/>
  <c r="R11" i="1"/>
  <c r="R15" i="1"/>
  <c r="R18" i="1"/>
  <c r="R14" i="1"/>
  <c r="R16" i="1"/>
  <c r="R13" i="1"/>
</calcChain>
</file>

<file path=xl/sharedStrings.xml><?xml version="1.0" encoding="utf-8"?>
<sst xmlns="http://schemas.openxmlformats.org/spreadsheetml/2006/main" count="159" uniqueCount="103">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</sst>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V50" sqref="V46:W50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1" t="s">
        <v>8</v>
      </c>
      <c r="I3" s="11"/>
      <c r="J3" s="11"/>
      <c r="K3" s="11"/>
      <c r="L3">
        <f>E4-E5</f>
        <v>23.206905129999999</v>
      </c>
      <c r="M3">
        <v>0.01</v>
      </c>
      <c r="N3" t="s">
        <v>40</v>
      </c>
    </row>
    <row r="4" spans="1:35" x14ac:dyDescent="0.25">
      <c r="D4">
        <v>0</v>
      </c>
      <c r="E4">
        <v>11.604931629999999</v>
      </c>
      <c r="F4">
        <v>0.49016687209999998</v>
      </c>
      <c r="H4" s="11" t="s">
        <v>9</v>
      </c>
      <c r="I4" s="11"/>
      <c r="J4" s="11"/>
      <c r="K4" s="11"/>
      <c r="L4">
        <f>AA20</f>
        <v>8.82858179799039</v>
      </c>
      <c r="M4">
        <f>AB20</f>
        <v>0.10271884872421989</v>
      </c>
      <c r="P4" t="s">
        <v>15</v>
      </c>
    </row>
    <row r="5" spans="1:35" x14ac:dyDescent="0.25">
      <c r="D5">
        <v>3.3333333329999999E-2</v>
      </c>
      <c r="E5">
        <v>-11.6019735</v>
      </c>
      <c r="F5">
        <v>0.54223141370000005</v>
      </c>
      <c r="H5" s="11" t="s">
        <v>10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20</v>
      </c>
      <c r="I6" s="11"/>
      <c r="J6" s="11"/>
      <c r="K6" s="11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23.206905129999999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1.3</v>
      </c>
      <c r="E10">
        <v>9.1227157779999999</v>
      </c>
      <c r="F10">
        <v>0.60305033679999998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11.603452565</v>
      </c>
      <c r="AB10">
        <f>AB9</f>
        <v>0.01</v>
      </c>
      <c r="AE10" t="s">
        <v>67</v>
      </c>
      <c r="AH10">
        <f>L3</f>
        <v>23.206905129999999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1.4</v>
      </c>
      <c r="E11">
        <v>9.4004700089999993</v>
      </c>
      <c r="F11">
        <v>0.60757494280000002</v>
      </c>
      <c r="G11" t="s">
        <v>59</v>
      </c>
      <c r="H11">
        <f>M3</f>
        <v>0.01</v>
      </c>
      <c r="K11">
        <f>ABS(E11-E14)</f>
        <v>2.3672079069999992</v>
      </c>
      <c r="L11">
        <f>SQRT((H11^2)+(H11^2))</f>
        <v>1.4142135623730951E-2</v>
      </c>
      <c r="N11">
        <f>($L$4-$L$5)*(E11/$L$4)</f>
        <v>8.7509560964942263</v>
      </c>
      <c r="O11">
        <f>SQRT(((E11/$L$4)*$M$4)^2+((E11/$L$4)*$M$5)^2+(($L$4-$L$5)*$H$11)^2+(((($L$5-$L$4)*E11)/($L$4^2))*$M$4)^2)</f>
        <v>0.17053832832412724</v>
      </c>
      <c r="Q11">
        <f>N11-N12</f>
        <v>2.2036485883788943</v>
      </c>
      <c r="R11">
        <f>SQRT((O11^2)+(O12^2))</f>
        <v>0.21985670141925076</v>
      </c>
      <c r="T11" s="5">
        <f>AVERAGE(Q11:Q18)</f>
        <v>2.2838191641635373</v>
      </c>
      <c r="U11" s="5">
        <f>SQRT(((R11^2)+(R12^2)+(R13^2)+(R14^2)+(R15^2)+(R16^2)+(R17^2)+(R18^2))/($H$13-1))</f>
        <v>0.17449750376040551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1.75</v>
      </c>
      <c r="E12">
        <v>9.1568103369999996</v>
      </c>
      <c r="F12">
        <v>0.58537493689999998</v>
      </c>
      <c r="G12" t="s">
        <v>60</v>
      </c>
      <c r="H12">
        <f>L6</f>
        <v>4.1599999999999996E-3</v>
      </c>
      <c r="K12">
        <f>ABS(E14-E17)</f>
        <v>2.5333801390000001</v>
      </c>
      <c r="L12" s="1"/>
      <c r="N12">
        <f>($L$4-$L$5)*(E14/$L$4)</f>
        <v>6.547307508115332</v>
      </c>
      <c r="O12">
        <f>SQRT(((E14/$L$4)*$M$4)^2+((E14/$L$4)*$M$5)^2+(($L$4-$L$5)*$H$11)^2+(((($L$5-$L$4)*E14)/($L$4^2))*$M$4)^2)</f>
        <v>0.13875751414379603</v>
      </c>
      <c r="Q12">
        <f t="shared" ref="Q12:Q18" si="0">N12-N13</f>
        <v>2.3583393544040234</v>
      </c>
      <c r="R12">
        <f t="shared" ref="R12:R18" si="1">SQRT((O12^2)+(O13^2))</f>
        <v>0.17642167231989547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2.3166666669999998</v>
      </c>
      <c r="E13">
        <v>6.7467120459999999</v>
      </c>
      <c r="F13">
        <v>0.60918483099999998</v>
      </c>
      <c r="G13" t="s">
        <v>41</v>
      </c>
      <c r="H13" s="4">
        <f>C36</f>
        <v>9</v>
      </c>
      <c r="K13">
        <f>ABS(E17-E20)</f>
        <v>2.4501683999999999</v>
      </c>
      <c r="L13" s="1"/>
      <c r="N13">
        <f>($L$4-$L$5)*(E17/$L$4)</f>
        <v>4.1889681537113086</v>
      </c>
      <c r="O13">
        <f>SQRT(((E17/$L$4)*$M$4)^2+((E17/$L$4)*$M$5)^2+(($L$4-$L$5)*$H$11)^2+(((($L$5-$L$4)*E17)/($L$4^2))*$M$4)^2)</f>
        <v>0.10895392940496831</v>
      </c>
      <c r="Q13">
        <f t="shared" si="0"/>
        <v>2.2808770281581254</v>
      </c>
      <c r="R13">
        <f t="shared" si="1"/>
        <v>0.14031054021779304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2.4</v>
      </c>
      <c r="E14">
        <v>7.0332621020000001</v>
      </c>
      <c r="F14">
        <v>0.62789456580000003</v>
      </c>
      <c r="K14">
        <f>ABS(E20-E23)</f>
        <v>2.3616929786999998</v>
      </c>
      <c r="L14" s="1"/>
      <c r="N14">
        <f>($L$4-$L$5)*(E20/$L$4)</f>
        <v>1.9080911255531832</v>
      </c>
      <c r="O14">
        <f>SQRT(((E20/$L$4)*$M$4)^2+((E20/$L$4)*$M$5)^2+(($L$4-$L$5)*$H$11)^2+(((($L$5-$L$4)*E20)/($L$4^2))*$M$4)^2)</f>
        <v>8.8408647560213841E-2</v>
      </c>
      <c r="Q14">
        <f t="shared" si="0"/>
        <v>2.1985147072663112</v>
      </c>
      <c r="R14">
        <f t="shared" si="1"/>
        <v>0.12081055843457662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1.6034525649999996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2.733333333</v>
      </c>
      <c r="E15">
        <v>6.740987745</v>
      </c>
      <c r="F15">
        <v>0.60926858039999998</v>
      </c>
      <c r="K15">
        <f>ABS(E26-E23)</f>
        <v>2.4593410963000002</v>
      </c>
      <c r="L15" s="1"/>
      <c r="N15">
        <f>($L$4-$L$5)*(E23/$L$4)</f>
        <v>-0.2904235817131281</v>
      </c>
      <c r="O15">
        <f>SQRT(((E23/$L$4)*$M$4)^2+((E23/$L$4)*$M$5)^2+(($L$4-$L$5)*$H$11)^2+(((($L$5-$L$4)*E23)/($L$4^2))*$M$4)^2)</f>
        <v>8.2335302670532212E-2</v>
      </c>
      <c r="Q15">
        <f t="shared" si="0"/>
        <v>2.2894159482898768</v>
      </c>
      <c r="R15">
        <f t="shared" si="1"/>
        <v>0.12439545220971218</v>
      </c>
      <c r="T15">
        <f>E11*$AH$28</f>
        <v>8.391336728873215</v>
      </c>
      <c r="U15">
        <f>(SQRT(($M$3/E11)^2+($AI$28/$AH$28^2)))/100*T15</f>
        <v>8.7893859601065275E-3</v>
      </c>
      <c r="V15">
        <f>T15-T16</f>
        <v>2.1130899450634253</v>
      </c>
      <c r="W15">
        <f>SQRT(U15^2+U16^2)</f>
        <v>1.0977312011851507E-2</v>
      </c>
      <c r="Z15" t="s">
        <v>28</v>
      </c>
      <c r="AA15">
        <f>AA14/AA13</f>
        <v>1.3143053811475407</v>
      </c>
      <c r="AB15">
        <f>(((AB13/AA13)*100+(AB14/AA14)*100)/100)*AA15</f>
        <v>8.1967213114754085E-3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3.4</v>
      </c>
      <c r="E16">
        <v>4.2248642580000002</v>
      </c>
      <c r="F16">
        <v>0.62604138659999997</v>
      </c>
      <c r="K16">
        <f>ABS(E29-E26)</f>
        <v>2.5223084099999999</v>
      </c>
      <c r="L16" s="1"/>
      <c r="N16">
        <f>($L$4-$L$5)*(E26/$L$4)</f>
        <v>-2.5798395300030048</v>
      </c>
      <c r="O16">
        <f>SQRT(((E26/$L$4)*$M$4)^2+((E26/$L$4)*$M$5)^2+(($L$4-$L$5)*$H$11)^2+(((($L$5-$L$4)*E26)/($L$4^2))*$M$4)^2)</f>
        <v>9.3247661979325991E-2</v>
      </c>
      <c r="Q16">
        <f t="shared" si="0"/>
        <v>2.3480326129008295</v>
      </c>
      <c r="R16">
        <f t="shared" si="1"/>
        <v>0.1501009358957297</v>
      </c>
      <c r="T16">
        <f>E14*$AH$28</f>
        <v>6.2782467838097897</v>
      </c>
      <c r="U16">
        <f>(SQRT(($M$3/E14)^2+($AI$28/$AH$28^2)))/100*T16</f>
        <v>6.5763267444540535E-3</v>
      </c>
      <c r="V16">
        <f t="shared" ref="V16:V22" si="2">T16-T17</f>
        <v>2.2614237147967939</v>
      </c>
      <c r="W16">
        <f t="shared" ref="W16:W22" si="3">SQRT(U16^2+U17^2)</f>
        <v>7.8074405473198228E-3</v>
      </c>
      <c r="X16" s="6" t="s">
        <v>85</v>
      </c>
      <c r="Y16" s="6" t="s">
        <v>86</v>
      </c>
      <c r="Z16" t="s">
        <v>29</v>
      </c>
      <c r="AA16">
        <f>ATAN(AA14/AA13)</f>
        <v>0.92038212416948395</v>
      </c>
      <c r="AB16">
        <f>(ABS(1/(1+AA15)))*AB15</f>
        <v>3.541763061282384E-3</v>
      </c>
      <c r="AG16" t="s">
        <v>71</v>
      </c>
      <c r="AH16">
        <f>AH10/2</f>
        <v>11.603452565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3.483333333</v>
      </c>
      <c r="E17">
        <v>4.499881963</v>
      </c>
      <c r="F17">
        <v>0.63919431900000001</v>
      </c>
      <c r="K17">
        <f>ABS(E32-E29)</f>
        <v>2.5794257969999999</v>
      </c>
      <c r="L17" s="1"/>
      <c r="N17">
        <f>($L$4-$L$5)*(E29/$L$4)</f>
        <v>-4.9278721429038344</v>
      </c>
      <c r="O17">
        <f>SQRT(((E29/$L$4)*$M$4)^2+((E29/$L$4)*$M$5)^2+(($L$4-$L$5)*$H$11)^2+(((($L$5-$L$4)*E29)/($L$4^2))*$M$4)^2)</f>
        <v>0.11762297603854155</v>
      </c>
      <c r="Q17">
        <f t="shared" si="0"/>
        <v>2.4012035443015938</v>
      </c>
      <c r="R17">
        <f t="shared" si="1"/>
        <v>0.19039927230309961</v>
      </c>
      <c r="T17">
        <f>E17*$AH$28</f>
        <v>4.0168230690129958</v>
      </c>
      <c r="U17">
        <f>(SQRT(($M$3/E17)^2+($AI$28/$AH$28^2)))/100*T17</f>
        <v>4.2080939212560363E-3</v>
      </c>
      <c r="V17">
        <f t="shared" si="2"/>
        <v>2.1871446924632725</v>
      </c>
      <c r="W17">
        <f t="shared" si="3"/>
        <v>4.6247706006982093E-3</v>
      </c>
      <c r="X17" s="5">
        <f>AVERAGE(V15:V22)</f>
        <v>2.1899659217839682</v>
      </c>
      <c r="Y17" s="5">
        <f>SQRT(((W15^2)+(W16^2)+(W17^2)+(W18^2)+(W19^2)+(W20^2)+(W21^2)+(W22^2))/($H$13-1))</f>
        <v>7.6563838630513709E-3</v>
      </c>
      <c r="Z17" t="s">
        <v>30</v>
      </c>
      <c r="AA17">
        <f>SQRT((AA14^2)+(AA13^2))</f>
        <v>2.0148101965706542</v>
      </c>
      <c r="AB17">
        <f>SQRT(((ABS(AA13*(AA13^2+AA14^2)))*AB13)^2+((ABS(AA14*(AA13^2+AA14^2)))*AB14)^2)</f>
        <v>6.5091517550856598E-2</v>
      </c>
      <c r="AG17" t="s">
        <v>72</v>
      </c>
      <c r="AH17">
        <f>(AH16)-AH15</f>
        <v>1.6034525649999996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3.766666667</v>
      </c>
      <c r="E18">
        <v>4.2478033379999998</v>
      </c>
      <c r="F18">
        <v>0.62856853960000003</v>
      </c>
      <c r="K18">
        <f>ABS(E35-E32)</f>
        <v>2.3531065310000008</v>
      </c>
      <c r="N18">
        <f>($L$4-$L$5)*(E32/$L$4)</f>
        <v>-7.3290756872054281</v>
      </c>
      <c r="O18">
        <f>SQRT(((E32/$L$4)*$M$4)^2+((E32/$L$4)*$M$5)^2+(($L$4-$L$5)*$H$11)^2+(((($L$5-$L$4)*E32)/($L$4^2))*$M$4)^2)</f>
        <v>0.14972213731237793</v>
      </c>
      <c r="Q18">
        <f t="shared" si="0"/>
        <v>2.1905215296086418</v>
      </c>
      <c r="R18">
        <f t="shared" si="1"/>
        <v>0.23578552504242903</v>
      </c>
      <c r="T18">
        <f>E20*$AH$28</f>
        <v>1.8296783765497233</v>
      </c>
      <c r="U18">
        <f>(SQRT(($M$3/E20)^2+($AI$28/$AH$28^2)))/100*T18</f>
        <v>1.9184495455889555E-3</v>
      </c>
      <c r="V18">
        <f t="shared" si="2"/>
        <v>2.1081670401069088</v>
      </c>
      <c r="W18">
        <f t="shared" si="3"/>
        <v>1.9425489518449393E-3</v>
      </c>
      <c r="Z18" t="s">
        <v>31</v>
      </c>
      <c r="AA18">
        <f>AA17/AA14</f>
        <v>1.2565449334453214</v>
      </c>
      <c r="AB18">
        <f>(((AB17/AA17)*100+(AB14/AA14)*100)/100)*AA18</f>
        <v>4.8431097109074651E-2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4.4333333330000002</v>
      </c>
      <c r="E19">
        <v>1.760385106</v>
      </c>
      <c r="F19">
        <v>0.65064689990000002</v>
      </c>
      <c r="N19">
        <f>($L$4-$L$5)*(E35/$L$4)</f>
        <v>-9.5195972168140699</v>
      </c>
      <c r="O19">
        <f>SQRT(((E35/$L$4)*$M$4)^2+((E35/$L$4)*$M$5)^2+(($L$4-$L$5)*$H$11)^2+(((($L$5-$L$4)*E35)/($L$4^2))*$M$4)^2)</f>
        <v>0.18214855315963224</v>
      </c>
      <c r="T19">
        <f>E23*$AH$28</f>
        <v>-0.27848866355718566</v>
      </c>
      <c r="U19">
        <f>(SQRT(($M$3/E23)^2+($AI$28/$AH$28^2)))/100*T19</f>
        <v>-3.0503732778694898E-4</v>
      </c>
      <c r="V19">
        <f t="shared" si="2"/>
        <v>2.1953327068169481</v>
      </c>
      <c r="W19">
        <f t="shared" si="3"/>
        <v>2.6104558609220891E-3</v>
      </c>
      <c r="Z19" t="s">
        <v>32</v>
      </c>
      <c r="AA19">
        <f>1/AA15</f>
        <v>0.76085817979903902</v>
      </c>
      <c r="AB19">
        <f>AB15</f>
        <v>8.1967213114754085E-3</v>
      </c>
      <c r="AG19" t="s">
        <v>74</v>
      </c>
      <c r="AH19">
        <f>AH17/AH18</f>
        <v>0.66810523541666655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4.55</v>
      </c>
      <c r="E20">
        <v>2.0497135630000001</v>
      </c>
      <c r="F20">
        <v>0.66359045890000001</v>
      </c>
      <c r="T20">
        <f>E26*$AH$28</f>
        <v>-2.4738213703741336</v>
      </c>
      <c r="U20">
        <f>(SQRT(($M$3/E26)^2+($AI$28/$AH$28^2)))/100*T20</f>
        <v>-2.5925724735249124E-3</v>
      </c>
      <c r="V20">
        <f t="shared" si="2"/>
        <v>2.2515405274539391</v>
      </c>
      <c r="W20">
        <f t="shared" si="3"/>
        <v>5.5878933050039197E-3</v>
      </c>
      <c r="Z20" t="s">
        <v>33</v>
      </c>
      <c r="AA20">
        <f>AA10*AA19</f>
        <v>8.82858179799039</v>
      </c>
      <c r="AB20">
        <f>(((AB10/AA10)*100+(AB19/AA19)*100)/100)*AA20</f>
        <v>0.10271884872421989</v>
      </c>
      <c r="AG20" t="s">
        <v>75</v>
      </c>
      <c r="AH20">
        <f>ATAN(AH19)</f>
        <v>0.58899787461525055</v>
      </c>
      <c r="AI20">
        <f>(ABS(1/(1+AH19)))*AI19</f>
        <v>2.497844007800802E-3</v>
      </c>
    </row>
    <row r="21" spans="2:35" x14ac:dyDescent="0.25">
      <c r="B21" s="9" t="s">
        <v>58</v>
      </c>
      <c r="C21">
        <v>4</v>
      </c>
      <c r="D21">
        <v>4.8166666669999998</v>
      </c>
      <c r="E21">
        <v>1.7775580099999999</v>
      </c>
      <c r="F21">
        <v>0.65039565170000002</v>
      </c>
      <c r="T21">
        <f>E29*$AH$28</f>
        <v>-4.7253618978280727</v>
      </c>
      <c r="U21">
        <f>(SQRT(($M$3/E29)^2+($AI$28/$AH$28^2)))/100*T21</f>
        <v>-4.9500625811830451E-3</v>
      </c>
      <c r="V21">
        <f t="shared" si="2"/>
        <v>2.302526406556952</v>
      </c>
      <c r="W21">
        <f t="shared" si="3"/>
        <v>8.8709451220618744E-3</v>
      </c>
      <c r="Z21" t="s">
        <v>34</v>
      </c>
      <c r="AA21">
        <f>AA10*AA18</f>
        <v>14.580259531023868</v>
      </c>
      <c r="AB21">
        <f>(((AB10/AA10)*100+(AB18/AA18)*100)/100)*AA21</f>
        <v>0.57453338731050951</v>
      </c>
    </row>
    <row r="22" spans="2:35" x14ac:dyDescent="0.25">
      <c r="B22" s="8" t="s">
        <v>56</v>
      </c>
      <c r="C22">
        <v>5</v>
      </c>
      <c r="D22">
        <v>5.45</v>
      </c>
      <c r="E22">
        <v>-0.57554851760000003</v>
      </c>
      <c r="F22">
        <v>0.65619514830000003</v>
      </c>
      <c r="T22">
        <f>E32*$AH$28</f>
        <v>-7.0278883043850247</v>
      </c>
      <c r="U22">
        <f>(SQRT(($M$3/E32)^2+($AI$28/$AH$28^2)))/100*T22</f>
        <v>-7.3614229467545743E-3</v>
      </c>
      <c r="V22">
        <f t="shared" si="2"/>
        <v>2.100502341013506</v>
      </c>
      <c r="W22">
        <f t="shared" si="3"/>
        <v>1.2066876384289126E-2</v>
      </c>
      <c r="AE22">
        <v>2</v>
      </c>
      <c r="AG22" t="s">
        <v>76</v>
      </c>
      <c r="AH22">
        <f>AH18/AH17</f>
        <v>1.4967701897686014</v>
      </c>
      <c r="AI22">
        <f>SQRT((AI17*(AH18/(AH17^2)))^2)</f>
        <v>9.3346708374163964E-3</v>
      </c>
    </row>
    <row r="23" spans="2:35" x14ac:dyDescent="0.25">
      <c r="B23" s="5" t="s">
        <v>57</v>
      </c>
      <c r="C23">
        <v>5</v>
      </c>
      <c r="D23">
        <v>5.5666666669999998</v>
      </c>
      <c r="E23">
        <v>-0.31197941569999998</v>
      </c>
      <c r="F23">
        <v>0.66951557949999996</v>
      </c>
      <c r="T23">
        <f>E35*$AH$28</f>
        <v>-9.1283906453985306</v>
      </c>
      <c r="U23">
        <f>(SQRT(($M$3/E35)^2+($AI$28/$AH$28^2)))/100*T23</f>
        <v>-9.5613261565909245E-3</v>
      </c>
      <c r="AA23" t="s">
        <v>13</v>
      </c>
      <c r="AB23" t="s">
        <v>6</v>
      </c>
      <c r="AG23" t="s">
        <v>33</v>
      </c>
      <c r="AH23">
        <f>AH22*AH16</f>
        <v>17.367701897686015</v>
      </c>
      <c r="AI23">
        <f>((SQRT((((AI19/AH19)*100)^2)+(((AI16/AH16)*100)^2)))/100)*AH23</f>
        <v>0.10934369470909892</v>
      </c>
    </row>
    <row r="24" spans="2:35" x14ac:dyDescent="0.25">
      <c r="B24" s="9" t="s">
        <v>58</v>
      </c>
      <c r="C24">
        <v>5</v>
      </c>
      <c r="D24">
        <v>5.8333333329999997</v>
      </c>
      <c r="E24">
        <v>-0.56961484299999998</v>
      </c>
      <c r="F24">
        <v>0.67042215189999999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16.767701897686013</v>
      </c>
      <c r="AI24">
        <f>AI23</f>
        <v>0.10934369470909892</v>
      </c>
    </row>
    <row r="25" spans="2:35" x14ac:dyDescent="0.25">
      <c r="B25" s="8" t="s">
        <v>56</v>
      </c>
      <c r="C25">
        <v>6</v>
      </c>
      <c r="D25">
        <v>6.4666666670000001</v>
      </c>
      <c r="E25">
        <v>-3.063385496</v>
      </c>
      <c r="F25">
        <v>0.64965200280000002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8.2185817979903906</v>
      </c>
      <c r="AB25">
        <f>SQRT((AB20^2)+(AB24^2))</f>
        <v>0.10271884872421989</v>
      </c>
      <c r="AG25" t="s">
        <v>78</v>
      </c>
      <c r="AH25">
        <f>AH22*AH24</f>
        <v>25.097396351382834</v>
      </c>
      <c r="AI25">
        <f>((SQRT((((AI22/AH22)*100)^2)+(((AI24/AH24)*100)^2)))/100)*AH25</f>
        <v>0.22646013342710225</v>
      </c>
    </row>
    <row r="26" spans="2:35" x14ac:dyDescent="0.25">
      <c r="B26" s="5" t="s">
        <v>57</v>
      </c>
      <c r="C26">
        <v>6</v>
      </c>
      <c r="D26">
        <v>6.5666666669999998</v>
      </c>
      <c r="E26">
        <v>-2.771320512</v>
      </c>
      <c r="F26">
        <v>0.6539672353</v>
      </c>
      <c r="J26">
        <f>D10/4</f>
        <v>0.32500000000000001</v>
      </c>
      <c r="K26">
        <f>J26-J27</f>
        <v>-0.11249999999999999</v>
      </c>
      <c r="M26">
        <v>1</v>
      </c>
      <c r="N26">
        <f>ABS(K26)</f>
        <v>0.11249999999999999</v>
      </c>
      <c r="O26">
        <f>ABS(K27)</f>
        <v>0.14166666674999995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6.8833333330000004</v>
      </c>
      <c r="E27">
        <v>-3.0634692449999998</v>
      </c>
      <c r="F27">
        <v>0.64392770170000002</v>
      </c>
      <c r="J27">
        <f>D12/4</f>
        <v>0.4375</v>
      </c>
      <c r="K27">
        <f t="shared" ref="K27:K43" si="4">J27-J28</f>
        <v>-0.14166666674999995</v>
      </c>
      <c r="M27">
        <v>2</v>
      </c>
      <c r="N27">
        <f>ABS(K28)</f>
        <v>0.10416666650000006</v>
      </c>
      <c r="O27">
        <f>ABS(K29)</f>
        <v>0.16666666674999997</v>
      </c>
      <c r="P27" t="s">
        <v>87</v>
      </c>
      <c r="AE27">
        <v>3</v>
      </c>
      <c r="AG27" t="s">
        <v>79</v>
      </c>
      <c r="AH27">
        <f>AH24-((3/2)*AH9)</f>
        <v>14.967701897686013</v>
      </c>
      <c r="AI27">
        <f>AI24</f>
        <v>0.10934369470909892</v>
      </c>
    </row>
    <row r="28" spans="2:35" x14ac:dyDescent="0.25">
      <c r="B28" s="8" t="s">
        <v>56</v>
      </c>
      <c r="C28">
        <v>7</v>
      </c>
      <c r="D28">
        <v>7.55</v>
      </c>
      <c r="E28">
        <v>-5.5342589440000003</v>
      </c>
      <c r="F28">
        <v>0.62854685619999995</v>
      </c>
      <c r="J28">
        <f>D13/4</f>
        <v>0.57916666674999995</v>
      </c>
      <c r="K28">
        <f t="shared" si="4"/>
        <v>-0.10416666650000006</v>
      </c>
      <c r="M28">
        <v>3</v>
      </c>
      <c r="N28">
        <f>ABS(K30)</f>
        <v>9.1666666750000014E-2</v>
      </c>
      <c r="O28">
        <f>ABS(K31)</f>
        <v>0.16666666650000006</v>
      </c>
      <c r="P28">
        <f>H13</f>
        <v>9</v>
      </c>
      <c r="AG28" t="s">
        <v>80</v>
      </c>
      <c r="AH28">
        <f>AH27/AH24</f>
        <v>0.8926507632958095</v>
      </c>
      <c r="AI28">
        <f>SQRT((AI27/AH24)^2+((AH27*AI24/(AH24^2))^2))</f>
        <v>8.7412418740994129E-3</v>
      </c>
    </row>
    <row r="29" spans="2:35" x14ac:dyDescent="0.25">
      <c r="B29" s="5" t="s">
        <v>57</v>
      </c>
      <c r="C29">
        <v>7</v>
      </c>
      <c r="D29">
        <v>7.6666666670000003</v>
      </c>
      <c r="E29">
        <v>-5.2936289219999999</v>
      </c>
      <c r="F29">
        <v>0.63934013450000005</v>
      </c>
      <c r="J29">
        <f>D15/4</f>
        <v>0.68333333325000001</v>
      </c>
      <c r="K29">
        <f t="shared" si="4"/>
        <v>-0.16666666674999997</v>
      </c>
      <c r="M29">
        <v>4</v>
      </c>
      <c r="N29">
        <f>ABS(K32)</f>
        <v>9.5833333499999895E-2</v>
      </c>
      <c r="O29">
        <f>ABS(K33)</f>
        <v>0.1583333332500001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7.95</v>
      </c>
      <c r="E30">
        <v>-5.5629641999999997</v>
      </c>
      <c r="F30">
        <v>0.62324130209999995</v>
      </c>
      <c r="J30">
        <f>D16/4</f>
        <v>0.85</v>
      </c>
      <c r="K30">
        <f t="shared" si="4"/>
        <v>-9.1666666750000014E-2</v>
      </c>
      <c r="M30">
        <v>5</v>
      </c>
      <c r="N30">
        <f>ABS(K34)</f>
        <v>9.5833333249999875E-2</v>
      </c>
      <c r="O30">
        <f>ABS(K35)</f>
        <v>0.15833333350000012</v>
      </c>
      <c r="P30">
        <f>P28-1</f>
        <v>8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8.5</v>
      </c>
      <c r="E31">
        <v>-7.9819001900000002</v>
      </c>
      <c r="F31">
        <v>0.6300039167</v>
      </c>
      <c r="J31">
        <f>D18/4</f>
        <v>0.94166666674999999</v>
      </c>
      <c r="K31">
        <f t="shared" si="4"/>
        <v>-0.16666666650000006</v>
      </c>
      <c r="M31">
        <v>6</v>
      </c>
      <c r="N31">
        <f>ABS(K36)</f>
        <v>0.10416666650000006</v>
      </c>
      <c r="O31">
        <f>ABS(K37)</f>
        <v>0.16666666674999986</v>
      </c>
      <c r="R31" s="6" t="s">
        <v>19</v>
      </c>
      <c r="S31" s="5">
        <f>SUM(N26:O35)</f>
        <v>2.1833333325000002</v>
      </c>
      <c r="T31" s="5">
        <f>SQRT((P26^2)*10)</f>
        <v>1.8604085572798249E-2</v>
      </c>
      <c r="V31" s="6" t="s">
        <v>16</v>
      </c>
      <c r="W31" s="5">
        <f>AVERAGE(N26:N35)</f>
        <v>0.10416666655555555</v>
      </c>
      <c r="X31" s="12">
        <f>SQRT(((P26)^2)/P28)</f>
        <v>1.9610428064906916E-3</v>
      </c>
    </row>
    <row r="32" spans="2:35" x14ac:dyDescent="0.25">
      <c r="B32" s="5" t="s">
        <v>57</v>
      </c>
      <c r="C32">
        <v>8</v>
      </c>
      <c r="D32">
        <v>8.6166666670000005</v>
      </c>
      <c r="E32">
        <v>-7.8730547189999998</v>
      </c>
      <c r="F32">
        <v>0.63413697930000001</v>
      </c>
      <c r="J32">
        <f>D19/4</f>
        <v>1.1083333332500001</v>
      </c>
      <c r="K32">
        <f t="shared" si="4"/>
        <v>-9.5833333499999895E-2</v>
      </c>
      <c r="M32">
        <v>7</v>
      </c>
      <c r="N32">
        <f>ABS(K38)</f>
        <v>0.10000000000000009</v>
      </c>
      <c r="O32">
        <f>ABS(K39)</f>
        <v>0.13749999999999996</v>
      </c>
      <c r="R32" s="6" t="s">
        <v>21</v>
      </c>
      <c r="S32" s="5">
        <f>H13/S31</f>
        <v>4.1221374061534872</v>
      </c>
      <c r="T32" s="5">
        <f>(H13/(S31^2))*T31</f>
        <v>3.5124548279167576E-2</v>
      </c>
      <c r="V32" s="6" t="s">
        <v>18</v>
      </c>
      <c r="W32" s="5">
        <f>AVERAGE(O26:O34)</f>
        <v>0.15572916668749998</v>
      </c>
      <c r="X32" s="12">
        <f>SQRT(((P26)^2)/P30)</f>
        <v>2.0799999999999998E-3</v>
      </c>
    </row>
    <row r="33" spans="2:42" x14ac:dyDescent="0.25">
      <c r="B33" s="9" t="s">
        <v>58</v>
      </c>
      <c r="C33">
        <v>8</v>
      </c>
      <c r="D33">
        <v>9</v>
      </c>
      <c r="E33">
        <v>-7.9364407789999998</v>
      </c>
      <c r="F33">
        <v>0.60643671690000001</v>
      </c>
      <c r="J33">
        <f>D21/4</f>
        <v>1.2041666667499999</v>
      </c>
      <c r="K33">
        <f t="shared" si="4"/>
        <v>-0.1583333332500001</v>
      </c>
      <c r="M33">
        <v>8</v>
      </c>
      <c r="N33">
        <f>ABS(K40)</f>
        <v>0.125</v>
      </c>
      <c r="O33">
        <f>ABS(K41)</f>
        <v>0.14999999999999991</v>
      </c>
      <c r="P33" s="3"/>
      <c r="Q33" s="3"/>
    </row>
    <row r="34" spans="2:42" x14ac:dyDescent="0.25">
      <c r="B34" s="8" t="s">
        <v>56</v>
      </c>
      <c r="C34">
        <v>9</v>
      </c>
      <c r="D34">
        <v>9.6</v>
      </c>
      <c r="E34">
        <v>-10.480976399999999</v>
      </c>
      <c r="F34">
        <v>0.63793902300000005</v>
      </c>
      <c r="J34">
        <f>D22/4</f>
        <v>1.3625</v>
      </c>
      <c r="K34">
        <f t="shared" si="4"/>
        <v>-9.5833333249999875E-2</v>
      </c>
      <c r="M34">
        <v>9</v>
      </c>
      <c r="N34">
        <f>ABS(K42)</f>
        <v>0.10833333249999999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9.7166666670000001</v>
      </c>
      <c r="E35">
        <v>-10.226161250000001</v>
      </c>
      <c r="F35">
        <v>0.63993647590000002</v>
      </c>
      <c r="J35">
        <f>D24/4</f>
        <v>1.4583333332499999</v>
      </c>
      <c r="K35">
        <f t="shared" si="4"/>
        <v>-0.15833333350000012</v>
      </c>
      <c r="P35" s="3"/>
      <c r="Q35" s="3"/>
    </row>
    <row r="36" spans="2:42" x14ac:dyDescent="0.25">
      <c r="B36" s="9" t="s">
        <v>58</v>
      </c>
      <c r="C36">
        <v>9</v>
      </c>
      <c r="D36">
        <v>10.03333333</v>
      </c>
      <c r="E36">
        <v>-10.50378985</v>
      </c>
      <c r="F36">
        <v>0.64399832170000004</v>
      </c>
      <c r="J36">
        <f>D25/4</f>
        <v>1.61666666675</v>
      </c>
      <c r="K36">
        <f t="shared" si="4"/>
        <v>-0.10416666650000006</v>
      </c>
      <c r="Q36" t="s">
        <v>89</v>
      </c>
      <c r="AC36" t="s">
        <v>42</v>
      </c>
    </row>
    <row r="37" spans="2:42" x14ac:dyDescent="0.25">
      <c r="B37" s="8"/>
      <c r="J37">
        <f>D27/4</f>
        <v>1.7208333332500001</v>
      </c>
      <c r="K37">
        <f t="shared" si="4"/>
        <v>-0.16666666674999986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/>
      <c r="J38">
        <f>D28/4</f>
        <v>1.8875</v>
      </c>
      <c r="K38">
        <f t="shared" si="4"/>
        <v>-0.10000000000000009</v>
      </c>
      <c r="Q38">
        <f>V15</f>
        <v>2.1130899450634253</v>
      </c>
      <c r="R38">
        <f>W15</f>
        <v>1.0977312011851507E-2</v>
      </c>
      <c r="S38">
        <f>D13/4-D10/4</f>
        <v>0.25416666674999994</v>
      </c>
      <c r="T38">
        <f>$P$26</f>
        <v>5.8831284194720748E-3</v>
      </c>
      <c r="V38">
        <f>Q38/S38</f>
        <v>8.3137965024417415</v>
      </c>
      <c r="W38">
        <f>SQRT(((1/S38)*R38)^2+((Q38/(S38^2))*T38)^2)</f>
        <v>0.1972242851691019</v>
      </c>
      <c r="Y38" s="6" t="s">
        <v>96</v>
      </c>
      <c r="Z38" s="6"/>
      <c r="AA38" s="5">
        <f>AVERAGE(V38:V47)</f>
        <v>8.4635320355670967</v>
      </c>
      <c r="AB38" s="13">
        <f>SQRT(SUM(W38^2+W39^2+W40^2+W41^2+W42^2+W43^2+W44^2+W45^2+W46^2+W47^2)/(H13^2))</f>
        <v>6.1648959983193759E-2</v>
      </c>
      <c r="AC38" t="s">
        <v>44</v>
      </c>
      <c r="AD38" s="10"/>
      <c r="AE38" s="10"/>
      <c r="AF38" s="10"/>
      <c r="AG38" s="10"/>
    </row>
    <row r="39" spans="2:42" x14ac:dyDescent="0.25">
      <c r="B39" s="9"/>
      <c r="J39">
        <f>D30/4</f>
        <v>1.9875</v>
      </c>
      <c r="K39">
        <f t="shared" si="4"/>
        <v>-0.13749999999999996</v>
      </c>
      <c r="Q39">
        <f>V16</f>
        <v>2.2614237147967939</v>
      </c>
      <c r="R39">
        <f>W16</f>
        <v>7.8074405473198228E-3</v>
      </c>
      <c r="S39">
        <f>D16/4-D13/4</f>
        <v>0.27083333325000003</v>
      </c>
      <c r="T39">
        <f t="shared" ref="T39:T47" si="5">$P$26</f>
        <v>5.8831284194720748E-3</v>
      </c>
      <c r="V39">
        <f t="shared" ref="V39:V47" si="6">Q39/S39</f>
        <v>8.3498721802804301</v>
      </c>
      <c r="W39">
        <f t="shared" ref="W39:W47" si="7">SQRT(((1/S39)*R39)^2+((Q39/(S39^2))*T39)^2)</f>
        <v>0.18365516345129648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2.125</v>
      </c>
      <c r="K40">
        <f t="shared" si="4"/>
        <v>-0.125</v>
      </c>
      <c r="Q40">
        <f>V17</f>
        <v>2.1871446924632725</v>
      </c>
      <c r="R40">
        <f>W17</f>
        <v>4.6247706006982093E-3</v>
      </c>
      <c r="S40">
        <f>D19/4-D16/4</f>
        <v>0.25833333325000007</v>
      </c>
      <c r="T40">
        <f t="shared" si="5"/>
        <v>5.8831284194720748E-3</v>
      </c>
      <c r="V40">
        <f t="shared" si="6"/>
        <v>8.4663665542018158</v>
      </c>
      <c r="W40">
        <f t="shared" si="7"/>
        <v>0.19363729289374224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2.25</v>
      </c>
      <c r="K41">
        <f t="shared" si="4"/>
        <v>-0.14999999999999991</v>
      </c>
      <c r="Q41">
        <f>V18</f>
        <v>2.1081670401069088</v>
      </c>
      <c r="R41">
        <f>W18</f>
        <v>1.9425489518449393E-3</v>
      </c>
      <c r="S41">
        <f>D22/4-D19/4</f>
        <v>0.25416666674999999</v>
      </c>
      <c r="T41">
        <f t="shared" si="5"/>
        <v>5.8831284194720748E-3</v>
      </c>
      <c r="V41">
        <f t="shared" si="6"/>
        <v>8.2944276960617955</v>
      </c>
      <c r="W41">
        <f t="shared" si="7"/>
        <v>0.19214098262810933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2.4</v>
      </c>
      <c r="K42">
        <f t="shared" si="4"/>
        <v>-0.10833333249999999</v>
      </c>
      <c r="Q42">
        <f>V19</f>
        <v>2.1953327068169481</v>
      </c>
      <c r="R42">
        <f>W19</f>
        <v>2.6104558609220891E-3</v>
      </c>
      <c r="S42">
        <f>D25/4-D22/4</f>
        <v>0.25416666674999999</v>
      </c>
      <c r="T42">
        <f t="shared" si="5"/>
        <v>5.8831284194720748E-3</v>
      </c>
      <c r="V42">
        <f t="shared" si="6"/>
        <v>8.6373745813659024</v>
      </c>
      <c r="W42">
        <f t="shared" si="7"/>
        <v>0.20019065630115662</v>
      </c>
      <c r="Y42" s="14" t="s">
        <v>98</v>
      </c>
      <c r="Z42" s="14"/>
      <c r="AA42" s="12">
        <f>$X$17*100</f>
        <v>218.99659217839681</v>
      </c>
      <c r="AB42" s="12">
        <f>$Y$17</f>
        <v>7.6563838630513709E-3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2.5083333324999999</v>
      </c>
      <c r="K43">
        <f t="shared" si="4"/>
        <v>2.5083333324999999</v>
      </c>
      <c r="Q43">
        <f>V20</f>
        <v>2.2515405274539391</v>
      </c>
      <c r="R43">
        <f>W20</f>
        <v>5.5878933050039197E-3</v>
      </c>
      <c r="S43">
        <f>D28/4-D25/4</f>
        <v>0.27083333324999992</v>
      </c>
      <c r="T43">
        <f t="shared" si="5"/>
        <v>5.8831284194720748E-3</v>
      </c>
      <c r="V43">
        <f t="shared" si="6"/>
        <v>8.3133804116186631</v>
      </c>
      <c r="W43">
        <f t="shared" si="7"/>
        <v>0.18176072259011331</v>
      </c>
      <c r="Y43" s="14" t="s">
        <v>99</v>
      </c>
      <c r="Z43" s="14"/>
      <c r="AA43" s="12">
        <f>$W$31</f>
        <v>0.10416666655555555</v>
      </c>
      <c r="AB43" s="12">
        <f>$X$31</f>
        <v>1.9610428064906916E-3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>V21</f>
        <v>2.302526406556952</v>
      </c>
      <c r="R44">
        <f>W21</f>
        <v>8.8709451220618744E-3</v>
      </c>
      <c r="S44">
        <f>D31/4-D28/4</f>
        <v>0.23750000000000004</v>
      </c>
      <c r="T44">
        <f t="shared" si="5"/>
        <v>5.8831284194720748E-3</v>
      </c>
      <c r="V44">
        <f t="shared" si="6"/>
        <v>9.6948480276082165</v>
      </c>
      <c r="W44">
        <f t="shared" si="7"/>
        <v>0.24303904371468557</v>
      </c>
      <c r="Y44" s="14" t="s">
        <v>100</v>
      </c>
      <c r="Z44" s="14"/>
      <c r="AA44" s="12">
        <f>$W$32</f>
        <v>0.15572916668749998</v>
      </c>
      <c r="AB44" s="12">
        <f>$X$32</f>
        <v>2.0799999999999998E-3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>V22</f>
        <v>2.100502341013506</v>
      </c>
      <c r="R45">
        <f>W22</f>
        <v>1.2066876384289126E-2</v>
      </c>
      <c r="S45">
        <f>D34/4-D31/4</f>
        <v>0.27499999999999991</v>
      </c>
      <c r="T45">
        <f t="shared" si="5"/>
        <v>5.8831284194720748E-3</v>
      </c>
      <c r="V45">
        <f t="shared" si="6"/>
        <v>7.6381903309582064</v>
      </c>
      <c r="W45">
        <f t="shared" si="7"/>
        <v>0.16919427763357908</v>
      </c>
      <c r="Y45" s="14" t="s">
        <v>101</v>
      </c>
      <c r="Z45" s="14"/>
      <c r="AA45" s="5">
        <f>$S$31</f>
        <v>2.1833333325000002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Y46" s="14" t="s">
        <v>102</v>
      </c>
      <c r="Z46" s="14"/>
      <c r="AA46" s="5">
        <f>$S$32</f>
        <v>4.1221374061534872</v>
      </c>
      <c r="AB46" s="5">
        <f>$T$32</f>
        <v>3.5124548279167576E-2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94</v>
      </c>
      <c r="Z47" s="14"/>
      <c r="AA47" s="5">
        <f>$AA$38</f>
        <v>8.4635320355670967</v>
      </c>
      <c r="AB47" s="5">
        <f>$AB$38</f>
        <v>6.1648959983193759E-2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2019-09-04T11:01:34Z</dcterms:modified>
</cp:coreProperties>
</file>