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B586F4DD-04E5-483B-A5A5-3D104990165A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5" i="1" l="1"/>
  <c r="S45" i="1"/>
  <c r="W45" i="1" s="1"/>
  <c r="R45" i="1"/>
  <c r="Q45" i="1"/>
  <c r="V45" i="1" s="1"/>
  <c r="T44" i="1"/>
  <c r="S44" i="1"/>
  <c r="W44" i="1" s="1"/>
  <c r="R44" i="1"/>
  <c r="Q44" i="1"/>
  <c r="V44" i="1" s="1"/>
  <c r="W43" i="1"/>
  <c r="V43" i="1"/>
  <c r="T43" i="1"/>
  <c r="S43" i="1"/>
  <c r="R43" i="1"/>
  <c r="Q43" i="1"/>
  <c r="AB42" i="1"/>
  <c r="AA42" i="1"/>
  <c r="T42" i="1"/>
  <c r="S42" i="1"/>
  <c r="W42" i="1" s="1"/>
  <c r="R42" i="1"/>
  <c r="Q42" i="1"/>
  <c r="V42" i="1" s="1"/>
  <c r="V41" i="1"/>
  <c r="T41" i="1"/>
  <c r="S41" i="1"/>
  <c r="W41" i="1" s="1"/>
  <c r="R41" i="1"/>
  <c r="Q41" i="1"/>
  <c r="T40" i="1"/>
  <c r="S40" i="1"/>
  <c r="W40" i="1" s="1"/>
  <c r="R40" i="1"/>
  <c r="Q40" i="1"/>
  <c r="V40" i="1" s="1"/>
  <c r="V39" i="1"/>
  <c r="T39" i="1"/>
  <c r="S39" i="1"/>
  <c r="W39" i="1" s="1"/>
  <c r="R39" i="1"/>
  <c r="Q39" i="1"/>
  <c r="T38" i="1"/>
  <c r="S38" i="1"/>
  <c r="V38" i="1" s="1"/>
  <c r="AA38" i="1" s="1"/>
  <c r="AA47" i="1" s="1"/>
  <c r="R38" i="1"/>
  <c r="Q38" i="1"/>
  <c r="W32" i="1"/>
  <c r="AA44" i="1" s="1"/>
  <c r="W31" i="1"/>
  <c r="AA43" i="1" s="1"/>
  <c r="T31" i="1"/>
  <c r="AB45" i="1" s="1"/>
  <c r="S31" i="1"/>
  <c r="T32" i="1" s="1"/>
  <c r="AB46" i="1" s="1"/>
  <c r="P28" i="1"/>
  <c r="P30" i="1" s="1"/>
  <c r="X32" i="1" s="1"/>
  <c r="AB44" i="1" s="1"/>
  <c r="W38" i="1" l="1"/>
  <c r="AB38" i="1" s="1"/>
  <c r="AB47" i="1" s="1"/>
  <c r="X31" i="1"/>
  <c r="AB43" i="1" s="1"/>
  <c r="S32" i="1"/>
  <c r="AA46" i="1" s="1"/>
  <c r="AA45" i="1"/>
  <c r="Y17" i="1" l="1"/>
  <c r="X17" i="1"/>
  <c r="U11" i="1"/>
  <c r="T11" i="1"/>
  <c r="H13" i="1" l="1"/>
  <c r="AI18" i="1" l="1"/>
  <c r="AH18" i="1"/>
  <c r="AI16" i="1"/>
  <c r="AI17" i="1" s="1"/>
  <c r="AI15" i="1"/>
  <c r="AH15" i="1"/>
  <c r="AI11" i="1"/>
  <c r="AH11" i="1"/>
  <c r="AI10" i="1"/>
  <c r="AI19" i="1" l="1"/>
  <c r="J43" i="1" l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26" i="1"/>
  <c r="N26" i="1" s="1"/>
  <c r="L3" i="1"/>
  <c r="AA9" i="1" l="1"/>
  <c r="AH10" i="1"/>
  <c r="AH16" i="1" s="1"/>
  <c r="AH17" i="1" s="1"/>
  <c r="AB24" i="1"/>
  <c r="M5" i="1" s="1"/>
  <c r="AA24" i="1"/>
  <c r="L5" i="1" s="1"/>
  <c r="AB14" i="1"/>
  <c r="AA14" i="1"/>
  <c r="AB13" i="1"/>
  <c r="AA13" i="1"/>
  <c r="AB10" i="1"/>
  <c r="AA10" i="1"/>
  <c r="AH19" i="1" l="1"/>
  <c r="AH22" i="1"/>
  <c r="AI22" i="1"/>
  <c r="AB17" i="1"/>
  <c r="AA17" i="1"/>
  <c r="AA18" i="1" s="1"/>
  <c r="AA21" i="1" s="1"/>
  <c r="AA15" i="1"/>
  <c r="AB15" i="1" s="1"/>
  <c r="AB19" i="1" s="1"/>
  <c r="AA16" i="1"/>
  <c r="AH23" i="1" l="1"/>
  <c r="AH24" i="1" s="1"/>
  <c r="AH27" i="1" s="1"/>
  <c r="AH28" i="1" s="1"/>
  <c r="AI23" i="1"/>
  <c r="AI24" i="1" s="1"/>
  <c r="AI27" i="1" s="1"/>
  <c r="AI28" i="1" s="1"/>
  <c r="AI20" i="1"/>
  <c r="AH20" i="1"/>
  <c r="AB18" i="1"/>
  <c r="AB21" i="1" s="1"/>
  <c r="AB16" i="1"/>
  <c r="AA19" i="1"/>
  <c r="AA20" i="1" s="1"/>
  <c r="T17" i="1" l="1"/>
  <c r="T16" i="1"/>
  <c r="V16" i="1" s="1"/>
  <c r="T20" i="1"/>
  <c r="T23" i="1"/>
  <c r="T15" i="1"/>
  <c r="V15" i="1" s="1"/>
  <c r="T22" i="1"/>
  <c r="T21" i="1"/>
  <c r="V21" i="1" s="1"/>
  <c r="T19" i="1"/>
  <c r="T18" i="1"/>
  <c r="V18" i="1" s="1"/>
  <c r="U23" i="1"/>
  <c r="U16" i="1"/>
  <c r="AH25" i="1"/>
  <c r="AI25" i="1"/>
  <c r="AA25" i="1"/>
  <c r="L4" i="1"/>
  <c r="AB20" i="1"/>
  <c r="V20" i="1" l="1"/>
  <c r="U19" i="1"/>
  <c r="V19" i="1"/>
  <c r="U22" i="1"/>
  <c r="W22" i="1" s="1"/>
  <c r="V22" i="1"/>
  <c r="U18" i="1"/>
  <c r="W18" i="1" s="1"/>
  <c r="U21" i="1"/>
  <c r="W21" i="1" s="1"/>
  <c r="U17" i="1"/>
  <c r="W17" i="1" s="1"/>
  <c r="V17" i="1"/>
  <c r="U15" i="1"/>
  <c r="W15" i="1" s="1"/>
  <c r="U20" i="1"/>
  <c r="N19" i="1"/>
  <c r="N13" i="1"/>
  <c r="N18" i="1"/>
  <c r="N17" i="1"/>
  <c r="N16" i="1"/>
  <c r="N14" i="1"/>
  <c r="N15" i="1"/>
  <c r="N12" i="1"/>
  <c r="N11" i="1"/>
  <c r="AB25" i="1"/>
  <c r="M4" i="1"/>
  <c r="H12" i="1"/>
  <c r="P26" i="1" s="1"/>
  <c r="L11" i="1"/>
  <c r="W19" i="1" l="1"/>
  <c r="W20" i="1"/>
  <c r="W16" i="1"/>
  <c r="O17" i="1"/>
  <c r="O19" i="1"/>
  <c r="O11" i="1"/>
  <c r="O16" i="1"/>
  <c r="O12" i="1"/>
  <c r="O13" i="1"/>
  <c r="O14" i="1"/>
  <c r="O18" i="1"/>
  <c r="O15" i="1"/>
  <c r="Q13" i="1" l="1"/>
  <c r="Q15" i="1"/>
  <c r="Q17" i="1"/>
  <c r="Q14" i="1"/>
  <c r="Q18" i="1"/>
  <c r="Q16" i="1"/>
  <c r="Q11" i="1"/>
  <c r="Q12" i="1"/>
  <c r="R12" i="1" l="1"/>
  <c r="R17" i="1" l="1"/>
  <c r="R11" i="1"/>
  <c r="R15" i="1"/>
  <c r="R18" i="1"/>
  <c r="R14" i="1"/>
  <c r="R16" i="1"/>
  <c r="R13" i="1"/>
</calcChain>
</file>

<file path=xl/sharedStrings.xml><?xml version="1.0" encoding="utf-8"?>
<sst xmlns="http://schemas.openxmlformats.org/spreadsheetml/2006/main" count="159" uniqueCount="103">
  <si>
    <t>t</t>
  </si>
  <si>
    <t>x</t>
  </si>
  <si>
    <t>y</t>
  </si>
  <si>
    <t>Tracker Excel</t>
  </si>
  <si>
    <t>M0001</t>
  </si>
  <si>
    <t>Prova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</si>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</sst>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N53" sqref="N46:X53"/>
    </sheetView>
  </sheetViews>
  <sheetFormatPr defaultRowHeight="15" x14ac:dyDescent="0.25"/>
  <cols>
    <col min="8" max="8" width="12.28515625" customWidth="1"/>
    <col min="24" max="24" width="9.140625" customWidth="1"/>
  </cols>
  <sheetData>
    <row r="1" spans="1:35" x14ac:dyDescent="0.25">
      <c r="A1" t="s">
        <v>3</v>
      </c>
    </row>
    <row r="2" spans="1:35" x14ac:dyDescent="0.25">
      <c r="D2" t="s">
        <v>63</v>
      </c>
      <c r="L2" t="s">
        <v>13</v>
      </c>
      <c r="M2" t="s">
        <v>6</v>
      </c>
      <c r="O2" t="s">
        <v>14</v>
      </c>
    </row>
    <row r="3" spans="1:35" x14ac:dyDescent="0.25">
      <c r="A3" t="s">
        <v>4</v>
      </c>
      <c r="D3" t="s">
        <v>0</v>
      </c>
      <c r="E3" t="s">
        <v>1</v>
      </c>
      <c r="F3" t="s">
        <v>2</v>
      </c>
      <c r="H3" s="11" t="s">
        <v>8</v>
      </c>
      <c r="I3" s="11"/>
      <c r="J3" s="11"/>
      <c r="K3" s="11"/>
      <c r="L3">
        <f>E4-E5</f>
        <v>23.168947159999998</v>
      </c>
      <c r="M3">
        <v>0.01</v>
      </c>
      <c r="N3" t="s">
        <v>40</v>
      </c>
    </row>
    <row r="4" spans="1:35" x14ac:dyDescent="0.25">
      <c r="D4">
        <v>0</v>
      </c>
      <c r="E4">
        <v>11.586387029999999</v>
      </c>
      <c r="F4">
        <v>0.50261191780000003</v>
      </c>
      <c r="H4" s="11" t="s">
        <v>9</v>
      </c>
      <c r="I4" s="11"/>
      <c r="J4" s="11"/>
      <c r="K4" s="11"/>
      <c r="L4">
        <f>AA20</f>
        <v>8.9197181612835781</v>
      </c>
      <c r="M4">
        <f>AB20</f>
        <v>0.10265441963669342</v>
      </c>
      <c r="P4" t="s">
        <v>15</v>
      </c>
    </row>
    <row r="5" spans="1:35" x14ac:dyDescent="0.25">
      <c r="D5">
        <v>3.3333333329999999E-2</v>
      </c>
      <c r="E5">
        <v>-11.582560129999999</v>
      </c>
      <c r="F5">
        <v>0.52293254359999997</v>
      </c>
      <c r="H5" s="11" t="s">
        <v>10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20</v>
      </c>
      <c r="I6" s="11"/>
      <c r="J6" s="11"/>
      <c r="K6" s="11"/>
      <c r="L6">
        <v>4.1599999999999996E-3</v>
      </c>
      <c r="X6" t="s">
        <v>39</v>
      </c>
      <c r="AB6" t="s">
        <v>6</v>
      </c>
      <c r="AD6" t="s">
        <v>65</v>
      </c>
    </row>
    <row r="7" spans="1:35" x14ac:dyDescent="0.25">
      <c r="I7" s="2"/>
      <c r="X7" t="s">
        <v>22</v>
      </c>
      <c r="AA7">
        <v>20</v>
      </c>
      <c r="AB7">
        <v>0</v>
      </c>
      <c r="AH7" t="s">
        <v>13</v>
      </c>
      <c r="AI7" t="s">
        <v>6</v>
      </c>
    </row>
    <row r="8" spans="1:35" x14ac:dyDescent="0.25">
      <c r="A8" t="s">
        <v>5</v>
      </c>
      <c r="D8" t="s">
        <v>64</v>
      </c>
      <c r="X8" t="s">
        <v>23</v>
      </c>
      <c r="AA8">
        <v>1.22</v>
      </c>
      <c r="AB8">
        <v>0</v>
      </c>
      <c r="AE8" t="s">
        <v>66</v>
      </c>
      <c r="AH8">
        <v>20</v>
      </c>
      <c r="AI8">
        <v>0</v>
      </c>
    </row>
    <row r="9" spans="1:35" x14ac:dyDescent="0.25">
      <c r="A9">
        <v>2</v>
      </c>
      <c r="D9" t="s">
        <v>0</v>
      </c>
      <c r="E9" t="s">
        <v>1</v>
      </c>
      <c r="F9" t="s">
        <v>2</v>
      </c>
      <c r="K9" t="s">
        <v>53</v>
      </c>
      <c r="X9" t="s">
        <v>24</v>
      </c>
      <c r="AA9">
        <f>L3</f>
        <v>23.168947159999998</v>
      </c>
      <c r="AB9">
        <f>M3</f>
        <v>0.01</v>
      </c>
      <c r="AE9" t="s">
        <v>23</v>
      </c>
      <c r="AH9">
        <v>1.2</v>
      </c>
      <c r="AI9">
        <v>0</v>
      </c>
    </row>
    <row r="10" spans="1:35" x14ac:dyDescent="0.25">
      <c r="B10" s="8" t="s">
        <v>56</v>
      </c>
      <c r="C10">
        <v>1</v>
      </c>
      <c r="D10">
        <v>1.1499999999999999</v>
      </c>
      <c r="E10">
        <v>9.3438307050000002</v>
      </c>
      <c r="F10">
        <v>0.59169833660000004</v>
      </c>
      <c r="H10" t="s">
        <v>13</v>
      </c>
      <c r="K10" t="s">
        <v>52</v>
      </c>
      <c r="L10" t="s">
        <v>6</v>
      </c>
      <c r="N10" t="s">
        <v>7</v>
      </c>
      <c r="O10" t="s">
        <v>6</v>
      </c>
      <c r="Q10" t="s">
        <v>11</v>
      </c>
      <c r="R10" t="s">
        <v>6</v>
      </c>
      <c r="T10" s="6" t="s">
        <v>12</v>
      </c>
      <c r="U10" s="6" t="s">
        <v>6</v>
      </c>
      <c r="X10" t="s">
        <v>25</v>
      </c>
      <c r="AA10">
        <f>AA9/2</f>
        <v>11.584473579999999</v>
      </c>
      <c r="AB10">
        <f>AB9</f>
        <v>0.01</v>
      </c>
      <c r="AE10" t="s">
        <v>67</v>
      </c>
      <c r="AH10">
        <f>L3</f>
        <v>23.168947159999998</v>
      </c>
      <c r="AI10">
        <f>M3</f>
        <v>0.01</v>
      </c>
    </row>
    <row r="11" spans="1:35" x14ac:dyDescent="0.25">
      <c r="B11" s="5" t="s">
        <v>57</v>
      </c>
      <c r="C11">
        <v>1</v>
      </c>
      <c r="D11">
        <v>1.266666667</v>
      </c>
      <c r="E11">
        <v>9.6385542550000007</v>
      </c>
      <c r="F11">
        <v>0.59962712809999996</v>
      </c>
      <c r="G11" t="s">
        <v>59</v>
      </c>
      <c r="H11">
        <f>M3</f>
        <v>0.01</v>
      </c>
      <c r="K11">
        <f>ABS(E11-E14)</f>
        <v>2.4284719320000008</v>
      </c>
      <c r="L11">
        <f>SQRT((H11^2)+(H11^2))</f>
        <v>1.4142135623730951E-2</v>
      </c>
      <c r="N11">
        <f>($L$4-$L$5)*(E11/$L$4)</f>
        <v>8.9793946280657888</v>
      </c>
      <c r="O11">
        <f>SQRT(((E11/$L$4)*$M$4)^2+((E11/$L$4)*$M$5)^2+(($L$4-$L$5)*$H$11)^2+(((($L$5-$L$4)*E11)/($L$4^2))*$M$4)^2)</f>
        <v>0.17288555018718341</v>
      </c>
      <c r="Q11">
        <f>N11-N12</f>
        <v>2.2623940524376236</v>
      </c>
      <c r="R11">
        <f>SQRT((O11^2)+(O12^2))</f>
        <v>0.22283610602298831</v>
      </c>
      <c r="T11" s="5">
        <f>AVERAGE(Q11:Q18)</f>
        <v>2.2901015100654778</v>
      </c>
      <c r="U11" s="5">
        <f>SQRT(((R11^2)+(R12^2)+(R13^2)+(R14^2)+(R15^2)+(R16^2)+(R17^2)+(R18^2))/($H$13-1))</f>
        <v>0.17407540056948709</v>
      </c>
      <c r="AE11" t="s">
        <v>68</v>
      </c>
      <c r="AH11">
        <f>AH8/2</f>
        <v>10</v>
      </c>
      <c r="AI11">
        <f>AI8</f>
        <v>0</v>
      </c>
    </row>
    <row r="12" spans="1:35" x14ac:dyDescent="0.25">
      <c r="B12" s="9" t="s">
        <v>58</v>
      </c>
      <c r="C12">
        <v>1</v>
      </c>
      <c r="D12">
        <v>1.5833333329999999</v>
      </c>
      <c r="E12">
        <v>9.3579605929999996</v>
      </c>
      <c r="F12">
        <v>0.57722752740000005</v>
      </c>
      <c r="G12" t="s">
        <v>60</v>
      </c>
      <c r="H12">
        <f>L6</f>
        <v>4.1599999999999996E-3</v>
      </c>
      <c r="K12">
        <f>ABS(E14-E17)</f>
        <v>2.5397078219999996</v>
      </c>
      <c r="L12" s="1"/>
      <c r="N12">
        <f>($L$4-$L$5)*(E14/$L$4)</f>
        <v>6.7170005756281652</v>
      </c>
      <c r="O12">
        <f>SQRT(((E14/$L$4)*$M$4)^2+((E14/$L$4)*$M$5)^2+(($L$4-$L$5)*$H$11)^2+(((($L$5-$L$4)*E14)/($L$4^2))*$M$4)^2)</f>
        <v>0.14059344466924259</v>
      </c>
      <c r="Q12">
        <f t="shared" ref="Q12:Q18" si="0">N12-N13</f>
        <v>2.3660227634132314</v>
      </c>
      <c r="R12">
        <f t="shared" ref="R12:R18" si="1">SQRT((O12^2)+(O13^2))</f>
        <v>0.17907578220871748</v>
      </c>
      <c r="AA12" t="s">
        <v>13</v>
      </c>
      <c r="AB12" t="s">
        <v>6</v>
      </c>
      <c r="AE12" t="s">
        <v>69</v>
      </c>
      <c r="AH12">
        <v>1.2</v>
      </c>
      <c r="AI12">
        <v>0</v>
      </c>
    </row>
    <row r="13" spans="1:35" x14ac:dyDescent="0.25">
      <c r="B13" s="8" t="s">
        <v>56</v>
      </c>
      <c r="C13">
        <v>2</v>
      </c>
      <c r="D13">
        <v>2.2000000000000002</v>
      </c>
      <c r="E13">
        <v>6.9439253780000003</v>
      </c>
      <c r="F13">
        <v>0.59456098989999995</v>
      </c>
      <c r="G13" t="s">
        <v>41</v>
      </c>
      <c r="H13" s="4">
        <f>C36</f>
        <v>9</v>
      </c>
      <c r="K13">
        <f>ABS(E17-E20)</f>
        <v>2.4198235380000006</v>
      </c>
      <c r="L13" s="1"/>
      <c r="N13">
        <f>($L$4-$L$5)*(E17/$L$4)</f>
        <v>4.3509778122149338</v>
      </c>
      <c r="O13">
        <f>SQRT(((E17/$L$4)*$M$4)^2+((E17/$L$4)*$M$5)^2+(($L$4-$L$5)*$H$11)^2+(((($L$5-$L$4)*E17)/($L$4^2))*$M$4)^2)</f>
        <v>0.11091266424399263</v>
      </c>
      <c r="Q13">
        <f t="shared" si="0"/>
        <v>2.2543371031721557</v>
      </c>
      <c r="R13">
        <f t="shared" si="1"/>
        <v>0.14303795859018822</v>
      </c>
      <c r="T13" t="s">
        <v>83</v>
      </c>
      <c r="Y13">
        <v>1</v>
      </c>
      <c r="Z13" t="s">
        <v>26</v>
      </c>
      <c r="AA13">
        <f>AA8</f>
        <v>1.22</v>
      </c>
      <c r="AB13">
        <f>AB8</f>
        <v>0</v>
      </c>
    </row>
    <row r="14" spans="1:35" x14ac:dyDescent="0.25">
      <c r="B14" s="5" t="s">
        <v>57</v>
      </c>
      <c r="C14">
        <v>2</v>
      </c>
      <c r="D14">
        <v>2.3166666669999998</v>
      </c>
      <c r="E14">
        <v>7.210082323</v>
      </c>
      <c r="F14">
        <v>0.6056907722</v>
      </c>
      <c r="K14">
        <f>ABS(E20-E23)</f>
        <v>2.3854686097999998</v>
      </c>
      <c r="L14" s="1"/>
      <c r="N14">
        <f>($L$4-$L$5)*(E20/$L$4)</f>
        <v>2.0966407090427781</v>
      </c>
      <c r="O14">
        <f>SQRT(((E20/$L$4)*$M$4)^2+((E20/$L$4)*$M$5)^2+(($L$4-$L$5)*$H$11)^2+(((($L$5-$L$4)*E20)/($L$4^2))*$M$4)^2)</f>
        <v>9.0322967776461843E-2</v>
      </c>
      <c r="Q14">
        <f t="shared" si="0"/>
        <v>2.222331633309635</v>
      </c>
      <c r="R14">
        <f t="shared" si="1"/>
        <v>0.12275130769526567</v>
      </c>
      <c r="T14" t="s">
        <v>13</v>
      </c>
      <c r="U14" t="s">
        <v>6</v>
      </c>
      <c r="V14" t="s">
        <v>84</v>
      </c>
      <c r="W14" t="s">
        <v>6</v>
      </c>
      <c r="Z14" t="s">
        <v>27</v>
      </c>
      <c r="AA14">
        <f>(AA9-AA7)/2</f>
        <v>1.5844735799999992</v>
      </c>
      <c r="AB14">
        <f>SQRT((AB9^2)+(AB7^2))</f>
        <v>0.01</v>
      </c>
      <c r="AH14" t="s">
        <v>13</v>
      </c>
      <c r="AI14" t="s">
        <v>6</v>
      </c>
    </row>
    <row r="15" spans="1:35" x14ac:dyDescent="0.25">
      <c r="B15" s="9" t="s">
        <v>58</v>
      </c>
      <c r="C15">
        <v>2</v>
      </c>
      <c r="D15">
        <v>2.6333333329999999</v>
      </c>
      <c r="E15">
        <v>6.9266626840000001</v>
      </c>
      <c r="F15">
        <v>0.58618533340000001</v>
      </c>
      <c r="K15">
        <f>ABS(E26-E23)</f>
        <v>2.4173725741999998</v>
      </c>
      <c r="L15" s="1"/>
      <c r="N15">
        <f>($L$4-$L$5)*(E23/$L$4)</f>
        <v>-0.12569092426685702</v>
      </c>
      <c r="O15">
        <f>SQRT(((E23/$L$4)*$M$4)^2+((E23/$L$4)*$M$5)^2+(($L$4-$L$5)*$H$11)^2+(((($L$5-$L$4)*E23)/($L$4^2))*$M$4)^2)</f>
        <v>8.3124274631120987E-2</v>
      </c>
      <c r="Q15">
        <f t="shared" si="0"/>
        <v>2.2520537554213358</v>
      </c>
      <c r="R15">
        <f t="shared" si="1"/>
        <v>0.12420315227527888</v>
      </c>
      <c r="T15">
        <f>E11*$AH$28</f>
        <v>8.6148089648800337</v>
      </c>
      <c r="U15">
        <f>(SQRT(($M$3/E11)^2+($AI$28/$AH$28^2)))/100*T15</f>
        <v>9.0658160924286663E-3</v>
      </c>
      <c r="V15">
        <f>T15-T16</f>
        <v>2.1705352501284585</v>
      </c>
      <c r="W15">
        <f>SQRT(U15^2+U16^2)</f>
        <v>1.1321805810307646E-2</v>
      </c>
      <c r="Z15" t="s">
        <v>28</v>
      </c>
      <c r="AA15">
        <f>AA14/AA13</f>
        <v>1.298748836065573</v>
      </c>
      <c r="AB15">
        <f>(((AB13/AA13)*100+(AB14/AA14)*100)/100)*AA15</f>
        <v>8.1967213114754103E-3</v>
      </c>
      <c r="AE15">
        <v>1</v>
      </c>
      <c r="AG15" t="s">
        <v>70</v>
      </c>
      <c r="AH15">
        <f>AH11</f>
        <v>10</v>
      </c>
      <c r="AI15">
        <f>AI11</f>
        <v>0</v>
      </c>
    </row>
    <row r="16" spans="1:35" x14ac:dyDescent="0.25">
      <c r="B16" s="8" t="s">
        <v>56</v>
      </c>
      <c r="C16">
        <v>3</v>
      </c>
      <c r="D16">
        <v>3.266666667</v>
      </c>
      <c r="E16">
        <v>4.4041152800000001</v>
      </c>
      <c r="F16">
        <v>0.61911464469999999</v>
      </c>
      <c r="K16">
        <f>ABS(E29-E26)</f>
        <v>2.5117548750000003</v>
      </c>
      <c r="L16" s="1"/>
      <c r="N16">
        <f>($L$4-$L$5)*(E26/$L$4)</f>
        <v>-2.3777446796881927</v>
      </c>
      <c r="O16">
        <f>SQRT(((E26/$L$4)*$M$4)^2+((E26/$L$4)*$M$5)^2+(($L$4-$L$5)*$H$11)^2+(((($L$5-$L$4)*E26)/($L$4^2))*$M$4)^2)</f>
        <v>9.2286391207837853E-2</v>
      </c>
      <c r="Q16">
        <f t="shared" si="0"/>
        <v>2.3399814572702287</v>
      </c>
      <c r="R16">
        <f t="shared" si="1"/>
        <v>0.14753470111045763</v>
      </c>
      <c r="T16">
        <f>E14*$AH$28</f>
        <v>6.4442737147515752</v>
      </c>
      <c r="U16">
        <f>(SQRT(($M$3/E14)^2+($AI$28/$AH$28^2)))/100*T16</f>
        <v>6.7819072084906477E-3</v>
      </c>
      <c r="V16">
        <f t="shared" ref="V16:V22" si="2">T16-T17</f>
        <v>2.2699563787579198</v>
      </c>
      <c r="W16">
        <f t="shared" ref="W16:W22" si="3">SQRT(U16^2+U17^2)</f>
        <v>8.0806893101222667E-3</v>
      </c>
      <c r="X16" s="6" t="s">
        <v>85</v>
      </c>
      <c r="Y16" s="6" t="s">
        <v>86</v>
      </c>
      <c r="Z16" t="s">
        <v>29</v>
      </c>
      <c r="AA16">
        <f>ATAN(AA14/AA13)</f>
        <v>0.91463530247894909</v>
      </c>
      <c r="AB16">
        <f>(ABS(1/(1+AA15)))*AB15</f>
        <v>3.5657315766190975E-3</v>
      </c>
      <c r="AG16" t="s">
        <v>71</v>
      </c>
      <c r="AH16">
        <f>AH10/2</f>
        <v>11.584473579999999</v>
      </c>
      <c r="AI16">
        <f>AI10</f>
        <v>0.01</v>
      </c>
    </row>
    <row r="17" spans="2:35" x14ac:dyDescent="0.25">
      <c r="B17" s="5" t="s">
        <v>57</v>
      </c>
      <c r="C17">
        <v>3</v>
      </c>
      <c r="D17">
        <v>3.4</v>
      </c>
      <c r="E17">
        <v>4.6703745010000004</v>
      </c>
      <c r="F17">
        <v>0.63882463619999996</v>
      </c>
      <c r="K17">
        <f>ABS(E32-E29)</f>
        <v>2.6091336140000001</v>
      </c>
      <c r="L17" s="1"/>
      <c r="N17">
        <f>($L$4-$L$5)*(E29/$L$4)</f>
        <v>-4.7177261369584214</v>
      </c>
      <c r="O17">
        <f>SQRT(((E29/$L$4)*$M$4)^2+((E29/$L$4)*$M$5)^2+(($L$4-$L$5)*$H$11)^2+(((($L$5-$L$4)*E29)/($L$4^2))*$M$4)^2)</f>
        <v>0.11510738477433137</v>
      </c>
      <c r="Q17">
        <f t="shared" si="0"/>
        <v>2.4307006774697539</v>
      </c>
      <c r="R17">
        <f t="shared" si="1"/>
        <v>0.1863368753912068</v>
      </c>
      <c r="T17">
        <f>E17*$AH$28</f>
        <v>4.1743173359936554</v>
      </c>
      <c r="U17">
        <f>(SQRT(($M$3/E17)^2+($AI$28/$AH$28^2)))/100*T17</f>
        <v>4.393549173748585E-3</v>
      </c>
      <c r="V17">
        <f t="shared" si="2"/>
        <v>2.162805432959626</v>
      </c>
      <c r="W17">
        <f t="shared" si="3"/>
        <v>4.8776790404724104E-3</v>
      </c>
      <c r="X17" s="5">
        <f>AVERAGE(V15:V22)</f>
        <v>2.1971177163473294</v>
      </c>
      <c r="Y17" s="5">
        <f>SQRT(((W15^2)+(W16^2)+(W17^2)+(W18^2)+(W19^2)+(W20^2)+(W21^2)+(W22^2))/($H$13-1))</f>
        <v>7.6800741204964907E-3</v>
      </c>
      <c r="Z17" t="s">
        <v>30</v>
      </c>
      <c r="AA17">
        <f>SQRT((AA14^2)+(AA13^2))</f>
        <v>1.9997391144141812</v>
      </c>
      <c r="AB17">
        <f>SQRT(((ABS(AA13*(AA13^2+AA14^2)))*AB13)^2+((ABS(AA14*(AA13^2+AA14^2)))*AB14)^2)</f>
        <v>6.3362409625687802E-2</v>
      </c>
      <c r="AG17" t="s">
        <v>72</v>
      </c>
      <c r="AH17">
        <f>(AH16)-AH15</f>
        <v>1.5844735799999992</v>
      </c>
      <c r="AI17">
        <f>AI16</f>
        <v>0.01</v>
      </c>
    </row>
    <row r="18" spans="2:35" x14ac:dyDescent="0.25">
      <c r="B18" s="9" t="s">
        <v>58</v>
      </c>
      <c r="C18">
        <v>3</v>
      </c>
      <c r="D18">
        <v>3.6666666669999999</v>
      </c>
      <c r="E18">
        <v>4.3898149310000001</v>
      </c>
      <c r="F18">
        <v>0.61928510520000002</v>
      </c>
      <c r="K18">
        <f>ABS(E35-E32)</f>
        <v>2.3539737499999998</v>
      </c>
      <c r="N18">
        <f>($L$4-$L$5)*(E32/$L$4)</f>
        <v>-7.1484268144281753</v>
      </c>
      <c r="O18">
        <f>SQRT(((E32/$L$4)*$M$4)^2+((E32/$L$4)*$M$5)^2+(($L$4-$L$5)*$H$11)^2+(((($L$5-$L$4)*E32)/($L$4^2))*$M$4)^2)</f>
        <v>0.146532321011346</v>
      </c>
      <c r="Q18">
        <f t="shared" si="0"/>
        <v>2.1929906380298601</v>
      </c>
      <c r="R18">
        <f t="shared" si="1"/>
        <v>0.23076354003675295</v>
      </c>
      <c r="T18">
        <f>E20*$AH$28</f>
        <v>2.0115119030340294</v>
      </c>
      <c r="U18">
        <f>(SQRT(($M$3/E20)^2+($AI$28/$AH$28^2)))/100*T18</f>
        <v>2.1186029547126057E-3</v>
      </c>
      <c r="V18">
        <f t="shared" si="2"/>
        <v>2.1320994644486699</v>
      </c>
      <c r="W18">
        <f t="shared" si="3"/>
        <v>2.1242808724943082E-3</v>
      </c>
      <c r="Z18" t="s">
        <v>31</v>
      </c>
      <c r="AA18">
        <f>AA17/AA14</f>
        <v>1.2620842276298367</v>
      </c>
      <c r="AB18">
        <f>(((AB17/AA17)*100+(AB14/AA14)*100)/100)*AA18</f>
        <v>4.7954887264189165E-2</v>
      </c>
      <c r="AG18" t="s">
        <v>73</v>
      </c>
      <c r="AH18">
        <f>2*AH9</f>
        <v>2.4</v>
      </c>
      <c r="AI18">
        <f>AI9</f>
        <v>0</v>
      </c>
    </row>
    <row r="19" spans="2:35" x14ac:dyDescent="0.25">
      <c r="B19" s="8" t="s">
        <v>56</v>
      </c>
      <c r="C19">
        <v>4</v>
      </c>
      <c r="D19">
        <v>4.25</v>
      </c>
      <c r="E19">
        <v>1.967199508</v>
      </c>
      <c r="F19">
        <v>0.63672084399999995</v>
      </c>
      <c r="N19">
        <f>($L$4-$L$5)*(E35/$L$4)</f>
        <v>-9.3414174524580353</v>
      </c>
      <c r="O19">
        <f>SQRT(((E35/$L$4)*$M$4)^2+((E35/$L$4)*$M$5)^2+(($L$4-$L$5)*$H$11)^2+(((($L$5-$L$4)*E35)/($L$4^2))*$M$4)^2)</f>
        <v>0.17826971226016472</v>
      </c>
      <c r="T19">
        <f>E23*$AH$28</f>
        <v>-0.1205875614146406</v>
      </c>
      <c r="U19">
        <f>(SQRT(($M$3/E23)^2+($AI$28/$AH$28^2)))/100*T19</f>
        <v>-1.5521193745391285E-4</v>
      </c>
      <c r="V19">
        <f t="shared" si="2"/>
        <v>2.1606147947831706</v>
      </c>
      <c r="W19">
        <f t="shared" si="3"/>
        <v>2.4071849076562489E-3</v>
      </c>
      <c r="Z19" t="s">
        <v>32</v>
      </c>
      <c r="AA19">
        <f>1/AA15</f>
        <v>0.76997181612835774</v>
      </c>
      <c r="AB19">
        <f>AB15</f>
        <v>8.1967213114754103E-3</v>
      </c>
      <c r="AG19" t="s">
        <v>74</v>
      </c>
      <c r="AH19">
        <f>AH17/AH18</f>
        <v>0.66019732499999972</v>
      </c>
      <c r="AI19">
        <f>SQRT((AI17/AH18)^2)</f>
        <v>4.1666666666666666E-3</v>
      </c>
    </row>
    <row r="20" spans="2:35" x14ac:dyDescent="0.25">
      <c r="B20" s="5" t="s">
        <v>57</v>
      </c>
      <c r="C20">
        <v>4</v>
      </c>
      <c r="D20">
        <v>4.4000000000000004</v>
      </c>
      <c r="E20">
        <v>2.2505509629999998</v>
      </c>
      <c r="F20">
        <v>0.65050614340000001</v>
      </c>
      <c r="T20">
        <f>E26*$AH$28</f>
        <v>-2.2812023561978112</v>
      </c>
      <c r="U20">
        <f>(SQRT(($M$3/E26)^2+($AI$28/$AH$28^2)))/100*T20</f>
        <v>-2.4021757708627038E-3</v>
      </c>
      <c r="V20">
        <f t="shared" si="2"/>
        <v>2.2449724141466829</v>
      </c>
      <c r="W20">
        <f t="shared" si="3"/>
        <v>5.3351338919112624E-3</v>
      </c>
      <c r="Z20" t="s">
        <v>33</v>
      </c>
      <c r="AA20">
        <f>AA10*AA19</f>
        <v>8.9197181612835781</v>
      </c>
      <c r="AB20">
        <f>(((AB10/AA10)*100+(AB19/AA19)*100)/100)*AA20</f>
        <v>0.10265441963669342</v>
      </c>
      <c r="AG20" t="s">
        <v>75</v>
      </c>
      <c r="AH20">
        <f>ATAN(AH19)</f>
        <v>0.58351044576474453</v>
      </c>
      <c r="AI20">
        <f>(ABS(1/(1+AH19)))*AI19</f>
        <v>2.5097418264221497E-3</v>
      </c>
    </row>
    <row r="21" spans="2:35" x14ac:dyDescent="0.25">
      <c r="B21" s="9" t="s">
        <v>58</v>
      </c>
      <c r="C21">
        <v>4</v>
      </c>
      <c r="D21">
        <v>4.6500000000000004</v>
      </c>
      <c r="E21">
        <v>2.0015544360000002</v>
      </c>
      <c r="F21">
        <v>0.63917180839999999</v>
      </c>
      <c r="T21">
        <f>E29*$AH$28</f>
        <v>-4.5261747703444941</v>
      </c>
      <c r="U21">
        <f>(SQRT(($M$3/E29)^2+($AI$28/$AH$28^2)))/100*T21</f>
        <v>-4.7637385749535405E-3</v>
      </c>
      <c r="V21">
        <f t="shared" si="2"/>
        <v>2.3320082093014101</v>
      </c>
      <c r="W21">
        <f t="shared" si="3"/>
        <v>8.6478023812789819E-3</v>
      </c>
      <c r="Z21" t="s">
        <v>34</v>
      </c>
      <c r="AA21">
        <f>AA10*AA18</f>
        <v>14.620581390712548</v>
      </c>
      <c r="AB21">
        <f>(((AB10/AA10)*100+(AB18/AA18)*100)/100)*AA21</f>
        <v>0.56815296682017624</v>
      </c>
    </row>
    <row r="22" spans="2:35" x14ac:dyDescent="0.25">
      <c r="B22" s="8" t="s">
        <v>56</v>
      </c>
      <c r="C22">
        <v>5</v>
      </c>
      <c r="D22">
        <v>5.25</v>
      </c>
      <c r="E22">
        <v>-0.366787847</v>
      </c>
      <c r="F22">
        <v>0.65023965760000002</v>
      </c>
      <c r="T22">
        <f>E32*$AH$28</f>
        <v>-6.8581829796459042</v>
      </c>
      <c r="U22">
        <f>(SQRT(($M$3/E32)^2+($AI$28/$AH$28^2)))/100*T22</f>
        <v>-7.2174289615592373E-3</v>
      </c>
      <c r="V22">
        <f t="shared" si="2"/>
        <v>2.1039497862526959</v>
      </c>
      <c r="W22">
        <f t="shared" si="3"/>
        <v>1.1876046502960806E-2</v>
      </c>
      <c r="AE22">
        <v>2</v>
      </c>
      <c r="AG22" t="s">
        <v>76</v>
      </c>
      <c r="AH22">
        <f>AH18/AH17</f>
        <v>1.5146986546787364</v>
      </c>
      <c r="AI22">
        <f>SQRT((AI17*(AH18/(AH17^2)))^2)</f>
        <v>9.5596333936898911E-3</v>
      </c>
    </row>
    <row r="23" spans="2:35" x14ac:dyDescent="0.25">
      <c r="B23" s="5" t="s">
        <v>57</v>
      </c>
      <c r="C23">
        <v>5</v>
      </c>
      <c r="D23">
        <v>5.3833333330000004</v>
      </c>
      <c r="E23">
        <v>-0.13491764680000001</v>
      </c>
      <c r="F23">
        <v>0.66463861499999999</v>
      </c>
      <c r="T23">
        <f>E35*$AH$28</f>
        <v>-8.9621327658986001</v>
      </c>
      <c r="U23">
        <f>(SQRT(($M$3/E35)^2+($AI$28/$AH$28^2)))/100*T23</f>
        <v>-9.4312883385746157E-3</v>
      </c>
      <c r="AA23" t="s">
        <v>13</v>
      </c>
      <c r="AB23" t="s">
        <v>6</v>
      </c>
      <c r="AG23" t="s">
        <v>33</v>
      </c>
      <c r="AH23">
        <f>AH22*AH16</f>
        <v>17.546986546787366</v>
      </c>
      <c r="AI23">
        <f>((SQRT((((AI19/AH19)*100)^2)+(((AI16/AH16)*100)^2)))/100)*AH23</f>
        <v>0.11177438988069227</v>
      </c>
    </row>
    <row r="24" spans="2:35" x14ac:dyDescent="0.25">
      <c r="B24" s="9" t="s">
        <v>58</v>
      </c>
      <c r="C24">
        <v>5</v>
      </c>
      <c r="D24">
        <v>5.6833333330000002</v>
      </c>
      <c r="E24">
        <v>-0.42392105730000001</v>
      </c>
      <c r="F24">
        <v>0.65664163929999997</v>
      </c>
      <c r="Y24">
        <v>2</v>
      </c>
      <c r="Z24" t="s">
        <v>35</v>
      </c>
      <c r="AA24">
        <f>AA8/2</f>
        <v>0.61</v>
      </c>
      <c r="AB24">
        <f>AB8</f>
        <v>0</v>
      </c>
      <c r="AG24" t="s">
        <v>77</v>
      </c>
      <c r="AH24">
        <f>AH23-(AH9/2)</f>
        <v>16.946986546787365</v>
      </c>
      <c r="AI24">
        <f>AI23</f>
        <v>0.11177438988069227</v>
      </c>
    </row>
    <row r="25" spans="2:35" x14ac:dyDescent="0.25">
      <c r="B25" s="8" t="s">
        <v>56</v>
      </c>
      <c r="C25">
        <v>6</v>
      </c>
      <c r="D25">
        <v>6.233333333</v>
      </c>
      <c r="E25">
        <v>-2.8069727950000001</v>
      </c>
      <c r="F25">
        <v>0.63355911239999996</v>
      </c>
      <c r="J25" t="s">
        <v>49</v>
      </c>
      <c r="K25" t="s">
        <v>48</v>
      </c>
      <c r="M25" t="s">
        <v>17</v>
      </c>
      <c r="N25" t="s">
        <v>16</v>
      </c>
      <c r="O25" t="s">
        <v>18</v>
      </c>
      <c r="P25" t="s">
        <v>6</v>
      </c>
      <c r="Z25" t="s">
        <v>36</v>
      </c>
      <c r="AA25">
        <f>AA20-AA24</f>
        <v>8.3097181612835787</v>
      </c>
      <c r="AB25">
        <f>SQRT((AB20^2)+(AB24^2))</f>
        <v>0.10265441963669342</v>
      </c>
      <c r="AG25" t="s">
        <v>78</v>
      </c>
      <c r="AH25">
        <f>AH22*AH24</f>
        <v>25.669577723277467</v>
      </c>
      <c r="AI25">
        <f>((SQRT((((AI22/AH22)*100)^2)+(((AI24/AH24)*100)^2)))/100)*AH25</f>
        <v>0.23432942814756699</v>
      </c>
    </row>
    <row r="26" spans="2:35" x14ac:dyDescent="0.25">
      <c r="B26" s="5" t="s">
        <v>57</v>
      </c>
      <c r="C26">
        <v>6</v>
      </c>
      <c r="D26">
        <v>6.3833333330000004</v>
      </c>
      <c r="E26">
        <v>-2.5522902209999998</v>
      </c>
      <c r="F26">
        <v>0.64196519350000003</v>
      </c>
      <c r="J26">
        <f>D10/4</f>
        <v>0.28749999999999998</v>
      </c>
      <c r="K26">
        <f>J26-J27</f>
        <v>-0.10833333325</v>
      </c>
      <c r="M26">
        <v>1</v>
      </c>
      <c r="N26">
        <f>ABS(K26)</f>
        <v>0.10833333325</v>
      </c>
      <c r="O26">
        <f>ABS(K27)</f>
        <v>0.15416666675000007</v>
      </c>
      <c r="P26">
        <f>SQRT((H12^2)*2)</f>
        <v>5.8831284194720748E-3</v>
      </c>
      <c r="Z26" t="s">
        <v>37</v>
      </c>
      <c r="AA26" t="s">
        <v>38</v>
      </c>
    </row>
    <row r="27" spans="2:35" x14ac:dyDescent="0.25">
      <c r="B27" s="9" t="s">
        <v>58</v>
      </c>
      <c r="C27">
        <v>6</v>
      </c>
      <c r="D27">
        <v>6.6833333330000002</v>
      </c>
      <c r="E27">
        <v>-2.835573492</v>
      </c>
      <c r="F27">
        <v>0.63390003350000002</v>
      </c>
      <c r="J27">
        <f>D12/4</f>
        <v>0.39583333324999997</v>
      </c>
      <c r="K27">
        <f t="shared" ref="K27:K42" si="4">J27-J28</f>
        <v>-0.15416666675000007</v>
      </c>
      <c r="M27">
        <v>2</v>
      </c>
      <c r="N27">
        <f>ABS(K28)</f>
        <v>0.10833333324999994</v>
      </c>
      <c r="O27">
        <f>ABS(K29)</f>
        <v>0.15833333350000001</v>
      </c>
      <c r="P27" t="s">
        <v>87</v>
      </c>
      <c r="AE27">
        <v>3</v>
      </c>
      <c r="AG27" t="s">
        <v>79</v>
      </c>
      <c r="AH27">
        <f>AH24-((3/2)*AH9)</f>
        <v>15.146986546787364</v>
      </c>
      <c r="AI27">
        <f>AI24</f>
        <v>0.11177438988069227</v>
      </c>
    </row>
    <row r="28" spans="2:35" x14ac:dyDescent="0.25">
      <c r="B28" s="8" t="s">
        <v>56</v>
      </c>
      <c r="C28">
        <v>7</v>
      </c>
      <c r="D28">
        <v>7.3</v>
      </c>
      <c r="E28">
        <v>-5.3389186180000001</v>
      </c>
      <c r="F28">
        <v>0.59794902670000005</v>
      </c>
      <c r="J28">
        <f>D13/4</f>
        <v>0.55000000000000004</v>
      </c>
      <c r="K28">
        <f t="shared" si="4"/>
        <v>-0.10833333324999994</v>
      </c>
      <c r="M28">
        <v>3</v>
      </c>
      <c r="N28">
        <f>ABS(K30)</f>
        <v>9.9999999999999978E-2</v>
      </c>
      <c r="O28">
        <f>ABS(K31)</f>
        <v>0.14583333325000003</v>
      </c>
      <c r="P28">
        <f>H13</f>
        <v>9</v>
      </c>
      <c r="AG28" t="s">
        <v>80</v>
      </c>
      <c r="AH28">
        <f>AH27/AH24</f>
        <v>0.89378642657026086</v>
      </c>
      <c r="AI28">
        <f>SQRT((AI27/AH24)^2+((AH27*AI24/(AH24^2))^2))</f>
        <v>8.8460176723519825E-3</v>
      </c>
    </row>
    <row r="29" spans="2:35" x14ac:dyDescent="0.25">
      <c r="B29" s="5" t="s">
        <v>57</v>
      </c>
      <c r="C29">
        <v>7</v>
      </c>
      <c r="D29">
        <v>7.4166666670000003</v>
      </c>
      <c r="E29">
        <v>-5.0640450960000001</v>
      </c>
      <c r="F29">
        <v>0.62041681159999995</v>
      </c>
      <c r="J29">
        <f>D15/4</f>
        <v>0.65833333324999999</v>
      </c>
      <c r="K29">
        <f t="shared" si="4"/>
        <v>-0.15833333350000001</v>
      </c>
      <c r="M29">
        <v>4</v>
      </c>
      <c r="N29">
        <f>ABS(K32)</f>
        <v>0.10000000000000009</v>
      </c>
      <c r="O29">
        <f>ABS(K33)</f>
        <v>0.14999999999999991</v>
      </c>
      <c r="P29" t="s">
        <v>88</v>
      </c>
      <c r="R29" t="s">
        <v>54</v>
      </c>
      <c r="V29" t="s">
        <v>55</v>
      </c>
      <c r="AG29" t="s">
        <v>81</v>
      </c>
    </row>
    <row r="30" spans="2:35" x14ac:dyDescent="0.25">
      <c r="B30" s="9" t="s">
        <v>58</v>
      </c>
      <c r="C30">
        <v>7</v>
      </c>
      <c r="D30">
        <v>7.7166666670000001</v>
      </c>
      <c r="E30">
        <v>-5.3759290640000001</v>
      </c>
      <c r="F30">
        <v>0.61269257269999999</v>
      </c>
      <c r="J30">
        <f>D16/4</f>
        <v>0.81666666674999999</v>
      </c>
      <c r="K30">
        <f t="shared" si="4"/>
        <v>-9.9999999999999978E-2</v>
      </c>
      <c r="M30">
        <v>5</v>
      </c>
      <c r="N30">
        <f>ABS(K34)</f>
        <v>0.10833333325000005</v>
      </c>
      <c r="O30">
        <f>ABS(K35)</f>
        <v>0.13749999999999996</v>
      </c>
      <c r="P30">
        <f>P28-1</f>
        <v>8</v>
      </c>
      <c r="S30" s="6" t="s">
        <v>13</v>
      </c>
      <c r="T30" s="6" t="s">
        <v>6</v>
      </c>
      <c r="V30" s="6"/>
      <c r="W30" s="6" t="s">
        <v>13</v>
      </c>
      <c r="X30" s="6" t="s">
        <v>6</v>
      </c>
      <c r="AG30" t="s">
        <v>82</v>
      </c>
    </row>
    <row r="31" spans="2:35" x14ac:dyDescent="0.25">
      <c r="B31" s="8" t="s">
        <v>56</v>
      </c>
      <c r="C31">
        <v>8</v>
      </c>
      <c r="D31">
        <v>8.2666666670000009</v>
      </c>
      <c r="E31">
        <v>-7.9076703349999997</v>
      </c>
      <c r="F31">
        <v>0.59424290530000001</v>
      </c>
      <c r="J31">
        <f>D18/4</f>
        <v>0.91666666674999997</v>
      </c>
      <c r="K31">
        <f t="shared" si="4"/>
        <v>-0.14583333325000003</v>
      </c>
      <c r="M31">
        <v>6</v>
      </c>
      <c r="N31">
        <f>ABS(K36)</f>
        <v>0.11250000000000004</v>
      </c>
      <c r="O31">
        <f>ABS(K37)</f>
        <v>0.1541666667499999</v>
      </c>
      <c r="R31" s="6" t="s">
        <v>19</v>
      </c>
      <c r="S31" s="5">
        <f>SUM(N26:O35)</f>
        <v>2.1458333332499997</v>
      </c>
      <c r="T31" s="5">
        <f>SQRT((P26^2)*10)</f>
        <v>1.8604085572798249E-2</v>
      </c>
      <c r="V31" s="6" t="s">
        <v>16</v>
      </c>
      <c r="W31" s="5">
        <f>AVERAGE(N26:N35)</f>
        <v>0.10740740738888888</v>
      </c>
      <c r="X31" s="12">
        <f>SQRT(((P26)^2)/P28)</f>
        <v>1.9610428064906916E-3</v>
      </c>
    </row>
    <row r="32" spans="2:35" x14ac:dyDescent="0.25">
      <c r="B32" s="5" t="s">
        <v>57</v>
      </c>
      <c r="C32">
        <v>8</v>
      </c>
      <c r="D32">
        <v>8.4333333330000002</v>
      </c>
      <c r="E32">
        <v>-7.6731787100000002</v>
      </c>
      <c r="F32">
        <v>0.58858728250000003</v>
      </c>
      <c r="J32">
        <f>D19/4</f>
        <v>1.0625</v>
      </c>
      <c r="K32">
        <f t="shared" si="4"/>
        <v>-0.10000000000000009</v>
      </c>
      <c r="M32">
        <v>7</v>
      </c>
      <c r="N32">
        <f>ABS(K38)</f>
        <v>0.10416666675000008</v>
      </c>
      <c r="O32">
        <f>ABS(K39)</f>
        <v>0.13750000000000018</v>
      </c>
      <c r="R32" s="6" t="s">
        <v>21</v>
      </c>
      <c r="S32" s="5">
        <f>H13/S31</f>
        <v>4.1941747574444346</v>
      </c>
      <c r="T32" s="5">
        <f>(H13/(S31^2))*T31</f>
        <v>3.6362929443633486E-2</v>
      </c>
      <c r="V32" s="6" t="s">
        <v>18</v>
      </c>
      <c r="W32" s="5">
        <f>AVERAGE(O26:O34)</f>
        <v>0.14739583334375</v>
      </c>
      <c r="X32" s="12">
        <f>SQRT(((P26)^2)/P30)</f>
        <v>2.0799999999999998E-3</v>
      </c>
    </row>
    <row r="33" spans="2:42" x14ac:dyDescent="0.25">
      <c r="B33" s="9" t="s">
        <v>58</v>
      </c>
      <c r="C33">
        <v>8</v>
      </c>
      <c r="D33">
        <v>8.7666666670000009</v>
      </c>
      <c r="E33">
        <v>-7.8102915959999999</v>
      </c>
      <c r="F33">
        <v>0.60452405239999996</v>
      </c>
      <c r="J33">
        <f>D21/4</f>
        <v>1.1625000000000001</v>
      </c>
      <c r="K33">
        <f t="shared" si="4"/>
        <v>-0.14999999999999991</v>
      </c>
      <c r="M33">
        <v>8</v>
      </c>
      <c r="N33">
        <f>ABS(K40)</f>
        <v>0.125</v>
      </c>
      <c r="O33">
        <f>ABS(K41)</f>
        <v>0.14166666649999993</v>
      </c>
      <c r="P33" s="3"/>
      <c r="Q33" s="3"/>
    </row>
    <row r="34" spans="2:42" x14ac:dyDescent="0.25">
      <c r="B34" s="8" t="s">
        <v>56</v>
      </c>
      <c r="C34">
        <v>9</v>
      </c>
      <c r="D34">
        <v>9.3333333330000006</v>
      </c>
      <c r="E34">
        <v>-10.32453153</v>
      </c>
      <c r="F34">
        <v>0.61447052960000004</v>
      </c>
      <c r="J34">
        <f>D22/4</f>
        <v>1.3125</v>
      </c>
      <c r="K34">
        <f t="shared" si="4"/>
        <v>-0.10833333325000005</v>
      </c>
      <c r="M34">
        <v>9</v>
      </c>
      <c r="N34">
        <f>ABS(K42)</f>
        <v>9.9999999999999645E-2</v>
      </c>
      <c r="P34" s="3"/>
      <c r="Q34" s="3"/>
      <c r="R34" s="3"/>
    </row>
    <row r="35" spans="2:42" x14ac:dyDescent="0.25">
      <c r="B35" s="5" t="s">
        <v>57</v>
      </c>
      <c r="C35">
        <v>9</v>
      </c>
      <c r="D35">
        <v>9.4499999999999993</v>
      </c>
      <c r="E35">
        <v>-10.02715246</v>
      </c>
      <c r="F35">
        <v>0.60520481059999998</v>
      </c>
      <c r="J35">
        <f>D24/4</f>
        <v>1.4208333332500001</v>
      </c>
      <c r="K35">
        <f t="shared" si="4"/>
        <v>-0.13749999999999996</v>
      </c>
      <c r="P35" s="3"/>
      <c r="Q35" s="3"/>
    </row>
    <row r="36" spans="2:42" x14ac:dyDescent="0.25">
      <c r="B36" s="9" t="s">
        <v>58</v>
      </c>
      <c r="C36">
        <v>9</v>
      </c>
      <c r="D36">
        <v>9.7333333329999991</v>
      </c>
      <c r="E36">
        <v>-10.301787340000001</v>
      </c>
      <c r="F36">
        <v>0.60275751379999998</v>
      </c>
      <c r="J36">
        <f>D25/4</f>
        <v>1.55833333325</v>
      </c>
      <c r="K36">
        <f t="shared" si="4"/>
        <v>-0.11250000000000004</v>
      </c>
      <c r="Q36" t="s">
        <v>89</v>
      </c>
      <c r="AC36" t="s">
        <v>42</v>
      </c>
    </row>
    <row r="37" spans="2:42" x14ac:dyDescent="0.25">
      <c r="B37" s="8"/>
      <c r="J37">
        <f>D27/4</f>
        <v>1.6708333332500001</v>
      </c>
      <c r="K37">
        <f t="shared" si="4"/>
        <v>-0.1541666667499999</v>
      </c>
      <c r="Q37" t="s">
        <v>90</v>
      </c>
      <c r="R37" t="s">
        <v>91</v>
      </c>
      <c r="S37" t="s">
        <v>92</v>
      </c>
      <c r="T37" t="s">
        <v>93</v>
      </c>
      <c r="V37" t="s">
        <v>94</v>
      </c>
      <c r="W37" t="s">
        <v>95</v>
      </c>
      <c r="AA37" s="6" t="s">
        <v>13</v>
      </c>
      <c r="AB37" s="6" t="s">
        <v>6</v>
      </c>
      <c r="AC37" t="s">
        <v>43</v>
      </c>
      <c r="AD37" s="10"/>
      <c r="AE37" s="10"/>
      <c r="AF37" s="10"/>
      <c r="AG37" s="10"/>
    </row>
    <row r="38" spans="2:42" x14ac:dyDescent="0.25">
      <c r="B38" s="5"/>
      <c r="J38">
        <f>D28/4</f>
        <v>1.825</v>
      </c>
      <c r="K38">
        <f t="shared" si="4"/>
        <v>-0.10416666675000008</v>
      </c>
      <c r="Q38">
        <f>V15</f>
        <v>2.1705352501284585</v>
      </c>
      <c r="R38">
        <f>W15</f>
        <v>1.1321805810307646E-2</v>
      </c>
      <c r="S38">
        <f>D13/4-D10/4</f>
        <v>0.26250000000000007</v>
      </c>
      <c r="T38">
        <f>$P$26</f>
        <v>5.8831284194720748E-3</v>
      </c>
      <c r="V38">
        <f>Q38/S38</f>
        <v>8.2687057147750771</v>
      </c>
      <c r="W38">
        <f>SQRT(((1/S38)*R38)^2+((Q38/(S38^2))*T38)^2)</f>
        <v>0.19027046973690417</v>
      </c>
      <c r="Y38" s="6" t="s">
        <v>96</v>
      </c>
      <c r="Z38" s="6"/>
      <c r="AA38" s="5">
        <f>AVERAGE(V38:V47)</f>
        <v>8.6067976919214004</v>
      </c>
      <c r="AB38" s="13">
        <f>SQRT(SUM(W38^2+W39^2+W40^2+W41^2+W42^2+W43^2+W44^2+W45^2+W46^2+W47^2)/(H13^2))</f>
        <v>6.33857916307147E-2</v>
      </c>
      <c r="AC38" t="s">
        <v>44</v>
      </c>
      <c r="AD38" s="10"/>
      <c r="AE38" s="10"/>
      <c r="AF38" s="10"/>
      <c r="AG38" s="10"/>
    </row>
    <row r="39" spans="2:42" x14ac:dyDescent="0.25">
      <c r="B39" s="9"/>
      <c r="J39">
        <f>D30/4</f>
        <v>1.92916666675</v>
      </c>
      <c r="K39">
        <f t="shared" si="4"/>
        <v>-0.13750000000000018</v>
      </c>
      <c r="Q39">
        <f>V16</f>
        <v>2.2699563787579198</v>
      </c>
      <c r="R39">
        <f>W16</f>
        <v>8.0806893101222667E-3</v>
      </c>
      <c r="S39">
        <f>D16/4-D13/4</f>
        <v>0.26666666674999995</v>
      </c>
      <c r="T39">
        <f t="shared" ref="T39:T47" si="5">$P$26</f>
        <v>5.8831284194720748E-3</v>
      </c>
      <c r="V39">
        <f t="shared" ref="V39:V47" si="6">Q39/S39</f>
        <v>8.5123364176820964</v>
      </c>
      <c r="W39">
        <f t="shared" ref="W39:W47" si="7">SQRT(((1/S39)*R39)^2+((Q39/(S39^2))*T39)^2)</f>
        <v>0.190225958225967</v>
      </c>
      <c r="AC39" t="s">
        <v>61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/>
      <c r="J40">
        <f>D31/4</f>
        <v>2.0666666667500002</v>
      </c>
      <c r="K40">
        <f t="shared" si="4"/>
        <v>-0.125</v>
      </c>
      <c r="Q40">
        <f>V17</f>
        <v>2.162805432959626</v>
      </c>
      <c r="R40">
        <f>W17</f>
        <v>4.8776790404724104E-3</v>
      </c>
      <c r="S40">
        <f>D19/4-D16/4</f>
        <v>0.24583333325000001</v>
      </c>
      <c r="T40">
        <f t="shared" si="5"/>
        <v>5.8831284194720748E-3</v>
      </c>
      <c r="V40">
        <f t="shared" si="6"/>
        <v>8.7978526116316491</v>
      </c>
      <c r="W40">
        <f t="shared" si="7"/>
        <v>0.21147751003659854</v>
      </c>
      <c r="Y40" t="s">
        <v>97</v>
      </c>
      <c r="AC40" t="s">
        <v>62</v>
      </c>
      <c r="AD40" s="10"/>
      <c r="AE40" s="10"/>
      <c r="AF40" s="10"/>
      <c r="AG40" s="10"/>
    </row>
    <row r="41" spans="2:42" x14ac:dyDescent="0.25">
      <c r="B41" s="5"/>
      <c r="J41">
        <f>D33/4</f>
        <v>2.1916666667500002</v>
      </c>
      <c r="K41">
        <f t="shared" si="4"/>
        <v>-0.14166666649999993</v>
      </c>
      <c r="Q41">
        <f>V18</f>
        <v>2.1320994644486699</v>
      </c>
      <c r="R41">
        <f>W18</f>
        <v>2.1242808724943082E-3</v>
      </c>
      <c r="S41">
        <f>D22/4-D19/4</f>
        <v>0.25</v>
      </c>
      <c r="T41">
        <f t="shared" si="5"/>
        <v>5.8831284194720748E-3</v>
      </c>
      <c r="V41">
        <f t="shared" si="6"/>
        <v>8.5283978577946797</v>
      </c>
      <c r="W41">
        <f t="shared" si="7"/>
        <v>0.20087443671828165</v>
      </c>
      <c r="AC41" t="s">
        <v>45</v>
      </c>
      <c r="AD41" s="10"/>
      <c r="AE41" s="10"/>
      <c r="AF41" s="10"/>
      <c r="AG41" s="10"/>
      <c r="AH41" s="10"/>
      <c r="AI41" s="10"/>
    </row>
    <row r="42" spans="2:42" x14ac:dyDescent="0.25">
      <c r="B42" s="9"/>
      <c r="J42">
        <f>D34/4</f>
        <v>2.3333333332500001</v>
      </c>
      <c r="K42">
        <f t="shared" si="4"/>
        <v>-9.9999999999999645E-2</v>
      </c>
      <c r="Q42">
        <f>V19</f>
        <v>2.1606147947831706</v>
      </c>
      <c r="R42">
        <f>W19</f>
        <v>2.4071849076562489E-3</v>
      </c>
      <c r="S42">
        <f>D25/4-D22/4</f>
        <v>0.24583333325000001</v>
      </c>
      <c r="T42">
        <f t="shared" si="5"/>
        <v>5.8831284194720748E-3</v>
      </c>
      <c r="V42">
        <f t="shared" si="6"/>
        <v>8.7889415410803355</v>
      </c>
      <c r="W42">
        <f t="shared" si="7"/>
        <v>0.21055921815705583</v>
      </c>
      <c r="Y42" s="14" t="s">
        <v>98</v>
      </c>
      <c r="Z42" s="14"/>
      <c r="AA42" s="12">
        <f>$X$17*100</f>
        <v>219.71177163473294</v>
      </c>
      <c r="AB42" s="12">
        <f>$Y$17</f>
        <v>7.6800741204964907E-3</v>
      </c>
      <c r="AC42" t="s">
        <v>50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2.4333333332499998</v>
      </c>
      <c r="Q43">
        <f>V20</f>
        <v>2.2449724141466829</v>
      </c>
      <c r="R43">
        <f>W20</f>
        <v>5.3351338919112624E-3</v>
      </c>
      <c r="S43">
        <f>D28/4-D25/4</f>
        <v>0.26666666674999995</v>
      </c>
      <c r="T43">
        <f t="shared" si="5"/>
        <v>5.8831284194720748E-3</v>
      </c>
      <c r="V43">
        <f t="shared" si="6"/>
        <v>8.4186465504192363</v>
      </c>
      <c r="W43">
        <f t="shared" si="7"/>
        <v>0.18680437211331924</v>
      </c>
      <c r="Y43" s="14" t="s">
        <v>99</v>
      </c>
      <c r="Z43" s="14"/>
      <c r="AA43" s="12">
        <f>$W$31</f>
        <v>0.10740740738888888</v>
      </c>
      <c r="AB43" s="12">
        <f>$X$31</f>
        <v>1.9610428064906916E-3</v>
      </c>
      <c r="AC43" t="s">
        <v>51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Q44">
        <f>V21</f>
        <v>2.3320082093014101</v>
      </c>
      <c r="R44">
        <f>W21</f>
        <v>8.6478023812789819E-3</v>
      </c>
      <c r="S44">
        <f>D31/4-D28/4</f>
        <v>0.24166666675000026</v>
      </c>
      <c r="T44">
        <f t="shared" si="5"/>
        <v>5.8831284194720748E-3</v>
      </c>
      <c r="V44">
        <f t="shared" si="6"/>
        <v>9.6496891386093804</v>
      </c>
      <c r="W44">
        <f t="shared" si="7"/>
        <v>0.23762168693159835</v>
      </c>
      <c r="Y44" s="14" t="s">
        <v>100</v>
      </c>
      <c r="Z44" s="14"/>
      <c r="AA44" s="12">
        <f>$W$32</f>
        <v>0.14739583334375</v>
      </c>
      <c r="AB44" s="12">
        <f>$X$32</f>
        <v>2.0799999999999998E-3</v>
      </c>
      <c r="AC44" t="s">
        <v>46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Q45">
        <f>V22</f>
        <v>2.1039497862526959</v>
      </c>
      <c r="R45">
        <f>W22</f>
        <v>1.1876046502960806E-2</v>
      </c>
      <c r="S45">
        <f>D34/4-D31/4</f>
        <v>0.26666666649999993</v>
      </c>
      <c r="T45">
        <f t="shared" si="5"/>
        <v>5.8831284194720748E-3</v>
      </c>
      <c r="V45">
        <f t="shared" si="6"/>
        <v>7.8898117033787445</v>
      </c>
      <c r="W45">
        <f t="shared" si="7"/>
        <v>0.17966991324650364</v>
      </c>
      <c r="Y45" s="14" t="s">
        <v>101</v>
      </c>
      <c r="Z45" s="14"/>
      <c r="AA45" s="5">
        <f>$S$31</f>
        <v>2.1458333332499997</v>
      </c>
      <c r="AB45" s="5">
        <f>$T$31</f>
        <v>1.8604085572798249E-2</v>
      </c>
      <c r="AC45" t="s">
        <v>47</v>
      </c>
      <c r="AD45" s="10"/>
      <c r="AE45" s="10"/>
      <c r="AF45" s="10"/>
    </row>
    <row r="46" spans="2:42" x14ac:dyDescent="0.25">
      <c r="Y46" s="14" t="s">
        <v>102</v>
      </c>
      <c r="Z46" s="14"/>
      <c r="AA46" s="5">
        <f>$S$32</f>
        <v>4.1941747574444346</v>
      </c>
      <c r="AB46" s="5">
        <f>$T$32</f>
        <v>3.6362929443633486E-2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Y47" s="14" t="s">
        <v>94</v>
      </c>
      <c r="Z47" s="14"/>
      <c r="AA47" s="5">
        <f>$AA$38</f>
        <v>8.6067976919214004</v>
      </c>
      <c r="AB47" s="5">
        <f>$AB$38</f>
        <v>6.33857916307147E-2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2019-09-04T11:02:26Z</dcterms:modified>
</cp:coreProperties>
</file>