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4727A475-4927-41A9-88D7-4DBE0E68D35B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W45" i="1" s="1"/>
  <c r="R45" i="1"/>
  <c r="Q45" i="1"/>
  <c r="V45" i="1" s="1"/>
  <c r="T44" i="1"/>
  <c r="S44" i="1"/>
  <c r="R44" i="1"/>
  <c r="W44" i="1" s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AB38" i="1" s="1"/>
  <c r="AB47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V38" i="1" l="1"/>
  <c r="AA38" i="1" s="1"/>
  <c r="AA47" i="1" s="1"/>
  <c r="X31" i="1"/>
  <c r="AB43" i="1" s="1"/>
  <c r="AA45" i="1"/>
  <c r="S32" i="1"/>
  <c r="AA46" i="1" s="1"/>
  <c r="Y17" i="1" l="1"/>
  <c r="X17" i="1"/>
  <c r="U11" i="1"/>
  <c r="T11" i="1"/>
  <c r="H13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AI25" i="1" s="1"/>
  <c r="T15" i="1"/>
  <c r="T21" i="1"/>
  <c r="T17" i="1"/>
  <c r="T16" i="1"/>
  <c r="V16" i="1" s="1"/>
  <c r="T22" i="1"/>
  <c r="T23" i="1"/>
  <c r="T20" i="1"/>
  <c r="U20" i="1" s="1"/>
  <c r="T19" i="1"/>
  <c r="T18" i="1"/>
  <c r="AA25" i="1"/>
  <c r="L4" i="1"/>
  <c r="AB20" i="1"/>
  <c r="V21" i="1" l="1"/>
  <c r="V15" i="1"/>
  <c r="V18" i="1"/>
  <c r="U16" i="1"/>
  <c r="U18" i="1"/>
  <c r="W16" i="1"/>
  <c r="U15" i="1"/>
  <c r="W15" i="1" s="1"/>
  <c r="U21" i="1"/>
  <c r="U19" i="1"/>
  <c r="W19" i="1" s="1"/>
  <c r="V19" i="1"/>
  <c r="V20" i="1"/>
  <c r="U22" i="1"/>
  <c r="V22" i="1"/>
  <c r="U17" i="1"/>
  <c r="V17" i="1"/>
  <c r="U23" i="1"/>
  <c r="N19" i="1"/>
  <c r="N13" i="1"/>
  <c r="N18" i="1"/>
  <c r="N17" i="1"/>
  <c r="N16" i="1"/>
  <c r="N14" i="1"/>
  <c r="N15" i="1"/>
  <c r="N12" i="1"/>
  <c r="N11" i="1"/>
  <c r="AB25" i="1"/>
  <c r="M4" i="1"/>
  <c r="H12" i="1"/>
  <c r="P26" i="1" s="1"/>
  <c r="L11" i="1"/>
  <c r="W22" i="1" l="1"/>
  <c r="W21" i="1"/>
  <c r="W18" i="1"/>
  <c r="W17" i="1"/>
  <c r="W20" i="1"/>
  <c r="O17" i="1"/>
  <c r="O19" i="1"/>
  <c r="O11" i="1"/>
  <c r="O16" i="1"/>
  <c r="O12" i="1"/>
  <c r="O13" i="1"/>
  <c r="O14" i="1"/>
  <c r="O18" i="1"/>
  <c r="O15" i="1"/>
  <c r="Q13" i="1" l="1"/>
  <c r="Q15" i="1"/>
  <c r="Q17" i="1"/>
  <c r="Q14" i="1"/>
  <c r="Q18" i="1"/>
  <c r="Q16" i="1"/>
  <c r="Q11" i="1"/>
  <c r="Q12" i="1"/>
  <c r="R12" i="1" l="1"/>
  <c r="R17" i="1" l="1"/>
  <c r="R11" i="1"/>
  <c r="R15" i="1"/>
  <c r="R18" i="1"/>
  <c r="R14" i="1"/>
  <c r="R16" i="1"/>
  <c r="R13" i="1"/>
</calcChain>
</file>

<file path=xl/sharedStrings.xml><?xml version="1.0" encoding="utf-8"?>
<sst xmlns="http://schemas.openxmlformats.org/spreadsheetml/2006/main" count="159" uniqueCount="103">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</sst>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4" sqref="P46:W54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63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11" t="s">
        <v>8</v>
      </c>
      <c r="I3" s="11"/>
      <c r="J3" s="11"/>
      <c r="K3" s="11"/>
      <c r="L3">
        <f>E4-E5</f>
        <v>23.551390259999998</v>
      </c>
      <c r="M3">
        <v>0.01</v>
      </c>
      <c r="N3" t="s">
        <v>40</v>
      </c>
    </row>
    <row r="4" spans="1:35" x14ac:dyDescent="0.25">
      <c r="D4">
        <v>0</v>
      </c>
      <c r="E4">
        <v>11.77609455</v>
      </c>
      <c r="F4">
        <v>0.52196190269999998</v>
      </c>
      <c r="H4" s="11" t="s">
        <v>9</v>
      </c>
      <c r="I4" s="11"/>
      <c r="J4" s="11"/>
      <c r="K4" s="11"/>
      <c r="L4">
        <f>AA20</f>
        <v>8.0905487748902072</v>
      </c>
      <c r="M4">
        <f>AB20</f>
        <v>0.10339264000439842</v>
      </c>
      <c r="P4" t="s">
        <v>15</v>
      </c>
    </row>
    <row r="5" spans="1:35" x14ac:dyDescent="0.25">
      <c r="D5">
        <v>3.3333333329999999E-2</v>
      </c>
      <c r="E5">
        <v>-11.77529571</v>
      </c>
      <c r="F5">
        <v>0.53087825850000003</v>
      </c>
      <c r="H5" s="11" t="s">
        <v>10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20</v>
      </c>
      <c r="I6" s="11"/>
      <c r="J6" s="11"/>
      <c r="K6" s="11"/>
      <c r="L6">
        <v>4.1599999999999996E-3</v>
      </c>
      <c r="X6" t="s">
        <v>39</v>
      </c>
      <c r="AB6" t="s">
        <v>6</v>
      </c>
      <c r="AD6" t="s">
        <v>65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64</v>
      </c>
      <c r="X8" t="s">
        <v>23</v>
      </c>
      <c r="AA8">
        <v>1.22</v>
      </c>
      <c r="AB8">
        <v>0</v>
      </c>
      <c r="AE8" t="s">
        <v>66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53</v>
      </c>
      <c r="X9" t="s">
        <v>24</v>
      </c>
      <c r="AA9">
        <f>L3</f>
        <v>23.551390259999998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56</v>
      </c>
      <c r="C10">
        <v>1</v>
      </c>
      <c r="D10">
        <v>1.066666667</v>
      </c>
      <c r="E10">
        <v>9.7384589720000001</v>
      </c>
      <c r="F10">
        <v>0.61259382200000001</v>
      </c>
      <c r="H10" t="s">
        <v>13</v>
      </c>
      <c r="K10" t="s">
        <v>52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11.775695129999999</v>
      </c>
      <c r="AB10">
        <f>AB9</f>
        <v>0.01</v>
      </c>
      <c r="AE10" t="s">
        <v>67</v>
      </c>
      <c r="AH10">
        <f>L3</f>
        <v>23.551390259999998</v>
      </c>
      <c r="AI10">
        <f>M3</f>
        <v>0.01</v>
      </c>
    </row>
    <row r="11" spans="1:35" x14ac:dyDescent="0.25">
      <c r="B11" s="5" t="s">
        <v>57</v>
      </c>
      <c r="C11">
        <v>1</v>
      </c>
      <c r="D11">
        <v>1.2</v>
      </c>
      <c r="E11">
        <v>9.9682392929999999</v>
      </c>
      <c r="F11">
        <v>0.61575624179999999</v>
      </c>
      <c r="G11" t="s">
        <v>59</v>
      </c>
      <c r="H11">
        <f>M3</f>
        <v>0.01</v>
      </c>
      <c r="K11">
        <f>ABS(E11-E14)</f>
        <v>2.3873728910000001</v>
      </c>
      <c r="L11">
        <f>SQRT((H11^2)+(H11^2))</f>
        <v>1.4142135623730951E-2</v>
      </c>
      <c r="N11">
        <f>($L$4-$L$5)*(E11/$L$4)</f>
        <v>9.2166677818558114</v>
      </c>
      <c r="O11">
        <f>SQRT(((E11/$L$4)*$M$4)^2+((E11/$L$4)*$M$5)^2+(($L$4-$L$5)*$H$11)^2+(((($L$5-$L$4)*E11)/($L$4^2))*$M$4)^2)</f>
        <v>0.18893571970117862</v>
      </c>
      <c r="Q11">
        <f>N11-N12</f>
        <v>2.2073730536552514</v>
      </c>
      <c r="R11">
        <f>SQRT((O11^2)+(O12^2))</f>
        <v>0.24228452964851138</v>
      </c>
      <c r="T11" s="5">
        <f>AVERAGE(Q11:Q18)</f>
        <v>2.3262099821407589</v>
      </c>
      <c r="U11" s="5">
        <f>SQRT(((R11^2)+(R12^2)+(R13^2)+(R14^2)+(R15^2)+(R16^2)+(R17^2)+(R18^2))/($H$13-1))</f>
        <v>0.17992645936143803</v>
      </c>
      <c r="AE11" t="s">
        <v>68</v>
      </c>
      <c r="AH11">
        <f>AH8/2</f>
        <v>10</v>
      </c>
      <c r="AI11">
        <f>AI8</f>
        <v>0</v>
      </c>
    </row>
    <row r="12" spans="1:35" x14ac:dyDescent="0.25">
      <c r="B12" s="9" t="s">
        <v>58</v>
      </c>
      <c r="C12">
        <v>1</v>
      </c>
      <c r="D12">
        <v>1.5</v>
      </c>
      <c r="E12">
        <v>9.7180710579999996</v>
      </c>
      <c r="F12">
        <v>0.60992114559999999</v>
      </c>
      <c r="G12" t="s">
        <v>60</v>
      </c>
      <c r="H12">
        <f>L6</f>
        <v>4.1599999999999996E-3</v>
      </c>
      <c r="K12">
        <f>ABS(E14-E17)</f>
        <v>2.6374067910000001</v>
      </c>
      <c r="L12" s="1"/>
      <c r="N12">
        <f>($L$4-$L$5)*(E14/$L$4)</f>
        <v>7.00929472820056</v>
      </c>
      <c r="O12">
        <f>SQRT(((E14/$L$4)*$M$4)^2+((E14/$L$4)*$M$5)^2+(($L$4-$L$5)*$H$11)^2+(((($L$5-$L$4)*E14)/($L$4^2))*$M$4)^2)</f>
        <v>0.15167427971807895</v>
      </c>
      <c r="Q12">
        <f t="shared" ref="Q12:Q18" si="0">N12-N13</f>
        <v>2.4385552436855429</v>
      </c>
      <c r="R12">
        <f t="shared" ref="R12:R18" si="1">SQRT((O12^2)+(O13^2))</f>
        <v>0.18974688438565962</v>
      </c>
      <c r="AA12" t="s">
        <v>13</v>
      </c>
      <c r="AB12" t="s">
        <v>6</v>
      </c>
      <c r="AE12" t="s">
        <v>69</v>
      </c>
      <c r="AH12">
        <v>1.2</v>
      </c>
      <c r="AI12">
        <v>0</v>
      </c>
    </row>
    <row r="13" spans="1:35" x14ac:dyDescent="0.25">
      <c r="B13" s="8" t="s">
        <v>56</v>
      </c>
      <c r="C13">
        <v>2</v>
      </c>
      <c r="D13">
        <v>2.016666667</v>
      </c>
      <c r="E13">
        <v>7.257836213</v>
      </c>
      <c r="F13">
        <v>0.61507076540000005</v>
      </c>
      <c r="G13" t="s">
        <v>41</v>
      </c>
      <c r="H13" s="4">
        <f>C36</f>
        <v>9</v>
      </c>
      <c r="K13">
        <f>ABS(E17-E20)</f>
        <v>2.5007755869999997</v>
      </c>
      <c r="L13" s="1"/>
      <c r="N13">
        <f>($L$4-$L$5)*(E17/$L$4)</f>
        <v>4.5707394845150171</v>
      </c>
      <c r="O13">
        <f>SQRT(((E17/$L$4)*$M$4)^2+((E17/$L$4)*$M$5)^2+(($L$4-$L$5)*$H$11)^2+(((($L$5-$L$4)*E17)/($L$4^2))*$M$4)^2)</f>
        <v>0.11401224936850787</v>
      </c>
      <c r="Q13">
        <f t="shared" si="0"/>
        <v>2.3122255701204955</v>
      </c>
      <c r="R13">
        <f t="shared" si="1"/>
        <v>0.14283608060218519</v>
      </c>
      <c r="T13" t="s">
        <v>83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57</v>
      </c>
      <c r="C14">
        <v>2</v>
      </c>
      <c r="D14">
        <v>2.1166666670000001</v>
      </c>
      <c r="E14">
        <v>7.5808664019999998</v>
      </c>
      <c r="F14">
        <v>0.63460507919999998</v>
      </c>
      <c r="K14">
        <f>ABS(E20-E23)</f>
        <v>2.4544193222000001</v>
      </c>
      <c r="L14" s="1"/>
      <c r="N14">
        <f>($L$4-$L$5)*(E20/$L$4)</f>
        <v>2.2585139143945216</v>
      </c>
      <c r="O14">
        <f>SQRT(((E20/$L$4)*$M$4)^2+((E20/$L$4)*$M$5)^2+(($L$4-$L$5)*$H$11)^2+(((($L$5-$L$4)*E20)/($L$4^2))*$M$4)^2)</f>
        <v>8.6042738890199921E-2</v>
      </c>
      <c r="Q14">
        <f t="shared" si="0"/>
        <v>2.2693644108213444</v>
      </c>
      <c r="R14">
        <f t="shared" si="1"/>
        <v>0.11401427819228784</v>
      </c>
      <c r="T14" t="s">
        <v>13</v>
      </c>
      <c r="U14" t="s">
        <v>6</v>
      </c>
      <c r="V14" t="s">
        <v>84</v>
      </c>
      <c r="W14" t="s">
        <v>6</v>
      </c>
      <c r="Z14" t="s">
        <v>27</v>
      </c>
      <c r="AA14">
        <f>(AA9-AA7)/2</f>
        <v>1.775695129999999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58</v>
      </c>
      <c r="C15">
        <v>2</v>
      </c>
      <c r="D15">
        <v>2.4333333330000002</v>
      </c>
      <c r="E15">
        <v>7.2839388989999998</v>
      </c>
      <c r="F15">
        <v>0.60895299030000005</v>
      </c>
      <c r="K15">
        <f>ABS(E26-E23)</f>
        <v>2.4343672438000001</v>
      </c>
      <c r="L15" s="1"/>
      <c r="N15">
        <f>($L$4-$L$5)*(E23/$L$4)</f>
        <v>-1.0850496426822735E-2</v>
      </c>
      <c r="O15">
        <f>SQRT(((E23/$L$4)*$M$4)^2+((E23/$L$4)*$M$5)^2+(($L$4-$L$5)*$H$11)^2+(((($L$5-$L$4)*E23)/($L$4^2))*$M$4)^2)</f>
        <v>7.4805766595773079E-2</v>
      </c>
      <c r="Q15">
        <f t="shared" si="0"/>
        <v>2.2508241912784297</v>
      </c>
      <c r="R15">
        <f t="shared" si="1"/>
        <v>0.1140364779999542</v>
      </c>
      <c r="T15">
        <f>E11*$AH$28</f>
        <v>8.7967176422062021</v>
      </c>
      <c r="U15">
        <f>(SQRT(($M$3/E11)^2+($AI$28/$AH$28^2)))/100*T15</f>
        <v>8.8566762836889603E-3</v>
      </c>
      <c r="V15">
        <f>T15-T16</f>
        <v>2.1067958554658786</v>
      </c>
      <c r="W15">
        <f>SQRT(U15^2+U16^2)</f>
        <v>1.1127049660893168E-2</v>
      </c>
      <c r="Z15" t="s">
        <v>28</v>
      </c>
      <c r="AA15">
        <f>AA14/AA13</f>
        <v>1.4554878114754091</v>
      </c>
      <c r="AB15">
        <f>(((AB13/AA13)*100+(AB14/AA14)*100)/100)*AA15</f>
        <v>8.1967213114754103E-3</v>
      </c>
      <c r="AE15">
        <v>1</v>
      </c>
      <c r="AG15" t="s">
        <v>70</v>
      </c>
      <c r="AH15">
        <f>AH11</f>
        <v>10</v>
      </c>
      <c r="AI15">
        <f>AI11</f>
        <v>0</v>
      </c>
    </row>
    <row r="16" spans="1:35" x14ac:dyDescent="0.25">
      <c r="B16" s="8" t="s">
        <v>56</v>
      </c>
      <c r="C16">
        <v>3</v>
      </c>
      <c r="D16">
        <v>3.0333333329999999</v>
      </c>
      <c r="E16">
        <v>4.6990061479999996</v>
      </c>
      <c r="F16">
        <v>0.64462431850000002</v>
      </c>
      <c r="K16">
        <f>ABS(E29-E26)</f>
        <v>2.5770154729999994</v>
      </c>
      <c r="L16" s="1"/>
      <c r="N16">
        <f>($L$4-$L$5)*(E26/$L$4)</f>
        <v>-2.2616746877052525</v>
      </c>
      <c r="O16">
        <f>SQRT(((E26/$L$4)*$M$4)^2+((E26/$L$4)*$M$5)^2+(($L$4-$L$5)*$H$11)^2+(((($L$5-$L$4)*E26)/($L$4^2))*$M$4)^2)</f>
        <v>8.6072153444960109E-2</v>
      </c>
      <c r="Q16">
        <f t="shared" si="0"/>
        <v>2.3827172267044223</v>
      </c>
      <c r="R16">
        <f t="shared" si="1"/>
        <v>0.14369311401681056</v>
      </c>
      <c r="T16">
        <f>E14*$AH$28</f>
        <v>6.6899217867403236</v>
      </c>
      <c r="U16">
        <f>(SQRT(($M$3/E14)^2+($AI$28/$AH$28^2)))/100*T16</f>
        <v>6.7357642002911786E-3</v>
      </c>
      <c r="V16">
        <f t="shared" ref="V16:V22" si="2">T16-T17</f>
        <v>2.3274444128118255</v>
      </c>
      <c r="W16">
        <f t="shared" ref="W16:W22" si="3">SQRT(U16^2+U17^2)</f>
        <v>8.0416365912911372E-3</v>
      </c>
      <c r="X16" s="6" t="s">
        <v>85</v>
      </c>
      <c r="Y16" s="6" t="s">
        <v>86</v>
      </c>
      <c r="Z16" t="s">
        <v>29</v>
      </c>
      <c r="AA16">
        <f>ATAN(AA14/AA13)</f>
        <v>0.96881130173060603</v>
      </c>
      <c r="AB16">
        <f>(ABS(1/(1+AA15)))*AB15</f>
        <v>3.3381233957542277E-3</v>
      </c>
      <c r="AG16" t="s">
        <v>71</v>
      </c>
      <c r="AH16">
        <f>AH10/2</f>
        <v>11.775695129999999</v>
      </c>
      <c r="AI16">
        <f>AI10</f>
        <v>0.01</v>
      </c>
    </row>
    <row r="17" spans="2:35" x14ac:dyDescent="0.25">
      <c r="B17" s="5" t="s">
        <v>57</v>
      </c>
      <c r="C17">
        <v>3</v>
      </c>
      <c r="D17">
        <v>3.1666666669999999</v>
      </c>
      <c r="E17">
        <v>4.9434596109999998</v>
      </c>
      <c r="F17">
        <v>0.65924986620000003</v>
      </c>
      <c r="K17">
        <f>ABS(E32-E29)</f>
        <v>2.678719955</v>
      </c>
      <c r="L17" s="1"/>
      <c r="N17">
        <f>($L$4-$L$5)*(E29/$L$4)</f>
        <v>-4.6443919144096748</v>
      </c>
      <c r="O17">
        <f>SQRT(((E29/$L$4)*$M$4)^2+((E29/$L$4)*$M$5)^2+(($L$4-$L$5)*$H$11)^2+(((($L$5-$L$4)*E29)/($L$4^2))*$M$4)^2)</f>
        <v>0.11506213720071151</v>
      </c>
      <c r="Q17">
        <f t="shared" si="0"/>
        <v>2.4767535349196539</v>
      </c>
      <c r="R17">
        <f t="shared" si="1"/>
        <v>0.19184480866525347</v>
      </c>
      <c r="T17">
        <f>E17*$AH$28</f>
        <v>4.3624773739284981</v>
      </c>
      <c r="U17">
        <f>(SQRT(($M$3/E17)^2+($AI$28/$AH$28^2)))/100*T17</f>
        <v>4.3928805702486712E-3</v>
      </c>
      <c r="V17">
        <f t="shared" si="2"/>
        <v>2.2068708503827317</v>
      </c>
      <c r="W17">
        <f t="shared" si="3"/>
        <v>4.9005018378477276E-3</v>
      </c>
      <c r="X17" s="5">
        <f>AVERAGE(V15:V22)</f>
        <v>2.2202180737877795</v>
      </c>
      <c r="Y17" s="5">
        <f>SQRT(((W15^2)+(W16^2)+(W17^2)+(W18^2)+(W19^2)+(W20^2)+(W21^2)+(W22^2))/($H$13-1))</f>
        <v>7.4302368519206718E-3</v>
      </c>
      <c r="Z17" t="s">
        <v>30</v>
      </c>
      <c r="AA17">
        <f>SQRT((AA14^2)+(AA13^2))</f>
        <v>2.1544124940933926</v>
      </c>
      <c r="AB17">
        <f>SQRT(((ABS(AA13*(AA13^2+AA14^2)))*AB13)^2+((ABS(AA14*(AA13^2+AA14^2)))*AB14)^2)</f>
        <v>8.2418768617670737E-2</v>
      </c>
      <c r="AG17" t="s">
        <v>72</v>
      </c>
      <c r="AH17">
        <f>(AH16)-AH15</f>
        <v>1.775695129999999</v>
      </c>
      <c r="AI17">
        <f>AI16</f>
        <v>0.01</v>
      </c>
    </row>
    <row r="18" spans="2:35" x14ac:dyDescent="0.25">
      <c r="B18" s="9" t="s">
        <v>58</v>
      </c>
      <c r="C18">
        <v>3</v>
      </c>
      <c r="D18">
        <v>3.4666666670000001</v>
      </c>
      <c r="E18">
        <v>4.6902492809999998</v>
      </c>
      <c r="F18">
        <v>0.64181730780000001</v>
      </c>
      <c r="K18">
        <f>ABS(E35-E32)</f>
        <v>2.4571255799999996</v>
      </c>
      <c r="N18">
        <f>($L$4-$L$5)*(E32/$L$4)</f>
        <v>-7.1211454493293287</v>
      </c>
      <c r="O18">
        <f>SQRT(((E32/$L$4)*$M$4)^2+((E32/$L$4)*$M$5)^2+(($L$4-$L$5)*$H$11)^2+(((($L$5-$L$4)*E32)/($L$4^2))*$M$4)^2)</f>
        <v>0.15350939774037403</v>
      </c>
      <c r="Q18">
        <f t="shared" si="0"/>
        <v>2.2718666259409348</v>
      </c>
      <c r="R18">
        <f t="shared" si="1"/>
        <v>0.24581438381406456</v>
      </c>
      <c r="T18">
        <f>E20*$AH$28</f>
        <v>2.1556065235457664</v>
      </c>
      <c r="U18">
        <f>(SQRT(($M$3/E20)^2+($AI$28/$AH$28^2)))/100*T18</f>
        <v>2.1719849350952383E-3</v>
      </c>
      <c r="V18">
        <f t="shared" si="2"/>
        <v>2.165962625729728</v>
      </c>
      <c r="W18">
        <f t="shared" si="3"/>
        <v>2.173801940595636E-3</v>
      </c>
      <c r="Z18" t="s">
        <v>31</v>
      </c>
      <c r="AA18">
        <f>AA17/AA14</f>
        <v>1.2132783706476651</v>
      </c>
      <c r="AB18">
        <f>(((AB17/AA17)*100+(AB14/AA14)*100)/100)*AA18</f>
        <v>5.324762721185558E-2</v>
      </c>
      <c r="AG18" t="s">
        <v>73</v>
      </c>
      <c r="AH18">
        <f>2*AH9</f>
        <v>2.4</v>
      </c>
      <c r="AI18">
        <f>AI9</f>
        <v>0</v>
      </c>
    </row>
    <row r="19" spans="2:35" x14ac:dyDescent="0.25">
      <c r="B19" s="8" t="s">
        <v>56</v>
      </c>
      <c r="C19">
        <v>4</v>
      </c>
      <c r="D19">
        <v>4.0333333329999999</v>
      </c>
      <c r="E19">
        <v>2.1574547339999999</v>
      </c>
      <c r="F19">
        <v>0.659437563</v>
      </c>
      <c r="N19">
        <f>($L$4-$L$5)*(E35/$L$4)</f>
        <v>-9.3930120752702635</v>
      </c>
      <c r="O19">
        <f>SQRT(((E35/$L$4)*$M$4)^2+((E35/$L$4)*$M$5)^2+(($L$4-$L$5)*$H$11)^2+(((($L$5-$L$4)*E35)/($L$4^2))*$M$4)^2)</f>
        <v>0.19198847906912511</v>
      </c>
      <c r="T19">
        <f>E23*$AH$28</f>
        <v>-1.0356102183961758E-2</v>
      </c>
      <c r="U19">
        <f>(SQRT(($M$3/E23)^2+($AI$28/$AH$28^2)))/100*T19</f>
        <v>-8.8861232585901278E-5</v>
      </c>
      <c r="V19">
        <f t="shared" si="2"/>
        <v>2.1482671765496462</v>
      </c>
      <c r="W19">
        <f t="shared" si="3"/>
        <v>2.1768340698585928E-3</v>
      </c>
      <c r="Z19" t="s">
        <v>32</v>
      </c>
      <c r="AA19">
        <f>1/AA15</f>
        <v>0.68705487748902072</v>
      </c>
      <c r="AB19">
        <f>AB15</f>
        <v>8.1967213114754103E-3</v>
      </c>
      <c r="AG19" t="s">
        <v>74</v>
      </c>
      <c r="AH19">
        <f>AH17/AH18</f>
        <v>0.73987297083333292</v>
      </c>
      <c r="AI19">
        <f>SQRT((AI17/AH18)^2)</f>
        <v>4.1666666666666666E-3</v>
      </c>
    </row>
    <row r="20" spans="2:35" x14ac:dyDescent="0.25">
      <c r="B20" s="5" t="s">
        <v>57</v>
      </c>
      <c r="C20">
        <v>4</v>
      </c>
      <c r="D20">
        <v>4.1833333330000002</v>
      </c>
      <c r="E20">
        <v>2.4426840240000001</v>
      </c>
      <c r="F20">
        <v>0.67940846330000004</v>
      </c>
      <c r="T20">
        <f>E26*$AH$28</f>
        <v>-2.1586232787336077</v>
      </c>
      <c r="U20">
        <f>(SQRT(($M$3/E26)^2+($AI$28/$AH$28^2)))/100*T20</f>
        <v>-2.1750195973922713E-3</v>
      </c>
      <c r="V20">
        <f t="shared" si="2"/>
        <v>2.2741506106797131</v>
      </c>
      <c r="W20">
        <f t="shared" si="3"/>
        <v>4.9653580267546042E-3</v>
      </c>
      <c r="Z20" t="s">
        <v>33</v>
      </c>
      <c r="AA20">
        <f>AA10*AA19</f>
        <v>8.0905487748902072</v>
      </c>
      <c r="AB20">
        <f>(((AB10/AA10)*100+(AB19/AA19)*100)/100)*AA20</f>
        <v>0.10339264000439842</v>
      </c>
      <c r="AG20" t="s">
        <v>75</v>
      </c>
      <c r="AH20">
        <f>ATAN(AH19)</f>
        <v>0.63698824289507394</v>
      </c>
      <c r="AI20">
        <f>(ABS(1/(1+AH19)))*AI19</f>
        <v>2.3948108491339986E-3</v>
      </c>
    </row>
    <row r="21" spans="2:35" x14ac:dyDescent="0.25">
      <c r="B21" s="9" t="s">
        <v>58</v>
      </c>
      <c r="C21">
        <v>4</v>
      </c>
      <c r="D21">
        <v>4.45</v>
      </c>
      <c r="E21">
        <v>2.1458572720000002</v>
      </c>
      <c r="F21">
        <v>0.66247965870000003</v>
      </c>
      <c r="T21">
        <f>E29*$AH$28</f>
        <v>-4.4327738894133208</v>
      </c>
      <c r="U21">
        <f>(SQRT(($M$3/E29)^2+($AI$28/$AH$28^2)))/100*T21</f>
        <v>-4.4636386597501302E-3</v>
      </c>
      <c r="V21">
        <f t="shared" si="2"/>
        <v>2.3639022292758982</v>
      </c>
      <c r="W21">
        <f t="shared" si="3"/>
        <v>8.1703054392136473E-3</v>
      </c>
      <c r="Z21" t="s">
        <v>34</v>
      </c>
      <c r="AA21">
        <f>AA10*AA18</f>
        <v>14.287196200570044</v>
      </c>
      <c r="AB21">
        <f>(((AB10/AA10)*100+(AB18/AA18)*100)/100)*AA21</f>
        <v>0.63916060814917985</v>
      </c>
    </row>
    <row r="22" spans="2:35" x14ac:dyDescent="0.25">
      <c r="B22" s="8" t="s">
        <v>56</v>
      </c>
      <c r="C22">
        <v>5</v>
      </c>
      <c r="D22">
        <v>5.016666667</v>
      </c>
      <c r="E22">
        <v>-0.26775263900000001</v>
      </c>
      <c r="F22">
        <v>0.67581522549999995</v>
      </c>
      <c r="T22">
        <f>E32*$AH$28</f>
        <v>-6.7966761186892191</v>
      </c>
      <c r="U22">
        <f>(SQRT(($M$3/E32)^2+($AI$28/$AH$28^2)))/100*T22</f>
        <v>-6.8432317573810242E-3</v>
      </c>
      <c r="V22">
        <f t="shared" si="2"/>
        <v>2.1683508294068146</v>
      </c>
      <c r="W22">
        <f t="shared" si="3"/>
        <v>1.1326985175741201E-2</v>
      </c>
      <c r="AE22">
        <v>2</v>
      </c>
      <c r="AG22" t="s">
        <v>76</v>
      </c>
      <c r="AH22">
        <f>AH18/AH17</f>
        <v>1.3515833655521718</v>
      </c>
      <c r="AI22">
        <f>SQRT((AI17*(AH18/(AH17^2)))^2)</f>
        <v>7.6115733084888993E-3</v>
      </c>
    </row>
    <row r="23" spans="2:35" x14ac:dyDescent="0.25">
      <c r="B23" s="5" t="s">
        <v>57</v>
      </c>
      <c r="C23">
        <v>5</v>
      </c>
      <c r="D23">
        <v>5.15</v>
      </c>
      <c r="E23">
        <v>-1.1735298200000001E-2</v>
      </c>
      <c r="F23">
        <v>0.684490916</v>
      </c>
      <c r="T23">
        <f>E35*$AH$28</f>
        <v>-8.9650269480960336</v>
      </c>
      <c r="U23">
        <f>(SQRT(($M$3/E35)^2+($AI$28/$AH$28^2)))/100*T23</f>
        <v>-9.0261161241274052E-3</v>
      </c>
      <c r="AA23" t="s">
        <v>13</v>
      </c>
      <c r="AB23" t="s">
        <v>6</v>
      </c>
      <c r="AG23" t="s">
        <v>33</v>
      </c>
      <c r="AH23">
        <f>AH22*AH16</f>
        <v>15.915833655521718</v>
      </c>
      <c r="AI23">
        <f>((SQRT((((AI19/AH19)*100)^2)+(((AI16/AH16)*100)^2)))/100)*AH23</f>
        <v>9.0644886870382441E-2</v>
      </c>
    </row>
    <row r="24" spans="2:35" x14ac:dyDescent="0.25">
      <c r="B24" s="9" t="s">
        <v>58</v>
      </c>
      <c r="C24">
        <v>5</v>
      </c>
      <c r="D24">
        <v>5.4166666670000003</v>
      </c>
      <c r="E24">
        <v>-0.29679666980000002</v>
      </c>
      <c r="F24">
        <v>0.67905882279999996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77</v>
      </c>
      <c r="AH24">
        <f>AH23-(AH9/2)</f>
        <v>15.315833655521718</v>
      </c>
      <c r="AI24">
        <f>AI23</f>
        <v>9.0644886870382441E-2</v>
      </c>
    </row>
    <row r="25" spans="2:35" x14ac:dyDescent="0.25">
      <c r="B25" s="8" t="s">
        <v>56</v>
      </c>
      <c r="C25">
        <v>6</v>
      </c>
      <c r="D25">
        <v>5.9666666670000001</v>
      </c>
      <c r="E25">
        <v>-2.6759164470000001</v>
      </c>
      <c r="F25">
        <v>0.65709824930000005</v>
      </c>
      <c r="J25" t="s">
        <v>49</v>
      </c>
      <c r="K25" t="s">
        <v>48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7.4805487748902069</v>
      </c>
      <c r="AB25">
        <f>SQRT((AB20^2)+(AB24^2))</f>
        <v>0.10339264000439842</v>
      </c>
      <c r="AG25" t="s">
        <v>78</v>
      </c>
      <c r="AH25">
        <f>AH22*AH24</f>
        <v>20.700625998367268</v>
      </c>
      <c r="AI25">
        <f>((SQRT((((AI22/AH22)*100)^2)+(((AI24/AH24)*100)^2)))/100)*AH25</f>
        <v>0.16911547697162943</v>
      </c>
    </row>
    <row r="26" spans="2:35" x14ac:dyDescent="0.25">
      <c r="B26" s="5" t="s">
        <v>57</v>
      </c>
      <c r="C26">
        <v>6</v>
      </c>
      <c r="D26">
        <v>6.1</v>
      </c>
      <c r="E26">
        <v>-2.4461025420000002</v>
      </c>
      <c r="F26">
        <v>0.66316843059999997</v>
      </c>
      <c r="J26">
        <f>D10/4</f>
        <v>0.26666666675</v>
      </c>
      <c r="K26">
        <f>J26-J27</f>
        <v>-0.10833333325</v>
      </c>
      <c r="M26">
        <v>1</v>
      </c>
      <c r="N26">
        <f>ABS(K26)</f>
        <v>0.10833333325</v>
      </c>
      <c r="O26">
        <f>ABS(K27)</f>
        <v>0.12916666674999999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58</v>
      </c>
      <c r="C27">
        <v>6</v>
      </c>
      <c r="D27">
        <v>6.3833333330000004</v>
      </c>
      <c r="E27">
        <v>-2.7168266079999999</v>
      </c>
      <c r="F27">
        <v>0.64012185089999996</v>
      </c>
      <c r="J27">
        <f>D12/4</f>
        <v>0.375</v>
      </c>
      <c r="K27">
        <f t="shared" ref="K27:K42" si="4">J27-J28</f>
        <v>-0.12916666674999999</v>
      </c>
      <c r="M27">
        <v>2</v>
      </c>
      <c r="N27">
        <f>ABS(K28)</f>
        <v>0.10416666650000006</v>
      </c>
      <c r="O27">
        <f>ABS(K29)</f>
        <v>0.14999999999999991</v>
      </c>
      <c r="P27" t="s">
        <v>87</v>
      </c>
      <c r="AE27">
        <v>3</v>
      </c>
      <c r="AG27" t="s">
        <v>79</v>
      </c>
      <c r="AH27">
        <f>AH24-((3/2)*AH9)</f>
        <v>13.515833655521718</v>
      </c>
      <c r="AI27">
        <f>AI24</f>
        <v>9.0644886870382441E-2</v>
      </c>
    </row>
    <row r="28" spans="2:35" x14ac:dyDescent="0.25">
      <c r="B28" s="8" t="s">
        <v>56</v>
      </c>
      <c r="C28">
        <v>7</v>
      </c>
      <c r="D28">
        <v>7</v>
      </c>
      <c r="E28">
        <v>-5.2935734119999998</v>
      </c>
      <c r="F28">
        <v>0.62916824540000005</v>
      </c>
      <c r="J28">
        <f>D13/4</f>
        <v>0.50416666674999999</v>
      </c>
      <c r="K28">
        <f t="shared" si="4"/>
        <v>-0.10416666650000006</v>
      </c>
      <c r="M28">
        <v>3</v>
      </c>
      <c r="N28">
        <f>ABS(K30)</f>
        <v>0.10833333350000007</v>
      </c>
      <c r="O28">
        <f>ABS(K31)</f>
        <v>0.14166666649999993</v>
      </c>
      <c r="P28">
        <f>H13</f>
        <v>9</v>
      </c>
      <c r="AG28" t="s">
        <v>80</v>
      </c>
      <c r="AH28">
        <f>AH27/AH24</f>
        <v>0.8824745658326566</v>
      </c>
      <c r="AI28">
        <f>SQRT((AI27/AH24)^2+((AH27*AI24/(AH24^2))^2))</f>
        <v>7.8933527874676251E-3</v>
      </c>
    </row>
    <row r="29" spans="2:35" x14ac:dyDescent="0.25">
      <c r="B29" s="5" t="s">
        <v>57</v>
      </c>
      <c r="C29">
        <v>7</v>
      </c>
      <c r="D29">
        <v>7.1166666669999996</v>
      </c>
      <c r="E29">
        <v>-5.0231180149999997</v>
      </c>
      <c r="F29">
        <v>0.62895273360000004</v>
      </c>
      <c r="J29">
        <f>D15/4</f>
        <v>0.60833333325000005</v>
      </c>
      <c r="K29">
        <f t="shared" si="4"/>
        <v>-0.14999999999999991</v>
      </c>
      <c r="M29">
        <v>4</v>
      </c>
      <c r="N29">
        <f>ABS(K32)</f>
        <v>0.10416666675000008</v>
      </c>
      <c r="O29">
        <f>ABS(K33)</f>
        <v>0.14166666674999995</v>
      </c>
      <c r="P29" t="s">
        <v>88</v>
      </c>
      <c r="R29" t="s">
        <v>54</v>
      </c>
      <c r="V29" t="s">
        <v>55</v>
      </c>
      <c r="AG29" t="s">
        <v>81</v>
      </c>
    </row>
    <row r="30" spans="2:35" x14ac:dyDescent="0.25">
      <c r="B30" s="9" t="s">
        <v>58</v>
      </c>
      <c r="C30">
        <v>7</v>
      </c>
      <c r="D30">
        <v>7.3833333330000004</v>
      </c>
      <c r="E30">
        <v>-5.3546699860000002</v>
      </c>
      <c r="F30">
        <v>0.62696573919999998</v>
      </c>
      <c r="J30">
        <f>D16/4</f>
        <v>0.75833333324999996</v>
      </c>
      <c r="K30">
        <f t="shared" si="4"/>
        <v>-0.10833333350000007</v>
      </c>
      <c r="M30">
        <v>5</v>
      </c>
      <c r="N30">
        <f>ABS(K34)</f>
        <v>0.10000000000000009</v>
      </c>
      <c r="O30">
        <f>ABS(K35)</f>
        <v>0.13749999999999996</v>
      </c>
      <c r="P30">
        <f>P28-1</f>
        <v>8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82</v>
      </c>
    </row>
    <row r="31" spans="2:35" x14ac:dyDescent="0.25">
      <c r="B31" s="8" t="s">
        <v>56</v>
      </c>
      <c r="C31">
        <v>8</v>
      </c>
      <c r="D31">
        <v>7.9666666670000001</v>
      </c>
      <c r="E31">
        <v>-7.9894376840000003</v>
      </c>
      <c r="F31">
        <v>0.62831485109999996</v>
      </c>
      <c r="J31">
        <f>D18/4</f>
        <v>0.86666666675000004</v>
      </c>
      <c r="K31">
        <f t="shared" si="4"/>
        <v>-0.14166666649999993</v>
      </c>
      <c r="M31">
        <v>6</v>
      </c>
      <c r="N31">
        <f>ABS(K36)</f>
        <v>0.10416666650000006</v>
      </c>
      <c r="O31">
        <f>ABS(K37)</f>
        <v>0.1541666667499999</v>
      </c>
      <c r="R31" s="6" t="s">
        <v>19</v>
      </c>
      <c r="S31" s="5">
        <f>SUM(N26:O35)</f>
        <v>2.0750000000000002</v>
      </c>
      <c r="T31" s="5">
        <f>SQRT((P26^2)*10)</f>
        <v>1.8604085572798249E-2</v>
      </c>
      <c r="V31" s="6" t="s">
        <v>16</v>
      </c>
      <c r="W31" s="5">
        <f>AVERAGE(N26:N35)</f>
        <v>0.10555555552777784</v>
      </c>
      <c r="X31" s="12">
        <f>SQRT(((P26)^2)/P28)</f>
        <v>1.9610428064906916E-3</v>
      </c>
    </row>
    <row r="32" spans="2:35" x14ac:dyDescent="0.25">
      <c r="B32" s="5" t="s">
        <v>57</v>
      </c>
      <c r="C32">
        <v>8</v>
      </c>
      <c r="D32">
        <v>8.15</v>
      </c>
      <c r="E32">
        <v>-7.7018379699999997</v>
      </c>
      <c r="F32">
        <v>0.60172798490000001</v>
      </c>
      <c r="J32">
        <f>D19/4</f>
        <v>1.00833333325</v>
      </c>
      <c r="K32">
        <f t="shared" si="4"/>
        <v>-0.10416666675000008</v>
      </c>
      <c r="M32">
        <v>7</v>
      </c>
      <c r="N32">
        <f>ABS(K38)</f>
        <v>9.5833333250000097E-2</v>
      </c>
      <c r="O32">
        <f>ABS(K39)</f>
        <v>0.14583333349999994</v>
      </c>
      <c r="R32" s="6" t="s">
        <v>21</v>
      </c>
      <c r="S32" s="5">
        <f>H13/S31</f>
        <v>4.3373493975903612</v>
      </c>
      <c r="T32" s="5">
        <f>(H13/(S31^2))*T31</f>
        <v>3.8887912940672779E-2</v>
      </c>
      <c r="V32" s="6" t="s">
        <v>18</v>
      </c>
      <c r="W32" s="5">
        <f>AVERAGE(O26:O34)</f>
        <v>0.14062500003124995</v>
      </c>
      <c r="X32" s="12">
        <f>SQRT(((P26)^2)/P30)</f>
        <v>2.0799999999999998E-3</v>
      </c>
    </row>
    <row r="33" spans="2:42" x14ac:dyDescent="0.25">
      <c r="B33" s="9" t="s">
        <v>58</v>
      </c>
      <c r="C33">
        <v>8</v>
      </c>
      <c r="D33">
        <v>8.4666666670000001</v>
      </c>
      <c r="E33">
        <v>-7.980949485</v>
      </c>
      <c r="F33">
        <v>0.60785977030000005</v>
      </c>
      <c r="J33">
        <f>D21/4</f>
        <v>1.1125</v>
      </c>
      <c r="K33">
        <f t="shared" si="4"/>
        <v>-0.14166666674999995</v>
      </c>
      <c r="M33">
        <v>8</v>
      </c>
      <c r="N33">
        <f>ABS(K40)</f>
        <v>0.125</v>
      </c>
      <c r="O33">
        <f>ABS(K41)</f>
        <v>0.125</v>
      </c>
      <c r="P33" s="3"/>
      <c r="Q33" s="3"/>
    </row>
    <row r="34" spans="2:42" x14ac:dyDescent="0.25">
      <c r="B34" s="8" t="s">
        <v>56</v>
      </c>
      <c r="C34">
        <v>9</v>
      </c>
      <c r="D34">
        <v>8.9666666670000001</v>
      </c>
      <c r="E34">
        <v>-10.45856373</v>
      </c>
      <c r="F34">
        <v>0.61902641449999996</v>
      </c>
      <c r="J34">
        <f>D22/4</f>
        <v>1.25416666675</v>
      </c>
      <c r="K34">
        <f t="shared" si="4"/>
        <v>-0.10000000000000009</v>
      </c>
      <c r="M34">
        <v>9</v>
      </c>
      <c r="N34">
        <f>ABS(K42)</f>
        <v>0.10000000000000009</v>
      </c>
      <c r="P34" s="3"/>
      <c r="Q34" s="3"/>
      <c r="R34" s="3"/>
    </row>
    <row r="35" spans="2:42" x14ac:dyDescent="0.25">
      <c r="B35" s="5" t="s">
        <v>57</v>
      </c>
      <c r="C35">
        <v>9</v>
      </c>
      <c r="D35">
        <v>9.0666666669999998</v>
      </c>
      <c r="E35">
        <v>-10.158963549999999</v>
      </c>
      <c r="F35">
        <v>0.62429058969999995</v>
      </c>
      <c r="J35">
        <f>D24/4</f>
        <v>1.3541666667500001</v>
      </c>
      <c r="K35">
        <f t="shared" si="4"/>
        <v>-0.13749999999999996</v>
      </c>
      <c r="P35" s="3"/>
      <c r="Q35" s="3"/>
    </row>
    <row r="36" spans="2:42" x14ac:dyDescent="0.25">
      <c r="B36" s="9" t="s">
        <v>58</v>
      </c>
      <c r="C36">
        <v>9</v>
      </c>
      <c r="D36">
        <v>9.3666666670000005</v>
      </c>
      <c r="E36">
        <v>-10.478985229999999</v>
      </c>
      <c r="F36">
        <v>0.61344597670000001</v>
      </c>
      <c r="J36">
        <f>D25/4</f>
        <v>1.49166666675</v>
      </c>
      <c r="K36">
        <f t="shared" si="4"/>
        <v>-0.10416666650000006</v>
      </c>
      <c r="Q36" t="s">
        <v>89</v>
      </c>
      <c r="AC36" t="s">
        <v>42</v>
      </c>
    </row>
    <row r="37" spans="2:42" x14ac:dyDescent="0.25">
      <c r="B37" s="8"/>
      <c r="J37">
        <f>D27/4</f>
        <v>1.5958333332500001</v>
      </c>
      <c r="K37">
        <f t="shared" si="4"/>
        <v>-0.1541666667499999</v>
      </c>
      <c r="Q37" t="s">
        <v>90</v>
      </c>
      <c r="R37" t="s">
        <v>91</v>
      </c>
      <c r="S37" t="s">
        <v>92</v>
      </c>
      <c r="T37" t="s">
        <v>93</v>
      </c>
      <c r="V37" t="s">
        <v>94</v>
      </c>
      <c r="W37" t="s">
        <v>95</v>
      </c>
      <c r="AA37" s="6" t="s">
        <v>13</v>
      </c>
      <c r="AB37" s="6" t="s">
        <v>6</v>
      </c>
      <c r="AC37" t="s">
        <v>43</v>
      </c>
      <c r="AD37" s="10"/>
      <c r="AE37" s="10"/>
      <c r="AF37" s="10"/>
      <c r="AG37" s="10"/>
    </row>
    <row r="38" spans="2:42" x14ac:dyDescent="0.25">
      <c r="B38" s="5"/>
      <c r="J38">
        <f>D28/4</f>
        <v>1.75</v>
      </c>
      <c r="K38">
        <f t="shared" si="4"/>
        <v>-9.5833333250000097E-2</v>
      </c>
      <c r="Q38">
        <f>V15</f>
        <v>2.1067958554658786</v>
      </c>
      <c r="R38">
        <f>W15</f>
        <v>1.1127049660893168E-2</v>
      </c>
      <c r="S38">
        <f>D13/4-D10/4</f>
        <v>0.23749999999999999</v>
      </c>
      <c r="T38">
        <f>$P$26</f>
        <v>5.8831284194720748E-3</v>
      </c>
      <c r="V38">
        <f>Q38/S38</f>
        <v>8.8707193914352782</v>
      </c>
      <c r="W38">
        <f>SQRT(((1/S38)*R38)^2+((Q38/(S38^2))*T38)^2)</f>
        <v>0.22467625981412892</v>
      </c>
      <c r="Y38" s="6" t="s">
        <v>96</v>
      </c>
      <c r="Z38" s="6"/>
      <c r="AA38" s="5">
        <f>AVERAGE(V38:V47)</f>
        <v>8.9962029267168369</v>
      </c>
      <c r="AB38" s="13">
        <f>SQRT(SUM(W38^2+W39^2+W40^2+W41^2+W42^2+W43^2+W44^2+W45^2+W46^2+W47^2)/(H13^2))</f>
        <v>6.8212490989616542E-2</v>
      </c>
      <c r="AC38" t="s">
        <v>44</v>
      </c>
      <c r="AD38" s="10"/>
      <c r="AE38" s="10"/>
      <c r="AF38" s="10"/>
      <c r="AG38" s="10"/>
    </row>
    <row r="39" spans="2:42" x14ac:dyDescent="0.25">
      <c r="B39" s="9"/>
      <c r="J39">
        <f>D30/4</f>
        <v>1.8458333332500001</v>
      </c>
      <c r="K39">
        <f t="shared" si="4"/>
        <v>-0.14583333349999994</v>
      </c>
      <c r="Q39">
        <f>V16</f>
        <v>2.3274444128118255</v>
      </c>
      <c r="R39">
        <f>W16</f>
        <v>8.0416365912911372E-3</v>
      </c>
      <c r="S39">
        <f>D16/4-D13/4</f>
        <v>0.25416666649999997</v>
      </c>
      <c r="T39">
        <f t="shared" ref="T39:T47" si="5">$P$26</f>
        <v>5.8831284194720748E-3</v>
      </c>
      <c r="V39">
        <f t="shared" ref="V39:V47" si="6">Q39/S39</f>
        <v>9.1571583514938446</v>
      </c>
      <c r="W39">
        <f t="shared" ref="W39:W47" si="7">SQRT(((1/S39)*R39)^2+((Q39/(S39^2))*T39)^2)</f>
        <v>0.21430671528152678</v>
      </c>
      <c r="AC39" t="s">
        <v>61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1.99166666675</v>
      </c>
      <c r="K40">
        <f t="shared" si="4"/>
        <v>-0.125</v>
      </c>
      <c r="Q40">
        <f>V17</f>
        <v>2.2068708503827317</v>
      </c>
      <c r="R40">
        <f>W17</f>
        <v>4.9005018378477276E-3</v>
      </c>
      <c r="S40">
        <f>D19/4-D16/4</f>
        <v>0.25</v>
      </c>
      <c r="T40">
        <f t="shared" si="5"/>
        <v>5.8831284194720748E-3</v>
      </c>
      <c r="V40">
        <f t="shared" si="6"/>
        <v>8.8274834015309267</v>
      </c>
      <c r="W40">
        <f t="shared" si="7"/>
        <v>0.20865566272189426</v>
      </c>
      <c r="Y40" t="s">
        <v>97</v>
      </c>
      <c r="AC40" t="s">
        <v>62</v>
      </c>
      <c r="AD40" s="10"/>
      <c r="AE40" s="10"/>
      <c r="AF40" s="10"/>
      <c r="AG40" s="10"/>
    </row>
    <row r="41" spans="2:42" x14ac:dyDescent="0.25">
      <c r="B41" s="5"/>
      <c r="J41">
        <f>D33/4</f>
        <v>2.11666666675</v>
      </c>
      <c r="K41">
        <f t="shared" si="4"/>
        <v>-0.125</v>
      </c>
      <c r="Q41">
        <f>V18</f>
        <v>2.165962625729728</v>
      </c>
      <c r="R41">
        <f>W18</f>
        <v>2.173801940595636E-3</v>
      </c>
      <c r="S41">
        <f>D22/4-D19/4</f>
        <v>0.24583333350000003</v>
      </c>
      <c r="T41">
        <f t="shared" si="5"/>
        <v>5.8831284194720748E-3</v>
      </c>
      <c r="V41">
        <f t="shared" si="6"/>
        <v>8.8106954207238442</v>
      </c>
      <c r="W41">
        <f t="shared" si="7"/>
        <v>0.21103734655558792</v>
      </c>
      <c r="AC41" t="s">
        <v>45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2.24166666675</v>
      </c>
      <c r="K42">
        <f t="shared" si="4"/>
        <v>-0.10000000000000009</v>
      </c>
      <c r="Q42">
        <f>V19</f>
        <v>2.1482671765496462</v>
      </c>
      <c r="R42">
        <f>W19</f>
        <v>2.1768340698585928E-3</v>
      </c>
      <c r="S42">
        <f>D25/4-D22/4</f>
        <v>0.23750000000000004</v>
      </c>
      <c r="T42">
        <f t="shared" si="5"/>
        <v>5.8831284194720748E-3</v>
      </c>
      <c r="V42">
        <f t="shared" si="6"/>
        <v>9.0453354802090349</v>
      </c>
      <c r="W42">
        <f t="shared" si="7"/>
        <v>0.22424999978192081</v>
      </c>
      <c r="Y42" s="14" t="s">
        <v>98</v>
      </c>
      <c r="Z42" s="14"/>
      <c r="AA42" s="12">
        <f>$X$17*100</f>
        <v>222.02180737877794</v>
      </c>
      <c r="AB42" s="12">
        <f>$Y$17</f>
        <v>7.4302368519206718E-3</v>
      </c>
      <c r="AC42" t="s">
        <v>50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2.3416666667500001</v>
      </c>
      <c r="Q43">
        <f>V20</f>
        <v>2.2741506106797131</v>
      </c>
      <c r="R43">
        <f>W20</f>
        <v>4.9653580267546042E-3</v>
      </c>
      <c r="S43">
        <f>D28/4-D25/4</f>
        <v>0.25833333324999996</v>
      </c>
      <c r="T43">
        <f t="shared" si="5"/>
        <v>5.8831284194720748E-3</v>
      </c>
      <c r="V43">
        <f t="shared" si="6"/>
        <v>8.8031636570837826</v>
      </c>
      <c r="W43">
        <f t="shared" si="7"/>
        <v>0.20139725276676404</v>
      </c>
      <c r="Y43" s="14" t="s">
        <v>99</v>
      </c>
      <c r="Z43" s="14"/>
      <c r="AA43" s="12">
        <f>$W$31</f>
        <v>0.10555555552777784</v>
      </c>
      <c r="AB43" s="12">
        <f>$X$31</f>
        <v>1.9610428064906916E-3</v>
      </c>
      <c r="AC43" t="s">
        <v>51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>V21</f>
        <v>2.3639022292758982</v>
      </c>
      <c r="R44">
        <f>W21</f>
        <v>8.1703054392136473E-3</v>
      </c>
      <c r="S44">
        <f>D31/4-D28/4</f>
        <v>0.24166666675000004</v>
      </c>
      <c r="T44">
        <f t="shared" si="5"/>
        <v>5.8831284194720748E-3</v>
      </c>
      <c r="V44">
        <f t="shared" si="6"/>
        <v>9.7816643936307273</v>
      </c>
      <c r="W44">
        <f t="shared" si="7"/>
        <v>0.24051265127139157</v>
      </c>
      <c r="Y44" s="14" t="s">
        <v>100</v>
      </c>
      <c r="Z44" s="14"/>
      <c r="AA44" s="12">
        <f>$W$32</f>
        <v>0.14062500003124995</v>
      </c>
      <c r="AB44" s="12">
        <f>$X$32</f>
        <v>2.0799999999999998E-3</v>
      </c>
      <c r="AC44" t="s">
        <v>46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>V22</f>
        <v>2.1683508294068146</v>
      </c>
      <c r="R45">
        <f>W22</f>
        <v>1.1326985175741201E-2</v>
      </c>
      <c r="S45">
        <f>D34/4-D31/4</f>
        <v>0.25</v>
      </c>
      <c r="T45">
        <f t="shared" si="5"/>
        <v>5.8831284194720748E-3</v>
      </c>
      <c r="V45">
        <f t="shared" si="6"/>
        <v>8.6734033176272582</v>
      </c>
      <c r="W45">
        <f t="shared" si="7"/>
        <v>0.20907527275109575</v>
      </c>
      <c r="Y45" s="14" t="s">
        <v>101</v>
      </c>
      <c r="Z45" s="14"/>
      <c r="AA45" s="5">
        <f>$S$31</f>
        <v>2.0750000000000002</v>
      </c>
      <c r="AB45" s="5">
        <f>$T$31</f>
        <v>1.8604085572798249E-2</v>
      </c>
      <c r="AC45" t="s">
        <v>47</v>
      </c>
      <c r="AD45" s="10"/>
      <c r="AE45" s="10"/>
      <c r="AF45" s="10"/>
    </row>
    <row r="46" spans="2:42" x14ac:dyDescent="0.25">
      <c r="Y46" s="14" t="s">
        <v>102</v>
      </c>
      <c r="Z46" s="14"/>
      <c r="AA46" s="5">
        <f>$S$32</f>
        <v>4.3373493975903612</v>
      </c>
      <c r="AB46" s="5">
        <f>$T$32</f>
        <v>3.8887912940672779E-2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94</v>
      </c>
      <c r="Z47" s="14"/>
      <c r="AA47" s="5">
        <f>$AA$38</f>
        <v>8.9962029267168369</v>
      </c>
      <c r="AB47" s="5">
        <f>$AB$38</f>
        <v>6.8212490989616542E-2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2019-09-04T11:02:31Z</dcterms:modified>
</cp:coreProperties>
</file>