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198B21A5-5789-4B32-8B8D-D20314480762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R45" i="1"/>
  <c r="W45" i="1" s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R41" i="1"/>
  <c r="W41" i="1" s="1"/>
  <c r="Q41" i="1"/>
  <c r="V41" i="1" s="1"/>
  <c r="T40" i="1"/>
  <c r="S40" i="1"/>
  <c r="W40" i="1" s="1"/>
  <c r="R40" i="1"/>
  <c r="Q40" i="1"/>
  <c r="V40" i="1" s="1"/>
  <c r="T39" i="1"/>
  <c r="S39" i="1"/>
  <c r="R39" i="1"/>
  <c r="W39" i="1" s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P30" i="1" s="1"/>
  <c r="X32" i="1" s="1"/>
  <c r="AB44" i="1" s="1"/>
  <c r="AB38" i="1" l="1"/>
  <c r="AB47" i="1" s="1"/>
  <c r="V38" i="1"/>
  <c r="AA38" i="1" s="1"/>
  <c r="AA47" i="1" s="1"/>
  <c r="AA45" i="1"/>
  <c r="S32" i="1"/>
  <c r="AA46" i="1" s="1"/>
  <c r="X31" i="1"/>
  <c r="AB43" i="1" s="1"/>
  <c r="Y17" i="1" l="1"/>
  <c r="X17" i="1"/>
  <c r="U11" i="1"/>
  <c r="T11" i="1"/>
  <c r="U24" i="1" l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I22" i="1"/>
  <c r="AH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H25" i="1"/>
  <c r="AI23" i="1"/>
  <c r="AI24" i="1" s="1"/>
  <c r="AI27" i="1" s="1"/>
  <c r="AI28" i="1" s="1"/>
  <c r="AH20" i="1"/>
  <c r="AI20" i="1"/>
  <c r="AB18" i="1"/>
  <c r="AB21" i="1" s="1"/>
  <c r="AB16" i="1"/>
  <c r="AA19" i="1"/>
  <c r="AA20" i="1" s="1"/>
  <c r="T19" i="1" l="1"/>
  <c r="T18" i="1"/>
  <c r="V18" i="1" s="1"/>
  <c r="T24" i="1"/>
  <c r="T15" i="1"/>
  <c r="T21" i="1"/>
  <c r="T20" i="1"/>
  <c r="U20" i="1" s="1"/>
  <c r="T17" i="1"/>
  <c r="T22" i="1"/>
  <c r="T23" i="1"/>
  <c r="T16" i="1"/>
  <c r="V16" i="1" s="1"/>
  <c r="AI25" i="1"/>
  <c r="AA25" i="1"/>
  <c r="L4" i="1"/>
  <c r="AB20" i="1"/>
  <c r="V15" i="1" l="1"/>
  <c r="V21" i="1"/>
  <c r="U16" i="1"/>
  <c r="U15" i="1"/>
  <c r="W15" i="1" s="1"/>
  <c r="V23" i="1"/>
  <c r="U19" i="1"/>
  <c r="W19" i="1" s="1"/>
  <c r="V19" i="1"/>
  <c r="U21" i="1"/>
  <c r="U18" i="1"/>
  <c r="W18" i="1" s="1"/>
  <c r="U22" i="1"/>
  <c r="W22" i="1" s="1"/>
  <c r="V22" i="1"/>
  <c r="U17" i="1"/>
  <c r="V17" i="1"/>
  <c r="V20" i="1"/>
  <c r="U23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W23" i="1" l="1"/>
  <c r="W21" i="1"/>
  <c r="W20" i="1"/>
  <c r="W17" i="1"/>
  <c r="W16" i="1"/>
  <c r="O17" i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<sst xmlns="http://schemas.openxmlformats.org/spreadsheetml/2006/main" count="160" uniqueCount="101">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</sst>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O52" sqref="O47:W52"/>
    </sheetView>
  </sheetViews>
  <sheetFormatPr defaultRowHeight="15" x14ac:dyDescent="0.25"/>
  <cols>
    <col min="8" max="8" width="12.28515625" customWidth="1"/>
    <col min="24" max="24" width="9.140625" customWidth="1"/>
    <col min="27" max="27" width="18.28515625" bestFit="1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23.612955150000001</v>
      </c>
      <c r="M3">
        <v>0.01</v>
      </c>
      <c r="N3" t="s">
        <v>38</v>
      </c>
    </row>
    <row r="4" spans="1:35" x14ac:dyDescent="0.25">
      <c r="D4">
        <v>0</v>
      </c>
      <c r="E4">
        <v>11.805366510000001</v>
      </c>
      <c r="F4">
        <v>0.52993995090000001</v>
      </c>
      <c r="H4" s="11" t="s">
        <v>7</v>
      </c>
      <c r="I4" s="11"/>
      <c r="J4" s="11"/>
      <c r="K4" s="11"/>
      <c r="L4">
        <f>AA20</f>
        <v>7.9734743684819867</v>
      </c>
      <c r="M4">
        <f>AB20</f>
        <v>0.10352788072094099</v>
      </c>
      <c r="P4" t="s">
        <v>13</v>
      </c>
    </row>
    <row r="5" spans="1:35" x14ac:dyDescent="0.25">
      <c r="D5">
        <v>3.3333333329999999E-2</v>
      </c>
      <c r="E5">
        <v>-11.807588640000001</v>
      </c>
      <c r="F5">
        <v>0.53527428700000002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23.612955150000001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0.68333333330000001</v>
      </c>
      <c r="E10">
        <v>11.06810664</v>
      </c>
      <c r="F10">
        <v>0.63231182679999998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11.806477575000001</v>
      </c>
      <c r="AB10">
        <f>AB9</f>
        <v>0.01</v>
      </c>
      <c r="AE10" t="s">
        <v>65</v>
      </c>
      <c r="AH10">
        <f>L3</f>
        <v>23.612955150000001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0.76666666670000005</v>
      </c>
      <c r="E11">
        <v>11.3949339</v>
      </c>
      <c r="F11">
        <v>0.64958843970000002</v>
      </c>
      <c r="G11" t="s">
        <v>57</v>
      </c>
      <c r="H11">
        <f>M3</f>
        <v>0.01</v>
      </c>
      <c r="K11">
        <f>ABS(E11-E14)</f>
        <v>2.177215854</v>
      </c>
      <c r="L11">
        <f>SQRT((H11^2)+(H11^2))</f>
        <v>1.4142135623730951E-2</v>
      </c>
      <c r="N11">
        <f>($L$4-$L$5)*(E11/$L$4)</f>
        <v>10.523179711327122</v>
      </c>
      <c r="O11">
        <f>SQRT(((E11/$L$4)*$M$4)^2+((E11/$L$4)*$M$5)^2+(($L$4-$L$5)*$H$11)^2+(((($L$5-$L$4)*E11)/($L$4^2))*$M$4)^2)</f>
        <v>0.21443090055448491</v>
      </c>
      <c r="Q11">
        <f>N11-N12</f>
        <v>2.0106508649420558</v>
      </c>
      <c r="R11">
        <f>SQRT((O11^2)+(O12^2))</f>
        <v>0.27918267436758082</v>
      </c>
      <c r="T11" s="5">
        <f>AVERAGE(Q11:Q19)</f>
        <v>2.1683969878664837</v>
      </c>
      <c r="U11" s="5">
        <f>SQRT(((R11^2)+(R12^2)+(R13^2)+(R14^2)+(R15^2)+(R16^2)+(R17^2)+(R18^2)+(R19^2))/($H$13-1))</f>
        <v>0.18738177036823761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1.1666666670000001</v>
      </c>
      <c r="E12">
        <v>11.08361079</v>
      </c>
      <c r="F12">
        <v>0.63981109260000002</v>
      </c>
      <c r="G12" t="s">
        <v>58</v>
      </c>
      <c r="H12">
        <f>L6</f>
        <v>4.1599999999999996E-3</v>
      </c>
      <c r="K12">
        <f>ABS(E14-E17)</f>
        <v>2.5270793319999996</v>
      </c>
      <c r="L12" s="1"/>
      <c r="N12">
        <f>($L$4-$L$5)*(E14/$L$4)</f>
        <v>8.5125288463850666</v>
      </c>
      <c r="O12">
        <f>SQRT(((E14/$L$4)*$M$4)^2+((E14/$L$4)*$M$5)^2+(($L$4-$L$5)*$H$11)^2+(((($L$5-$L$4)*E14)/($L$4^2))*$M$4)^2)</f>
        <v>0.17878018501620155</v>
      </c>
      <c r="Q12">
        <f t="shared" ref="Q12:Q19" si="0">N12-N13</f>
        <v>2.3337485051507407</v>
      </c>
      <c r="R12">
        <f t="shared" ref="R12:R19" si="1">SQRT((O12^2)+(O13^2))</f>
        <v>0.22664337412002811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1.733333333</v>
      </c>
      <c r="E13">
        <v>8.9388424109999995</v>
      </c>
      <c r="F13">
        <v>0.61713379390000001</v>
      </c>
      <c r="G13" t="s">
        <v>39</v>
      </c>
      <c r="H13" s="4">
        <f>C39</f>
        <v>10</v>
      </c>
      <c r="K13">
        <f>ABS(E17-E20)</f>
        <v>2.2831755950000003</v>
      </c>
      <c r="L13" s="1"/>
      <c r="N13">
        <f>($L$4-$L$5)*(E17/$L$4)</f>
        <v>6.1787803412343258</v>
      </c>
      <c r="O13">
        <f>SQRT(((E17/$L$4)*$M$4)^2+((E17/$L$4)*$M$5)^2+(($L$4-$L$5)*$H$11)^2+(((($L$5-$L$4)*E17)/($L$4^2))*$M$4)^2)</f>
        <v>0.13930134413595502</v>
      </c>
      <c r="Q13">
        <f t="shared" si="0"/>
        <v>2.1085042975722077</v>
      </c>
      <c r="R13">
        <f t="shared" si="1"/>
        <v>0.17576918526640478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1.816666667</v>
      </c>
      <c r="E14">
        <v>9.2177180459999999</v>
      </c>
      <c r="F14">
        <v>0.619634346</v>
      </c>
      <c r="K14">
        <f>ABS(E20-E23)</f>
        <v>2.424806775</v>
      </c>
      <c r="L14" s="1"/>
      <c r="N14">
        <f>($L$4-$L$5)*(E20/$L$4)</f>
        <v>4.0702760436621181</v>
      </c>
      <c r="O14">
        <f>SQRT(((E20/$L$4)*$M$4)^2+((E20/$L$4)*$M$5)^2+(($L$4-$L$5)*$H$11)^2+(((($L$5-$L$4)*E20)/($L$4^2))*$M$4)^2)</f>
        <v>0.10719114707442941</v>
      </c>
      <c r="Q14">
        <f t="shared" si="0"/>
        <v>2.2393001734365958</v>
      </c>
      <c r="R14">
        <f t="shared" si="1"/>
        <v>0.13468441159527836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1.8064775750000006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2.233333333</v>
      </c>
      <c r="E15">
        <v>8.9172579519999999</v>
      </c>
      <c r="F15">
        <v>0.6158766363</v>
      </c>
      <c r="K15">
        <f>ABS(E26-E23)</f>
        <v>2.1990202882999998</v>
      </c>
      <c r="L15" s="1"/>
      <c r="N15">
        <f>($L$4-$L$5)*(E23/$L$4)</f>
        <v>1.8309758702255226</v>
      </c>
      <c r="O15">
        <f>SQRT(((E23/$L$4)*$M$4)^2+((E23/$L$4)*$M$5)^2+(($L$4-$L$5)*$H$11)^2+(((($L$5-$L$4)*E23)/($L$4^2))*$M$4)^2)</f>
        <v>8.1547217706273697E-2</v>
      </c>
      <c r="Q15">
        <f t="shared" si="0"/>
        <v>2.0307871801375943</v>
      </c>
      <c r="R15">
        <f t="shared" si="1"/>
        <v>0.10993928743619867</v>
      </c>
      <c r="T15">
        <f>E11*$AH$28</f>
        <v>10.035293896330803</v>
      </c>
      <c r="U15">
        <f>(SQRT(($M$3/E11)^2+($AI$28/$AH$28^2)))/100*T15</f>
        <v>1.0037608465024809E-2</v>
      </c>
      <c r="V15">
        <f>T15-T16</f>
        <v>1.9174311288142576</v>
      </c>
      <c r="W15">
        <f>SQRT(U15^2+U16^2)</f>
        <v>1.2910707277361934E-2</v>
      </c>
      <c r="Z15" t="s">
        <v>26</v>
      </c>
      <c r="AA15">
        <f>AA14/AA13</f>
        <v>1.4807193237704923</v>
      </c>
      <c r="AB15">
        <f>(((AB13/AA13)*100+(AB14/AA14)*100)/100)*AA15</f>
        <v>8.1967213114754085E-3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2.8</v>
      </c>
      <c r="E16">
        <v>6.4928063309999997</v>
      </c>
      <c r="F16">
        <v>0.63263714429999995</v>
      </c>
      <c r="K16">
        <f>ABS(E29-E26)</f>
        <v>2.2692796307000003</v>
      </c>
      <c r="L16" s="1"/>
      <c r="N16">
        <f>($L$4-$L$5)*(E26/$L$4)</f>
        <v>-0.19981130991207166</v>
      </c>
      <c r="O16">
        <f>SQRT(((E26/$L$4)*$M$4)^2+((E26/$L$4)*$M$5)^2+(($L$4-$L$5)*$H$11)^2+(((($L$5-$L$4)*E26)/($L$4^2))*$M$4)^2)</f>
        <v>7.3733969148179687E-2</v>
      </c>
      <c r="Q16">
        <f t="shared" si="0"/>
        <v>2.0956714254490012</v>
      </c>
      <c r="R16">
        <f t="shared" si="1"/>
        <v>0.11308704859514483</v>
      </c>
      <c r="T16">
        <f>E14*$AH$28</f>
        <v>8.1178627675165451</v>
      </c>
      <c r="U16">
        <f>(SQRT(($M$3/E14)^2+($AI$28/$AH$28^2)))/100*T16</f>
        <v>8.1199001659249918E-3</v>
      </c>
      <c r="V16">
        <f t="shared" ref="V16:V23" si="2">T16-T17</f>
        <v>2.2255490043661705</v>
      </c>
      <c r="W16">
        <f t="shared" ref="W16:W23" si="3">SQRT(U16^2+U17^2)</f>
        <v>1.0033605515425221E-2</v>
      </c>
      <c r="X16" s="6" t="s">
        <v>83</v>
      </c>
      <c r="Y16" s="6" t="s">
        <v>84</v>
      </c>
      <c r="Z16" t="s">
        <v>27</v>
      </c>
      <c r="AA16">
        <f>ATAN(AA14/AA13)</f>
        <v>0.97680801285418306</v>
      </c>
      <c r="AB16">
        <f>(ABS(1/(1+AA15)))*AB15</f>
        <v>3.3041711865319191E-3</v>
      </c>
      <c r="AG16" t="s">
        <v>69</v>
      </c>
      <c r="AH16">
        <f>AH10/2</f>
        <v>11.806477575000001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2.95</v>
      </c>
      <c r="E17">
        <v>6.6906387140000003</v>
      </c>
      <c r="F17">
        <v>0.64651039840000002</v>
      </c>
      <c r="K17">
        <f>ABS(E32-E29)</f>
        <v>2.4706884420000002</v>
      </c>
      <c r="L17" s="1"/>
      <c r="N17">
        <f>($L$4-$L$5)*(E29/$L$4)</f>
        <v>-2.2954827353610727</v>
      </c>
      <c r="O17">
        <f>SQRT(((E29/$L$4)*$M$4)^2+((E29/$L$4)*$M$5)^2+(($L$4-$L$5)*$H$11)^2+(((($L$5-$L$4)*E29)/($L$4^2))*$M$4)^2)</f>
        <v>8.5743701539039791E-2</v>
      </c>
      <c r="Q17">
        <f t="shared" si="0"/>
        <v>2.2816717248236791</v>
      </c>
      <c r="R17">
        <f t="shared" si="1"/>
        <v>0.14299408818449771</v>
      </c>
      <c r="T17">
        <f>E17*$AH$28</f>
        <v>5.8923137631503746</v>
      </c>
      <c r="U17">
        <f>(SQRT(($M$3/E17)^2+($AI$28/$AH$28^2)))/100*T17</f>
        <v>5.894103912774418E-3</v>
      </c>
      <c r="V17">
        <f t="shared" si="2"/>
        <v>2.0107477861503833</v>
      </c>
      <c r="W17">
        <f t="shared" si="3"/>
        <v>7.0583682094540806E-3</v>
      </c>
      <c r="X17" s="5">
        <f>AVERAGE(V15:V23)</f>
        <v>2.0678636737274072</v>
      </c>
      <c r="Y17" s="5">
        <f>SQRT(((W15^2)+(W16^2)+(W17^2)+(W18^2)+(W19^2)+(W20^2)+(W21^2)+(W22^2)+(W23^2))/($H$13-1))</f>
        <v>7.765032359203547E-3</v>
      </c>
      <c r="Z17" t="s">
        <v>28</v>
      </c>
      <c r="AA17">
        <f>SQRT((AA14^2)+(AA13^2))</f>
        <v>2.1798534879614921</v>
      </c>
      <c r="AB17">
        <f>SQRT(((ABS(AA13*(AA13^2+AA14^2)))*AB13)^2+((ABS(AA14*(AA13^2+AA14^2)))*AB14)^2)</f>
        <v>8.5839501019029887E-2</v>
      </c>
      <c r="AG17" t="s">
        <v>70</v>
      </c>
      <c r="AH17">
        <f>(AH16)-AH15</f>
        <v>1.8064775750000006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3.25</v>
      </c>
      <c r="E18">
        <v>6.4206776879999996</v>
      </c>
      <c r="F18">
        <v>0.62740764520000003</v>
      </c>
      <c r="K18">
        <f>ABS(E35-E32)</f>
        <v>2.3513223779999999</v>
      </c>
      <c r="N18">
        <f>($L$4-$L$5)*(E32/$L$4)</f>
        <v>-4.5771544601847518</v>
      </c>
      <c r="O18">
        <f>SQRT(((E32/$L$4)*$M$4)^2+((E32/$L$4)*$M$5)^2+(($L$4-$L$5)*$H$11)^2+(((($L$5-$L$4)*E32)/($L$4^2))*$M$4)^2)</f>
        <v>0.1144348150787162</v>
      </c>
      <c r="Q18">
        <f t="shared" si="0"/>
        <v>2.1714376020170727</v>
      </c>
      <c r="R18">
        <f t="shared" si="1"/>
        <v>0.1876116114187949</v>
      </c>
      <c r="T18">
        <f>E20*$AH$28</f>
        <v>3.8815659769999913</v>
      </c>
      <c r="U18">
        <f>(SQRT(($M$3/E20)^2+($AI$28/$AH$28^2)))/100*T18</f>
        <v>3.8833105523057637E-3</v>
      </c>
      <c r="V18">
        <f t="shared" si="2"/>
        <v>2.1354795773707016</v>
      </c>
      <c r="W18">
        <f t="shared" si="3"/>
        <v>4.2588550423256644E-3</v>
      </c>
      <c r="Z18" t="s">
        <v>29</v>
      </c>
      <c r="AA18">
        <f>AA17/AA14</f>
        <v>1.2066872670486881</v>
      </c>
      <c r="AB18">
        <f>(((AB17/AA17)*100+(AB14/AA14)*100)/100)*AA18</f>
        <v>5.4197392231407432E-2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3.9</v>
      </c>
      <c r="E19">
        <v>4.1357409069999997</v>
      </c>
      <c r="F19">
        <v>0.65740954220000003</v>
      </c>
      <c r="K19">
        <f>ABS(E38-E35)</f>
        <v>2.4296805829999997</v>
      </c>
      <c r="N19">
        <f>($L$4-$L$5)*(E35/$L$4)</f>
        <v>-6.7485920622018245</v>
      </c>
      <c r="O19">
        <f>SQRT(((E35/$L$4)*$M$4)^2+((E35/$L$4)*$M$5)^2+(($L$4-$L$5)*$H$11)^2+(((($L$5-$L$4)*E35)/($L$4^2))*$M$4)^2)</f>
        <v>0.14867007041451524</v>
      </c>
      <c r="Q19">
        <f t="shared" si="0"/>
        <v>2.2438011172694079</v>
      </c>
      <c r="R19">
        <f t="shared" si="1"/>
        <v>0.23904333373820325</v>
      </c>
      <c r="T19">
        <f>E23*$AH$28</f>
        <v>1.7460863996292899</v>
      </c>
      <c r="U19">
        <f>(SQRT(($M$3/E23)^2+($AI$28/$AH$28^2)))/100*T19</f>
        <v>1.7486410225925283E-3</v>
      </c>
      <c r="V19">
        <f t="shared" si="2"/>
        <v>1.9366338647286572</v>
      </c>
      <c r="W19">
        <f t="shared" si="3"/>
        <v>1.7611995044717443E-3</v>
      </c>
      <c r="Z19" t="s">
        <v>30</v>
      </c>
      <c r="AA19">
        <f>1/AA15</f>
        <v>0.67534743684819865</v>
      </c>
      <c r="AB19">
        <f>AB15</f>
        <v>8.1967213114754085E-3</v>
      </c>
      <c r="AG19" t="s">
        <v>72</v>
      </c>
      <c r="AH19">
        <f>AH17/AH18</f>
        <v>0.75269898958333359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</v>
      </c>
      <c r="E20">
        <v>4.407463119</v>
      </c>
      <c r="F20">
        <v>0.65384174910000004</v>
      </c>
      <c r="N20">
        <f>($L$4-$L$5)*(E38/$L$4)</f>
        <v>-8.9923931794712324</v>
      </c>
      <c r="O20">
        <f>SQRT(((E38/$L$4)*$M$4)^2+((E38/$L$4)*$M$5)^2+(($L$4-$L$5)*$H$11)^2+(((($L$5-$L$4)*E38)/($L$4^2))*$M$4)^2)</f>
        <v>0.18718687338490669</v>
      </c>
      <c r="T20">
        <f>E26*$AH$28</f>
        <v>-0.19054746509936735</v>
      </c>
      <c r="U20">
        <f>(SQRT(($M$3/E26)^2+($AI$28/$AH$28^2)))/100*T20</f>
        <v>-2.0994825233393673E-4</v>
      </c>
      <c r="V20">
        <f t="shared" si="2"/>
        <v>1.9985098840311422</v>
      </c>
      <c r="W20">
        <f t="shared" si="3"/>
        <v>2.2012832604825189E-3</v>
      </c>
      <c r="Z20" t="s">
        <v>31</v>
      </c>
      <c r="AA20">
        <f>AA10*AA19</f>
        <v>7.9734743684819867</v>
      </c>
      <c r="AB20">
        <f>(((AB10/AA10)*100+(AB19/AA19)*100)/100)*AA20</f>
        <v>0.10352788072094099</v>
      </c>
      <c r="AG20" t="s">
        <v>73</v>
      </c>
      <c r="AH20">
        <f>ATAN(AH19)</f>
        <v>0.64522622549849873</v>
      </c>
      <c r="AI20">
        <f>(ABS(1/(1+AH19)))*AI19</f>
        <v>2.3772859409573813E-3</v>
      </c>
    </row>
    <row r="21" spans="2:35" x14ac:dyDescent="0.25">
      <c r="B21" s="9" t="s">
        <v>56</v>
      </c>
      <c r="C21">
        <v>4</v>
      </c>
      <c r="D21">
        <v>4.3499999999999996</v>
      </c>
      <c r="E21">
        <v>4.144056</v>
      </c>
      <c r="F21">
        <v>0.66347693210000003</v>
      </c>
      <c r="T21">
        <f>E29*$AH$28</f>
        <v>-2.1890573491305094</v>
      </c>
      <c r="U21">
        <f>(SQRT(($M$3/E29)^2+($AI$28/$AH$28^2)))/100*T21</f>
        <v>-2.1912484396394843E-3</v>
      </c>
      <c r="V21">
        <f t="shared" si="2"/>
        <v>2.1758866579943623</v>
      </c>
      <c r="W21">
        <f t="shared" si="3"/>
        <v>4.8856303897740084E-3</v>
      </c>
      <c r="Z21" t="s">
        <v>32</v>
      </c>
      <c r="AA21">
        <f>AA10*AA18</f>
        <v>14.246726158448373</v>
      </c>
      <c r="AB21">
        <f>(((AB10/AA10)*100+(AB18/AA18)*100)/100)*AA21</f>
        <v>0.65194716867407809</v>
      </c>
    </row>
    <row r="22" spans="2:35" x14ac:dyDescent="0.25">
      <c r="B22" s="8" t="s">
        <v>54</v>
      </c>
      <c r="C22">
        <v>5</v>
      </c>
      <c r="D22">
        <v>4.95</v>
      </c>
      <c r="E22">
        <v>1.772310778</v>
      </c>
      <c r="F22">
        <v>0.66785351510000002</v>
      </c>
      <c r="T22">
        <f>E32*$AH$28</f>
        <v>-4.3649440071248717</v>
      </c>
      <c r="U22">
        <f>(SQRT(($M$3/E32)^2+($AI$28/$AH$28^2)))/100*T22</f>
        <v>-4.3666708808039164E-3</v>
      </c>
      <c r="V22">
        <f t="shared" si="2"/>
        <v>2.0707633159898737</v>
      </c>
      <c r="W22">
        <f t="shared" si="3"/>
        <v>7.778805650808112E-3</v>
      </c>
      <c r="AE22">
        <v>2</v>
      </c>
      <c r="AG22" t="s">
        <v>74</v>
      </c>
      <c r="AH22">
        <f>AH18/AH17</f>
        <v>1.3285523347833417</v>
      </c>
      <c r="AI22">
        <f>SQRT((AI17*(AH18/(AH17^2)))^2)</f>
        <v>7.354380442742784E-3</v>
      </c>
    </row>
    <row r="23" spans="2:35" x14ac:dyDescent="0.25">
      <c r="B23" s="5" t="s">
        <v>55</v>
      </c>
      <c r="C23">
        <v>5</v>
      </c>
      <c r="D23">
        <v>5.0999999999999996</v>
      </c>
      <c r="E23">
        <v>1.982656344</v>
      </c>
      <c r="F23">
        <v>0.69391560649999995</v>
      </c>
      <c r="T23">
        <f>E35*$AH$28</f>
        <v>-6.4357073231147455</v>
      </c>
      <c r="U23">
        <f>(SQRT(($M$3/E35)^2+($AI$28/$AH$28^2)))/100*T23</f>
        <v>-6.437546331622271E-3</v>
      </c>
      <c r="V23">
        <f t="shared" si="2"/>
        <v>2.1397718441011202</v>
      </c>
      <c r="W23">
        <f t="shared" si="3"/>
        <v>1.072459157342002E-2</v>
      </c>
      <c r="AA23" t="s">
        <v>11</v>
      </c>
      <c r="AB23" t="s">
        <v>4</v>
      </c>
      <c r="AG23" t="s">
        <v>31</v>
      </c>
      <c r="AH23">
        <f>AH22*AH16</f>
        <v>15.685523347833417</v>
      </c>
      <c r="AI23">
        <f>((SQRT((((AI19/AH19)*100)^2)+(((AI16/AH16)*100)^2)))/100)*AH23</f>
        <v>8.78398388689869E-2</v>
      </c>
    </row>
    <row r="24" spans="2:35" x14ac:dyDescent="0.25">
      <c r="B24" s="9" t="s">
        <v>56</v>
      </c>
      <c r="C24">
        <v>5</v>
      </c>
      <c r="D24">
        <v>5.4166666670000003</v>
      </c>
      <c r="E24">
        <v>1.7455772860000001</v>
      </c>
      <c r="F24">
        <v>0.67026339030000004</v>
      </c>
      <c r="T24">
        <f>E38*$AH$28</f>
        <v>-8.5754791672158657</v>
      </c>
      <c r="U24">
        <f>(SQRT(($M$3/E38)^2+($AI$28/$AH$28^2)))/100*T24</f>
        <v>-8.5775790083734201E-3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15.085523347833417</v>
      </c>
      <c r="AI24">
        <f>AI23</f>
        <v>8.78398388689869E-2</v>
      </c>
    </row>
    <row r="25" spans="2:35" x14ac:dyDescent="0.25">
      <c r="B25" s="8" t="s">
        <v>54</v>
      </c>
      <c r="C25">
        <v>6</v>
      </c>
      <c r="D25">
        <v>5.9666666670000001</v>
      </c>
      <c r="E25">
        <v>-0.40764242109999999</v>
      </c>
      <c r="F25">
        <v>0.69647694660000004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7.3634743684819863</v>
      </c>
      <c r="AB25">
        <f>SQRT((AB20^2)+(AB24^2))</f>
        <v>0.10352788072094099</v>
      </c>
      <c r="AG25" t="s">
        <v>76</v>
      </c>
      <c r="AH25">
        <f>AH22*AH24</f>
        <v>20.041907265192698</v>
      </c>
      <c r="AI25">
        <f>((SQRT((((AI22/AH22)*100)^2)+(((AI24/AH24)*100)^2)))/100)*AH25</f>
        <v>0.1610204031838032</v>
      </c>
    </row>
    <row r="26" spans="2:35" x14ac:dyDescent="0.25">
      <c r="B26" s="5" t="s">
        <v>55</v>
      </c>
      <c r="C26">
        <v>6</v>
      </c>
      <c r="D26">
        <v>6.1333333330000004</v>
      </c>
      <c r="E26">
        <v>-0.2163639443</v>
      </c>
      <c r="F26">
        <v>0.68161226450000001</v>
      </c>
      <c r="J26">
        <f>D10/4</f>
        <v>0.170833333325</v>
      </c>
      <c r="K26">
        <f>J26-J27</f>
        <v>-0.12083333342500002</v>
      </c>
      <c r="M26">
        <v>1</v>
      </c>
      <c r="N26">
        <f>ABS(K26)</f>
        <v>0.12083333342500002</v>
      </c>
      <c r="O26">
        <f>ABS(K27)</f>
        <v>0.14166666649999998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6.5</v>
      </c>
      <c r="E27">
        <v>-0.4757081178</v>
      </c>
      <c r="F27">
        <v>0.68707638689999995</v>
      </c>
      <c r="J27">
        <f>D12/4</f>
        <v>0.29166666675000003</v>
      </c>
      <c r="K27">
        <f t="shared" ref="K27:K44" si="4">J27-J28</f>
        <v>-0.14166666649999998</v>
      </c>
      <c r="M27">
        <v>2</v>
      </c>
      <c r="N27">
        <f>ABS(K28)</f>
        <v>0.125</v>
      </c>
      <c r="O27">
        <f>ABS(K29)</f>
        <v>0.14166666674999995</v>
      </c>
      <c r="P27" t="s">
        <v>85</v>
      </c>
      <c r="AE27">
        <v>3</v>
      </c>
      <c r="AG27" t="s">
        <v>77</v>
      </c>
      <c r="AH27">
        <f>AH24-((3/2)*AH9)</f>
        <v>13.285523347833418</v>
      </c>
      <c r="AI27">
        <f>AI24</f>
        <v>8.78398388689869E-2</v>
      </c>
    </row>
    <row r="28" spans="2:35" x14ac:dyDescent="0.25">
      <c r="B28" s="8" t="s">
        <v>54</v>
      </c>
      <c r="C28">
        <v>7</v>
      </c>
      <c r="D28">
        <v>7.05</v>
      </c>
      <c r="E28">
        <v>-2.7180650549999998</v>
      </c>
      <c r="F28">
        <v>0.66710664190000002</v>
      </c>
      <c r="J28">
        <f>D13/4</f>
        <v>0.43333333325000001</v>
      </c>
      <c r="K28">
        <f t="shared" si="4"/>
        <v>-0.125</v>
      </c>
      <c r="M28">
        <v>3</v>
      </c>
      <c r="N28">
        <f>ABS(K30)</f>
        <v>0.11250000000000004</v>
      </c>
      <c r="O28">
        <f>ABS(K31)</f>
        <v>0.16249999999999998</v>
      </c>
      <c r="P28">
        <f>H13</f>
        <v>10</v>
      </c>
      <c r="AG28" t="s">
        <v>78</v>
      </c>
      <c r="AH28">
        <f>AH27/AH24</f>
        <v>0.88068030796833341</v>
      </c>
      <c r="AI28">
        <f>SQRT((AI27/AH24)^2+((AH27*AI24/(AH24^2))^2))</f>
        <v>7.7589588545358299E-3</v>
      </c>
    </row>
    <row r="29" spans="2:35" x14ac:dyDescent="0.25">
      <c r="B29" s="5" t="s">
        <v>55</v>
      </c>
      <c r="C29">
        <v>7</v>
      </c>
      <c r="D29">
        <v>7.233333333</v>
      </c>
      <c r="E29">
        <v>-2.4856435750000001</v>
      </c>
      <c r="F29">
        <v>0.64964288349999999</v>
      </c>
      <c r="J29">
        <f>D15/4</f>
        <v>0.55833333325000001</v>
      </c>
      <c r="K29">
        <f t="shared" si="4"/>
        <v>-0.14166666674999995</v>
      </c>
      <c r="M29">
        <v>4</v>
      </c>
      <c r="N29">
        <f>ABS(K32)</f>
        <v>0.11249999999999993</v>
      </c>
      <c r="O29">
        <f>ABS(K33)</f>
        <v>0.15000000000000013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7.516666667</v>
      </c>
      <c r="E30">
        <v>-2.7346411819999998</v>
      </c>
      <c r="F30">
        <v>0.6590888654</v>
      </c>
      <c r="J30">
        <f>D16/4</f>
        <v>0.7</v>
      </c>
      <c r="K30">
        <f t="shared" si="4"/>
        <v>-0.11250000000000004</v>
      </c>
      <c r="M30">
        <v>5</v>
      </c>
      <c r="N30">
        <f>ABS(K34)</f>
        <v>0.11666666675000004</v>
      </c>
      <c r="O30">
        <f>ABS(K35)</f>
        <v>0.13749999999999996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8.1333333329999995</v>
      </c>
      <c r="E31">
        <v>-5.1600696179999996</v>
      </c>
      <c r="F31">
        <v>0.65181718590000004</v>
      </c>
      <c r="J31">
        <f>D18/4</f>
        <v>0.8125</v>
      </c>
      <c r="K31">
        <f t="shared" si="4"/>
        <v>-0.16249999999999998</v>
      </c>
      <c r="M31">
        <v>6</v>
      </c>
      <c r="N31">
        <f>ABS(K36)</f>
        <v>0.13333333324999996</v>
      </c>
      <c r="O31">
        <f>ABS(K37)</f>
        <v>0.13749999999999996</v>
      </c>
      <c r="R31" s="6" t="s">
        <v>17</v>
      </c>
      <c r="S31" s="5">
        <f>SUM(N26:O36)</f>
        <v>2.533333334175</v>
      </c>
      <c r="T31" s="5">
        <f>SQRT((P26^2)*10)</f>
        <v>1.8604085572798249E-2</v>
      </c>
      <c r="V31" s="6" t="s">
        <v>14</v>
      </c>
      <c r="W31" s="5">
        <f>AVERAGE(N26:N36)</f>
        <v>0.1183333335175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8.2666666670000009</v>
      </c>
      <c r="E32">
        <v>-4.9563320170000003</v>
      </c>
      <c r="F32">
        <v>0.64502433780000001</v>
      </c>
      <c r="J32">
        <f>D19/4</f>
        <v>0.97499999999999998</v>
      </c>
      <c r="K32">
        <f t="shared" si="4"/>
        <v>-0.11249999999999993</v>
      </c>
      <c r="M32">
        <v>7</v>
      </c>
      <c r="N32">
        <f>ABS(K38)</f>
        <v>0.11666666675000004</v>
      </c>
      <c r="O32">
        <f>ABS(K39)</f>
        <v>0.15416666649999988</v>
      </c>
      <c r="R32" s="6" t="s">
        <v>19</v>
      </c>
      <c r="S32" s="5">
        <f>H13/S31</f>
        <v>3.9473684197411703</v>
      </c>
      <c r="T32" s="5">
        <f>(H13/(S31^2))*T31</f>
        <v>2.8988360464668787E-2</v>
      </c>
      <c r="V32" s="6" t="s">
        <v>16</v>
      </c>
      <c r="W32" s="5">
        <f>AVERAGE(O26:O35)</f>
        <v>0.1499999998888889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8.5833333330000006</v>
      </c>
      <c r="E33">
        <v>-5.1787583049999997</v>
      </c>
      <c r="F33">
        <v>0.63970943489999998</v>
      </c>
      <c r="J33">
        <f>D21/4</f>
        <v>1.0874999999999999</v>
      </c>
      <c r="K33">
        <f t="shared" si="4"/>
        <v>-0.15000000000000013</v>
      </c>
      <c r="M33">
        <v>8</v>
      </c>
      <c r="N33">
        <f>ABS(K40)</f>
        <v>0.11250000000000027</v>
      </c>
      <c r="O33">
        <f>ABS(K41)</f>
        <v>0.17083333350000007</v>
      </c>
      <c r="P33" s="3"/>
      <c r="Q33" s="3"/>
    </row>
    <row r="34" spans="2:42" x14ac:dyDescent="0.25">
      <c r="B34" s="8" t="s">
        <v>54</v>
      </c>
      <c r="C34">
        <v>9</v>
      </c>
      <c r="D34">
        <v>9.2666666670000009</v>
      </c>
      <c r="E34">
        <v>-7.5588186200000003</v>
      </c>
      <c r="F34">
        <v>0.63801862809999998</v>
      </c>
      <c r="J34">
        <f>D22/4</f>
        <v>1.2375</v>
      </c>
      <c r="K34">
        <f t="shared" si="4"/>
        <v>-0.11666666675000004</v>
      </c>
      <c r="M34">
        <v>9</v>
      </c>
      <c r="N34">
        <f>ABS(K42)</f>
        <v>9.9999999999999645E-2</v>
      </c>
      <c r="O34">
        <f>ABS(K43)</f>
        <v>0.15416666575000004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9.4</v>
      </c>
      <c r="E35">
        <v>-7.3076543950000001</v>
      </c>
      <c r="F35">
        <v>0.63677962389999998</v>
      </c>
      <c r="J35">
        <f>D24/4</f>
        <v>1.3541666667500001</v>
      </c>
      <c r="K35">
        <f t="shared" si="4"/>
        <v>-0.13749999999999996</v>
      </c>
      <c r="M35">
        <v>10</v>
      </c>
      <c r="N35">
        <f>ABS(K44)</f>
        <v>0.13333333500000011</v>
      </c>
      <c r="P35" s="3"/>
      <c r="Q35" s="3"/>
    </row>
    <row r="36" spans="2:42" x14ac:dyDescent="0.25">
      <c r="B36" s="9" t="s">
        <v>56</v>
      </c>
      <c r="C36">
        <v>9</v>
      </c>
      <c r="D36">
        <v>9.6666666669999994</v>
      </c>
      <c r="E36">
        <v>-7.5136396989999996</v>
      </c>
      <c r="F36">
        <v>0.62918998950000005</v>
      </c>
      <c r="J36">
        <f>D25/4</f>
        <v>1.49166666675</v>
      </c>
      <c r="K36">
        <f t="shared" si="4"/>
        <v>-0.13333333324999996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10.28333333</v>
      </c>
      <c r="E37">
        <v>-9.9801300529999999</v>
      </c>
      <c r="F37">
        <v>0.63069289120000005</v>
      </c>
      <c r="J37">
        <f>D27/4</f>
        <v>1.625</v>
      </c>
      <c r="K37">
        <f t="shared" si="4"/>
        <v>-0.13749999999999996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10.45</v>
      </c>
      <c r="E38">
        <v>-9.7373349779999998</v>
      </c>
      <c r="F38">
        <v>0.61926949389999997</v>
      </c>
      <c r="J38">
        <f>D28/4</f>
        <v>1.7625</v>
      </c>
      <c r="K38">
        <f t="shared" si="4"/>
        <v>-0.11666666675000004</v>
      </c>
      <c r="Q38">
        <f>V15</f>
        <v>1.9174311288142576</v>
      </c>
      <c r="R38">
        <f t="shared" ref="Q38:R47" si="5">W15</f>
        <v>1.2910707277361934E-2</v>
      </c>
      <c r="S38">
        <f>D13/4-D10/4</f>
        <v>0.262499999925</v>
      </c>
      <c r="T38">
        <f>$P$26</f>
        <v>5.8831284194720748E-3</v>
      </c>
      <c r="V38">
        <f>Q38/S38</f>
        <v>7.3044995404270283</v>
      </c>
      <c r="W38">
        <f>SQRT(((1/S38)*R38)^2+((Q38/(S38^2))*T38)^2)</f>
        <v>0.17093650589318576</v>
      </c>
      <c r="Y38" s="6" t="s">
        <v>94</v>
      </c>
      <c r="Z38" s="6"/>
      <c r="AA38" s="5">
        <f>AVERAGE(V38:V47)</f>
        <v>7.7619254637641957</v>
      </c>
      <c r="AB38" s="13">
        <f>SQRT(SUM(W38^2+W39^2+W40^2+W41^2+W42^2+W43^2+W44^2+W45^2+W46^2+W47^2)/(H13^2))</f>
        <v>5.2383260508500812E-2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10.81666667</v>
      </c>
      <c r="E39">
        <v>-9.9844362570000005</v>
      </c>
      <c r="F39">
        <v>0.61633743740000002</v>
      </c>
      <c r="J39">
        <f>D30/4</f>
        <v>1.87916666675</v>
      </c>
      <c r="K39">
        <f t="shared" si="4"/>
        <v>-0.15416666649999988</v>
      </c>
      <c r="Q39">
        <f t="shared" si="5"/>
        <v>2.2255490043661705</v>
      </c>
      <c r="R39">
        <f t="shared" si="5"/>
        <v>1.0033605515425221E-2</v>
      </c>
      <c r="S39">
        <f>D16/4-D13/4</f>
        <v>0.26666666674999995</v>
      </c>
      <c r="T39">
        <f t="shared" ref="T39:T47" si="6">$P$26</f>
        <v>5.8831284194720748E-3</v>
      </c>
      <c r="V39">
        <f t="shared" ref="V39:V47" si="7">Q39/S39</f>
        <v>8.345808763765076</v>
      </c>
      <c r="W39">
        <f t="shared" ref="W39:W47" si="8">SQRT(((1/S39)*R39)^2+((Q39/(S39^2))*T39)^2)</f>
        <v>0.18792816141639423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2.0333333332499999</v>
      </c>
      <c r="K40">
        <f t="shared" si="4"/>
        <v>-0.11250000000000027</v>
      </c>
      <c r="Q40">
        <f t="shared" si="5"/>
        <v>2.0107477861503833</v>
      </c>
      <c r="R40">
        <f t="shared" si="5"/>
        <v>7.0583682094540806E-3</v>
      </c>
      <c r="S40">
        <f>D19/4-D16/4</f>
        <v>0.27500000000000002</v>
      </c>
      <c r="T40">
        <f t="shared" si="6"/>
        <v>5.8831284194720748E-3</v>
      </c>
      <c r="V40">
        <f t="shared" si="7"/>
        <v>7.3118101314559389</v>
      </c>
      <c r="W40">
        <f t="shared" si="8"/>
        <v>0.1585147666097611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2.1458333332500001</v>
      </c>
      <c r="K41">
        <f t="shared" si="4"/>
        <v>-0.17083333350000007</v>
      </c>
      <c r="Q41">
        <f t="shared" si="5"/>
        <v>2.1354795773707016</v>
      </c>
      <c r="R41">
        <f t="shared" si="5"/>
        <v>4.2588550423256644E-3</v>
      </c>
      <c r="S41">
        <f>D22/4-D19/4</f>
        <v>0.26250000000000007</v>
      </c>
      <c r="T41">
        <f t="shared" si="6"/>
        <v>5.8831284194720748E-3</v>
      </c>
      <c r="V41">
        <f t="shared" si="7"/>
        <v>8.1351602947455284</v>
      </c>
      <c r="W41">
        <f t="shared" si="8"/>
        <v>0.18304497868905059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2.3166666667500002</v>
      </c>
      <c r="K42">
        <f t="shared" si="4"/>
        <v>-9.9999999999999645E-2</v>
      </c>
      <c r="Q42">
        <f t="shared" si="5"/>
        <v>1.9366338647286572</v>
      </c>
      <c r="R42">
        <f t="shared" si="5"/>
        <v>1.7611995044717443E-3</v>
      </c>
      <c r="S42">
        <f>D25/4-D22/4</f>
        <v>0.25416666674999999</v>
      </c>
      <c r="T42">
        <f t="shared" si="6"/>
        <v>5.8831284194720748E-3</v>
      </c>
      <c r="V42">
        <f t="shared" si="7"/>
        <v>7.6195430718440473</v>
      </c>
      <c r="W42">
        <f t="shared" si="8"/>
        <v>0.17650361288946406</v>
      </c>
      <c r="Y42" s="14" t="s">
        <v>96</v>
      </c>
      <c r="Z42" s="14"/>
      <c r="AA42" s="12">
        <f>$X$17*100</f>
        <v>206.78636737274073</v>
      </c>
      <c r="AB42" s="12">
        <f>$Y$17</f>
        <v>7.765032359203547E-3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2.4166666667499999</v>
      </c>
      <c r="K43">
        <f t="shared" si="4"/>
        <v>-0.15416666575000004</v>
      </c>
      <c r="Q43">
        <f t="shared" si="5"/>
        <v>1.9985098840311422</v>
      </c>
      <c r="R43">
        <f t="shared" si="5"/>
        <v>2.2012832604825189E-3</v>
      </c>
      <c r="S43">
        <f>D28/4-D25/4</f>
        <v>0.27083333324999992</v>
      </c>
      <c r="T43">
        <f t="shared" si="6"/>
        <v>5.8831284194720748E-3</v>
      </c>
      <c r="V43">
        <f t="shared" si="7"/>
        <v>7.3791134202316391</v>
      </c>
      <c r="W43">
        <f t="shared" si="8"/>
        <v>0.16049739956544973</v>
      </c>
      <c r="Y43" s="14" t="s">
        <v>97</v>
      </c>
      <c r="Z43" s="14"/>
      <c r="AA43" s="12">
        <f>$W$31</f>
        <v>0.1183333335175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2.5708333324999999</v>
      </c>
      <c r="K44">
        <f t="shared" si="4"/>
        <v>-0.13333333500000011</v>
      </c>
      <c r="Q44">
        <f t="shared" si="5"/>
        <v>2.1758866579943623</v>
      </c>
      <c r="R44">
        <f t="shared" si="5"/>
        <v>4.8856303897740084E-3</v>
      </c>
      <c r="S44">
        <f>D31/4-D28/4</f>
        <v>0.27083333324999992</v>
      </c>
      <c r="T44">
        <f t="shared" si="6"/>
        <v>5.8831284194720748E-3</v>
      </c>
      <c r="V44">
        <f t="shared" si="7"/>
        <v>8.0340430473742757</v>
      </c>
      <c r="W44">
        <f t="shared" si="8"/>
        <v>0.17544790291312939</v>
      </c>
      <c r="Y44" s="14" t="s">
        <v>98</v>
      </c>
      <c r="Z44" s="14"/>
      <c r="AA44" s="12">
        <f>$W$32</f>
        <v>0.1499999998888889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2.7041666675</v>
      </c>
      <c r="Q45">
        <f t="shared" si="5"/>
        <v>2.0707633159898737</v>
      </c>
      <c r="R45">
        <f t="shared" si="5"/>
        <v>7.778805650808112E-3</v>
      </c>
      <c r="S45">
        <f>D34/4-D31/4</f>
        <v>0.28333333350000034</v>
      </c>
      <c r="T45">
        <f t="shared" si="6"/>
        <v>5.8831284194720748E-3</v>
      </c>
      <c r="V45">
        <f t="shared" si="7"/>
        <v>7.3085764050768534</v>
      </c>
      <c r="W45">
        <f t="shared" si="8"/>
        <v>0.15421861808326909</v>
      </c>
      <c r="Y45" s="14" t="s">
        <v>99</v>
      </c>
      <c r="Z45" s="14"/>
      <c r="AA45" s="5">
        <f>$S$31</f>
        <v>2.533333334175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2.1397718441011202</v>
      </c>
      <c r="R46">
        <f t="shared" si="5"/>
        <v>1.072459157342002E-2</v>
      </c>
      <c r="S46">
        <f>D37/4-D34/4</f>
        <v>0.25416666574999969</v>
      </c>
      <c r="T46">
        <f t="shared" si="6"/>
        <v>5.8831284194720748E-3</v>
      </c>
      <c r="V46">
        <f t="shared" si="7"/>
        <v>8.4187744989573741</v>
      </c>
      <c r="W46">
        <f t="shared" si="8"/>
        <v>0.19938312456868826</v>
      </c>
      <c r="Y46" s="14" t="s">
        <v>100</v>
      </c>
      <c r="Z46" s="14"/>
      <c r="AA46" s="5">
        <f>$S$32</f>
        <v>3.9473684197411703</v>
      </c>
      <c r="AB46" s="5">
        <f>$T$32</f>
        <v>2.8988360464668787E-2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$AA$38</f>
        <v>7.7619254637641957</v>
      </c>
      <c r="AB47" s="5">
        <f>$AB$38</f>
        <v>5.2383260508500812E-2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2019-09-04T11:08:51Z</dcterms:modified>
</cp:coreProperties>
</file>