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44046DE0-2174-4540-985F-75D477C2B313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R41" i="1"/>
  <c r="Q41" i="1"/>
  <c r="W41" i="1" s="1"/>
  <c r="T40" i="1"/>
  <c r="S40" i="1"/>
  <c r="W40" i="1" s="1"/>
  <c r="R40" i="1"/>
  <c r="Q40" i="1"/>
  <c r="V40" i="1" s="1"/>
  <c r="T39" i="1"/>
  <c r="S39" i="1"/>
  <c r="R39" i="1"/>
  <c r="Q39" i="1"/>
  <c r="W39" i="1" s="1"/>
  <c r="T38" i="1"/>
  <c r="S38" i="1"/>
  <c r="W38" i="1" s="1"/>
  <c r="AB38" i="1" s="1"/>
  <c r="AB47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X31" i="1" s="1"/>
  <c r="AB43" i="1" s="1"/>
  <c r="V38" i="1" l="1"/>
  <c r="P30" i="1"/>
  <c r="X32" i="1" s="1"/>
  <c r="AB44" i="1" s="1"/>
  <c r="S32" i="1"/>
  <c r="AA46" i="1" s="1"/>
  <c r="AA45" i="1"/>
  <c r="V39" i="1"/>
  <c r="V41" i="1"/>
  <c r="AA38" i="1" l="1"/>
  <c r="AA47" i="1" s="1"/>
  <c r="Y17" i="1" l="1"/>
  <c r="X17" i="1"/>
  <c r="U11" i="1"/>
  <c r="T11" i="1"/>
  <c r="H13" i="1" l="1"/>
  <c r="H12" i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45" i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H25" i="1"/>
  <c r="AI23" i="1"/>
  <c r="AI24" i="1" s="1"/>
  <c r="AI27" i="1" s="1"/>
  <c r="AI28" i="1" s="1"/>
  <c r="AH20" i="1"/>
  <c r="AI20" i="1"/>
  <c r="AB18" i="1"/>
  <c r="AB21" i="1" s="1"/>
  <c r="AB16" i="1"/>
  <c r="AA19" i="1"/>
  <c r="AA20" i="1" s="1"/>
  <c r="T19" i="1" l="1"/>
  <c r="T15" i="1"/>
  <c r="T21" i="1"/>
  <c r="T18" i="1"/>
  <c r="V18" i="1" s="1"/>
  <c r="T16" i="1"/>
  <c r="T17" i="1"/>
  <c r="T24" i="1"/>
  <c r="T23" i="1"/>
  <c r="V23" i="1" s="1"/>
  <c r="T20" i="1"/>
  <c r="U20" i="1" s="1"/>
  <c r="T22" i="1"/>
  <c r="AI25" i="1"/>
  <c r="AA25" i="1"/>
  <c r="L4" i="1"/>
  <c r="AB20" i="1"/>
  <c r="V16" i="1" l="1"/>
  <c r="V21" i="1"/>
  <c r="U24" i="1"/>
  <c r="U16" i="1"/>
  <c r="V15" i="1"/>
  <c r="U18" i="1"/>
  <c r="U15" i="1"/>
  <c r="W15" i="1" s="1"/>
  <c r="U19" i="1"/>
  <c r="W19" i="1" s="1"/>
  <c r="V19" i="1"/>
  <c r="U21" i="1"/>
  <c r="U22" i="1"/>
  <c r="W22" i="1" s="1"/>
  <c r="V22" i="1"/>
  <c r="V20" i="1"/>
  <c r="U17" i="1"/>
  <c r="V17" i="1"/>
  <c r="U23" i="1"/>
  <c r="W23" i="1" s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L11" i="1"/>
  <c r="W17" i="1" l="1"/>
  <c r="W18" i="1"/>
  <c r="W21" i="1"/>
  <c r="W16" i="1"/>
  <c r="W20" i="1"/>
  <c r="O17" i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<sst xmlns="http://schemas.openxmlformats.org/spreadsheetml/2006/main" count="160" uniqueCount="101">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</sst>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2" sqref="P47:W52"/>
    </sheetView>
  </sheetViews>
  <sheetFormatPr defaultRowHeight="15" x14ac:dyDescent="0.25"/>
  <cols>
    <col min="8" max="8" width="12.28515625" customWidth="1"/>
    <col min="24" max="24" width="9.140625" customWidth="1"/>
    <col min="27" max="27" width="18.28515625" bestFit="1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23.59565109</v>
      </c>
      <c r="M3">
        <v>0.01</v>
      </c>
      <c r="N3" t="s">
        <v>38</v>
      </c>
    </row>
    <row r="4" spans="1:35" x14ac:dyDescent="0.25">
      <c r="D4">
        <v>0</v>
      </c>
      <c r="E4">
        <v>11.80051581</v>
      </c>
      <c r="F4">
        <v>0.51948186740000002</v>
      </c>
      <c r="H4" s="11" t="s">
        <v>7</v>
      </c>
      <c r="I4" s="11"/>
      <c r="J4" s="11"/>
      <c r="K4" s="11"/>
      <c r="L4">
        <f>AA20</f>
        <v>8.005975443462729</v>
      </c>
      <c r="M4">
        <f>AB20</f>
        <v>0.10348946351723322</v>
      </c>
      <c r="P4" t="s">
        <v>13</v>
      </c>
    </row>
    <row r="5" spans="1:35" x14ac:dyDescent="0.25">
      <c r="D5">
        <v>3.3333333329999999E-2</v>
      </c>
      <c r="E5">
        <v>-11.79513528</v>
      </c>
      <c r="F5">
        <v>0.5216149068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23.59565109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0.56666666669999999</v>
      </c>
      <c r="E10">
        <v>10.945261179999999</v>
      </c>
      <c r="F10">
        <v>0.58707823859999997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11.797825545</v>
      </c>
      <c r="AB10">
        <f>AB9</f>
        <v>0.01</v>
      </c>
      <c r="AE10" t="s">
        <v>65</v>
      </c>
      <c r="AH10">
        <f>L3</f>
        <v>23.59565109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0.7</v>
      </c>
      <c r="E11">
        <v>11.187268080000001</v>
      </c>
      <c r="F11">
        <v>0.62417181470000005</v>
      </c>
      <c r="G11" t="s">
        <v>57</v>
      </c>
      <c r="H11">
        <f>M3</f>
        <v>0.01</v>
      </c>
      <c r="K11">
        <f>ABS(E11-E14)</f>
        <v>2.042283900000001</v>
      </c>
      <c r="L11">
        <f>SQRT((H11^2)+(H11^2))</f>
        <v>1.4142135623730951E-2</v>
      </c>
      <c r="N11">
        <f>($L$4-$L$5)*(E11/$L$4)</f>
        <v>10.334875566808828</v>
      </c>
      <c r="O11">
        <f>SQRT(((E11/$L$4)*$M$4)^2+((E11/$L$4)*$M$5)^2+(($L$4-$L$5)*$H$11)^2+(((($L$5-$L$4)*E11)/($L$4^2))*$M$4)^2)</f>
        <v>0.21030977405575027</v>
      </c>
      <c r="Q11">
        <f>N11-N12</f>
        <v>1.8866759809153546</v>
      </c>
      <c r="R11">
        <f>SQRT((O11^2)+(O12^2))</f>
        <v>0.2749553775308784</v>
      </c>
      <c r="T11" s="5">
        <f>AVERAGE(Q11:Q19)</f>
        <v>2.1287007561605007</v>
      </c>
      <c r="U11" s="5">
        <f>SQRT(((R11^2)+(R12^2)+(R13^2)+(R14^2)+(R15^2)+(R16^2)+(R17^2)+(R18^2)+(R19^2))/($H$13-1))</f>
        <v>0.18543025232280036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1.05</v>
      </c>
      <c r="E12">
        <v>10.912379680000001</v>
      </c>
      <c r="F12">
        <v>0.5911670443</v>
      </c>
      <c r="G12" t="s">
        <v>58</v>
      </c>
      <c r="H12">
        <f>L6</f>
        <v>4.1599999999999996E-3</v>
      </c>
      <c r="K12">
        <f>ABS(E14-E17)</f>
        <v>2.4478382879999998</v>
      </c>
      <c r="L12" s="1"/>
      <c r="N12">
        <f>($L$4-$L$5)*(E14/$L$4)</f>
        <v>8.4481995858934731</v>
      </c>
      <c r="O12">
        <f>SQRT(((E14/$L$4)*$M$4)^2+((E14/$L$4)*$M$5)^2+(($L$4-$L$5)*$H$11)^2+(((($L$5-$L$4)*E14)/($L$4^2))*$M$4)^2)</f>
        <v>0.17711651128499328</v>
      </c>
      <c r="Q12">
        <f t="shared" ref="Q12:Q19" si="0">N12-N13</f>
        <v>2.2613299273105785</v>
      </c>
      <c r="R12">
        <f t="shared" ref="R12:R19" si="1">SQRT((O12^2)+(O13^2))</f>
        <v>0.22523493050573079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1.516666667</v>
      </c>
      <c r="E13">
        <v>8.8814066520000008</v>
      </c>
      <c r="F13">
        <v>0.59207189780000002</v>
      </c>
      <c r="G13" t="s">
        <v>39</v>
      </c>
      <c r="H13" s="4">
        <f>C39</f>
        <v>10</v>
      </c>
      <c r="K13">
        <f>ABS(E17-E20)</f>
        <v>2.2505015290000001</v>
      </c>
      <c r="L13" s="1"/>
      <c r="N13">
        <f>($L$4-$L$5)*(E17/$L$4)</f>
        <v>6.1868696585828946</v>
      </c>
      <c r="O13">
        <f>SQRT(((E17/$L$4)*$M$4)^2+((E17/$L$4)*$M$5)^2+(($L$4-$L$5)*$H$11)^2+(((($L$5-$L$4)*E17)/($L$4^2))*$M$4)^2)</f>
        <v>0.13914206894449366</v>
      </c>
      <c r="Q13">
        <f t="shared" si="0"/>
        <v>2.07902886556447</v>
      </c>
      <c r="R13">
        <f t="shared" si="1"/>
        <v>0.17593776114613316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1.6666666670000001</v>
      </c>
      <c r="E14">
        <v>9.1449841799999998</v>
      </c>
      <c r="F14">
        <v>0.59960834279999997</v>
      </c>
      <c r="K14">
        <f>ABS(E20-E23)</f>
        <v>2.3817408520000001</v>
      </c>
      <c r="L14" s="1"/>
      <c r="N14">
        <f>($L$4-$L$5)*(E20/$L$4)</f>
        <v>4.1078407930184246</v>
      </c>
      <c r="O14">
        <f>SQRT(((E20/$L$4)*$M$4)^2+((E20/$L$4)*$M$5)^2+(($L$4-$L$5)*$H$11)^2+(((($L$5-$L$4)*E20)/($L$4^2))*$M$4)^2)</f>
        <v>0.10767348999154611</v>
      </c>
      <c r="Q14">
        <f t="shared" si="0"/>
        <v>2.2002686591385632</v>
      </c>
      <c r="R14">
        <f t="shared" si="1"/>
        <v>0.13558805734371948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1.7978255450000002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2.016666667</v>
      </c>
      <c r="E15">
        <v>8.8811677650000007</v>
      </c>
      <c r="F15">
        <v>0.57377785650000002</v>
      </c>
      <c r="K15">
        <f>ABS(E26-E23)</f>
        <v>2.1775164732999999</v>
      </c>
      <c r="L15" s="1"/>
      <c r="N15">
        <f>($L$4-$L$5)*(E23/$L$4)</f>
        <v>1.9075721338798615</v>
      </c>
      <c r="O15">
        <f>SQRT(((E23/$L$4)*$M$4)^2+((E23/$L$4)*$M$5)^2+(($L$4-$L$5)*$H$11)^2+(((($L$5-$L$4)*E23)/($L$4^2))*$M$4)^2)</f>
        <v>8.2404738014777892E-2</v>
      </c>
      <c r="Q15">
        <f t="shared" si="0"/>
        <v>2.0116047667136887</v>
      </c>
      <c r="R15">
        <f t="shared" si="1"/>
        <v>0.11074526448199316</v>
      </c>
      <c r="T15">
        <f>E11*$AH$28</f>
        <v>9.8580403258861331</v>
      </c>
      <c r="U15">
        <f>(SQRT(($M$3/E11)^2+($AI$28/$AH$28^2)))/100*T15</f>
        <v>9.8783547081768494E-3</v>
      </c>
      <c r="V15">
        <f>T15-T16</f>
        <v>1.7996276570059635</v>
      </c>
      <c r="W15">
        <f>SQRT(U15^2+U16^2)</f>
        <v>1.2758933848159145E-2</v>
      </c>
      <c r="Z15" t="s">
        <v>26</v>
      </c>
      <c r="AA15">
        <f>AA14/AA13</f>
        <v>1.4736274959016396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2.5499999999999998</v>
      </c>
      <c r="E16">
        <v>6.4702042239999997</v>
      </c>
      <c r="F16">
        <v>0.6198984608</v>
      </c>
      <c r="K16">
        <f>ABS(E29-E26)</f>
        <v>2.3421628456999999</v>
      </c>
      <c r="L16" s="1"/>
      <c r="N16">
        <f>($L$4-$L$5)*(E26/$L$4)</f>
        <v>-0.10403263283382708</v>
      </c>
      <c r="O16">
        <f>SQRT(((E26/$L$4)*$M$4)^2+((E26/$L$4)*$M$5)^2+(($L$4-$L$5)*$H$11)^2+(((($L$5-$L$4)*E26)/($L$4^2))*$M$4)^2)</f>
        <v>7.3986301150296988E-2</v>
      </c>
      <c r="Q16">
        <f t="shared" si="0"/>
        <v>2.1637062233975146</v>
      </c>
      <c r="R16">
        <f t="shared" si="1"/>
        <v>0.11318228893559638</v>
      </c>
      <c r="T16">
        <f>E14*$AH$28</f>
        <v>8.0584126688801696</v>
      </c>
      <c r="U16">
        <f>(SQRT(($M$3/E14)^2+($AI$28/$AH$28^2)))/100*T16</f>
        <v>8.0751780909860699E-3</v>
      </c>
      <c r="V16">
        <f t="shared" ref="V16:V23" si="2">T16-T17</f>
        <v>2.1569956473548704</v>
      </c>
      <c r="W16">
        <f t="shared" ref="W16:W23" si="3">SQRT(U16^2+U17^2)</f>
        <v>1.0009190196802476E-2</v>
      </c>
      <c r="X16" s="6" t="s">
        <v>83</v>
      </c>
      <c r="Y16" s="6" t="s">
        <v>84</v>
      </c>
      <c r="Z16" t="s">
        <v>27</v>
      </c>
      <c r="AA16">
        <f>ATAN(AA14/AA13)</f>
        <v>0.97457930382140334</v>
      </c>
      <c r="AB16">
        <f>(ABS(1/(1+AA15)))*AB15</f>
        <v>3.3136441622903688E-3</v>
      </c>
      <c r="AG16" t="s">
        <v>69</v>
      </c>
      <c r="AH16">
        <f>AH10/2</f>
        <v>11.797825545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2.7</v>
      </c>
      <c r="E17">
        <v>6.697145892</v>
      </c>
      <c r="F17">
        <v>0.62425387239999997</v>
      </c>
      <c r="K17">
        <f>ABS(E32-E29)</f>
        <v>2.3937683820000002</v>
      </c>
      <c r="L17" s="1"/>
      <c r="N17">
        <f>($L$4-$L$5)*(E29/$L$4)</f>
        <v>-2.2677388562313419</v>
      </c>
      <c r="O17">
        <f>SQRT(((E29/$L$4)*$M$4)^2+((E29/$L$4)*$M$5)^2+(($L$4-$L$5)*$H$11)^2+(((($L$5-$L$4)*E29)/($L$4^2))*$M$4)^2)</f>
        <v>8.5651957191872671E-2</v>
      </c>
      <c r="Q17">
        <f t="shared" si="0"/>
        <v>2.211379774474064</v>
      </c>
      <c r="R17">
        <f t="shared" si="1"/>
        <v>0.14172785601583832</v>
      </c>
      <c r="T17">
        <f>E17*$AH$28</f>
        <v>5.9014170215252992</v>
      </c>
      <c r="U17">
        <f>(SQRT(($M$3/E17)^2+($AI$28/$AH$28^2)))/100*T17</f>
        <v>5.9139992555482584E-3</v>
      </c>
      <c r="V17">
        <f t="shared" si="2"/>
        <v>1.9831056758184342</v>
      </c>
      <c r="W17">
        <f t="shared" si="3"/>
        <v>7.0991852058361303E-3</v>
      </c>
      <c r="X17" s="5">
        <f>AVERAGE(V15:V23)</f>
        <v>2.0304857818867914</v>
      </c>
      <c r="Y17" s="5">
        <f>SQRT(((W15^2)+(W16^2)+(W17^2)+(W18^2)+(W19^2)+(W20^2)+(W21^2)+(W22^2)+(W23^2))/($H$13-1))</f>
        <v>7.6833409641309906E-3</v>
      </c>
      <c r="Z17" t="s">
        <v>28</v>
      </c>
      <c r="AA17">
        <f>SQRT((AA14^2)+(AA13^2))</f>
        <v>2.1726888157889865</v>
      </c>
      <c r="AB17">
        <f>SQRT(((ABS(AA13*(AA13^2+AA14^2)))*AB13)^2+((ABS(AA14*(AA13^2+AA14^2)))*AB14)^2)</f>
        <v>8.486773360871179E-2</v>
      </c>
      <c r="AG17" t="s">
        <v>70</v>
      </c>
      <c r="AH17">
        <f>(AH16)-AH15</f>
        <v>1.7978255450000002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3.0333333329999999</v>
      </c>
      <c r="E18">
        <v>6.4629343849999996</v>
      </c>
      <c r="F18">
        <v>0.62365282399999999</v>
      </c>
      <c r="K18">
        <f>ABS(E35-E32)</f>
        <v>2.2505493059999999</v>
      </c>
      <c r="N18">
        <f>($L$4-$L$5)*(E32/$L$4)</f>
        <v>-4.4791186307054058</v>
      </c>
      <c r="O18">
        <f>SQRT(((E32/$L$4)*$M$4)^2+((E32/$L$4)*$M$5)^2+(($L$4-$L$5)*$H$11)^2+(((($L$5-$L$4)*E32)/($L$4^2))*$M$4)^2)</f>
        <v>0.11291823324887708</v>
      </c>
      <c r="Q18">
        <f t="shared" si="0"/>
        <v>2.079073002287255</v>
      </c>
      <c r="R18">
        <f t="shared" si="1"/>
        <v>0.18392505932910572</v>
      </c>
      <c r="T18">
        <f>E20*$AH$28</f>
        <v>3.918311345706865</v>
      </c>
      <c r="U18">
        <f>(SQRT(($M$3/E20)^2+($AI$28/$AH$28^2)))/100*T18</f>
        <v>3.9272182766096949E-3</v>
      </c>
      <c r="V18">
        <f t="shared" si="2"/>
        <v>2.0987516520500149</v>
      </c>
      <c r="W18">
        <f t="shared" si="3"/>
        <v>4.3307043665683238E-3</v>
      </c>
      <c r="Z18" t="s">
        <v>29</v>
      </c>
      <c r="AA18">
        <f>AA17/AA14</f>
        <v>1.2085092582155885</v>
      </c>
      <c r="AB18">
        <f>(((AB17/AA17)*100+(AB14/AA14)*100)/100)*AA18</f>
        <v>5.3927827680781817E-2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3.55</v>
      </c>
      <c r="E19">
        <v>4.1539397009999997</v>
      </c>
      <c r="F19">
        <v>0.63184757570000005</v>
      </c>
      <c r="K19">
        <f>ABS(E38-E35)</f>
        <v>2.4520704260000006</v>
      </c>
      <c r="N19">
        <f>($L$4-$L$5)*(E35/$L$4)</f>
        <v>-6.5581916329926608</v>
      </c>
      <c r="O19">
        <f>SQRT(((E35/$L$4)*$M$4)^2+((E35/$L$4)*$M$5)^2+(($L$4-$L$5)*$H$11)^2+(((($L$5-$L$4)*E35)/($L$4^2))*$M$4)^2)</f>
        <v>0.14518229936589122</v>
      </c>
      <c r="Q19">
        <f t="shared" si="0"/>
        <v>2.2652396056430169</v>
      </c>
      <c r="R19">
        <f t="shared" si="1"/>
        <v>0.23409399584376611</v>
      </c>
      <c r="T19">
        <f>E23*$AH$28</f>
        <v>1.8195596936568501</v>
      </c>
      <c r="U19">
        <f>(SQRT(($M$3/E23)^2+($AI$28/$AH$28^2)))/100*T19</f>
        <v>1.8253648726971607E-3</v>
      </c>
      <c r="V19">
        <f t="shared" si="2"/>
        <v>1.9187924210423277</v>
      </c>
      <c r="W19">
        <f t="shared" si="3"/>
        <v>1.8301936350704321E-3</v>
      </c>
      <c r="Z19" t="s">
        <v>30</v>
      </c>
      <c r="AA19">
        <f>1/AA15</f>
        <v>0.67859754434627295</v>
      </c>
      <c r="AB19">
        <f>AB15</f>
        <v>8.1967213114754103E-3</v>
      </c>
      <c r="AG19" t="s">
        <v>72</v>
      </c>
      <c r="AH19">
        <f>AH17/AH18</f>
        <v>0.74909397708333347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3.7</v>
      </c>
      <c r="E20">
        <v>4.4466443629999999</v>
      </c>
      <c r="F20">
        <v>0.62802537579999995</v>
      </c>
      <c r="N20">
        <f>($L$4-$L$5)*(E38/$L$4)</f>
        <v>-8.8234312386356777</v>
      </c>
      <c r="O20">
        <f>SQRT(((E38/$L$4)*$M$4)^2+((E38/$L$4)*$M$5)^2+(($L$4-$L$5)*$H$11)^2+(((($L$5-$L$4)*E38)/($L$4^2))*$M$4)^2)</f>
        <v>0.18363577767127498</v>
      </c>
      <c r="T20">
        <f>E26*$AH$28</f>
        <v>-9.9232727385477532E-2</v>
      </c>
      <c r="U20">
        <f>(SQRT(($M$3/E26)^2+($AI$28/$AH$28^2)))/100*T20</f>
        <v>-1.3286016474323774E-4</v>
      </c>
      <c r="V20">
        <f t="shared" si="2"/>
        <v>2.0638761507807564</v>
      </c>
      <c r="W20">
        <f t="shared" si="3"/>
        <v>2.1733354136863688E-3</v>
      </c>
      <c r="Z20" t="s">
        <v>31</v>
      </c>
      <c r="AA20">
        <f>AA10*AA19</f>
        <v>8.005975443462729</v>
      </c>
      <c r="AB20">
        <f>(((AB10/AA10)*100+(AB19/AA19)*100)/100)*AA20</f>
        <v>0.10348946351723322</v>
      </c>
      <c r="AG20" t="s">
        <v>73</v>
      </c>
      <c r="AH20">
        <f>ATAN(AH19)</f>
        <v>0.64292100190839951</v>
      </c>
      <c r="AI20">
        <f>(ABS(1/(1+AH19)))*AI19</f>
        <v>2.3821857037177089E-3</v>
      </c>
    </row>
    <row r="21" spans="2:35" x14ac:dyDescent="0.25">
      <c r="B21" s="9" t="s">
        <v>56</v>
      </c>
      <c r="C21">
        <v>4</v>
      </c>
      <c r="D21">
        <v>4.0666666669999998</v>
      </c>
      <c r="E21">
        <v>4.1430110539999996</v>
      </c>
      <c r="F21">
        <v>0.63564971640000001</v>
      </c>
      <c r="T21">
        <f>E29*$AH$28</f>
        <v>-2.1631088781662338</v>
      </c>
      <c r="U21">
        <f>(SQRT(($M$3/E29)^2+($AI$28/$AH$28^2)))/100*T21</f>
        <v>-2.1692706140561857E-3</v>
      </c>
      <c r="V21">
        <f t="shared" si="2"/>
        <v>2.1093501176372276</v>
      </c>
      <c r="W21">
        <f t="shared" si="3"/>
        <v>4.8001308392952692E-3</v>
      </c>
      <c r="Z21" t="s">
        <v>32</v>
      </c>
      <c r="AA21">
        <f>AA10*AA18</f>
        <v>14.257781397944871</v>
      </c>
      <c r="AB21">
        <f>(((AB10/AA10)*100+(AB18/AA18)*100)/100)*AA21</f>
        <v>0.64831619558084164</v>
      </c>
    </row>
    <row r="22" spans="2:35" x14ac:dyDescent="0.25">
      <c r="B22" s="8" t="s">
        <v>54</v>
      </c>
      <c r="C22">
        <v>5</v>
      </c>
      <c r="D22">
        <v>4.5999999999999996</v>
      </c>
      <c r="E22">
        <v>1.8306442270000001</v>
      </c>
      <c r="F22">
        <v>0.66584509520000001</v>
      </c>
      <c r="T22">
        <f>E32*$AH$28</f>
        <v>-4.2724589958034613</v>
      </c>
      <c r="U22">
        <f>(SQRT(($M$3/E32)^2+($AI$28/$AH$28^2)))/100*T22</f>
        <v>-4.281999658727895E-3</v>
      </c>
      <c r="V22">
        <f t="shared" si="2"/>
        <v>1.9831477761408083</v>
      </c>
      <c r="W22">
        <f t="shared" si="3"/>
        <v>7.5917206200083734E-3</v>
      </c>
      <c r="AE22">
        <v>2</v>
      </c>
      <c r="AG22" t="s">
        <v>74</v>
      </c>
      <c r="AH22">
        <f>AH18/AH17</f>
        <v>1.334945988877914</v>
      </c>
      <c r="AI22">
        <f>SQRT((AI17*(AH18/(AH17^2)))^2)</f>
        <v>7.4253366384217983E-3</v>
      </c>
    </row>
    <row r="23" spans="2:35" x14ac:dyDescent="0.25">
      <c r="B23" s="5" t="s">
        <v>55</v>
      </c>
      <c r="C23">
        <v>5</v>
      </c>
      <c r="D23">
        <v>4.75</v>
      </c>
      <c r="E23">
        <v>2.0649035109999998</v>
      </c>
      <c r="F23">
        <v>0.67010495179999996</v>
      </c>
      <c r="T23">
        <f>E35*$AH$28</f>
        <v>-6.2556067719442696</v>
      </c>
      <c r="U23">
        <f>(SQRT(($M$3/E35)^2+($AI$28/$AH$28^2)))/100*T23</f>
        <v>-6.2688675927087909E-3</v>
      </c>
      <c r="V23">
        <f t="shared" si="2"/>
        <v>2.1607249391507208</v>
      </c>
      <c r="W23">
        <f t="shared" si="3"/>
        <v>1.0508442772178292E-2</v>
      </c>
      <c r="AA23" t="s">
        <v>11</v>
      </c>
      <c r="AB23" t="s">
        <v>4</v>
      </c>
      <c r="AG23" t="s">
        <v>31</v>
      </c>
      <c r="AH23">
        <f>AH22*AH16</f>
        <v>15.749459888779141</v>
      </c>
      <c r="AI23">
        <f>((SQRT((((AI19/AH19)*100)^2)+(((AI16/AH16)*100)^2)))/100)*AH23</f>
        <v>8.8614125568890187E-2</v>
      </c>
    </row>
    <row r="24" spans="2:35" x14ac:dyDescent="0.25">
      <c r="B24" s="9" t="s">
        <v>56</v>
      </c>
      <c r="C24">
        <v>5</v>
      </c>
      <c r="D24">
        <v>5.0333333329999999</v>
      </c>
      <c r="E24">
        <v>1.8410950989999999</v>
      </c>
      <c r="F24">
        <v>0.62545487170000003</v>
      </c>
      <c r="T24">
        <f>E38*$AH$28</f>
        <v>-8.4163317110949905</v>
      </c>
      <c r="U24">
        <f>(SQRT(($M$3/D38)^2+($AI$28/$AH$28^2)))/100*T24</f>
        <v>-8.4337813939674572E-3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15.149459888779141</v>
      </c>
      <c r="AI24">
        <f>AI23</f>
        <v>8.8614125568890187E-2</v>
      </c>
    </row>
    <row r="25" spans="2:35" x14ac:dyDescent="0.25">
      <c r="B25" s="8" t="s">
        <v>54</v>
      </c>
      <c r="C25">
        <v>6</v>
      </c>
      <c r="D25">
        <v>5.516666667</v>
      </c>
      <c r="E25">
        <v>-0.36502295550000002</v>
      </c>
      <c r="F25">
        <v>0.6652411278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7.3959754434627287</v>
      </c>
      <c r="AB25">
        <f>SQRT((AB20^2)+(AB24^2))</f>
        <v>0.10348946351723322</v>
      </c>
      <c r="AG25" t="s">
        <v>76</v>
      </c>
      <c r="AH25">
        <f>AH22*AH24</f>
        <v>20.223710712192563</v>
      </c>
      <c r="AI25">
        <f>((SQRT((((AI22/AH22)*100)^2)+(((AI24/AH24)*100)^2)))/100)*AH25</f>
        <v>0.16324119560681113</v>
      </c>
    </row>
    <row r="26" spans="2:35" x14ac:dyDescent="0.25">
      <c r="B26" s="5" t="s">
        <v>55</v>
      </c>
      <c r="C26">
        <v>6</v>
      </c>
      <c r="D26">
        <v>5.6666666670000003</v>
      </c>
      <c r="E26">
        <v>-0.11261296229999999</v>
      </c>
      <c r="F26">
        <v>0.6582856722</v>
      </c>
      <c r="J26">
        <f>D10/4</f>
        <v>0.141666666675</v>
      </c>
      <c r="K26">
        <f>J26-J27</f>
        <v>-0.12083333332500001</v>
      </c>
      <c r="M26">
        <v>1</v>
      </c>
      <c r="N26">
        <f>ABS(K26)</f>
        <v>0.12083333332500001</v>
      </c>
      <c r="O26">
        <f>ABS(K27)</f>
        <v>0.11666666674999998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5.983333333</v>
      </c>
      <c r="E27">
        <v>-0.3796581886</v>
      </c>
      <c r="F27">
        <v>0.66543223780000005</v>
      </c>
      <c r="J27">
        <f>D12/4</f>
        <v>0.26250000000000001</v>
      </c>
      <c r="K27">
        <f t="shared" ref="K27:K45" si="4">J27-J28</f>
        <v>-0.11666666674999998</v>
      </c>
      <c r="M27">
        <v>2</v>
      </c>
      <c r="N27">
        <f>ABS(K28)</f>
        <v>0.125</v>
      </c>
      <c r="O27">
        <f>ABS(K29)</f>
        <v>0.13333333324999996</v>
      </c>
      <c r="P27" t="s">
        <v>85</v>
      </c>
      <c r="AE27">
        <v>3</v>
      </c>
      <c r="AG27" t="s">
        <v>77</v>
      </c>
      <c r="AH27">
        <f>AH24-((3/2)*AH9)</f>
        <v>13.34945988877914</v>
      </c>
      <c r="AI27">
        <f>AI24</f>
        <v>8.8614125568890187E-2</v>
      </c>
    </row>
    <row r="28" spans="2:35" x14ac:dyDescent="0.25">
      <c r="B28" s="8" t="s">
        <v>54</v>
      </c>
      <c r="C28">
        <v>7</v>
      </c>
      <c r="D28">
        <v>6.5666666669999998</v>
      </c>
      <c r="E28">
        <v>-2.7221076989999999</v>
      </c>
      <c r="F28">
        <v>0.63381009590000004</v>
      </c>
      <c r="J28">
        <f>D13/4</f>
        <v>0.37916666674999999</v>
      </c>
      <c r="K28">
        <f t="shared" si="4"/>
        <v>-0.125</v>
      </c>
      <c r="M28">
        <v>3</v>
      </c>
      <c r="N28">
        <f>ABS(K30)</f>
        <v>0.12083333325000001</v>
      </c>
      <c r="O28">
        <f>ABS(K31)</f>
        <v>0.12916666674999999</v>
      </c>
      <c r="P28">
        <f>H13</f>
        <v>10</v>
      </c>
      <c r="AG28" t="s">
        <v>78</v>
      </c>
      <c r="AH28">
        <f>AH27/AH24</f>
        <v>0.88118388290969896</v>
      </c>
      <c r="AI28">
        <f>SQRT((AI27/AH24)^2+((AH27*AI24/(AH24^2))^2))</f>
        <v>7.7962648351851656E-3</v>
      </c>
    </row>
    <row r="29" spans="2:35" x14ac:dyDescent="0.25">
      <c r="B29" s="5" t="s">
        <v>55</v>
      </c>
      <c r="C29">
        <v>7</v>
      </c>
      <c r="D29">
        <v>6.7</v>
      </c>
      <c r="E29">
        <v>-2.4547758079999999</v>
      </c>
      <c r="F29">
        <v>0.64861637989999998</v>
      </c>
      <c r="J29">
        <f>D15/4</f>
        <v>0.50416666674999999</v>
      </c>
      <c r="K29">
        <f t="shared" si="4"/>
        <v>-0.13333333324999996</v>
      </c>
      <c r="M29">
        <v>4</v>
      </c>
      <c r="N29">
        <f>ABS(K32)</f>
        <v>0.12916666674999999</v>
      </c>
      <c r="O29">
        <f>ABS(K33)</f>
        <v>0.13333333324999996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6.9666666670000001</v>
      </c>
      <c r="E30">
        <v>-2.6670822429999999</v>
      </c>
      <c r="F30">
        <v>0.64406985829999996</v>
      </c>
      <c r="J30">
        <f>D16/4</f>
        <v>0.63749999999999996</v>
      </c>
      <c r="K30">
        <f t="shared" si="4"/>
        <v>-0.12083333325000001</v>
      </c>
      <c r="M30">
        <v>5</v>
      </c>
      <c r="N30">
        <f>ABS(K34)</f>
        <v>0.10833333325000005</v>
      </c>
      <c r="O30">
        <f>ABS(K35)</f>
        <v>0.12083333350000003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7.55</v>
      </c>
      <c r="E31">
        <v>-5.1118828299999999</v>
      </c>
      <c r="F31">
        <v>0.62110310290000004</v>
      </c>
      <c r="J31">
        <f>D18/4</f>
        <v>0.75833333324999996</v>
      </c>
      <c r="K31">
        <f t="shared" si="4"/>
        <v>-0.12916666674999999</v>
      </c>
      <c r="M31">
        <v>6</v>
      </c>
      <c r="N31">
        <f>ABS(K36)</f>
        <v>0.11666666650000002</v>
      </c>
      <c r="O31">
        <f>ABS(K37)</f>
        <v>0.14583333349999994</v>
      </c>
      <c r="R31" s="6" t="s">
        <v>17</v>
      </c>
      <c r="S31" s="5">
        <f>SUM(N26:O36)</f>
        <v>2.3750000008250001</v>
      </c>
      <c r="T31" s="5">
        <f>SQRT((P26^2)*10)</f>
        <v>1.8604085572798249E-2</v>
      </c>
      <c r="V31" s="6" t="s">
        <v>14</v>
      </c>
      <c r="W31" s="5">
        <f>AVERAGE(N26:N36)</f>
        <v>0.11791666673250001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7.7166666670000001</v>
      </c>
      <c r="E32">
        <v>-4.8485441900000001</v>
      </c>
      <c r="F32">
        <v>0.61034550649999997</v>
      </c>
      <c r="J32">
        <f>D19/4</f>
        <v>0.88749999999999996</v>
      </c>
      <c r="K32">
        <f t="shared" si="4"/>
        <v>-0.12916666674999999</v>
      </c>
      <c r="M32">
        <v>7</v>
      </c>
      <c r="N32">
        <f>ABS(K38)</f>
        <v>0.10000000000000009</v>
      </c>
      <c r="O32">
        <f>ABS(K39)</f>
        <v>0.14583333324999992</v>
      </c>
      <c r="R32" s="6" t="s">
        <v>19</v>
      </c>
      <c r="S32" s="5">
        <f>H13/S31</f>
        <v>4.2105263143268701</v>
      </c>
      <c r="T32" s="5">
        <f>(H13/(S31^2))*T31</f>
        <v>3.2982312349913889E-2</v>
      </c>
      <c r="V32" s="6" t="s">
        <v>16</v>
      </c>
      <c r="W32" s="5">
        <f>AVERAGE(O26:O35)</f>
        <v>0.13287037038888888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8.0500000000000007</v>
      </c>
      <c r="E33">
        <v>-5.1557885289999996</v>
      </c>
      <c r="F33">
        <v>0.62167643289999996</v>
      </c>
      <c r="J33">
        <f>D21/4</f>
        <v>1.0166666667499999</v>
      </c>
      <c r="K33">
        <f t="shared" si="4"/>
        <v>-0.13333333324999996</v>
      </c>
      <c r="M33">
        <v>8</v>
      </c>
      <c r="N33">
        <f>ABS(K40)</f>
        <v>0.12500000000000022</v>
      </c>
      <c r="O33">
        <f>ABS(K41)</f>
        <v>0.13333333324999996</v>
      </c>
      <c r="P33" s="3"/>
      <c r="Q33" s="3"/>
    </row>
    <row r="34" spans="2:42" x14ac:dyDescent="0.25">
      <c r="B34" s="8" t="s">
        <v>54</v>
      </c>
      <c r="C34">
        <v>9</v>
      </c>
      <c r="D34">
        <v>8.5833333330000006</v>
      </c>
      <c r="E34">
        <v>-7.3954091890000004</v>
      </c>
      <c r="F34">
        <v>0.6179869872</v>
      </c>
      <c r="J34">
        <f>D22/4</f>
        <v>1.1499999999999999</v>
      </c>
      <c r="K34">
        <f t="shared" si="4"/>
        <v>-0.10833333325000005</v>
      </c>
      <c r="M34">
        <v>9</v>
      </c>
      <c r="N34">
        <f>ABS(K42)</f>
        <v>0.11249999999999982</v>
      </c>
      <c r="O34">
        <f>ABS(K43)</f>
        <v>0.13750000000000018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8.6833333330000002</v>
      </c>
      <c r="E35">
        <v>-7.0990934960000001</v>
      </c>
      <c r="F35">
        <v>0.61045820159999997</v>
      </c>
      <c r="J35">
        <f>D24/4</f>
        <v>1.25833333325</v>
      </c>
      <c r="K35">
        <f t="shared" si="4"/>
        <v>-0.12083333350000003</v>
      </c>
      <c r="M35">
        <v>10</v>
      </c>
      <c r="N35">
        <f>ABS(K44)</f>
        <v>0.12083333424999987</v>
      </c>
      <c r="P35" s="3"/>
      <c r="Q35" s="3"/>
    </row>
    <row r="36" spans="2:42" x14ac:dyDescent="0.25">
      <c r="B36" s="9" t="s">
        <v>56</v>
      </c>
      <c r="C36">
        <v>9</v>
      </c>
      <c r="D36">
        <v>9.0333333329999999</v>
      </c>
      <c r="E36">
        <v>-7.3662342770000002</v>
      </c>
      <c r="F36">
        <v>0.61028715069999995</v>
      </c>
      <c r="J36">
        <f>D25/4</f>
        <v>1.37916666675</v>
      </c>
      <c r="K36">
        <f t="shared" si="4"/>
        <v>-0.11666666650000002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9.5833333330000006</v>
      </c>
      <c r="E37">
        <v>-9.8037172479999999</v>
      </c>
      <c r="F37">
        <v>0.58722484029999999</v>
      </c>
      <c r="J37">
        <f>D27/4</f>
        <v>1.49583333325</v>
      </c>
      <c r="K37">
        <f t="shared" si="4"/>
        <v>-0.14583333349999994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9.75</v>
      </c>
      <c r="E38">
        <v>-9.5511639220000006</v>
      </c>
      <c r="F38">
        <v>0.59124580950000005</v>
      </c>
      <c r="J38">
        <f>D28/4</f>
        <v>1.6416666667499999</v>
      </c>
      <c r="K38">
        <f t="shared" si="4"/>
        <v>-0.10000000000000009</v>
      </c>
      <c r="Q38">
        <f>V15</f>
        <v>1.7996276570059635</v>
      </c>
      <c r="R38">
        <f t="shared" ref="Q38:R47" si="5">W15</f>
        <v>1.2758933848159145E-2</v>
      </c>
      <c r="S38">
        <f>D13/4-D10/4</f>
        <v>0.237500000075</v>
      </c>
      <c r="T38">
        <f>$P$26</f>
        <v>5.8831284194720748E-3</v>
      </c>
      <c r="V38">
        <f>Q38/S38</f>
        <v>7.5773796060533058</v>
      </c>
      <c r="W38">
        <f>SQRT(((1/S38)*R38)^2+((Q38/(S38^2))*T38)^2)</f>
        <v>0.19523637302637903</v>
      </c>
      <c r="Y38" s="6" t="s">
        <v>94</v>
      </c>
      <c r="Z38" s="6"/>
      <c r="AA38" s="5">
        <f>AVERAGE(V38:V47)</f>
        <v>8.1100014529207609</v>
      </c>
      <c r="AB38" s="13">
        <f>SQRT(SUM(W38^2+W39^2+W40^2+W41^2+W42^2+W43^2+W44^2+W45^2+W46^2+W47^2)/(H13^2))</f>
        <v>5.816365221383421E-2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10.06666667</v>
      </c>
      <c r="E39">
        <v>-9.8072327240000003</v>
      </c>
      <c r="F39">
        <v>0.5982490426</v>
      </c>
      <c r="J39">
        <f>D30/4</f>
        <v>1.74166666675</v>
      </c>
      <c r="K39">
        <f t="shared" si="4"/>
        <v>-0.14583333324999992</v>
      </c>
      <c r="Q39">
        <f t="shared" si="5"/>
        <v>2.1569956473548704</v>
      </c>
      <c r="R39">
        <f t="shared" si="5"/>
        <v>1.0009190196802476E-2</v>
      </c>
      <c r="S39">
        <f>D16/4-D13/4</f>
        <v>0.25833333324999996</v>
      </c>
      <c r="T39">
        <f t="shared" ref="T39:T47" si="6">$P$26</f>
        <v>5.8831284194720748E-3</v>
      </c>
      <c r="V39">
        <f t="shared" ref="V39:V47" si="7">Q39/S39</f>
        <v>8.3496605730993902</v>
      </c>
      <c r="W39">
        <f t="shared" ref="W39:W47" si="8">SQRT(((1/S39)*R39)^2+((Q39/(S39^2))*T39)^2)</f>
        <v>0.19405741173423399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1.8875</v>
      </c>
      <c r="K40">
        <f t="shared" si="4"/>
        <v>-0.12500000000000022</v>
      </c>
      <c r="Q40">
        <f t="shared" si="5"/>
        <v>1.9831056758184342</v>
      </c>
      <c r="R40">
        <f t="shared" si="5"/>
        <v>7.0991852058361303E-3</v>
      </c>
      <c r="S40">
        <f>D19/4-D16/4</f>
        <v>0.25</v>
      </c>
      <c r="T40">
        <f t="shared" si="6"/>
        <v>5.8831284194720748E-3</v>
      </c>
      <c r="V40">
        <f t="shared" si="7"/>
        <v>7.9324227032737369</v>
      </c>
      <c r="W40">
        <f t="shared" si="8"/>
        <v>0.18881738851807925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2.0125000000000002</v>
      </c>
      <c r="K41">
        <f t="shared" si="4"/>
        <v>-0.13333333324999996</v>
      </c>
      <c r="Q41">
        <f t="shared" si="5"/>
        <v>2.0987516520500149</v>
      </c>
      <c r="R41">
        <f t="shared" si="5"/>
        <v>4.3307043665683238E-3</v>
      </c>
      <c r="S41">
        <f>D22/4-D19/4</f>
        <v>0.26249999999999996</v>
      </c>
      <c r="T41">
        <f t="shared" si="6"/>
        <v>5.8831284194720748E-3</v>
      </c>
      <c r="V41">
        <f t="shared" si="7"/>
        <v>7.9952443887619626</v>
      </c>
      <c r="W41">
        <f t="shared" si="8"/>
        <v>0.17994663958824597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2.1458333332500001</v>
      </c>
      <c r="K42">
        <f t="shared" si="4"/>
        <v>-0.11249999999999982</v>
      </c>
      <c r="Q42">
        <f t="shared" si="5"/>
        <v>1.9187924210423277</v>
      </c>
      <c r="R42">
        <f t="shared" si="5"/>
        <v>1.8301936350704321E-3</v>
      </c>
      <c r="S42">
        <f>D25/4-D22/4</f>
        <v>0.22916666675000008</v>
      </c>
      <c r="T42">
        <f t="shared" si="6"/>
        <v>5.8831284194720748E-3</v>
      </c>
      <c r="V42">
        <f t="shared" si="7"/>
        <v>8.3729123796854594</v>
      </c>
      <c r="W42">
        <f t="shared" si="8"/>
        <v>0.21509632168976933</v>
      </c>
      <c r="Y42" s="14" t="s">
        <v>96</v>
      </c>
      <c r="Z42" s="14"/>
      <c r="AA42" s="12">
        <f>$X$17*100</f>
        <v>203.04857818867913</v>
      </c>
      <c r="AB42" s="12">
        <f>$Y$17</f>
        <v>7.6833409641309906E-3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2.25833333325</v>
      </c>
      <c r="K43">
        <f t="shared" si="4"/>
        <v>-0.13750000000000018</v>
      </c>
      <c r="Q43">
        <f t="shared" si="5"/>
        <v>2.0638761507807564</v>
      </c>
      <c r="R43">
        <f t="shared" si="5"/>
        <v>2.1733354136863688E-3</v>
      </c>
      <c r="S43">
        <f>D28/4-D25/4</f>
        <v>0.26249999999999996</v>
      </c>
      <c r="T43">
        <f t="shared" si="6"/>
        <v>5.8831284194720748E-3</v>
      </c>
      <c r="V43">
        <f t="shared" si="7"/>
        <v>7.8623853363076446</v>
      </c>
      <c r="W43">
        <f t="shared" si="8"/>
        <v>0.17640553189986294</v>
      </c>
      <c r="Y43" s="14" t="s">
        <v>97</v>
      </c>
      <c r="Z43" s="14"/>
      <c r="AA43" s="12">
        <f>$W$31</f>
        <v>0.11791666673250001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2.3958333332500001</v>
      </c>
      <c r="K44">
        <f t="shared" si="4"/>
        <v>-0.12083333424999987</v>
      </c>
      <c r="Q44">
        <f t="shared" si="5"/>
        <v>2.1093501176372276</v>
      </c>
      <c r="R44">
        <f t="shared" si="5"/>
        <v>4.8001308392952692E-3</v>
      </c>
      <c r="S44">
        <f>D31/4-D28/4</f>
        <v>0.24583333325000001</v>
      </c>
      <c r="T44">
        <f t="shared" si="6"/>
        <v>5.8831284194720748E-3</v>
      </c>
      <c r="V44">
        <f t="shared" si="7"/>
        <v>8.5804072610939457</v>
      </c>
      <c r="W44">
        <f t="shared" si="8"/>
        <v>0.20626717629515945</v>
      </c>
      <c r="Y44" s="14" t="s">
        <v>98</v>
      </c>
      <c r="Z44" s="14"/>
      <c r="AA44" s="12">
        <f>$W$32</f>
        <v>0.13287037038888888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2.5166666675</v>
      </c>
      <c r="K45">
        <f t="shared" si="4"/>
        <v>2.5166666675</v>
      </c>
      <c r="Q45">
        <f t="shared" si="5"/>
        <v>1.9831477761408083</v>
      </c>
      <c r="R45">
        <f t="shared" si="5"/>
        <v>7.5917206200083734E-3</v>
      </c>
      <c r="S45">
        <f>D34/4-D31/4</f>
        <v>0.25833333325000019</v>
      </c>
      <c r="T45">
        <f t="shared" si="6"/>
        <v>5.8831284194720748E-3</v>
      </c>
      <c r="V45">
        <f t="shared" si="7"/>
        <v>7.6767010714085107</v>
      </c>
      <c r="W45">
        <f t="shared" si="8"/>
        <v>0.17727732477900743</v>
      </c>
      <c r="Y45" s="14" t="s">
        <v>99</v>
      </c>
      <c r="Z45" s="14"/>
      <c r="AA45" s="5">
        <f>$S$31</f>
        <v>2.3750000008250001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2.1607249391507208</v>
      </c>
      <c r="R46">
        <f t="shared" si="5"/>
        <v>1.0508442772178292E-2</v>
      </c>
      <c r="S46">
        <f>D37/4-D34/4</f>
        <v>0.25</v>
      </c>
      <c r="T46">
        <f t="shared" si="6"/>
        <v>5.8831284194720748E-3</v>
      </c>
      <c r="V46">
        <f t="shared" si="7"/>
        <v>8.6428997566028833</v>
      </c>
      <c r="W46">
        <f t="shared" si="8"/>
        <v>0.20768723357705193</v>
      </c>
      <c r="Y46" s="14" t="s">
        <v>100</v>
      </c>
      <c r="Z46" s="14"/>
      <c r="AA46" s="5">
        <f>$S$32</f>
        <v>4.2105263143268701</v>
      </c>
      <c r="AB46" s="5">
        <f>$T$32</f>
        <v>3.2982312349913889E-2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$AA$38</f>
        <v>8.1100014529207609</v>
      </c>
      <c r="AB47" s="5">
        <f>$AB$38</f>
        <v>5.816365221383421E-2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2019-09-04T11:08:59Z</dcterms:modified>
</cp:coreProperties>
</file>