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E52F0C7B-D5E2-4B04-A2F7-B59A2C78C94B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W38" i="1" s="1"/>
  <c r="R38" i="1"/>
  <c r="Q38" i="1"/>
  <c r="V38" i="1" s="1"/>
  <c r="AA38" i="1" s="1"/>
  <c r="AA47" i="1" s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X31" i="1"/>
  <c r="AB43" i="1" s="1"/>
  <c r="S32" i="1"/>
  <c r="AA46" i="1" s="1"/>
  <c r="AA45" i="1"/>
  <c r="Y17" i="1" l="1"/>
  <c r="X17" i="1"/>
  <c r="U11" i="1"/>
  <c r="T11" i="1"/>
  <c r="H13" i="1" l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T19" i="1" l="1"/>
  <c r="T24" i="1"/>
  <c r="T16" i="1"/>
  <c r="U16" i="1" s="1"/>
  <c r="T21" i="1"/>
  <c r="U21" i="1" s="1"/>
  <c r="T18" i="1"/>
  <c r="V18" i="1" s="1"/>
  <c r="T17" i="1"/>
  <c r="T23" i="1"/>
  <c r="V23" i="1" s="1"/>
  <c r="T22" i="1"/>
  <c r="T20" i="1"/>
  <c r="V20" i="1" s="1"/>
  <c r="T15" i="1"/>
  <c r="V15" i="1" s="1"/>
  <c r="AH25" i="1"/>
  <c r="AI25" i="1" s="1"/>
  <c r="AA25" i="1"/>
  <c r="L4" i="1"/>
  <c r="AB20" i="1"/>
  <c r="U18" i="1" l="1"/>
  <c r="U17" i="1"/>
  <c r="W17" i="1" s="1"/>
  <c r="V17" i="1"/>
  <c r="U15" i="1"/>
  <c r="W15" i="1" s="1"/>
  <c r="V16" i="1"/>
  <c r="U23" i="1"/>
  <c r="W23" i="1" s="1"/>
  <c r="U20" i="1"/>
  <c r="W20" i="1" s="1"/>
  <c r="U19" i="1"/>
  <c r="W19" i="1" s="1"/>
  <c r="V19" i="1"/>
  <c r="U22" i="1"/>
  <c r="W22" i="1" s="1"/>
  <c r="V22" i="1"/>
  <c r="V21" i="1"/>
  <c r="U24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16" i="1" l="1"/>
  <c r="W18" i="1"/>
  <c r="W21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<sst xmlns="http://schemas.openxmlformats.org/spreadsheetml/2006/main" count="160" uniqueCount="101">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</sst>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3" sqref="P47:W53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23.57895143</v>
      </c>
      <c r="M3">
        <v>0.01</v>
      </c>
      <c r="N3" t="s">
        <v>38</v>
      </c>
    </row>
    <row r="4" spans="1:35" x14ac:dyDescent="0.25">
      <c r="D4">
        <v>3.3333333329999999E-2</v>
      </c>
      <c r="E4">
        <v>11.787061189999999</v>
      </c>
      <c r="F4">
        <v>0.51485103200000004</v>
      </c>
      <c r="H4" s="11" t="s">
        <v>7</v>
      </c>
      <c r="I4" s="11"/>
      <c r="J4" s="11"/>
      <c r="K4" s="11"/>
      <c r="L4">
        <f>AA20</f>
        <v>8.0376393218054929</v>
      </c>
      <c r="M4">
        <f>AB20</f>
        <v>0.10345268616606779</v>
      </c>
      <c r="P4" t="s">
        <v>13</v>
      </c>
    </row>
    <row r="5" spans="1:35" x14ac:dyDescent="0.25">
      <c r="D5">
        <v>0.05</v>
      </c>
      <c r="E5">
        <v>-11.791890240000001</v>
      </c>
      <c r="F5">
        <v>0.55283336819999995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23.57895143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0.8</v>
      </c>
      <c r="E10">
        <v>10.41434952</v>
      </c>
      <c r="F10">
        <v>0.60932256269999996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11.789475715</v>
      </c>
      <c r="AB10">
        <f>AB9</f>
        <v>0.01</v>
      </c>
      <c r="AE10" t="s">
        <v>65</v>
      </c>
      <c r="AH10">
        <f>L3</f>
        <v>23.57895143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0.91666666669999997</v>
      </c>
      <c r="E11">
        <v>10.69889392</v>
      </c>
      <c r="F11">
        <v>0.62206459189999996</v>
      </c>
      <c r="G11" t="s">
        <v>57</v>
      </c>
      <c r="H11">
        <f>M3</f>
        <v>0.01</v>
      </c>
      <c r="K11">
        <f>ABS(E11-E14)</f>
        <v>2.3597989839999993</v>
      </c>
      <c r="L11">
        <f>SQRT((H11^2)+(H11^2))</f>
        <v>1.4142135623730951E-2</v>
      </c>
      <c r="N11">
        <f>($L$4-$L$5)*(E11/$L$4)</f>
        <v>9.8869235105422639</v>
      </c>
      <c r="O11">
        <f>SQRT(((E11/$L$4)*$M$4)^2+((E11/$L$4)*$M$5)^2+(($L$4-$L$5)*$H$11)^2+(((($L$5-$L$4)*E11)/($L$4^2))*$M$4)^2)</f>
        <v>0.20167713120956526</v>
      </c>
      <c r="Q11">
        <f>N11-N12</f>
        <v>2.1807069244278798</v>
      </c>
      <c r="R11">
        <f>SQRT((O11^2)+(O12^2))</f>
        <v>0.25990192530580492</v>
      </c>
      <c r="T11" s="5">
        <f>AVERAGE(Q11:Q19)</f>
        <v>2.0735255467402798</v>
      </c>
      <c r="U11" s="5">
        <f>SQRT(((R11^2)+(R12^2)+(R13^2)+(R14^2)+(R15^2)+(R16^2)+(R17^2)+(R18^2)+(R19^2))/($H$13-1))</f>
        <v>0.17930149942280996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1.25</v>
      </c>
      <c r="E12">
        <v>10.46643463</v>
      </c>
      <c r="F12">
        <v>0.59231940029999997</v>
      </c>
      <c r="G12" t="s">
        <v>58</v>
      </c>
      <c r="H12">
        <f>L6</f>
        <v>4.1599999999999996E-3</v>
      </c>
      <c r="K12">
        <f>ABS(E14-E17)</f>
        <v>2.2162029360000002</v>
      </c>
      <c r="L12" s="1"/>
      <c r="N12">
        <f>($L$4-$L$5)*(E14/$L$4)</f>
        <v>7.7062165861143841</v>
      </c>
      <c r="O12">
        <f>SQRT(((E14/$L$4)*$M$4)^2+((E14/$L$4)*$M$5)^2+(($L$4-$L$5)*$H$11)^2+(((($L$5-$L$4)*E14)/($L$4^2))*$M$4)^2)</f>
        <v>0.16393701694475224</v>
      </c>
      <c r="Q12">
        <f t="shared" ref="Q12:Q19" si="0">N12-N13</f>
        <v>2.048008801275337</v>
      </c>
      <c r="R12">
        <f t="shared" ref="R12:R19" si="1">SQRT((O12^2)+(O13^2))</f>
        <v>0.209539450823338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1.7833333330000001</v>
      </c>
      <c r="E13">
        <v>8.110028002</v>
      </c>
      <c r="F13">
        <v>0.62214733229999997</v>
      </c>
      <c r="G13" t="s">
        <v>39</v>
      </c>
      <c r="H13" s="4">
        <f>C39</f>
        <v>10</v>
      </c>
      <c r="K13">
        <f>ABS(E17-E20)</f>
        <v>2.2812369280000002</v>
      </c>
      <c r="L13" s="1"/>
      <c r="N13">
        <f>($L$4-$L$5)*(E17/$L$4)</f>
        <v>5.6582077848390471</v>
      </c>
      <c r="O13">
        <f>SQRT(((E17/$L$4)*$M$4)^2+((E17/$L$4)*$M$5)^2+(($L$4-$L$5)*$H$11)^2+(((($L$5-$L$4)*E17)/($L$4^2))*$M$4)^2)</f>
        <v>0.13050454370098419</v>
      </c>
      <c r="Q13">
        <f t="shared" si="0"/>
        <v>2.1081071730600365</v>
      </c>
      <c r="R13">
        <f t="shared" si="1"/>
        <v>0.16456373145028605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1.95</v>
      </c>
      <c r="E14">
        <v>8.3390949360000004</v>
      </c>
      <c r="F14">
        <v>0.64212915079999999</v>
      </c>
      <c r="K14">
        <f>ABS(E20-E23)</f>
        <v>2.2159960839999999</v>
      </c>
      <c r="L14" s="1"/>
      <c r="N14">
        <f>($L$4-$L$5)*(E20/$L$4)</f>
        <v>3.5501006117790106</v>
      </c>
      <c r="O14">
        <f>SQRT(((E20/$L$4)*$M$4)^2+((E20/$L$4)*$M$5)^2+(($L$4-$L$5)*$H$11)^2+(((($L$5-$L$4)*E20)/($L$4^2))*$M$4)^2)</f>
        <v>0.10024861985204475</v>
      </c>
      <c r="Q14">
        <f t="shared" si="0"/>
        <v>2.0478176478797345</v>
      </c>
      <c r="R14">
        <f t="shared" si="1"/>
        <v>0.12797834263656513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1.789475715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2.35</v>
      </c>
      <c r="E15">
        <v>8.1329471059999996</v>
      </c>
      <c r="F15">
        <v>0.62512598850000001</v>
      </c>
      <c r="K15">
        <f>ABS(E26-E23)</f>
        <v>2.1311871235000002</v>
      </c>
      <c r="L15" s="1"/>
      <c r="N15">
        <f>($L$4-$L$5)*(E23/$L$4)</f>
        <v>1.5022829638992761</v>
      </c>
      <c r="O15">
        <f>SQRT(((E23/$L$4)*$M$4)^2+((E23/$L$4)*$M$5)^2+(($L$4-$L$5)*$H$11)^2+(((($L$5-$L$4)*E23)/($L$4^2))*$M$4)^2)</f>
        <v>7.9552940874378017E-2</v>
      </c>
      <c r="Q15">
        <f t="shared" si="0"/>
        <v>1.9694450878990573</v>
      </c>
      <c r="R15">
        <f t="shared" si="1"/>
        <v>0.10919772964102853</v>
      </c>
      <c r="T15">
        <f>E11*$AH$28</f>
        <v>9.4328982451216508</v>
      </c>
      <c r="U15">
        <f>(SQRT(($M$3/E11)^2+($AI$28/$AH$28^2)))/100*T15</f>
        <v>9.469150525838247E-3</v>
      </c>
      <c r="V15">
        <f>T15-T16</f>
        <v>2.0805649501208849</v>
      </c>
      <c r="W15">
        <f>SQRT(U15^2+U16^2)</f>
        <v>1.2005872123503316E-2</v>
      </c>
      <c r="Z15" t="s">
        <v>26</v>
      </c>
      <c r="AA15">
        <f>AA14/AA13</f>
        <v>1.4667833729508197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2.9</v>
      </c>
      <c r="E16">
        <v>5.8188622189999997</v>
      </c>
      <c r="F16">
        <v>0.64134311659999999</v>
      </c>
      <c r="K16">
        <f>ABS(E29-E26)</f>
        <v>2.1347035924999997</v>
      </c>
      <c r="L16" s="1"/>
      <c r="N16">
        <f>($L$4-$L$5)*(E26/$L$4)</f>
        <v>-0.46716212399978113</v>
      </c>
      <c r="O16">
        <f>SQRT(((E26/$L$4)*$M$4)^2+((E26/$L$4)*$M$5)^2+(($L$4-$L$5)*$H$11)^2+(((($L$5-$L$4)*E26)/($L$4^2))*$M$4)^2)</f>
        <v>7.4802899388946659E-2</v>
      </c>
      <c r="Q16">
        <f t="shared" si="0"/>
        <v>1.9726946817626998</v>
      </c>
      <c r="R16">
        <f t="shared" si="1"/>
        <v>0.11512360430756718</v>
      </c>
      <c r="T16">
        <f>E14*$AH$28</f>
        <v>7.3523332950007658</v>
      </c>
      <c r="U16">
        <f>(SQRT(($M$3/E14)^2+($AI$28/$AH$28^2)))/100*T16</f>
        <v>7.3807962825789518E-3</v>
      </c>
      <c r="V16">
        <f t="shared" ref="V16:V23" si="2">T16-T17</f>
        <v>1.9539605628530108</v>
      </c>
      <c r="W16">
        <f t="shared" ref="W16:W23" si="3">SQRT(U16^2+U17^2)</f>
        <v>9.156868392471219E-3</v>
      </c>
      <c r="X16" s="6" t="s">
        <v>83</v>
      </c>
      <c r="Y16" s="6" t="s">
        <v>84</v>
      </c>
      <c r="Z16" t="s">
        <v>27</v>
      </c>
      <c r="AA16">
        <f>ATAN(AA14/AA13)</f>
        <v>0.97241446785459429</v>
      </c>
      <c r="AB16">
        <f>(ABS(1/(1+AA15)))*AB15</f>
        <v>3.3228379116526613E-3</v>
      </c>
      <c r="AG16" t="s">
        <v>69</v>
      </c>
      <c r="AH16">
        <f>AH10/2</f>
        <v>11.789475715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3.016666667</v>
      </c>
      <c r="E17">
        <v>6.1228920000000002</v>
      </c>
      <c r="F17">
        <v>0.64403218120000005</v>
      </c>
      <c r="K17">
        <f>ABS(E32-E29)</f>
        <v>2.2555873890000004</v>
      </c>
      <c r="L17" s="1"/>
      <c r="N17">
        <f>($L$4-$L$5)*(E29/$L$4)</f>
        <v>-2.439856805762481</v>
      </c>
      <c r="O17">
        <f>SQRT(((E29/$L$4)*$M$4)^2+((E29/$L$4)*$M$5)^2+(($L$4-$L$5)*$H$11)^2+(((($L$5-$L$4)*E29)/($L$4^2))*$M$4)^2)</f>
        <v>8.7509830943571273E-2</v>
      </c>
      <c r="Q17">
        <f t="shared" si="0"/>
        <v>2.0844042527329534</v>
      </c>
      <c r="R17">
        <f t="shared" si="1"/>
        <v>0.14330631359551399</v>
      </c>
      <c r="T17">
        <f>E17*$AH$28</f>
        <v>5.398372732147755</v>
      </c>
      <c r="U17">
        <f>(SQRT(($M$3/E17)^2+($AI$28/$AH$28^2)))/100*T17</f>
        <v>5.4196019219226038E-3</v>
      </c>
      <c r="V17">
        <f t="shared" si="2"/>
        <v>2.0112991095847703</v>
      </c>
      <c r="W17">
        <f t="shared" si="3"/>
        <v>6.3983961443266823E-3</v>
      </c>
      <c r="X17" s="5">
        <f>AVERAGE(V15:V23)</f>
        <v>1.9783055335874176</v>
      </c>
      <c r="Y17" s="5">
        <f>SQRT(((W15^2)+(W16^2)+(W17^2)+(W18^2)+(W19^2)+(W20^2)+(W21^2)+(W22^2)+(W23^2))/($H$13-1))</f>
        <v>7.3391729260121677E-3</v>
      </c>
      <c r="Z17" t="s">
        <v>28</v>
      </c>
      <c r="AA17">
        <f>SQRT((AA14^2)+(AA13^2))</f>
        <v>2.1657846925709769</v>
      </c>
      <c r="AB17">
        <f>SQRT(((ABS(AA13*(AA13^2+AA14^2)))*AB13)^2+((ABS(AA14*(AA13^2+AA14^2)))*AB14)^2)</f>
        <v>8.3937565454338545E-2</v>
      </c>
      <c r="AG17" t="s">
        <v>70</v>
      </c>
      <c r="AH17">
        <f>(AH16)-AH15</f>
        <v>1.789475715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3.35</v>
      </c>
      <c r="E18">
        <v>5.8807934460000002</v>
      </c>
      <c r="F18">
        <v>0.62748409130000005</v>
      </c>
      <c r="K18">
        <f>ABS(E35-E32)</f>
        <v>2.2753623569999997</v>
      </c>
      <c r="N18">
        <f>($L$4-$L$5)*(E32/$L$4)</f>
        <v>-4.5242610584954344</v>
      </c>
      <c r="O18">
        <f>SQRT(((E32/$L$4)*$M$4)^2+((E32/$L$4)*$M$5)^2+(($L$4-$L$5)*$H$11)^2+(((($L$5-$L$4)*E32)/($L$4^2))*$M$4)^2)</f>
        <v>0.1134844879468704</v>
      </c>
      <c r="Q18">
        <f t="shared" si="0"/>
        <v>2.1026784404668772</v>
      </c>
      <c r="R18">
        <f t="shared" si="1"/>
        <v>0.18490651093567589</v>
      </c>
      <c r="T18">
        <f>E20*$AH$28</f>
        <v>3.3870736225629847</v>
      </c>
      <c r="U18">
        <f>(SQRT(($M$3/E20)^2+($AI$28/$AH$28^2)))/100*T18</f>
        <v>3.4010863305166741E-3</v>
      </c>
      <c r="V18">
        <f t="shared" si="2"/>
        <v>1.9537781875642759</v>
      </c>
      <c r="W18">
        <f t="shared" si="3"/>
        <v>3.6939326842119853E-3</v>
      </c>
      <c r="Z18" t="s">
        <v>29</v>
      </c>
      <c r="AA18">
        <f>AA17/AA14</f>
        <v>1.2102900723472387</v>
      </c>
      <c r="AB18">
        <f>(((AB17/AA17)*100+(AB14/AA14)*100)/100)*AA18</f>
        <v>5.3669611368719207E-2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3.95</v>
      </c>
      <c r="E19">
        <v>3.544244527</v>
      </c>
      <c r="F19">
        <v>0.67667328839999996</v>
      </c>
      <c r="K19">
        <f>ABS(E38-E35)</f>
        <v>2.3242619620000005</v>
      </c>
      <c r="N19">
        <f>($L$4-$L$5)*(E35/$L$4)</f>
        <v>-6.6269394989623116</v>
      </c>
      <c r="O19">
        <f>SQRT(((E35/$L$4)*$M$4)^2+((E35/$L$4)*$M$5)^2+(($L$4-$L$5)*$H$11)^2+(((($L$5-$L$4)*E35)/($L$4^2))*$M$4)^2)</f>
        <v>0.14598523480764025</v>
      </c>
      <c r="Q19">
        <f t="shared" si="0"/>
        <v>2.1478669111579425</v>
      </c>
      <c r="R19">
        <f t="shared" si="1"/>
        <v>0.23349748051166533</v>
      </c>
      <c r="T19">
        <f>E23*$AH$28</f>
        <v>1.4332954349987088</v>
      </c>
      <c r="U19">
        <f>(SQRT(($M$3/E23)^2+($AI$28/$AH$28^2)))/100*T19</f>
        <v>1.4414404073225455E-3</v>
      </c>
      <c r="V19">
        <f t="shared" si="2"/>
        <v>1.8790046361436408</v>
      </c>
      <c r="W19">
        <f t="shared" si="3"/>
        <v>1.5118508825718406E-3</v>
      </c>
      <c r="Z19" t="s">
        <v>30</v>
      </c>
      <c r="AA19">
        <f>1/AA15</f>
        <v>0.68176393218054931</v>
      </c>
      <c r="AB19">
        <f>AB15</f>
        <v>8.1967213114754103E-3</v>
      </c>
      <c r="AG19" t="s">
        <v>72</v>
      </c>
      <c r="AH19">
        <f>AH17/AH18</f>
        <v>0.74561488125000008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4.0833333329999997</v>
      </c>
      <c r="E20">
        <v>3.841655072</v>
      </c>
      <c r="F20">
        <v>0.67290859800000002</v>
      </c>
      <c r="K20">
        <f>ABS(E41-E38)</f>
        <v>9.4954434360000004</v>
      </c>
      <c r="N20">
        <f>($L$4-$L$5)*(E38/$L$4)</f>
        <v>-8.7748064101202541</v>
      </c>
      <c r="O20">
        <f>SQRT(((E38/$L$4)*$M$4)^2+((E38/$L$4)*$M$5)^2+(($L$4-$L$5)*$H$11)^2+(((($L$5-$L$4)*E38)/($L$4^2))*$M$4)^2)</f>
        <v>0.18223442216950581</v>
      </c>
      <c r="T20">
        <f>E26*$AH$28</f>
        <v>-0.44570920114493201</v>
      </c>
      <c r="U20">
        <f>(SQRT(($M$3/E26)^2+($AI$28/$AH$28^2)))/100*T20</f>
        <v>-4.5600728423027162E-4</v>
      </c>
      <c r="V20">
        <f t="shared" si="2"/>
        <v>1.8821050028270714</v>
      </c>
      <c r="W20">
        <f t="shared" si="3"/>
        <v>2.3823710576291852E-3</v>
      </c>
      <c r="Z20" t="s">
        <v>31</v>
      </c>
      <c r="AA20">
        <f>AA10*AA19</f>
        <v>8.0376393218054929</v>
      </c>
      <c r="AB20">
        <f>(((AB10/AA10)*100+(AB19/AA19)*100)/100)*AA20</f>
        <v>0.10345268616606779</v>
      </c>
      <c r="AG20" t="s">
        <v>73</v>
      </c>
      <c r="AH20">
        <f>ATAN(AH19)</f>
        <v>0.64068872051743919</v>
      </c>
      <c r="AI20">
        <f>(ABS(1/(1+AH19)))*AI19</f>
        <v>2.3869335163337973E-3</v>
      </c>
    </row>
    <row r="21" spans="2:35" x14ac:dyDescent="0.25">
      <c r="B21" s="9" t="s">
        <v>56</v>
      </c>
      <c r="C21">
        <v>4</v>
      </c>
      <c r="D21">
        <v>4.4166666670000003</v>
      </c>
      <c r="E21">
        <v>3.573327795</v>
      </c>
      <c r="F21">
        <v>0.65015497440000003</v>
      </c>
      <c r="T21">
        <f>E29*$AH$28</f>
        <v>-2.3278142039720033</v>
      </c>
      <c r="U21">
        <f>(SQRT(($M$3/E29)^2+($AI$28/$AH$28^2)))/100*T21</f>
        <v>-2.3383218796731416E-3</v>
      </c>
      <c r="V21">
        <f t="shared" si="2"/>
        <v>1.9886846698837659</v>
      </c>
      <c r="W21">
        <f t="shared" si="3"/>
        <v>4.9243827992700683E-3</v>
      </c>
      <c r="Z21" t="s">
        <v>32</v>
      </c>
      <c r="AA21">
        <f>AA10*AA18</f>
        <v>14.268685416043365</v>
      </c>
      <c r="AB21">
        <f>(((AB10/AA10)*100+(AB18/AA18)*100)/100)*AA21</f>
        <v>0.6448394805884754</v>
      </c>
    </row>
    <row r="22" spans="2:35" x14ac:dyDescent="0.25">
      <c r="B22" s="8" t="s">
        <v>54</v>
      </c>
      <c r="C22">
        <v>5</v>
      </c>
      <c r="D22">
        <v>5</v>
      </c>
      <c r="E22">
        <v>1.377189419</v>
      </c>
      <c r="F22">
        <v>0.68776050860000004</v>
      </c>
      <c r="T22">
        <f>E32*$AH$28</f>
        <v>-4.3164988738557692</v>
      </c>
      <c r="U22">
        <f>(SQRT(($M$3/E32)^2+($AI$28/$AH$28^2)))/100*T22</f>
        <v>-4.3337970350246875E-3</v>
      </c>
      <c r="V22">
        <f t="shared" si="2"/>
        <v>2.0061196741318064</v>
      </c>
      <c r="W22">
        <f t="shared" si="3"/>
        <v>7.6856645330207847E-3</v>
      </c>
      <c r="AE22">
        <v>2</v>
      </c>
      <c r="AG22" t="s">
        <v>74</v>
      </c>
      <c r="AH22">
        <f>AH18/AH17</f>
        <v>1.3411749485519002</v>
      </c>
      <c r="AI22">
        <f>SQRT((AI17*(AH18/(AH17^2)))^2)</f>
        <v>7.4947926775966343E-3</v>
      </c>
    </row>
    <row r="23" spans="2:35" x14ac:dyDescent="0.25">
      <c r="B23" s="5" t="s">
        <v>55</v>
      </c>
      <c r="C23">
        <v>5</v>
      </c>
      <c r="D23">
        <v>5.15</v>
      </c>
      <c r="E23">
        <v>1.6256589880000001</v>
      </c>
      <c r="F23">
        <v>0.69115286710000001</v>
      </c>
      <c r="T23">
        <f>E35*$AH$28</f>
        <v>-6.3226185479875756</v>
      </c>
      <c r="U23">
        <f>(SQRT(($M$3/E35)^2+($AI$28/$AH$28^2)))/100*T23</f>
        <v>-6.3472547273088721E-3</v>
      </c>
      <c r="V23">
        <f t="shared" si="2"/>
        <v>2.0492330091775326</v>
      </c>
      <c r="W23">
        <f t="shared" si="3"/>
        <v>1.053171148616266E-2</v>
      </c>
      <c r="AA23" t="s">
        <v>11</v>
      </c>
      <c r="AB23" t="s">
        <v>4</v>
      </c>
      <c r="AG23" t="s">
        <v>31</v>
      </c>
      <c r="AH23">
        <f>AH22*AH16</f>
        <v>15.811749485519002</v>
      </c>
      <c r="AI23">
        <f>((SQRT((((AI19/AH19)*100)^2)+(((AI16/AH16)*100)^2)))/100)*AH23</f>
        <v>8.9371737217628325E-2</v>
      </c>
    </row>
    <row r="24" spans="2:35" x14ac:dyDescent="0.25">
      <c r="B24" s="9" t="s">
        <v>56</v>
      </c>
      <c r="C24">
        <v>5</v>
      </c>
      <c r="D24">
        <v>5.45</v>
      </c>
      <c r="E24">
        <v>1.4098305259999999</v>
      </c>
      <c r="F24">
        <v>0.6840785586</v>
      </c>
      <c r="T24">
        <f>E38*$AH$28</f>
        <v>-8.3718515571651082</v>
      </c>
      <c r="U24">
        <f>(SQRT(($M$3/E38)^2+($AI$28/$AH$28^2)))/100*T24</f>
        <v>-8.4041242407775999E-3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15.211749485519002</v>
      </c>
      <c r="AI24">
        <f>AI23</f>
        <v>8.9371737217628325E-2</v>
      </c>
    </row>
    <row r="25" spans="2:35" x14ac:dyDescent="0.25">
      <c r="B25" s="8" t="s">
        <v>54</v>
      </c>
      <c r="C25">
        <v>6</v>
      </c>
      <c r="D25">
        <v>6.0333333329999999</v>
      </c>
      <c r="E25">
        <v>-0.73476055039999999</v>
      </c>
      <c r="F25">
        <v>0.66219370980000003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7.4276393218054926</v>
      </c>
      <c r="AB25">
        <f>SQRT((AB20^2)+(AB24^2))</f>
        <v>0.10345268616606779</v>
      </c>
      <c r="AG25" t="s">
        <v>76</v>
      </c>
      <c r="AH25">
        <f>AH22*AH24</f>
        <v>20.401617333625342</v>
      </c>
      <c r="AI25">
        <f>((SQRT((((AI22/AH22)*100)^2)+(((AI24/AH24)*100)^2)))/100)*AH25</f>
        <v>0.16542431018701076</v>
      </c>
    </row>
    <row r="26" spans="2:35" x14ac:dyDescent="0.25">
      <c r="B26" s="5" t="s">
        <v>55</v>
      </c>
      <c r="C26">
        <v>6</v>
      </c>
      <c r="D26">
        <v>6.1666666670000003</v>
      </c>
      <c r="E26">
        <v>-0.50552813549999998</v>
      </c>
      <c r="F26">
        <v>0.69524851929999998</v>
      </c>
      <c r="J26">
        <f>D10/4</f>
        <v>0.2</v>
      </c>
      <c r="K26">
        <f>J26-J27</f>
        <v>-0.11249999999999999</v>
      </c>
      <c r="M26">
        <v>1</v>
      </c>
      <c r="N26">
        <f>ABS(K26)</f>
        <v>0.11249999999999999</v>
      </c>
      <c r="O26">
        <f>ABS(K27)</f>
        <v>0.13333333325000002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6.5</v>
      </c>
      <c r="E27">
        <v>-0.74721298800000002</v>
      </c>
      <c r="F27">
        <v>0.71138290689999994</v>
      </c>
      <c r="J27">
        <f>D12/4</f>
        <v>0.3125</v>
      </c>
      <c r="K27">
        <f t="shared" ref="K27:K44" si="4">J27-J28</f>
        <v>-0.13333333325000002</v>
      </c>
      <c r="M27">
        <v>2</v>
      </c>
      <c r="N27">
        <f>ABS(K28)</f>
        <v>0.14166666675</v>
      </c>
      <c r="O27">
        <f>ABS(K29)</f>
        <v>0.13749999999999996</v>
      </c>
      <c r="P27" t="s">
        <v>85</v>
      </c>
      <c r="AE27">
        <v>3</v>
      </c>
      <c r="AG27" t="s">
        <v>77</v>
      </c>
      <c r="AH27">
        <f>AH24-((3/2)*AH9)</f>
        <v>13.411749485519003</v>
      </c>
      <c r="AI27">
        <f>AI24</f>
        <v>8.9371737217628325E-2</v>
      </c>
    </row>
    <row r="28" spans="2:35" x14ac:dyDescent="0.25">
      <c r="B28" s="8" t="s">
        <v>54</v>
      </c>
      <c r="C28">
        <v>7</v>
      </c>
      <c r="D28">
        <v>7.0666666669999998</v>
      </c>
      <c r="E28">
        <v>-2.9083107840000002</v>
      </c>
      <c r="F28">
        <v>0.67663191820000002</v>
      </c>
      <c r="J28">
        <f>D13/4</f>
        <v>0.44583333325000002</v>
      </c>
      <c r="K28">
        <f t="shared" si="4"/>
        <v>-0.14166666675</v>
      </c>
      <c r="M28">
        <v>3</v>
      </c>
      <c r="N28">
        <f>ABS(K30)</f>
        <v>0.11250000000000004</v>
      </c>
      <c r="O28">
        <f>ABS(K31)</f>
        <v>0.15000000000000002</v>
      </c>
      <c r="P28">
        <f>H13</f>
        <v>10</v>
      </c>
      <c r="AG28" t="s">
        <v>78</v>
      </c>
      <c r="AH28">
        <f>AH27/AH24</f>
        <v>0.88167041524621936</v>
      </c>
      <c r="AI28">
        <f>SQRT((AI27/AH24)^2+((AH27*AI24/(AH24^2))^2))</f>
        <v>7.8326122086070978E-3</v>
      </c>
    </row>
    <row r="29" spans="2:35" x14ac:dyDescent="0.25">
      <c r="B29" s="5" t="s">
        <v>55</v>
      </c>
      <c r="C29">
        <v>7</v>
      </c>
      <c r="D29">
        <v>7.2</v>
      </c>
      <c r="E29">
        <v>-2.6402317279999998</v>
      </c>
      <c r="F29">
        <v>0.67977605529999996</v>
      </c>
      <c r="J29">
        <f>D15/4</f>
        <v>0.58750000000000002</v>
      </c>
      <c r="K29">
        <f t="shared" si="4"/>
        <v>-0.13749999999999996</v>
      </c>
      <c r="M29">
        <v>4</v>
      </c>
      <c r="N29">
        <f>ABS(K32)</f>
        <v>0.11666666675000004</v>
      </c>
      <c r="O29">
        <f>ABS(K33)</f>
        <v>0.14583333324999992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7.5</v>
      </c>
      <c r="E30">
        <v>-2.8855571599999998</v>
      </c>
      <c r="F30">
        <v>0.66653758340000002</v>
      </c>
      <c r="J30">
        <f>D16/4</f>
        <v>0.72499999999999998</v>
      </c>
      <c r="K30">
        <f t="shared" si="4"/>
        <v>-0.11250000000000004</v>
      </c>
      <c r="M30">
        <v>5</v>
      </c>
      <c r="N30">
        <f>ABS(K34)</f>
        <v>0.11250000000000004</v>
      </c>
      <c r="O30">
        <f>ABS(K35)</f>
        <v>0.14583333324999992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8.0500000000000007</v>
      </c>
      <c r="E31">
        <v>-5.177178015</v>
      </c>
      <c r="F31">
        <v>0.64978264240000005</v>
      </c>
      <c r="J31">
        <f>D18/4</f>
        <v>0.83750000000000002</v>
      </c>
      <c r="K31">
        <f t="shared" si="4"/>
        <v>-0.15000000000000002</v>
      </c>
      <c r="M31">
        <v>6</v>
      </c>
      <c r="N31">
        <f>ABS(K36)</f>
        <v>0.11666666675000004</v>
      </c>
      <c r="O31">
        <f>ABS(K37)</f>
        <v>0.14166666674999995</v>
      </c>
      <c r="R31" s="6" t="s">
        <v>17</v>
      </c>
      <c r="S31" s="5">
        <f>SUM(N26:O36)</f>
        <v>2.4416666674999998</v>
      </c>
      <c r="T31" s="5">
        <f>SQRT((P26^2)*10)</f>
        <v>1.8604085572798249E-2</v>
      </c>
      <c r="V31" s="6" t="s">
        <v>14</v>
      </c>
      <c r="W31" s="5">
        <f>AVERAGE(N26:N36)</f>
        <v>0.11416666677500002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8.1833333330000002</v>
      </c>
      <c r="E32">
        <v>-4.8958191170000003</v>
      </c>
      <c r="F32">
        <v>0.66910253730000002</v>
      </c>
      <c r="J32">
        <f>D19/4</f>
        <v>0.98750000000000004</v>
      </c>
      <c r="K32">
        <f t="shared" si="4"/>
        <v>-0.11666666675000004</v>
      </c>
      <c r="M32">
        <v>7</v>
      </c>
      <c r="N32">
        <f>ABS(K38)</f>
        <v>0.10833333325000005</v>
      </c>
      <c r="O32">
        <f>ABS(K39)</f>
        <v>0.13750000000000018</v>
      </c>
      <c r="R32" s="6" t="s">
        <v>19</v>
      </c>
      <c r="S32" s="5">
        <f>H13/S31</f>
        <v>4.0955631385339375</v>
      </c>
      <c r="T32" s="5">
        <f>(H13/(S31^2))*T31</f>
        <v>3.1205818596073187E-2</v>
      </c>
      <c r="V32" s="6" t="s">
        <v>16</v>
      </c>
      <c r="W32" s="5">
        <f>AVERAGE(O26:O35)</f>
        <v>0.14444444441666665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8.5</v>
      </c>
      <c r="E33">
        <v>-5.1181013340000003</v>
      </c>
      <c r="F33">
        <v>0.66864746480000004</v>
      </c>
      <c r="J33">
        <f>D21/4</f>
        <v>1.1041666667500001</v>
      </c>
      <c r="K33">
        <f t="shared" si="4"/>
        <v>-0.14583333324999992</v>
      </c>
      <c r="M33">
        <v>8</v>
      </c>
      <c r="N33">
        <f>ABS(K40)</f>
        <v>0.11249999999999982</v>
      </c>
      <c r="O33">
        <f>ABS(K41)</f>
        <v>0.15833333324999987</v>
      </c>
      <c r="P33" s="3"/>
      <c r="Q33" s="3"/>
    </row>
    <row r="34" spans="2:42" x14ac:dyDescent="0.25">
      <c r="B34" s="8" t="s">
        <v>54</v>
      </c>
      <c r="C34">
        <v>9</v>
      </c>
      <c r="D34">
        <v>9.1333333329999995</v>
      </c>
      <c r="E34">
        <v>-7.4034339149999999</v>
      </c>
      <c r="F34">
        <v>0.63220029690000001</v>
      </c>
      <c r="J34">
        <f>D22/4</f>
        <v>1.25</v>
      </c>
      <c r="K34">
        <f t="shared" si="4"/>
        <v>-0.11250000000000004</v>
      </c>
      <c r="M34">
        <v>9</v>
      </c>
      <c r="N34">
        <f>ABS(K42)</f>
        <v>0.1041666667500003</v>
      </c>
      <c r="O34">
        <f>ABS(K43)</f>
        <v>0.14999999999999991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9.2833333329999999</v>
      </c>
      <c r="E35">
        <v>-7.1711814739999999</v>
      </c>
      <c r="F35">
        <v>0.64560424969999997</v>
      </c>
      <c r="J35">
        <f>D24/4</f>
        <v>1.3625</v>
      </c>
      <c r="K35">
        <f t="shared" si="4"/>
        <v>-0.14583333324999992</v>
      </c>
      <c r="M35">
        <v>10</v>
      </c>
      <c r="N35">
        <f>ABS(K44)</f>
        <v>0.10416666749999992</v>
      </c>
      <c r="P35" s="3"/>
      <c r="Q35" s="3"/>
    </row>
    <row r="36" spans="2:42" x14ac:dyDescent="0.25">
      <c r="B36" s="9" t="s">
        <v>56</v>
      </c>
      <c r="C36">
        <v>9</v>
      </c>
      <c r="D36">
        <v>9.5500000000000007</v>
      </c>
      <c r="E36">
        <v>-7.43942601</v>
      </c>
      <c r="F36">
        <v>0.62938712159999999</v>
      </c>
      <c r="J36">
        <f>D25/4</f>
        <v>1.50833333325</v>
      </c>
      <c r="K36">
        <f t="shared" si="4"/>
        <v>-0.11666666675000004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10.15</v>
      </c>
      <c r="E37">
        <v>-9.7340668919999995</v>
      </c>
      <c r="F37">
        <v>0.63228303740000003</v>
      </c>
      <c r="J37">
        <f>D27/4</f>
        <v>1.625</v>
      </c>
      <c r="K37">
        <f t="shared" si="4"/>
        <v>-0.14166666674999995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10.266666669999999</v>
      </c>
      <c r="E38">
        <v>-9.4954434360000004</v>
      </c>
      <c r="F38">
        <v>0.63253125870000004</v>
      </c>
      <c r="J38">
        <f>D28/4</f>
        <v>1.7666666667499999</v>
      </c>
      <c r="K38">
        <f t="shared" si="4"/>
        <v>-0.10833333325000005</v>
      </c>
      <c r="Q38">
        <f>V15</f>
        <v>2.0805649501208849</v>
      </c>
      <c r="R38">
        <f t="shared" ref="Q38:R47" si="5">W15</f>
        <v>1.2005872123503316E-2</v>
      </c>
      <c r="S38">
        <f>D13/4-D10/4</f>
        <v>0.24583333325000001</v>
      </c>
      <c r="T38">
        <f>$P$26</f>
        <v>5.8831284194720748E-3</v>
      </c>
      <c r="V38">
        <f>Q38/S38</f>
        <v>8.4633150542081133</v>
      </c>
      <c r="W38">
        <f>SQRT(((1/S38)*R38)^2+((Q38/(S38^2))*T38)^2)</f>
        <v>0.20834353920170309</v>
      </c>
      <c r="Y38" s="6" t="s">
        <v>94</v>
      </c>
      <c r="Z38" s="6"/>
      <c r="AA38" s="5">
        <f>AVERAGE(V38:V47)</f>
        <v>7.6317887990303213</v>
      </c>
      <c r="AB38" s="13">
        <f>SQRT(SUM(W38^2+W39^2+W40^2+W41^2+W42^2+W43^2+W44^2+W45^2+W46^2+W47^2)/(H13^2))</f>
        <v>5.296709919047371E-2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10.56666667</v>
      </c>
      <c r="E39">
        <v>-9.7242621479999993</v>
      </c>
      <c r="F39">
        <v>0.63215892669999996</v>
      </c>
      <c r="J39">
        <f>D30/4</f>
        <v>1.875</v>
      </c>
      <c r="K39">
        <f t="shared" si="4"/>
        <v>-0.13750000000000018</v>
      </c>
      <c r="Q39">
        <f t="shared" si="5"/>
        <v>1.9539605628530108</v>
      </c>
      <c r="R39">
        <f t="shared" si="5"/>
        <v>9.156868392471219E-3</v>
      </c>
      <c r="S39">
        <f>D16/4-D13/4</f>
        <v>0.27916666674999996</v>
      </c>
      <c r="T39">
        <f t="shared" ref="T39:T47" si="6">$P$26</f>
        <v>5.8831284194720748E-3</v>
      </c>
      <c r="V39">
        <f t="shared" ref="V39:V47" si="7">Q39/S39</f>
        <v>6.9992617155930956</v>
      </c>
      <c r="W39">
        <f t="shared" ref="W39:W47" si="8">SQRT(((1/S39)*R39)^2+((Q39/(S39^2))*T39)^2)</f>
        <v>0.15110471982606871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2.0125000000000002</v>
      </c>
      <c r="K40">
        <f t="shared" si="4"/>
        <v>-0.11249999999999982</v>
      </c>
      <c r="Q40">
        <f t="shared" si="5"/>
        <v>2.0112991095847703</v>
      </c>
      <c r="R40">
        <f t="shared" si="5"/>
        <v>6.3983961443266823E-3</v>
      </c>
      <c r="S40">
        <f>D19/4-D16/4</f>
        <v>0.26250000000000007</v>
      </c>
      <c r="T40">
        <f t="shared" si="6"/>
        <v>5.8831284194720748E-3</v>
      </c>
      <c r="V40">
        <f t="shared" si="7"/>
        <v>7.6620918460372183</v>
      </c>
      <c r="W40">
        <f t="shared" si="8"/>
        <v>0.17344347058020138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2.125</v>
      </c>
      <c r="K41">
        <f t="shared" si="4"/>
        <v>-0.15833333324999987</v>
      </c>
      <c r="Q41">
        <f t="shared" si="5"/>
        <v>1.9537781875642759</v>
      </c>
      <c r="R41">
        <f t="shared" si="5"/>
        <v>3.6939326842119853E-3</v>
      </c>
      <c r="S41">
        <f>D22/4-D19/4</f>
        <v>0.26249999999999996</v>
      </c>
      <c r="T41">
        <f t="shared" si="6"/>
        <v>5.8831284194720748E-3</v>
      </c>
      <c r="V41">
        <f t="shared" si="7"/>
        <v>7.4429645240543856</v>
      </c>
      <c r="W41">
        <f t="shared" si="8"/>
        <v>0.16740361638646001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2.2833333332499999</v>
      </c>
      <c r="K42">
        <f t="shared" si="4"/>
        <v>-0.1041666667500003</v>
      </c>
      <c r="Q42">
        <f t="shared" si="5"/>
        <v>1.8790046361436408</v>
      </c>
      <c r="R42">
        <f t="shared" si="5"/>
        <v>1.5118508825718406E-3</v>
      </c>
      <c r="S42">
        <f>D25/4-D22/4</f>
        <v>0.25833333324999996</v>
      </c>
      <c r="T42">
        <f t="shared" si="6"/>
        <v>5.8831284194720748E-3</v>
      </c>
      <c r="V42">
        <f t="shared" si="7"/>
        <v>7.2735663358055671</v>
      </c>
      <c r="W42">
        <f t="shared" si="8"/>
        <v>0.16574718944931299</v>
      </c>
      <c r="Y42" s="14" t="s">
        <v>96</v>
      </c>
      <c r="Z42" s="14"/>
      <c r="AA42" s="12">
        <f>$X$17*100</f>
        <v>197.83055335874175</v>
      </c>
      <c r="AB42" s="12">
        <f>$Y$17</f>
        <v>7.3391729260121677E-3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2.3875000000000002</v>
      </c>
      <c r="K43">
        <f t="shared" si="4"/>
        <v>-0.14999999999999991</v>
      </c>
      <c r="Q43">
        <f t="shared" si="5"/>
        <v>1.8821050028270714</v>
      </c>
      <c r="R43">
        <f t="shared" si="5"/>
        <v>2.3823710576291852E-3</v>
      </c>
      <c r="S43">
        <f>D28/4-D25/4</f>
        <v>0.25833333349999998</v>
      </c>
      <c r="T43">
        <f t="shared" si="6"/>
        <v>5.8831284194720748E-3</v>
      </c>
      <c r="V43">
        <f t="shared" si="7"/>
        <v>7.2855677481786199</v>
      </c>
      <c r="W43">
        <f t="shared" si="8"/>
        <v>0.16617324617101281</v>
      </c>
      <c r="Y43" s="14" t="s">
        <v>97</v>
      </c>
      <c r="Z43" s="14"/>
      <c r="AA43" s="12">
        <f>$W$31</f>
        <v>0.11416666677500002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2.5375000000000001</v>
      </c>
      <c r="K44">
        <f t="shared" si="4"/>
        <v>-0.10416666749999992</v>
      </c>
      <c r="Q44">
        <f t="shared" si="5"/>
        <v>1.9886846698837659</v>
      </c>
      <c r="R44">
        <f t="shared" si="5"/>
        <v>4.9243827992700683E-3</v>
      </c>
      <c r="S44">
        <f>D31/4-D28/4</f>
        <v>0.24583333325000023</v>
      </c>
      <c r="T44">
        <f t="shared" si="6"/>
        <v>5.8831284194720748E-3</v>
      </c>
      <c r="V44">
        <f t="shared" si="7"/>
        <v>8.0895647615914346</v>
      </c>
      <c r="W44">
        <f t="shared" si="8"/>
        <v>0.19462794026007407</v>
      </c>
      <c r="Y44" s="14" t="s">
        <v>98</v>
      </c>
      <c r="Z44" s="14"/>
      <c r="AA44" s="12">
        <f>$W$32</f>
        <v>0.14444444441666665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2.6416666675</v>
      </c>
      <c r="Q45">
        <f t="shared" si="5"/>
        <v>2.0061196741318064</v>
      </c>
      <c r="R45">
        <f t="shared" si="5"/>
        <v>7.6856645330207847E-3</v>
      </c>
      <c r="S45">
        <f>D34/4-D31/4</f>
        <v>0.2708333332499997</v>
      </c>
      <c r="T45">
        <f t="shared" si="6"/>
        <v>5.8831284194720748E-3</v>
      </c>
      <c r="V45">
        <f t="shared" si="7"/>
        <v>7.4072111067658195</v>
      </c>
      <c r="W45">
        <f t="shared" si="8"/>
        <v>0.16338511232964567</v>
      </c>
      <c r="Y45" s="14" t="s">
        <v>99</v>
      </c>
      <c r="Z45" s="14"/>
      <c r="AA45" s="5">
        <f>$S$31</f>
        <v>2.4416666674999998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>V23</f>
        <v>2.0492330091775326</v>
      </c>
      <c r="R46">
        <f t="shared" si="5"/>
        <v>1.053171148616266E-2</v>
      </c>
      <c r="S46">
        <f>D37/4-D34/4</f>
        <v>0.25416666675000021</v>
      </c>
      <c r="T46">
        <f t="shared" si="6"/>
        <v>5.8831284194720748E-3</v>
      </c>
      <c r="V46">
        <f t="shared" si="7"/>
        <v>8.0625560990386269</v>
      </c>
      <c r="W46">
        <f t="shared" si="8"/>
        <v>0.19116661869731102</v>
      </c>
      <c r="Y46" s="14" t="s">
        <v>100</v>
      </c>
      <c r="Z46" s="14"/>
      <c r="AA46" s="5">
        <f>$S$32</f>
        <v>4.0955631385339375</v>
      </c>
      <c r="AB46" s="5">
        <f>$T$32</f>
        <v>3.1205818596073187E-2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$AA$38</f>
        <v>7.6317887990303213</v>
      </c>
      <c r="AB47" s="5">
        <f>$AB$38</f>
        <v>5.296709919047371E-2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2019-09-04T11:12:35Z</dcterms:modified>
</cp:coreProperties>
</file>