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2818CB25-7DE5-42EA-98FD-A3F9226C7340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2" i="1" l="1"/>
  <c r="W31" i="1"/>
  <c r="S31" i="1"/>
  <c r="AB38" i="1"/>
  <c r="AA38" i="1"/>
  <c r="V48" i="1"/>
  <c r="W48" i="1"/>
  <c r="S48" i="1"/>
  <c r="Q48" i="1"/>
  <c r="R48" i="1"/>
  <c r="T48" i="1"/>
  <c r="T47" i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V38" i="1" s="1"/>
  <c r="AA47" i="1" s="1"/>
  <c r="AA44" i="1"/>
  <c r="AA43" i="1"/>
  <c r="T31" i="1"/>
  <c r="AB45" i="1" s="1"/>
  <c r="S32" i="1"/>
  <c r="AA46" i="1" s="1"/>
  <c r="P28" i="1"/>
  <c r="P30" i="1" s="1"/>
  <c r="X32" i="1" s="1"/>
  <c r="AB44" i="1" s="1"/>
  <c r="AB47" i="1" l="1"/>
  <c r="X31" i="1"/>
  <c r="AB43" i="1" s="1"/>
  <c r="AA45" i="1"/>
  <c r="T32" i="1"/>
  <c r="AB46" i="1" s="1"/>
  <c r="Y17" i="1" l="1"/>
  <c r="X17" i="1"/>
  <c r="U11" i="1"/>
  <c r="T11" i="1"/>
  <c r="O36" i="1" l="1"/>
  <c r="N37" i="1"/>
  <c r="J49" i="1"/>
  <c r="K48" i="1" s="1"/>
  <c r="K47" i="1"/>
  <c r="J48" i="1"/>
  <c r="W25" i="1"/>
  <c r="U26" i="1"/>
  <c r="T26" i="1"/>
  <c r="V25" i="1"/>
  <c r="R21" i="1"/>
  <c r="Q21" i="1"/>
  <c r="O22" i="1"/>
  <c r="N22" i="1"/>
  <c r="K21" i="1"/>
  <c r="H13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7" i="1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O35" i="1" s="1"/>
  <c r="K46" i="1"/>
  <c r="N36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0" i="1"/>
  <c r="AH20" i="1"/>
  <c r="AI23" i="1"/>
  <c r="AI24" i="1" s="1"/>
  <c r="AI27" i="1" s="1"/>
  <c r="AI28" i="1" s="1"/>
  <c r="AB18" i="1"/>
  <c r="AB21" i="1" s="1"/>
  <c r="AB16" i="1"/>
  <c r="AA19" i="1"/>
  <c r="AA20" i="1" s="1"/>
  <c r="T25" i="1" l="1"/>
  <c r="U25" i="1" s="1"/>
  <c r="T19" i="1"/>
  <c r="T18" i="1"/>
  <c r="V18" i="1" s="1"/>
  <c r="T16" i="1"/>
  <c r="T23" i="1"/>
  <c r="U23" i="1" s="1"/>
  <c r="T21" i="1"/>
  <c r="U21" i="1" s="1"/>
  <c r="T20" i="1"/>
  <c r="V20" i="1" s="1"/>
  <c r="T17" i="1"/>
  <c r="T15" i="1"/>
  <c r="U15" i="1" s="1"/>
  <c r="T22" i="1"/>
  <c r="T24" i="1"/>
  <c r="AH25" i="1"/>
  <c r="AI25" i="1"/>
  <c r="AA25" i="1"/>
  <c r="L4" i="1"/>
  <c r="AB20" i="1"/>
  <c r="V16" i="1" l="1"/>
  <c r="U20" i="1"/>
  <c r="U16" i="1"/>
  <c r="U17" i="1"/>
  <c r="V17" i="1"/>
  <c r="U19" i="1"/>
  <c r="W19" i="1" s="1"/>
  <c r="V19" i="1"/>
  <c r="V15" i="1"/>
  <c r="U18" i="1"/>
  <c r="W18" i="1" s="1"/>
  <c r="W23" i="1"/>
  <c r="V24" i="1"/>
  <c r="U22" i="1"/>
  <c r="W22" i="1" s="1"/>
  <c r="V22" i="1"/>
  <c r="W20" i="1"/>
  <c r="V21" i="1"/>
  <c r="U24" i="1"/>
  <c r="W24" i="1" s="1"/>
  <c r="V23" i="1"/>
  <c r="N20" i="1"/>
  <c r="N19" i="1"/>
  <c r="N13" i="1"/>
  <c r="N18" i="1"/>
  <c r="N17" i="1"/>
  <c r="N16" i="1"/>
  <c r="N14" i="1"/>
  <c r="N15" i="1"/>
  <c r="N21" i="1"/>
  <c r="N12" i="1"/>
  <c r="N11" i="1"/>
  <c r="AB25" i="1"/>
  <c r="M4" i="1"/>
  <c r="O20" i="1" s="1"/>
  <c r="H12" i="1"/>
  <c r="L11" i="1"/>
  <c r="W17" i="1" l="1"/>
  <c r="W16" i="1"/>
  <c r="W21" i="1"/>
  <c r="W15" i="1"/>
  <c r="O17" i="1"/>
  <c r="O19" i="1"/>
  <c r="O11" i="1"/>
  <c r="O16" i="1"/>
  <c r="O12" i="1"/>
  <c r="O13" i="1"/>
  <c r="O14" i="1"/>
  <c r="O21" i="1"/>
  <c r="O18" i="1"/>
  <c r="O15" i="1"/>
  <c r="Q20" i="1"/>
  <c r="Q13" i="1" l="1"/>
  <c r="Q15" i="1"/>
  <c r="Q17" i="1"/>
  <c r="Q19" i="1"/>
  <c r="Q14" i="1"/>
  <c r="Q18" i="1"/>
  <c r="Q16" i="1"/>
  <c r="Q11" i="1"/>
  <c r="Q12" i="1"/>
  <c r="R12" i="1" l="1"/>
  <c r="R20" i="1" l="1"/>
  <c r="R17" i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<sst xmlns="http://schemas.openxmlformats.org/spreadsheetml/2006/main" count="166" uniqueCount="101">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</sst>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9"/>
  <sheetViews>
    <sheetView tabSelected="1" zoomScale="62" zoomScaleNormal="62" workbookViewId="0">
      <selection activeCell="P27" sqref="P27:AB48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23.608738760000001</v>
      </c>
      <c r="M3">
        <v>0.01</v>
      </c>
      <c r="N3" t="s">
        <v>38</v>
      </c>
    </row>
    <row r="4" spans="1:35" x14ac:dyDescent="0.25">
      <c r="D4">
        <v>3.3333333329999999E-2</v>
      </c>
      <c r="E4">
        <v>11.808424199999999</v>
      </c>
      <c r="F4">
        <v>0.53333039520000003</v>
      </c>
      <c r="H4" s="11" t="s">
        <v>7</v>
      </c>
      <c r="I4" s="11"/>
      <c r="J4" s="11"/>
      <c r="K4" s="11"/>
      <c r="L4">
        <f>AA20</f>
        <v>7.9813650149616233</v>
      </c>
      <c r="M4">
        <f>AB20</f>
        <v>0.1035184910805354</v>
      </c>
      <c r="P4" t="s">
        <v>13</v>
      </c>
    </row>
    <row r="5" spans="1:35" x14ac:dyDescent="0.25">
      <c r="D5">
        <v>0.05</v>
      </c>
      <c r="E5">
        <v>-11.80031456</v>
      </c>
      <c r="F5">
        <v>0.5195015945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23.608738760000001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0.46666666670000001</v>
      </c>
      <c r="E10">
        <v>11.07296768</v>
      </c>
      <c r="F10">
        <v>0.60619766860000002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11.804369380000001</v>
      </c>
      <c r="AB10">
        <f>AB9</f>
        <v>0.01</v>
      </c>
      <c r="AE10" t="s">
        <v>65</v>
      </c>
      <c r="AH10">
        <f>L3</f>
        <v>23.608738760000001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0.56666666669999999</v>
      </c>
      <c r="E11">
        <v>11.43550976</v>
      </c>
      <c r="F11">
        <v>0.62157603130000005</v>
      </c>
      <c r="G11" t="s">
        <v>57</v>
      </c>
      <c r="H11">
        <f>M3</f>
        <v>0.01</v>
      </c>
      <c r="K11">
        <f>ABS(E11-E14)</f>
        <v>2.0273450010000005</v>
      </c>
      <c r="L11">
        <f>SQRT((H11^2)+(H11^2))</f>
        <v>1.4142135623730951E-2</v>
      </c>
      <c r="N11">
        <f>($L$4-$L$5)*(E11/$L$4)</f>
        <v>10.56151628388111</v>
      </c>
      <c r="O11">
        <f>SQRT(((E11/$L$4)*$M$4)^2+((E11/$L$4)*$M$5)^2+(($L$4-$L$5)*$H$11)^2+(((($L$5-$L$4)*E11)/($L$4^2))*$M$4)^2)</f>
        <v>0.21493382866591518</v>
      </c>
      <c r="Q11">
        <f>N11-N12</f>
        <v>1.8723990176635947</v>
      </c>
      <c r="R11">
        <f>SQRT((O11^2)+(O12^2))</f>
        <v>0.28146223467079173</v>
      </c>
      <c r="T11" s="5">
        <f>AVERAGE(Q11:Q21)</f>
        <v>1.8589161295836134</v>
      </c>
      <c r="U11" s="5">
        <f>SQRT(((R11^2)+(R12^2)+(R13^2)+(R14^2)+(R15^2)+(R16^2)+(R17^2)+(R18^2)+(R19^2)+(R20^2)+(R21^2))/($H$13-1))</f>
        <v>0.19128271210608772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0.93333333330000001</v>
      </c>
      <c r="E12">
        <v>11.1026477</v>
      </c>
      <c r="F12">
        <v>0.63196939640000005</v>
      </c>
      <c r="G12" t="s">
        <v>58</v>
      </c>
      <c r="H12">
        <f>L6</f>
        <v>4.1599999999999996E-3</v>
      </c>
      <c r="K12">
        <f>ABS(E14-E17)</f>
        <v>1.9684396839999998</v>
      </c>
      <c r="L12" s="1"/>
      <c r="N12">
        <f>($L$4-$L$5)*(E14/$L$4)</f>
        <v>8.6891172662175151</v>
      </c>
      <c r="O12">
        <f>SQRT(((E14/$L$4)*$M$4)^2+((E14/$L$4)*$M$5)^2+(($L$4-$L$5)*$H$11)^2+(((($L$5-$L$4)*E14)/($L$4^2))*$M$4)^2)</f>
        <v>0.18172627449239925</v>
      </c>
      <c r="Q12">
        <f t="shared" ref="Q12:Q21" si="0">N12-N13</f>
        <v>1.8179957179629742</v>
      </c>
      <c r="R12">
        <f t="shared" ref="R12:R21" si="1">SQRT((O12^2)+(O13^2))</f>
        <v>0.23603229671391815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1.3666666670000001</v>
      </c>
      <c r="E13">
        <v>9.1079436650000005</v>
      </c>
      <c r="F13">
        <v>0.62574566529999998</v>
      </c>
      <c r="G13" t="s">
        <v>39</v>
      </c>
      <c r="H13" s="4">
        <f>C45</f>
        <v>12</v>
      </c>
      <c r="K13">
        <f>ABS(E17-E20)</f>
        <v>2.1055317389999999</v>
      </c>
      <c r="L13" s="1"/>
      <c r="N13">
        <f>($L$4-$L$5)*(E17/$L$4)</f>
        <v>6.8711215482545409</v>
      </c>
      <c r="O13">
        <f>SQRT(((E17/$L$4)*$M$4)^2+((E17/$L$4)*$M$5)^2+(($L$4-$L$5)*$H$11)^2+(((($L$5-$L$4)*E17)/($L$4^2))*$M$4)^2)</f>
        <v>0.15062140037577748</v>
      </c>
      <c r="Q13">
        <f t="shared" si="0"/>
        <v>1.9446100973531948</v>
      </c>
      <c r="R13">
        <f t="shared" si="1"/>
        <v>0.19232743354731976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1.483333333</v>
      </c>
      <c r="E14">
        <v>9.4081647589999999</v>
      </c>
      <c r="F14">
        <v>0.61573123870000002</v>
      </c>
      <c r="K14">
        <f>ABS(E20-E23)</f>
        <v>1.9814202830000003</v>
      </c>
      <c r="L14" s="1"/>
      <c r="N14">
        <f>($L$4-$L$5)*(E20/$L$4)</f>
        <v>4.9265114509013461</v>
      </c>
      <c r="O14">
        <f>SQRT(((E20/$L$4)*$M$4)^2+((E20/$L$4)*$M$5)^2+(($L$4-$L$5)*$H$11)^2+(((($L$5-$L$4)*E20)/($L$4^2))*$M$4)^2)</f>
        <v>0.11959529858543119</v>
      </c>
      <c r="Q14">
        <f t="shared" si="0"/>
        <v>1.829984235360997</v>
      </c>
      <c r="R14">
        <f t="shared" si="1"/>
        <v>0.15244907010617126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1.8043693800000007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1.816666667</v>
      </c>
      <c r="E15">
        <v>9.1371689590000003</v>
      </c>
      <c r="F15">
        <v>0.61234823459999999</v>
      </c>
      <c r="K15">
        <f>ABS(E26-E23)</f>
        <v>2.0497768409999999</v>
      </c>
      <c r="L15" s="1"/>
      <c r="N15">
        <f>($L$4-$L$5)*(E23/$L$4)</f>
        <v>3.0965272155403492</v>
      </c>
      <c r="O15">
        <f>SQRT(((E23/$L$4)*$M$4)^2+((E23/$L$4)*$M$5)^2+(($L$4-$L$5)*$H$11)^2+(((($L$5-$L$4)*E23)/($L$4^2))*$M$4)^2)</f>
        <v>9.4539322678438301E-2</v>
      </c>
      <c r="Q15">
        <f t="shared" si="0"/>
        <v>1.893116436336624</v>
      </c>
      <c r="R15">
        <f t="shared" si="1"/>
        <v>0.12206805497778297</v>
      </c>
      <c r="T15">
        <f>E11*$AH$28</f>
        <v>10.072430827457563</v>
      </c>
      <c r="U15">
        <f>(SQRT(($M$3/E11)^2+($AI$28/$AH$28^2)))/100*T15</f>
        <v>1.0079225527128833E-2</v>
      </c>
      <c r="V15">
        <f>T15-T16</f>
        <v>1.7856914745848975</v>
      </c>
      <c r="W15">
        <f>SQRT(U15^2+U16^2)</f>
        <v>1.3052050488843685E-2</v>
      </c>
      <c r="Z15" t="s">
        <v>26</v>
      </c>
      <c r="AA15">
        <f>AA14/AA13</f>
        <v>1.4789912950819679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2.233333333</v>
      </c>
      <c r="E16">
        <v>7.1001453530000003</v>
      </c>
      <c r="F16">
        <v>0.61640941309999997</v>
      </c>
      <c r="K16">
        <f>ABS(E29-E26)</f>
        <v>1.9161762452</v>
      </c>
      <c r="L16" s="1"/>
      <c r="N16">
        <f>($L$4-$L$5)*(E26/$L$4)</f>
        <v>1.2034107792037252</v>
      </c>
      <c r="O16">
        <f>SQRT(((E26/$L$4)*$M$4)^2+((E26/$L$4)*$M$5)^2+(($L$4-$L$5)*$H$11)^2+(((($L$5-$L$4)*E26)/($L$4^2))*$M$4)^2)</f>
        <v>7.7219987785295388E-2</v>
      </c>
      <c r="Q16">
        <f t="shared" si="0"/>
        <v>1.7697266708000225</v>
      </c>
      <c r="R16">
        <f t="shared" si="1"/>
        <v>0.10730251271559428</v>
      </c>
      <c r="T16">
        <f>E14*$AH$28</f>
        <v>8.2867393528726652</v>
      </c>
      <c r="U16">
        <f>(SQRT(($M$3/E14)^2+($AI$28/$AH$28^2)))/100*T16</f>
        <v>8.2924806141828986E-3</v>
      </c>
      <c r="V16">
        <f t="shared" ref="V16:V25" si="2">T16-T17</f>
        <v>1.7338074971056141</v>
      </c>
      <c r="W16">
        <f t="shared" ref="W16:W25" si="3">SQRT(U16^2+U17^2)</f>
        <v>1.0572065982944721E-2</v>
      </c>
      <c r="X16" s="6" t="s">
        <v>83</v>
      </c>
      <c r="Y16" s="6" t="s">
        <v>84</v>
      </c>
      <c r="Z16" t="s">
        <v>27</v>
      </c>
      <c r="AA16">
        <f>ATAN(AA14/AA13)</f>
        <v>0.97626630619768295</v>
      </c>
      <c r="AB16">
        <f>(ABS(1/(1+AA15)))*AB15</f>
        <v>3.3064744227770211E-3</v>
      </c>
      <c r="AG16" t="s">
        <v>69</v>
      </c>
      <c r="AH16">
        <f>AH10/2</f>
        <v>11.804369380000001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2.3333333330000001</v>
      </c>
      <c r="E17">
        <v>7.4397250750000001</v>
      </c>
      <c r="F17">
        <v>0.62226074310000001</v>
      </c>
      <c r="K17">
        <f>ABS(E32-E29)</f>
        <v>1.9917051917999999</v>
      </c>
      <c r="L17" s="1"/>
      <c r="N17">
        <f>($L$4-$L$5)*(E29/$L$4)</f>
        <v>-0.56631589159629736</v>
      </c>
      <c r="O17">
        <f>SQRT(((E29/$L$4)*$M$4)^2+((E29/$L$4)*$M$5)^2+(($L$4-$L$5)*$H$11)^2+(((($L$5-$L$4)*E29)/($L$4^2))*$M$4)^2)</f>
        <v>7.4504380552549418E-2</v>
      </c>
      <c r="Q17">
        <f t="shared" si="0"/>
        <v>1.8394830888488742</v>
      </c>
      <c r="R17">
        <f t="shared" si="1"/>
        <v>0.1144539370452651</v>
      </c>
      <c r="T17">
        <f>E17*$AH$28</f>
        <v>6.5529318557670511</v>
      </c>
      <c r="U17">
        <f>(SQRT(($M$3/E17)^2+($AI$28/$AH$28^2)))/100*T17</f>
        <v>6.5576935283022898E-3</v>
      </c>
      <c r="V17">
        <f t="shared" si="2"/>
        <v>1.8545585847231987</v>
      </c>
      <c r="W17">
        <f t="shared" si="3"/>
        <v>8.0693195768966452E-3</v>
      </c>
      <c r="X17" s="5">
        <f>AVERAGE(V15:V25)</f>
        <v>1.7728329556099993</v>
      </c>
      <c r="Y17" s="5">
        <f>SQRT(((W15^2)+(W16^2)+(W17^2)+(W18^2)+(W19^2)+(W20^2)+(W21^2)+(W22^2)+(W23^2)+(W24^2)+(W25^2))/($H$13-1))</f>
        <v>8.0071961654102075E-3</v>
      </c>
      <c r="Z17" t="s">
        <v>28</v>
      </c>
      <c r="AA17">
        <f>SQRT((AA14^2)+(AA13^2))</f>
        <v>2.1781067144383877</v>
      </c>
      <c r="AB17">
        <f>SQRT(((ABS(AA13*(AA13^2+AA14^2)))*AB13)^2+((ABS(AA14*(AA13^2+AA14^2)))*AB14)^2)</f>
        <v>8.5601969362105026E-2</v>
      </c>
      <c r="AG17" t="s">
        <v>70</v>
      </c>
      <c r="AH17">
        <f>(AH16)-AH15</f>
        <v>1.8043693800000007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2.6833333330000002</v>
      </c>
      <c r="E18">
        <v>7.1492583769999998</v>
      </c>
      <c r="F18">
        <v>0.62889739170000003</v>
      </c>
      <c r="K18">
        <f>ABS(E35-E32)</f>
        <v>1.9721585070000001</v>
      </c>
      <c r="N18">
        <f>($L$4-$L$5)*(E32/$L$4)</f>
        <v>-2.4057989804451716</v>
      </c>
      <c r="O18">
        <f>SQRT(((E32/$L$4)*$M$4)^2+((E32/$L$4)*$M$5)^2+(($L$4-$L$5)*$H$11)^2+(((($L$5-$L$4)*E32)/($L$4^2))*$M$4)^2)</f>
        <v>8.6883836147136156E-2</v>
      </c>
      <c r="Q18">
        <f t="shared" si="0"/>
        <v>1.8214303186494027</v>
      </c>
      <c r="R18">
        <f t="shared" si="1"/>
        <v>0.13968772215458169</v>
      </c>
      <c r="T18">
        <f>E20*$AH$28</f>
        <v>4.6983732710438524</v>
      </c>
      <c r="U18">
        <f>(SQRT(($M$3/E20)^2+($AI$28/$AH$28^2)))/100*T18</f>
        <v>4.7021882164530304E-3</v>
      </c>
      <c r="V18">
        <f t="shared" si="2"/>
        <v>1.7452408471066612</v>
      </c>
      <c r="W18">
        <f t="shared" si="3"/>
        <v>5.5543160184565107E-3</v>
      </c>
      <c r="Z18" t="s">
        <v>29</v>
      </c>
      <c r="AA18">
        <f>AA17/AA14</f>
        <v>1.2071290604800591</v>
      </c>
      <c r="AB18">
        <f>(((AB17/AA17)*100+(AB14/AA14)*100)/100)*AA18</f>
        <v>5.413152154405633E-2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3.1333333329999999</v>
      </c>
      <c r="E19">
        <v>5.0371984449999996</v>
      </c>
      <c r="F19">
        <v>0.63709422510000002</v>
      </c>
      <c r="K19">
        <f>ABS(E38-E35)</f>
        <v>2.0534956639999997</v>
      </c>
      <c r="N19">
        <f>($L$4-$L$5)*(E35/$L$4)</f>
        <v>-4.2272292990945743</v>
      </c>
      <c r="O19">
        <f>SQRT(((E35/$L$4)*$M$4)^2+((E35/$L$4)*$M$5)^2+(($L$4-$L$5)*$H$11)^2+(((($L$5-$L$4)*E35)/($L$4^2))*$M$4)^2)</f>
        <v>0.10937942556574891</v>
      </c>
      <c r="Q19">
        <f t="shared" si="0"/>
        <v>1.8965510370230536</v>
      </c>
      <c r="R19">
        <f t="shared" si="1"/>
        <v>0.17635668974095201</v>
      </c>
      <c r="T19">
        <f>E23*$AH$28</f>
        <v>2.9531324239371912</v>
      </c>
      <c r="U19">
        <f>(SQRT(($M$3/E23)^2+($AI$28/$AH$28^2)))/100*T19</f>
        <v>2.9563241381710594E-3</v>
      </c>
      <c r="V19">
        <f t="shared" si="2"/>
        <v>1.805449505619326</v>
      </c>
      <c r="W19">
        <f t="shared" si="3"/>
        <v>3.1727690739233529E-3</v>
      </c>
      <c r="Z19" t="s">
        <v>30</v>
      </c>
      <c r="AA19">
        <f>1/AA15</f>
        <v>0.67613650149616233</v>
      </c>
      <c r="AB19">
        <f>AB15</f>
        <v>8.1967213114754103E-3</v>
      </c>
      <c r="AG19" t="s">
        <v>72</v>
      </c>
      <c r="AH19">
        <f>AH17/AH18</f>
        <v>0.75182057500000032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3.25</v>
      </c>
      <c r="E20">
        <v>5.3341933360000002</v>
      </c>
      <c r="F20">
        <v>0.63038178889999996</v>
      </c>
      <c r="K20">
        <f>ABS(E41-E38)</f>
        <v>1.962176748000001</v>
      </c>
      <c r="N20">
        <f>($L$4-$L$5)*(E38/$L$4)</f>
        <v>-6.123780336117628</v>
      </c>
      <c r="O20">
        <f>SQRT(((E38/$L$4)*$M$4)^2+((E38/$L$4)*$M$5)^2+(($L$4-$L$5)*$H$11)^2+(((($L$5-$L$4)*E38)/($L$4^2))*$M$4)^2)</f>
        <v>0.13833952175460634</v>
      </c>
      <c r="Q20">
        <f t="shared" si="0"/>
        <v>1.8122114458197007</v>
      </c>
      <c r="R20">
        <f t="shared" si="1"/>
        <v>0.21814377517751413</v>
      </c>
      <c r="T20">
        <f>E26*$AH$28</f>
        <v>1.1476829183178652</v>
      </c>
      <c r="U20">
        <f>(SQRT(($M$3/E26)^2+($AI$28/$AH$28^2)))/100*T20</f>
        <v>1.1517860853958919E-3</v>
      </c>
      <c r="V20">
        <f t="shared" si="2"/>
        <v>1.6877737055942457</v>
      </c>
      <c r="W20">
        <f t="shared" si="3"/>
        <v>1.2753190815856892E-3</v>
      </c>
      <c r="Z20" t="s">
        <v>31</v>
      </c>
      <c r="AA20">
        <f>AA10*AA19</f>
        <v>7.9813650149616233</v>
      </c>
      <c r="AB20">
        <f>(((AB10/AA10)*100+(AB19/AA19)*100)/100)*AA20</f>
        <v>0.1035184910805354</v>
      </c>
      <c r="AG20" t="s">
        <v>73</v>
      </c>
      <c r="AH20">
        <f>ATAN(AH19)</f>
        <v>0.64466525894404447</v>
      </c>
      <c r="AI20">
        <f>(ABS(1/(1+AH19)))*AI19</f>
        <v>2.3784779823508274E-3</v>
      </c>
    </row>
    <row r="21" spans="2:35" x14ac:dyDescent="0.25">
      <c r="B21" s="9" t="s">
        <v>56</v>
      </c>
      <c r="C21">
        <v>4</v>
      </c>
      <c r="D21">
        <v>3.5666666669999998</v>
      </c>
      <c r="E21">
        <v>5.0860462110000002</v>
      </c>
      <c r="F21">
        <v>0.62673352790000003</v>
      </c>
      <c r="K21">
        <f>ABS(E44-E41)</f>
        <v>2.1119841459999993</v>
      </c>
      <c r="N21">
        <f>($L$4-$L$5)*(E41/$L$4)</f>
        <v>-7.9359917819373287</v>
      </c>
      <c r="O21">
        <f>SQRT(((E41/$L$4)*$M$4)^2+((E41/$L$4)*$M$5)^2+(($L$4-$L$5)*$H$11)^2+(((($L$5-$L$4)*E41)/($L$4^2))*$M$4)^2)</f>
        <v>0.16866796782259702</v>
      </c>
      <c r="Q21">
        <f t="shared" si="0"/>
        <v>1.9505693596013103</v>
      </c>
      <c r="R21">
        <f t="shared" si="1"/>
        <v>0.26382162302602519</v>
      </c>
      <c r="T21">
        <f>E29*$AH$28</f>
        <v>-0.54009078727638038</v>
      </c>
      <c r="U21">
        <f>(SQRT(($M$3/E29)^2+($AI$28/$AH$28^2)))/100*T21</f>
        <v>-5.4756513160077397E-4</v>
      </c>
      <c r="V21">
        <f t="shared" si="2"/>
        <v>1.7542998252046087</v>
      </c>
      <c r="W21">
        <f t="shared" si="3"/>
        <v>2.3618882623454617E-3</v>
      </c>
      <c r="Z21" t="s">
        <v>32</v>
      </c>
      <c r="AA21">
        <f>AA10*AA18</f>
        <v>14.249397319238978</v>
      </c>
      <c r="AB21">
        <f>(((AB10/AA10)*100+(AB18/AA18)*100)/100)*AA21</f>
        <v>0.65105976601226945</v>
      </c>
    </row>
    <row r="22" spans="2:35" x14ac:dyDescent="0.25">
      <c r="B22" s="8" t="s">
        <v>54</v>
      </c>
      <c r="C22">
        <v>5</v>
      </c>
      <c r="D22">
        <v>4</v>
      </c>
      <c r="E22">
        <v>3.0720228569999999</v>
      </c>
      <c r="F22">
        <v>0.64358583570000005</v>
      </c>
      <c r="N22">
        <f>($L$4-$L$5)*(E44/$L$4)</f>
        <v>-9.886561141538639</v>
      </c>
      <c r="O22">
        <f>SQRT(((E44/$L$4)*$M$4)^2+((E44/$L$4)*$M$5)^2+(($L$4-$L$5)*$H$11)^2+(((($L$5-$L$4)*E44)/($L$4^2))*$M$4)^2)</f>
        <v>0.2028619368109294</v>
      </c>
      <c r="T22">
        <f>E32*$AH$28</f>
        <v>-2.294390612480989</v>
      </c>
      <c r="U22">
        <f>(SQRT(($M$3/E32)^2+($AI$28/$AH$28^2)))/100*T22</f>
        <v>-2.2975396820208113E-3</v>
      </c>
      <c r="V22">
        <f t="shared" si="2"/>
        <v>1.7370830474057928</v>
      </c>
      <c r="W22">
        <f t="shared" si="3"/>
        <v>4.643265971136931E-3</v>
      </c>
      <c r="AE22">
        <v>2</v>
      </c>
      <c r="AG22" t="s">
        <v>74</v>
      </c>
      <c r="AH22">
        <f>AH18/AH17</f>
        <v>1.3301045931072046</v>
      </c>
      <c r="AI22">
        <f>SQRT((AI17*(AH18/(AH17^2)))^2)</f>
        <v>7.371575952520343E-3</v>
      </c>
    </row>
    <row r="23" spans="2:35" x14ac:dyDescent="0.25">
      <c r="B23" s="5" t="s">
        <v>55</v>
      </c>
      <c r="C23">
        <v>5</v>
      </c>
      <c r="D23">
        <v>4.0833333329999997</v>
      </c>
      <c r="E23">
        <v>3.3527730529999999</v>
      </c>
      <c r="F23">
        <v>0.64359106180000003</v>
      </c>
      <c r="T23">
        <f>E35*$AH$28</f>
        <v>-4.0314736598867817</v>
      </c>
      <c r="U23">
        <f>(SQRT(($M$3/E35)^2+($AI$28/$AH$28^2)))/100*T23</f>
        <v>-4.0350006552983229E-3</v>
      </c>
      <c r="V23">
        <f t="shared" si="2"/>
        <v>1.8087250559195036</v>
      </c>
      <c r="W23">
        <f t="shared" si="3"/>
        <v>7.1021358813475885E-3</v>
      </c>
      <c r="AA23" t="s">
        <v>11</v>
      </c>
      <c r="AB23" t="s">
        <v>4</v>
      </c>
      <c r="AG23" t="s">
        <v>31</v>
      </c>
      <c r="AH23">
        <f>AH22*AH16</f>
        <v>15.701045931072047</v>
      </c>
      <c r="AI23">
        <f>((SQRT((((AI19/AH19)*100)^2)+(((AI16/AH16)*100)^2)))/100)*AH23</f>
        <v>8.802750851112269E-2</v>
      </c>
    </row>
    <row r="24" spans="2:35" x14ac:dyDescent="0.25">
      <c r="B24" s="9" t="s">
        <v>56</v>
      </c>
      <c r="C24">
        <v>5</v>
      </c>
      <c r="D24">
        <v>4.4166666670000003</v>
      </c>
      <c r="E24">
        <v>3.1079658129999999</v>
      </c>
      <c r="F24">
        <v>0.64643309999999998</v>
      </c>
      <c r="T24">
        <f>E38*$AH$28</f>
        <v>-5.8401987158062854</v>
      </c>
      <c r="U24">
        <f>(SQRT(($M$3/E38)^2+($AI$28/$AH$28^2)))/100*T24</f>
        <v>-5.8445790086940385E-3</v>
      </c>
      <c r="V24">
        <f t="shared" si="2"/>
        <v>1.7282910845485251</v>
      </c>
      <c r="W24">
        <f t="shared" si="3"/>
        <v>9.5667041658900522E-3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15.101045931072047</v>
      </c>
      <c r="AI24">
        <f>AI23</f>
        <v>8.802750851112269E-2</v>
      </c>
    </row>
    <row r="25" spans="2:35" x14ac:dyDescent="0.25">
      <c r="B25" s="8" t="s">
        <v>54</v>
      </c>
      <c r="C25">
        <v>6</v>
      </c>
      <c r="D25">
        <v>4.9000000000000004</v>
      </c>
      <c r="E25">
        <v>1.048434576</v>
      </c>
      <c r="F25">
        <v>0.6801364043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-7.5684898003548104</v>
      </c>
      <c r="U25">
        <f>(SQRT(($M$3/E41)^2+($AI$28/$AH$28^2)))/100*T25</f>
        <v>-7.5738183770665572E-3</v>
      </c>
      <c r="V25">
        <f t="shared" si="2"/>
        <v>1.8602418838976211</v>
      </c>
      <c r="W25">
        <f t="shared" si="3"/>
        <v>1.2098952379992261E-2</v>
      </c>
      <c r="Z25" t="s">
        <v>34</v>
      </c>
      <c r="AA25">
        <f>AA20-AA24</f>
        <v>7.371365014961623</v>
      </c>
      <c r="AB25">
        <f>SQRT((AB20^2)+(AB24^2))</f>
        <v>0.1035184910805354</v>
      </c>
      <c r="AG25" t="s">
        <v>76</v>
      </c>
      <c r="AH25">
        <f>AH22*AH24</f>
        <v>20.085970553641793</v>
      </c>
      <c r="AI25">
        <f>((SQRT((((AI22/AH22)*100)^2)+(((AI24/AH24)*100)^2)))/100)*AH25</f>
        <v>0.16155770803102068</v>
      </c>
    </row>
    <row r="26" spans="2:35" x14ac:dyDescent="0.25">
      <c r="B26" s="5" t="s">
        <v>55</v>
      </c>
      <c r="C26">
        <v>6</v>
      </c>
      <c r="D26">
        <v>4.983333333</v>
      </c>
      <c r="E26">
        <v>1.302996212</v>
      </c>
      <c r="F26">
        <v>0.67391658799999998</v>
      </c>
      <c r="J26">
        <f>D10/4</f>
        <v>0.116666666675</v>
      </c>
      <c r="K26">
        <f>J26-J27</f>
        <v>-0.11666666665</v>
      </c>
      <c r="M26">
        <v>1</v>
      </c>
      <c r="N26">
        <f>ABS(K26)</f>
        <v>0.11666666665</v>
      </c>
      <c r="O26">
        <f>ABS(K27)</f>
        <v>0.10833333342500001</v>
      </c>
      <c r="P26">
        <f>SQRT((H12^2)*2)</f>
        <v>5.8831284194720748E-3</v>
      </c>
      <c r="T26">
        <f>E44*$AH$28</f>
        <v>-9.4287316842524316</v>
      </c>
      <c r="U26">
        <f>(SQRT(($M$3/E44)^2+($AI$28/$AH$28^2)))/100*T26</f>
        <v>-9.4351430240632427E-3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5.35</v>
      </c>
      <c r="E27">
        <v>1.0581510780000001</v>
      </c>
      <c r="F27">
        <v>0.67349452970000001</v>
      </c>
      <c r="J27">
        <f>D12/4</f>
        <v>0.233333333325</v>
      </c>
      <c r="K27">
        <f t="shared" ref="K27:K48" si="4">J27-J28</f>
        <v>-0.10833333342500001</v>
      </c>
      <c r="M27">
        <v>2</v>
      </c>
      <c r="N27">
        <f>ABS(K28)</f>
        <v>0.11249999999999999</v>
      </c>
      <c r="O27">
        <f>ABS(K29)</f>
        <v>0.1041666665</v>
      </c>
      <c r="P27" t="s">
        <v>85</v>
      </c>
      <c r="AE27">
        <v>3</v>
      </c>
      <c r="AG27" t="s">
        <v>77</v>
      </c>
      <c r="AH27">
        <f>AH24-((3/2)*AH9)</f>
        <v>13.301045931072046</v>
      </c>
      <c r="AI27">
        <f>AI24</f>
        <v>8.802750851112269E-2</v>
      </c>
    </row>
    <row r="28" spans="2:35" x14ac:dyDescent="0.25">
      <c r="B28" s="8" t="s">
        <v>54</v>
      </c>
      <c r="C28">
        <v>7</v>
      </c>
      <c r="D28">
        <v>5.75</v>
      </c>
      <c r="E28">
        <v>-0.86159241499999994</v>
      </c>
      <c r="F28">
        <v>0.65660695069999997</v>
      </c>
      <c r="J28">
        <f>D13/4</f>
        <v>0.34166666675000001</v>
      </c>
      <c r="K28">
        <f t="shared" si="4"/>
        <v>-0.11249999999999999</v>
      </c>
      <c r="M28">
        <v>3</v>
      </c>
      <c r="N28">
        <f>ABS(K30)</f>
        <v>0.11250000000000004</v>
      </c>
      <c r="O28">
        <f>ABS(K31)</f>
        <v>0.11249999999999993</v>
      </c>
      <c r="P28">
        <f>H13</f>
        <v>12</v>
      </c>
      <c r="AG28" t="s">
        <v>78</v>
      </c>
      <c r="AH28">
        <f>AH27/AH24</f>
        <v>0.88080295840327827</v>
      </c>
      <c r="AI28">
        <f>SQRT((AI27/AH24)^2+((AH27*AI24/(AH24^2))^2))</f>
        <v>7.768015814521469E-3</v>
      </c>
    </row>
    <row r="29" spans="2:35" x14ac:dyDescent="0.25">
      <c r="B29" s="5" t="s">
        <v>55</v>
      </c>
      <c r="C29">
        <v>7</v>
      </c>
      <c r="D29">
        <v>5.8833333330000004</v>
      </c>
      <c r="E29">
        <v>-0.61318003320000003</v>
      </c>
      <c r="F29">
        <v>0.68310388749999995</v>
      </c>
      <c r="J29">
        <f>D15/4</f>
        <v>0.45416666675</v>
      </c>
      <c r="K29">
        <f t="shared" si="4"/>
        <v>-0.1041666665</v>
      </c>
      <c r="M29">
        <v>4</v>
      </c>
      <c r="N29">
        <f>ABS(K32)</f>
        <v>0.10833333349999996</v>
      </c>
      <c r="O29">
        <f>ABS(K33)</f>
        <v>0.10833333325000005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6.2166666670000001</v>
      </c>
      <c r="E30">
        <v>-0.84189415420000002</v>
      </c>
      <c r="F30">
        <v>0.66617187720000004</v>
      </c>
      <c r="J30">
        <f>D16/4</f>
        <v>0.55833333325000001</v>
      </c>
      <c r="K30">
        <f t="shared" si="4"/>
        <v>-0.11250000000000004</v>
      </c>
      <c r="M30">
        <v>5</v>
      </c>
      <c r="N30">
        <f>ABS(K34)</f>
        <v>0.10416666675000008</v>
      </c>
      <c r="O30">
        <f>ABS(K35)</f>
        <v>0.12083333325000001</v>
      </c>
      <c r="P30">
        <f>P28-1</f>
        <v>11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6.6333333330000004</v>
      </c>
      <c r="E31">
        <v>-2.8236933749999999</v>
      </c>
      <c r="F31">
        <v>0.64674018470000005</v>
      </c>
      <c r="J31">
        <f>D18/4</f>
        <v>0.67083333325000005</v>
      </c>
      <c r="K31">
        <f t="shared" si="4"/>
        <v>-0.11249999999999993</v>
      </c>
      <c r="M31">
        <v>6</v>
      </c>
      <c r="N31">
        <f>ABS(K36)</f>
        <v>0.11249999999999982</v>
      </c>
      <c r="O31">
        <f>ABS(K37)</f>
        <v>0.10000000000000009</v>
      </c>
      <c r="R31" s="6" t="s">
        <v>17</v>
      </c>
      <c r="S31" s="5">
        <f>SUM(N26:O37)</f>
        <v>2.5416666658249998</v>
      </c>
      <c r="T31" s="5">
        <f>SQRT((P26^2)*10)</f>
        <v>1.8604085572798249E-2</v>
      </c>
      <c r="V31" s="6" t="s">
        <v>14</v>
      </c>
      <c r="W31" s="5">
        <f>AVERAGE(N26:N37)</f>
        <v>0.10972222213749999</v>
      </c>
      <c r="X31" s="12">
        <f>SQRT(((P26)^2)/P28)</f>
        <v>1.6983128883296698E-3</v>
      </c>
    </row>
    <row r="32" spans="2:35" x14ac:dyDescent="0.25">
      <c r="B32" s="5" t="s">
        <v>55</v>
      </c>
      <c r="C32">
        <v>8</v>
      </c>
      <c r="D32">
        <v>6.75</v>
      </c>
      <c r="E32">
        <v>-2.6048852249999999</v>
      </c>
      <c r="F32">
        <v>0.65399358689999998</v>
      </c>
      <c r="J32">
        <f>D19/4</f>
        <v>0.78333333324999999</v>
      </c>
      <c r="K32">
        <f t="shared" si="4"/>
        <v>-0.10833333349999996</v>
      </c>
      <c r="M32">
        <v>7</v>
      </c>
      <c r="N32">
        <f>ABS(K38)</f>
        <v>0.11666666675000004</v>
      </c>
      <c r="O32">
        <f>ABS(K39)</f>
        <v>0.10416666650000006</v>
      </c>
      <c r="R32" s="6" t="s">
        <v>19</v>
      </c>
      <c r="S32" s="5">
        <f>H13/S31</f>
        <v>4.7213114769732876</v>
      </c>
      <c r="T32" s="5">
        <f>(H13/(S31^2))*T31</f>
        <v>3.4558301414766728E-2</v>
      </c>
      <c r="V32" s="6" t="s">
        <v>16</v>
      </c>
      <c r="W32" s="5">
        <f>AVERAGE(O26:O36)</f>
        <v>0.11136363637954544</v>
      </c>
      <c r="X32" s="12">
        <f>SQRT(((P26)^2)/P30)</f>
        <v>1.7738299600786787E-3</v>
      </c>
    </row>
    <row r="33" spans="2:42" x14ac:dyDescent="0.25">
      <c r="B33" s="9" t="s">
        <v>56</v>
      </c>
      <c r="C33">
        <v>8</v>
      </c>
      <c r="D33">
        <v>7.0666666669999998</v>
      </c>
      <c r="E33">
        <v>-2.8171651820000001</v>
      </c>
      <c r="F33">
        <v>0.646664397</v>
      </c>
      <c r="J33">
        <f>D21/4</f>
        <v>0.89166666674999995</v>
      </c>
      <c r="K33">
        <f t="shared" si="4"/>
        <v>-0.10833333325000005</v>
      </c>
      <c r="M33">
        <v>8</v>
      </c>
      <c r="N33">
        <f>ABS(K40)</f>
        <v>0.10833333349999985</v>
      </c>
      <c r="O33">
        <f>ABS(K41)</f>
        <v>0.10416666650000006</v>
      </c>
      <c r="P33" s="3"/>
      <c r="Q33" s="3"/>
    </row>
    <row r="34" spans="2:42" x14ac:dyDescent="0.25">
      <c r="B34" s="8" t="s">
        <v>54</v>
      </c>
      <c r="C34">
        <v>9</v>
      </c>
      <c r="D34">
        <v>7.483333333</v>
      </c>
      <c r="E34">
        <v>-4.8088324809999996</v>
      </c>
      <c r="F34">
        <v>0.62081819289999995</v>
      </c>
      <c r="J34">
        <f>D22/4</f>
        <v>1</v>
      </c>
      <c r="K34">
        <f t="shared" si="4"/>
        <v>-0.10416666675000008</v>
      </c>
      <c r="M34">
        <v>9</v>
      </c>
      <c r="N34">
        <f>ABS(K42)</f>
        <v>0.10833333350000007</v>
      </c>
      <c r="O34">
        <f>ABS(K43)</f>
        <v>0.12499999999999978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7.6333333330000004</v>
      </c>
      <c r="E35">
        <v>-4.5770437319999999</v>
      </c>
      <c r="F35">
        <v>0.62139182660000003</v>
      </c>
      <c r="J35">
        <f>D24/4</f>
        <v>1.1041666667500001</v>
      </c>
      <c r="K35">
        <f t="shared" si="4"/>
        <v>-0.12083333325000001</v>
      </c>
      <c r="M35">
        <v>10</v>
      </c>
      <c r="N35">
        <f>ABS(K44)</f>
        <v>9.5833333250000319E-2</v>
      </c>
      <c r="O35">
        <f>ABS(K45)</f>
        <v>0.11249999999999982</v>
      </c>
      <c r="P35" s="3"/>
      <c r="Q35" s="3"/>
    </row>
    <row r="36" spans="2:42" x14ac:dyDescent="0.25">
      <c r="B36" s="9" t="s">
        <v>56</v>
      </c>
      <c r="C36">
        <v>9</v>
      </c>
      <c r="D36">
        <v>7.9166666670000003</v>
      </c>
      <c r="E36">
        <v>-4.7958139879999999</v>
      </c>
      <c r="F36">
        <v>0.61740252100000004</v>
      </c>
      <c r="J36">
        <f>D25/4</f>
        <v>1.2250000000000001</v>
      </c>
      <c r="K36">
        <f t="shared" si="4"/>
        <v>-0.11249999999999982</v>
      </c>
      <c r="M36">
        <v>11</v>
      </c>
      <c r="N36">
        <f>ABS(K46)</f>
        <v>0.10416666674999986</v>
      </c>
      <c r="O36">
        <f>ABS(K47)</f>
        <v>0.12500000075000006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8.4166666669999994</v>
      </c>
      <c r="E37">
        <v>-6.8917429070000003</v>
      </c>
      <c r="F37">
        <v>0.60908940249999999</v>
      </c>
      <c r="J37">
        <f>D27/4</f>
        <v>1.3374999999999999</v>
      </c>
      <c r="K37">
        <f t="shared" si="4"/>
        <v>-0.10000000000000009</v>
      </c>
      <c r="M37">
        <v>12</v>
      </c>
      <c r="N37">
        <f>ABS(K48)</f>
        <v>0.11666666499999989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8.5</v>
      </c>
      <c r="E38">
        <v>-6.6305393959999996</v>
      </c>
      <c r="F38">
        <v>0.61258608820000005</v>
      </c>
      <c r="J38">
        <f>D28/4</f>
        <v>1.4375</v>
      </c>
      <c r="K38">
        <f t="shared" si="4"/>
        <v>-0.11666666675000004</v>
      </c>
      <c r="Q38">
        <f>V15</f>
        <v>1.7856914745848975</v>
      </c>
      <c r="R38">
        <f t="shared" ref="Q38:R47" si="5">W15</f>
        <v>1.3052050488843685E-2</v>
      </c>
      <c r="S38">
        <f>D13/4-D10/4</f>
        <v>0.22500000007500001</v>
      </c>
      <c r="T38">
        <f>$P$26</f>
        <v>5.8831284194720748E-3</v>
      </c>
      <c r="V38">
        <f>Q38/S38</f>
        <v>7.9364065510651862</v>
      </c>
      <c r="W38">
        <f>SQRT(((1/S38)*R38)^2+((Q38/(S38^2))*T38)^2)</f>
        <v>0.21547059325353735</v>
      </c>
      <c r="Y38" s="6" t="s">
        <v>94</v>
      </c>
      <c r="Z38" s="6"/>
      <c r="AA38" s="5">
        <f>AVERAGE(V38:V48)</f>
        <v>8.0441929694186101</v>
      </c>
      <c r="AB38" s="13">
        <f>SQRT(SUM(W38^2+W39^2+W40^2+W41^2+W42^2+W43^2+W44^2+W45^2+W46^2+W47^2+W48^2)/(H13^2))</f>
        <v>6.0310606377960062E-2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8.8000000000000007</v>
      </c>
      <c r="E39">
        <v>-6.8198191010000002</v>
      </c>
      <c r="F39">
        <v>0.61804802759999999</v>
      </c>
      <c r="J39">
        <f>D30/4</f>
        <v>1.55416666675</v>
      </c>
      <c r="K39">
        <f t="shared" si="4"/>
        <v>-0.10416666650000006</v>
      </c>
      <c r="Q39">
        <f t="shared" si="5"/>
        <v>1.7338074971056141</v>
      </c>
      <c r="R39">
        <f t="shared" si="5"/>
        <v>1.0572065982944721E-2</v>
      </c>
      <c r="S39">
        <f>D16/4-D13/4</f>
        <v>0.21666666649999999</v>
      </c>
      <c r="T39">
        <f t="shared" ref="T39:T48" si="6">$P$26</f>
        <v>5.8831284194720748E-3</v>
      </c>
      <c r="V39">
        <f t="shared" ref="V39:V47" si="7">Q39/S39</f>
        <v>8.0021884543352879</v>
      </c>
      <c r="W39">
        <f t="shared" ref="W39:W47" si="8">SQRT(((1/S39)*R39)^2+((Q39/(S39^2))*T39)^2)</f>
        <v>0.22269398017634201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9.25</v>
      </c>
      <c r="E40">
        <v>-8.8440136840000001</v>
      </c>
      <c r="F40">
        <v>0.60237305149999998</v>
      </c>
      <c r="J40">
        <f>D31/4</f>
        <v>1.6583333332500001</v>
      </c>
      <c r="K40">
        <f t="shared" si="4"/>
        <v>-0.10833333349999985</v>
      </c>
      <c r="Q40">
        <f t="shared" si="5"/>
        <v>1.8545585847231987</v>
      </c>
      <c r="R40">
        <f t="shared" si="5"/>
        <v>8.0693195768966452E-3</v>
      </c>
      <c r="S40">
        <f>D19/4-D16/4</f>
        <v>0.22499999999999998</v>
      </c>
      <c r="T40">
        <f t="shared" si="6"/>
        <v>5.8831284194720748E-3</v>
      </c>
      <c r="V40">
        <f t="shared" si="7"/>
        <v>8.2424825987697723</v>
      </c>
      <c r="W40">
        <f t="shared" si="8"/>
        <v>0.21848174659606479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9.3666666670000005</v>
      </c>
      <c r="E41">
        <v>-8.5927161440000006</v>
      </c>
      <c r="F41">
        <v>0.59619112910000005</v>
      </c>
      <c r="J41">
        <f>D33/4</f>
        <v>1.7666666667499999</v>
      </c>
      <c r="K41">
        <f t="shared" si="4"/>
        <v>-0.10416666650000006</v>
      </c>
      <c r="Q41">
        <f t="shared" si="5"/>
        <v>1.7452408471066612</v>
      </c>
      <c r="R41">
        <f t="shared" si="5"/>
        <v>5.5543160184565107E-3</v>
      </c>
      <c r="S41">
        <f>D22/4-D19/4</f>
        <v>0.21666666675000001</v>
      </c>
      <c r="T41">
        <f t="shared" si="6"/>
        <v>5.8831284194720748E-3</v>
      </c>
      <c r="V41">
        <f t="shared" si="7"/>
        <v>8.0549577527788365</v>
      </c>
      <c r="W41">
        <f t="shared" si="8"/>
        <v>0.2202126783096767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9.6666666669999994</v>
      </c>
      <c r="E42">
        <v>-8.7756571260000005</v>
      </c>
      <c r="F42">
        <v>0.58525679809999998</v>
      </c>
      <c r="J42">
        <f>D34/4</f>
        <v>1.87083333325</v>
      </c>
      <c r="K42">
        <f t="shared" si="4"/>
        <v>-0.10833333350000007</v>
      </c>
      <c r="Q42">
        <f t="shared" si="5"/>
        <v>1.805449505619326</v>
      </c>
      <c r="R42">
        <f t="shared" si="5"/>
        <v>3.1727690739233529E-3</v>
      </c>
      <c r="S42">
        <f>D25/4-D22/4</f>
        <v>0.22500000000000009</v>
      </c>
      <c r="T42">
        <f t="shared" si="6"/>
        <v>5.8831284194720748E-3</v>
      </c>
      <c r="V42">
        <f t="shared" si="7"/>
        <v>8.0242200249747793</v>
      </c>
      <c r="W42">
        <f t="shared" si="8"/>
        <v>0.2102845156901281</v>
      </c>
      <c r="Y42" s="14" t="s">
        <v>96</v>
      </c>
      <c r="Z42" s="14"/>
      <c r="AA42" s="12">
        <f>$X$17*100</f>
        <v>177.28329556099993</v>
      </c>
      <c r="AB42" s="12">
        <f>$Y$17</f>
        <v>8.0071961654102075E-3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B43" s="8" t="s">
        <v>54</v>
      </c>
      <c r="C43">
        <v>12</v>
      </c>
      <c r="D43">
        <v>10.16666667</v>
      </c>
      <c r="E43">
        <v>-10.900697660000001</v>
      </c>
      <c r="F43">
        <v>0.60013340010000005</v>
      </c>
      <c r="J43">
        <f>D36/4</f>
        <v>1.9791666667500001</v>
      </c>
      <c r="K43">
        <f t="shared" si="4"/>
        <v>-0.12499999999999978</v>
      </c>
      <c r="Q43">
        <f t="shared" si="5"/>
        <v>1.6877737055942457</v>
      </c>
      <c r="R43">
        <f t="shared" si="5"/>
        <v>1.2753190815856892E-3</v>
      </c>
      <c r="S43">
        <f>D28/4-D25/4</f>
        <v>0.21249999999999991</v>
      </c>
      <c r="T43">
        <f t="shared" si="6"/>
        <v>5.8831284194720748E-3</v>
      </c>
      <c r="V43">
        <f t="shared" si="7"/>
        <v>7.9424644969141003</v>
      </c>
      <c r="W43">
        <f t="shared" si="8"/>
        <v>0.2199714784166969</v>
      </c>
      <c r="Y43" s="14" t="s">
        <v>97</v>
      </c>
      <c r="Z43" s="14"/>
      <c r="AA43" s="12">
        <f>$W$31</f>
        <v>0.10972222213749999</v>
      </c>
      <c r="AB43" s="12">
        <f>$X$31</f>
        <v>1.6983128883296698E-3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B44" s="5" t="s">
        <v>55</v>
      </c>
      <c r="C44">
        <v>12</v>
      </c>
      <c r="D44">
        <v>10.28333333</v>
      </c>
      <c r="E44">
        <v>-10.70470029</v>
      </c>
      <c r="F44">
        <v>0.61091615570000002</v>
      </c>
      <c r="J44">
        <f>D37/4</f>
        <v>2.1041666667499999</v>
      </c>
      <c r="K44">
        <f t="shared" si="4"/>
        <v>-9.5833333250000319E-2</v>
      </c>
      <c r="Q44">
        <f t="shared" si="5"/>
        <v>1.7542998252046087</v>
      </c>
      <c r="R44">
        <f t="shared" si="5"/>
        <v>2.3618882623454617E-3</v>
      </c>
      <c r="S44">
        <f>D31/4-D28/4</f>
        <v>0.2208333332500001</v>
      </c>
      <c r="T44">
        <f t="shared" si="6"/>
        <v>5.8831284194720748E-3</v>
      </c>
      <c r="V44">
        <f t="shared" si="7"/>
        <v>7.9439992114714322</v>
      </c>
      <c r="W44">
        <f t="shared" si="8"/>
        <v>0.21190284309593185</v>
      </c>
      <c r="Y44" s="14" t="s">
        <v>98</v>
      </c>
      <c r="Z44" s="14"/>
      <c r="AA44" s="12">
        <f>$W$32</f>
        <v>0.11136363637954544</v>
      </c>
      <c r="AB44" s="12">
        <f>$X$32</f>
        <v>1.7738299600786787E-3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B45" s="9" t="s">
        <v>56</v>
      </c>
      <c r="C45">
        <v>12</v>
      </c>
      <c r="D45">
        <v>10.633333329999999</v>
      </c>
      <c r="E45">
        <v>-10.94628133</v>
      </c>
      <c r="F45">
        <v>0.61045620349999996</v>
      </c>
      <c r="J45">
        <f>D39/4</f>
        <v>2.2000000000000002</v>
      </c>
      <c r="K45">
        <f t="shared" si="4"/>
        <v>-0.11249999999999982</v>
      </c>
      <c r="Q45">
        <f t="shared" si="5"/>
        <v>1.7370830474057928</v>
      </c>
      <c r="R45">
        <f t="shared" si="5"/>
        <v>4.643265971136931E-3</v>
      </c>
      <c r="S45">
        <f>D34/4-D31/4</f>
        <v>0.21249999999999991</v>
      </c>
      <c r="T45">
        <f t="shared" si="6"/>
        <v>5.8831284194720748E-3</v>
      </c>
      <c r="V45">
        <f t="shared" si="7"/>
        <v>8.1745084583802043</v>
      </c>
      <c r="W45">
        <f t="shared" si="8"/>
        <v>0.22736619951761</v>
      </c>
      <c r="Y45" s="14" t="s">
        <v>99</v>
      </c>
      <c r="Z45" s="14"/>
      <c r="AA45" s="5">
        <f>$S$31</f>
        <v>2.5416666658249998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>D40/4</f>
        <v>2.3125</v>
      </c>
      <c r="K46">
        <f t="shared" si="4"/>
        <v>-0.10416666674999986</v>
      </c>
      <c r="Q46">
        <f>V23</f>
        <v>1.8087250559195036</v>
      </c>
      <c r="R46">
        <f t="shared" si="5"/>
        <v>7.1021358813475885E-3</v>
      </c>
      <c r="S46">
        <f>D37/4-D34/4</f>
        <v>0.23333333349999985</v>
      </c>
      <c r="T46">
        <f t="shared" si="6"/>
        <v>5.8831284194720748E-3</v>
      </c>
      <c r="V46">
        <f t="shared" si="7"/>
        <v>7.7516788055466783</v>
      </c>
      <c r="W46">
        <f t="shared" si="8"/>
        <v>0.19780213970352895</v>
      </c>
      <c r="Y46" s="14" t="s">
        <v>100</v>
      </c>
      <c r="Z46" s="14"/>
      <c r="AA46" s="5">
        <f>$S$32</f>
        <v>4.7213114769732876</v>
      </c>
      <c r="AB46" s="5">
        <f>$T$32</f>
        <v>3.4558301414766728E-2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2.4166666667499999</v>
      </c>
      <c r="K47">
        <f t="shared" si="4"/>
        <v>-0.12500000075000006</v>
      </c>
      <c r="Q47">
        <f>V24</f>
        <v>1.7282910845485251</v>
      </c>
      <c r="R47">
        <f t="shared" si="5"/>
        <v>9.5667041658900522E-3</v>
      </c>
      <c r="S47">
        <f>D40/4-D37/4</f>
        <v>0.20833333325000014</v>
      </c>
      <c r="T47">
        <f t="shared" si="6"/>
        <v>5.8831284194720748E-3</v>
      </c>
      <c r="V47">
        <f t="shared" si="7"/>
        <v>8.2957972091512335</v>
      </c>
      <c r="W47">
        <f t="shared" si="8"/>
        <v>0.23872332342112354</v>
      </c>
      <c r="Y47" s="14" t="s">
        <v>92</v>
      </c>
      <c r="Z47" s="14"/>
      <c r="AA47" s="5">
        <f>$AA$38</f>
        <v>8.0441929694186101</v>
      </c>
      <c r="AB47" s="5">
        <f>$AB$38</f>
        <v>6.0310606377960062E-2</v>
      </c>
      <c r="AC47" s="7"/>
      <c r="AD47" s="10"/>
      <c r="AE47" s="10"/>
      <c r="AF47" s="10"/>
    </row>
    <row r="48" spans="2:42" x14ac:dyDescent="0.25">
      <c r="I48" s="3"/>
      <c r="J48">
        <f t="shared" ref="J48" si="9">D43/4</f>
        <v>2.5416666674999999</v>
      </c>
      <c r="K48">
        <f t="shared" si="4"/>
        <v>-0.11666666499999989</v>
      </c>
      <c r="Q48">
        <f>V25</f>
        <v>1.8602418838976211</v>
      </c>
      <c r="R48">
        <f t="shared" ref="R48" si="10">W25</f>
        <v>1.2098952379992261E-2</v>
      </c>
      <c r="S48">
        <f>D43/4-D40/4</f>
        <v>0.22916666749999992</v>
      </c>
      <c r="T48">
        <f t="shared" si="6"/>
        <v>5.8831284194720748E-3</v>
      </c>
      <c r="V48">
        <f t="shared" ref="V48" si="11">Q48/S48</f>
        <v>8.1174191002171892</v>
      </c>
      <c r="W48">
        <f t="shared" ref="W48" si="12">SQRT(((1/S48)*R48)^2+((Q48/(S48^2))*T48)^2)</f>
        <v>0.21497289151453722</v>
      </c>
    </row>
    <row r="49" spans="10:10" x14ac:dyDescent="0.25">
      <c r="J49">
        <f>D45/4</f>
        <v>2.6583333324999998</v>
      </c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2019-09-04T11:15:09Z</dcterms:modified>
</cp:coreProperties>
</file>