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"/>
    </mc:Choice>
  </mc:AlternateContent>
  <xr:revisionPtr revIDLastSave="0" documentId="13_ncr:1_{EDD756CB-5DB9-4886-9239-CA72A7E0DD82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5" i="1" l="1"/>
  <c r="S45" i="1"/>
  <c r="R45" i="1"/>
  <c r="W45" i="1" s="1"/>
  <c r="Q45" i="1"/>
  <c r="V45" i="1" s="1"/>
  <c r="T44" i="1"/>
  <c r="S44" i="1"/>
  <c r="W44" i="1" s="1"/>
  <c r="R44" i="1"/>
  <c r="Q44" i="1"/>
  <c r="V44" i="1" s="1"/>
  <c r="W43" i="1"/>
  <c r="V43" i="1"/>
  <c r="T43" i="1"/>
  <c r="S43" i="1"/>
  <c r="R43" i="1"/>
  <c r="Q43" i="1"/>
  <c r="AB42" i="1"/>
  <c r="AA42" i="1"/>
  <c r="T42" i="1"/>
  <c r="S42" i="1"/>
  <c r="R42" i="1"/>
  <c r="W42" i="1" s="1"/>
  <c r="Q42" i="1"/>
  <c r="V42" i="1" s="1"/>
  <c r="T41" i="1"/>
  <c r="S41" i="1"/>
  <c r="W41" i="1" s="1"/>
  <c r="R41" i="1"/>
  <c r="Q41" i="1"/>
  <c r="V41" i="1" s="1"/>
  <c r="T40" i="1"/>
  <c r="S40" i="1"/>
  <c r="R40" i="1"/>
  <c r="W40" i="1" s="1"/>
  <c r="Q40" i="1"/>
  <c r="V40" i="1" s="1"/>
  <c r="T39" i="1"/>
  <c r="S39" i="1"/>
  <c r="W39" i="1" s="1"/>
  <c r="R39" i="1"/>
  <c r="Q39" i="1"/>
  <c r="V39" i="1" s="1"/>
  <c r="T38" i="1"/>
  <c r="S38" i="1"/>
  <c r="W38" i="1" s="1"/>
  <c r="R38" i="1"/>
  <c r="Q38" i="1"/>
  <c r="W32" i="1"/>
  <c r="AA44" i="1" s="1"/>
  <c r="W31" i="1"/>
  <c r="AA43" i="1" s="1"/>
  <c r="T31" i="1"/>
  <c r="AB45" i="1" s="1"/>
  <c r="S31" i="1"/>
  <c r="T32" i="1" s="1"/>
  <c r="AB46" i="1" s="1"/>
  <c r="P28" i="1"/>
  <c r="X31" i="1" s="1"/>
  <c r="AB43" i="1" s="1"/>
  <c r="AB38" i="1" l="1"/>
  <c r="AB47" i="1" s="1"/>
  <c r="V38" i="1"/>
  <c r="AA38" i="1" s="1"/>
  <c r="AA47" i="1" s="1"/>
  <c r="P30" i="1"/>
  <c r="X32" i="1" s="1"/>
  <c r="AB44" i="1" s="1"/>
  <c r="S32" i="1"/>
  <c r="AA46" i="1" s="1"/>
  <c r="AA45" i="1"/>
  <c r="H13" i="1" l="1"/>
  <c r="P26" i="1" l="1"/>
  <c r="AI18" i="1" l="1"/>
  <c r="AH18" i="1"/>
  <c r="AI16" i="1"/>
  <c r="AI17" i="1" s="1"/>
  <c r="AI15" i="1"/>
  <c r="AH15" i="1"/>
  <c r="AI11" i="1"/>
  <c r="AH11" i="1"/>
  <c r="AI10" i="1"/>
  <c r="AI19" i="1" l="1"/>
  <c r="J43" i="1" l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K18" i="1"/>
  <c r="K17" i="1"/>
  <c r="K16" i="1"/>
  <c r="K15" i="1"/>
  <c r="K14" i="1"/>
  <c r="K13" i="1"/>
  <c r="K12" i="1"/>
  <c r="K11" i="1"/>
  <c r="H11" i="1" l="1"/>
  <c r="AB9" i="1" l="1"/>
  <c r="K27" i="1" l="1"/>
  <c r="O26" i="1" s="1"/>
  <c r="K28" i="1"/>
  <c r="N27" i="1" s="1"/>
  <c r="K29" i="1"/>
  <c r="O27" i="1" s="1"/>
  <c r="K30" i="1"/>
  <c r="N28" i="1" s="1"/>
  <c r="K31" i="1"/>
  <c r="O28" i="1" s="1"/>
  <c r="K32" i="1"/>
  <c r="N29" i="1" s="1"/>
  <c r="K33" i="1"/>
  <c r="O29" i="1" s="1"/>
  <c r="K34" i="1"/>
  <c r="N30" i="1" s="1"/>
  <c r="K35" i="1"/>
  <c r="O30" i="1" s="1"/>
  <c r="K36" i="1"/>
  <c r="N31" i="1" s="1"/>
  <c r="K37" i="1"/>
  <c r="O31" i="1" s="1"/>
  <c r="K38" i="1"/>
  <c r="N32" i="1" s="1"/>
  <c r="K39" i="1"/>
  <c r="O32" i="1" s="1"/>
  <c r="K40" i="1"/>
  <c r="N33" i="1" s="1"/>
  <c r="K41" i="1"/>
  <c r="O33" i="1" s="1"/>
  <c r="K42" i="1"/>
  <c r="N34" i="1" s="1"/>
  <c r="K26" i="1"/>
  <c r="N26" i="1" s="1"/>
  <c r="L3" i="1"/>
  <c r="AA9" i="1" l="1"/>
  <c r="AH10" i="1"/>
  <c r="AH16" i="1" s="1"/>
  <c r="AH17" i="1" s="1"/>
  <c r="AB24" i="1"/>
  <c r="M5" i="1" s="1"/>
  <c r="AA24" i="1"/>
  <c r="L5" i="1" s="1"/>
  <c r="AB14" i="1"/>
  <c r="AA14" i="1"/>
  <c r="AB13" i="1"/>
  <c r="AA13" i="1"/>
  <c r="AB10" i="1"/>
  <c r="AA10" i="1"/>
  <c r="AH19" i="1" l="1"/>
  <c r="AH22" i="1"/>
  <c r="AI22" i="1"/>
  <c r="AB17" i="1"/>
  <c r="AA17" i="1"/>
  <c r="AA18" i="1" s="1"/>
  <c r="AA21" i="1" s="1"/>
  <c r="AA15" i="1"/>
  <c r="AB15" i="1" s="1"/>
  <c r="AB19" i="1" s="1"/>
  <c r="AA16" i="1"/>
  <c r="AH23" i="1" l="1"/>
  <c r="AH24" i="1" s="1"/>
  <c r="AH27" i="1" s="1"/>
  <c r="AH28" i="1" s="1"/>
  <c r="AH25" i="1"/>
  <c r="AI23" i="1"/>
  <c r="AI24" i="1" s="1"/>
  <c r="AI27" i="1" s="1"/>
  <c r="AI28" i="1" s="1"/>
  <c r="AI20" i="1"/>
  <c r="AH20" i="1"/>
  <c r="AB18" i="1"/>
  <c r="AB21" i="1" s="1"/>
  <c r="AB16" i="1"/>
  <c r="AA19" i="1"/>
  <c r="AA20" i="1" s="1"/>
  <c r="T19" i="1" l="1"/>
  <c r="T17" i="1"/>
  <c r="T16" i="1"/>
  <c r="U16" i="1" s="1"/>
  <c r="T23" i="1"/>
  <c r="U23" i="1" s="1"/>
  <c r="T15" i="1"/>
  <c r="V15" i="1" s="1"/>
  <c r="T21" i="1"/>
  <c r="U21" i="1" s="1"/>
  <c r="T20" i="1"/>
  <c r="T18" i="1"/>
  <c r="T22" i="1"/>
  <c r="AI25" i="1"/>
  <c r="AA25" i="1"/>
  <c r="L4" i="1"/>
  <c r="AB20" i="1"/>
  <c r="U15" i="1" l="1"/>
  <c r="V20" i="1"/>
  <c r="U19" i="1"/>
  <c r="V19" i="1"/>
  <c r="V18" i="1"/>
  <c r="W16" i="1"/>
  <c r="U18" i="1"/>
  <c r="W18" i="1" s="1"/>
  <c r="W15" i="1"/>
  <c r="V21" i="1"/>
  <c r="U20" i="1"/>
  <c r="W20" i="1" s="1"/>
  <c r="U17" i="1"/>
  <c r="V17" i="1"/>
  <c r="U22" i="1"/>
  <c r="W22" i="1" s="1"/>
  <c r="V22" i="1"/>
  <c r="V16" i="1"/>
  <c r="N19" i="1"/>
  <c r="N13" i="1"/>
  <c r="N18" i="1"/>
  <c r="N17" i="1"/>
  <c r="N16" i="1"/>
  <c r="N14" i="1"/>
  <c r="N15" i="1"/>
  <c r="N12" i="1"/>
  <c r="N11" i="1"/>
  <c r="AB25" i="1"/>
  <c r="M4" i="1"/>
  <c r="H12" i="1"/>
  <c r="L11" i="1"/>
  <c r="X17" i="1" l="1"/>
  <c r="W19" i="1"/>
  <c r="W17" i="1"/>
  <c r="W21" i="1"/>
  <c r="O17" i="1"/>
  <c r="O19" i="1"/>
  <c r="O11" i="1"/>
  <c r="O16" i="1"/>
  <c r="O12" i="1"/>
  <c r="O13" i="1"/>
  <c r="O14" i="1"/>
  <c r="O18" i="1"/>
  <c r="O15" i="1"/>
  <c r="Y17" i="1" l="1"/>
  <c r="Q13" i="1"/>
  <c r="Q15" i="1"/>
  <c r="Q17" i="1"/>
  <c r="Q14" i="1"/>
  <c r="Q18" i="1"/>
  <c r="Q16" i="1"/>
  <c r="Q11" i="1"/>
  <c r="Q12" i="1"/>
  <c r="T11" i="1" l="1"/>
  <c r="R12" i="1"/>
  <c r="R17" i="1" l="1"/>
  <c r="R11" i="1"/>
  <c r="R15" i="1"/>
  <c r="R18" i="1"/>
  <c r="R14" i="1"/>
  <c r="R16" i="1"/>
  <c r="R13" i="1"/>
  <c r="U11" i="1" l="1"/>
</calcChain>
</file>

<file path=xl/sharedStrings.xml><?xml version="1.0" encoding="utf-8"?>
<sst xmlns="http://schemas.openxmlformats.org/spreadsheetml/2006/main" count="157" uniqueCount="101">
  <si>
    <t>t</t>
  </si>
  <si>
    <t>x</t>
  </si>
  <si>
    <t>y</t>
  </si>
  <si>
    <t>Tracker Excel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</si>
  <si>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</si>
  <si>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</si>
  <si>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</si>
  <si>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</si>
  <si>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</si>
  <si>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</si>
  <si>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</si>
  <si>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</si>
  <si>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</si>
  <si>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</si>
  <si>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</si>
  <si>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</si>
  <si>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</si>
  <si>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</si>
  <si>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</si>
  <si>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</si>
  <si>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</si>
  <si>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</si>
  <si>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</si>
  <si>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</si>
  <si>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</si>
  <si>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</si>
  <si>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</si>
  <si>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</si>
  <si>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</si>
  <si>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</si>
  <si>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</si>
  <si>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</si>
  <si>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</si>
  <si>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</si>
  <si>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</si>
  <si>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</si>
  <si>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</si>
  <si>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</si>
  <si>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</si>
  <si>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N steps</t>
  </si>
  <si>
    <t>PROCEDIMENTO:</t>
  </si>
  <si>
    <t>Misura lunghezza optojump nel video</t>
  </si>
  <si>
    <t>Copia_incolla in "Lunghezza Opto"</t>
  </si>
  <si>
    <t>Sistema il "N steps" in base al numero di passi registrato</t>
  </si>
  <si>
    <t>Controlla che sia lo stesso N di passi visto dall'Optojump (non necessario maybe)</t>
  </si>
  <si>
    <t>Verifica che la lunghezza misurata sia compatibile con quella misurata dall?optojump</t>
  </si>
  <si>
    <t>Deltas T</t>
  </si>
  <si>
    <t>Actuali Times</t>
  </si>
  <si>
    <t>Controlla che le formule successive considerino tutti dati presi</t>
  </si>
  <si>
    <t>Salva il file di tracker</t>
  </si>
  <si>
    <t>Delta NO</t>
  </si>
  <si>
    <t>CALCOLO LUNGHEZZA PASSO</t>
  </si>
  <si>
    <t>TEMPO TOTALE E RITMO</t>
  </si>
  <si>
    <t>MEDIE t_CONTATTO E t_VOLO</t>
  </si>
  <si>
    <t>inizio_app</t>
  </si>
  <si>
    <t>posiz_app</t>
  </si>
  <si>
    <t>fine_app</t>
  </si>
  <si>
    <t>Err_x</t>
  </si>
  <si>
    <t>Err_t</t>
  </si>
  <si>
    <t>Misura T_Inizio_Appoggio, Posizione_Tallone_Appoggio_Tot, T_Fine_appoggio</t>
  </si>
  <si>
    <t>Copia_Incolla in "Data"</t>
  </si>
  <si>
    <t>mass_A</t>
  </si>
  <si>
    <t>mass_B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</si>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</sst>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5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4" fillId="5" borderId="0" xfId="4" applyNumberFormat="1"/>
    <xf numFmtId="165" fontId="3" fillId="4" borderId="0" xfId="3" applyNumberFormat="1"/>
    <xf numFmtId="165" fontId="0" fillId="0" borderId="0" xfId="0" applyAlignment="1"/>
    <xf numFmtId="165" fontId="0" fillId="0" borderId="0" xfId="0" applyAlignment="1">
      <alignment horizontal="center"/>
    </xf>
    <xf numFmtId="164" fontId="1" fillId="2" borderId="0" xfId="1" applyNumberFormat="1"/>
    <xf numFmtId="166" fontId="1" fillId="2" borderId="0" xfId="1" applyNumberFormat="1"/>
    <xf numFmtId="165" fontId="5" fillId="6" borderId="1" xfId="5" applyNumberFormat="1"/>
  </cellXfs>
  <cellStyles count="6">
    <cellStyle name="Calcolo" xfId="2" builtinId="22"/>
    <cellStyle name="Input" xfId="5" builtinId="20"/>
    <cellStyle name="Neutrale" xfId="4" builtinId="28"/>
    <cellStyle name="Normale" xfId="0" builtinId="0" customBuiltin="1"/>
    <cellStyle name="Valore non valido" xfId="3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zoomScale="62" zoomScaleNormal="62" workbookViewId="0">
      <selection activeCell="P53" sqref="P46:W53"/>
    </sheetView>
  </sheetViews>
  <sheetFormatPr defaultRowHeight="15" x14ac:dyDescent="0.25"/>
  <cols>
    <col min="8" max="8" width="12.28515625" customWidth="1"/>
    <col min="24" max="24" width="9.140625" customWidth="1"/>
  </cols>
  <sheetData>
    <row r="1" spans="1:35" x14ac:dyDescent="0.25">
      <c r="A1" t="s">
        <v>3</v>
      </c>
    </row>
    <row r="2" spans="1:35" x14ac:dyDescent="0.25">
      <c r="D2" t="s">
        <v>61</v>
      </c>
      <c r="L2" t="s">
        <v>11</v>
      </c>
      <c r="M2" t="s">
        <v>4</v>
      </c>
      <c r="O2" t="s">
        <v>12</v>
      </c>
    </row>
    <row r="3" spans="1:35" x14ac:dyDescent="0.25">
      <c r="D3" t="s">
        <v>0</v>
      </c>
      <c r="E3" t="s">
        <v>1</v>
      </c>
      <c r="F3" t="s">
        <v>2</v>
      </c>
      <c r="H3" s="11" t="s">
        <v>6</v>
      </c>
      <c r="I3" s="11"/>
      <c r="J3" s="11"/>
      <c r="K3" s="11"/>
      <c r="L3">
        <f>E4-E5</f>
        <v>23.989833730000001</v>
      </c>
      <c r="M3">
        <v>0.01</v>
      </c>
      <c r="N3" t="s">
        <v>38</v>
      </c>
    </row>
    <row r="4" spans="1:35" x14ac:dyDescent="0.25">
      <c r="D4">
        <v>3.3333333329999999E-2</v>
      </c>
      <c r="E4">
        <v>11.99699384</v>
      </c>
      <c r="F4">
        <v>0.52518815419999998</v>
      </c>
      <c r="H4" s="11" t="s">
        <v>7</v>
      </c>
      <c r="I4" s="11"/>
      <c r="J4" s="11"/>
      <c r="K4" s="11"/>
      <c r="L4">
        <f>AA20</f>
        <v>7.3355430655001239</v>
      </c>
      <c r="M4">
        <f>AB20</f>
        <v>0.10443453376222141</v>
      </c>
      <c r="P4" t="s">
        <v>13</v>
      </c>
    </row>
    <row r="5" spans="1:35" x14ac:dyDescent="0.25">
      <c r="D5">
        <v>0.05</v>
      </c>
      <c r="E5">
        <v>-11.992839890000001</v>
      </c>
      <c r="F5">
        <v>0.55917825170000002</v>
      </c>
      <c r="H5" s="11" t="s">
        <v>8</v>
      </c>
      <c r="I5" s="11"/>
      <c r="J5" s="11"/>
      <c r="K5" s="11"/>
      <c r="L5">
        <f>AA24</f>
        <v>0.61</v>
      </c>
      <c r="M5">
        <f>AB24</f>
        <v>0</v>
      </c>
    </row>
    <row r="6" spans="1:35" x14ac:dyDescent="0.25">
      <c r="H6" s="11" t="s">
        <v>18</v>
      </c>
      <c r="I6" s="11"/>
      <c r="J6" s="11"/>
      <c r="K6" s="11"/>
      <c r="L6">
        <v>4.1599999999999996E-3</v>
      </c>
      <c r="X6" t="s">
        <v>37</v>
      </c>
      <c r="AB6" t="s">
        <v>4</v>
      </c>
      <c r="AD6" t="s">
        <v>63</v>
      </c>
    </row>
    <row r="7" spans="1:35" x14ac:dyDescent="0.25">
      <c r="I7" s="2"/>
      <c r="X7" t="s">
        <v>20</v>
      </c>
      <c r="AA7">
        <v>20</v>
      </c>
      <c r="AB7">
        <v>0</v>
      </c>
      <c r="AH7" t="s">
        <v>11</v>
      </c>
      <c r="AI7" t="s">
        <v>4</v>
      </c>
    </row>
    <row r="8" spans="1:35" x14ac:dyDescent="0.25">
      <c r="D8" t="s">
        <v>62</v>
      </c>
      <c r="X8" t="s">
        <v>21</v>
      </c>
      <c r="AA8">
        <v>1.22</v>
      </c>
      <c r="AB8">
        <v>0</v>
      </c>
      <c r="AE8" t="s">
        <v>64</v>
      </c>
      <c r="AH8">
        <v>20</v>
      </c>
      <c r="AI8">
        <v>0</v>
      </c>
    </row>
    <row r="9" spans="1:35" x14ac:dyDescent="0.25">
      <c r="D9" t="s">
        <v>0</v>
      </c>
      <c r="E9" t="s">
        <v>1</v>
      </c>
      <c r="F9" t="s">
        <v>2</v>
      </c>
      <c r="K9" t="s">
        <v>51</v>
      </c>
      <c r="X9" t="s">
        <v>22</v>
      </c>
      <c r="AA9">
        <f>L3</f>
        <v>23.989833730000001</v>
      </c>
      <c r="AB9">
        <f>M3</f>
        <v>0.01</v>
      </c>
      <c r="AE9" t="s">
        <v>21</v>
      </c>
      <c r="AH9">
        <v>1.2</v>
      </c>
      <c r="AI9">
        <v>0</v>
      </c>
    </row>
    <row r="10" spans="1:35" x14ac:dyDescent="0.25">
      <c r="B10" s="8" t="s">
        <v>54</v>
      </c>
      <c r="C10">
        <v>1</v>
      </c>
      <c r="D10">
        <v>1.1333333329999999</v>
      </c>
      <c r="E10">
        <v>-9.4751365280000002</v>
      </c>
      <c r="F10">
        <v>0.6248162062</v>
      </c>
      <c r="H10" t="s">
        <v>11</v>
      </c>
      <c r="K10" t="s">
        <v>50</v>
      </c>
      <c r="L10" t="s">
        <v>4</v>
      </c>
      <c r="N10" t="s">
        <v>5</v>
      </c>
      <c r="O10" t="s">
        <v>4</v>
      </c>
      <c r="Q10" t="s">
        <v>9</v>
      </c>
      <c r="R10" t="s">
        <v>4</v>
      </c>
      <c r="T10" s="6" t="s">
        <v>10</v>
      </c>
      <c r="U10" s="6" t="s">
        <v>4</v>
      </c>
      <c r="X10" t="s">
        <v>23</v>
      </c>
      <c r="AA10">
        <f>AA9/2</f>
        <v>11.994916865</v>
      </c>
      <c r="AB10">
        <f>AB9</f>
        <v>0.01</v>
      </c>
      <c r="AE10" t="s">
        <v>65</v>
      </c>
      <c r="AH10">
        <f>L3</f>
        <v>23.989833730000001</v>
      </c>
      <c r="AI10">
        <f>M3</f>
        <v>0.01</v>
      </c>
    </row>
    <row r="11" spans="1:35" x14ac:dyDescent="0.25">
      <c r="B11" s="5" t="s">
        <v>55</v>
      </c>
      <c r="C11">
        <v>1</v>
      </c>
      <c r="D11">
        <v>1.2166666669999999</v>
      </c>
      <c r="E11">
        <v>-9.7716484700000006</v>
      </c>
      <c r="F11">
        <v>0.64244643079999997</v>
      </c>
      <c r="G11" t="s">
        <v>57</v>
      </c>
      <c r="H11">
        <f>M3</f>
        <v>0.01</v>
      </c>
      <c r="K11">
        <f>ABS(E11-E14)</f>
        <v>2.4685942560000003</v>
      </c>
      <c r="L11">
        <f>SQRT((H11^2)+(H11^2))</f>
        <v>1.4142135623730951E-2</v>
      </c>
      <c r="N11">
        <f>($L$4-$L$5)*(E11/$L$4)</f>
        <v>-8.9590698356063356</v>
      </c>
      <c r="O11">
        <f>SQRT(((E11/$L$4)*$M$4)^2+((E11/$L$4)*$M$5)^2+(($L$4-$L$5)*$H$11)^2+(((($L$5-$L$4)*E11)/($L$4^2))*$M$4)^2)</f>
        <v>0.2003630813426279</v>
      </c>
      <c r="Q11">
        <f>N11-N12</f>
        <v>-2.2633139539536327</v>
      </c>
      <c r="R11">
        <f>SQRT((O11^2)+(O12^2))</f>
        <v>0.25409817799662376</v>
      </c>
      <c r="T11" s="5">
        <f>ABS(AVERAGE(Q11:Q20))</f>
        <v>2.4126748657884241</v>
      </c>
      <c r="U11" s="5">
        <f>SQRT(((R11^2)+(R12^2)+(R13^2)+(R14^2)+(R15^2)+(R16^2)+(R17^2)+(R18^2)+(R19^2)+(R20^2))/($H$13-1))</f>
        <v>0.19435107557686584</v>
      </c>
      <c r="AE11" t="s">
        <v>66</v>
      </c>
      <c r="AH11">
        <f>AH8/2</f>
        <v>10</v>
      </c>
      <c r="AI11">
        <f>AI8</f>
        <v>0</v>
      </c>
    </row>
    <row r="12" spans="1:35" x14ac:dyDescent="0.25">
      <c r="B12" s="9" t="s">
        <v>56</v>
      </c>
      <c r="C12">
        <v>1</v>
      </c>
      <c r="D12">
        <v>1.55</v>
      </c>
      <c r="E12">
        <v>-9.4668085980000001</v>
      </c>
      <c r="F12">
        <v>0.6164363102</v>
      </c>
      <c r="G12" t="s">
        <v>58</v>
      </c>
      <c r="H12">
        <f>L6</f>
        <v>4.1599999999999996E-3</v>
      </c>
      <c r="K12">
        <f>ABS(E14-E17)</f>
        <v>2.6649242000000006</v>
      </c>
      <c r="L12" s="1"/>
      <c r="N12">
        <f>($L$4-$L$5)*(E14/$L$4)</f>
        <v>-6.695755881652703</v>
      </c>
      <c r="O12">
        <f>SQRT(((E14/$L$4)*$M$4)^2+((E14/$L$4)*$M$5)^2+(($L$4-$L$5)*$H$11)^2+(((($L$5-$L$4)*E14)/($L$4^2))*$M$4)^2)</f>
        <v>0.15627066166139875</v>
      </c>
      <c r="Q12">
        <f t="shared" ref="Q12:Q18" si="0">N12-N13</f>
        <v>-2.4433177357635074</v>
      </c>
      <c r="R12">
        <f t="shared" ref="R12:R18" si="1">SQRT((O12^2)+(O13^2))</f>
        <v>0.19227392335206597</v>
      </c>
      <c r="AA12" t="s">
        <v>11</v>
      </c>
      <c r="AB12" t="s">
        <v>4</v>
      </c>
      <c r="AE12" t="s">
        <v>67</v>
      </c>
      <c r="AH12">
        <v>1.2</v>
      </c>
      <c r="AI12">
        <v>0</v>
      </c>
    </row>
    <row r="13" spans="1:35" x14ac:dyDescent="0.25">
      <c r="B13" s="8" t="s">
        <v>54</v>
      </c>
      <c r="C13">
        <v>2</v>
      </c>
      <c r="D13">
        <v>2.1</v>
      </c>
      <c r="E13">
        <v>-7.035780967</v>
      </c>
      <c r="F13">
        <v>0.62140610799999996</v>
      </c>
      <c r="G13" t="s">
        <v>39</v>
      </c>
      <c r="H13" s="4">
        <f>C36</f>
        <v>9</v>
      </c>
      <c r="K13">
        <f>ABS(E17-E20)</f>
        <v>2.6733040969999999</v>
      </c>
      <c r="L13" s="1"/>
      <c r="N13">
        <f>($L$4-$L$5)*(E17/$L$4)</f>
        <v>-4.2524381458891956</v>
      </c>
      <c r="O13">
        <f>SQRT(((E17/$L$4)*$M$4)^2+((E17/$L$4)*$M$5)^2+(($L$4-$L$5)*$H$11)^2+(((($L$5-$L$4)*E17)/($L$4^2))*$M$4)^2)</f>
        <v>0.11202116721898939</v>
      </c>
      <c r="Q13">
        <f t="shared" si="0"/>
        <v>-2.4510007876731912</v>
      </c>
      <c r="R13">
        <f t="shared" si="1"/>
        <v>0.13605978172863611</v>
      </c>
      <c r="T13" t="s">
        <v>81</v>
      </c>
      <c r="Y13">
        <v>1</v>
      </c>
      <c r="Z13" t="s">
        <v>24</v>
      </c>
      <c r="AA13">
        <f>AA8</f>
        <v>1.22</v>
      </c>
      <c r="AB13">
        <f>AB8</f>
        <v>0</v>
      </c>
    </row>
    <row r="14" spans="1:35" x14ac:dyDescent="0.25">
      <c r="B14" s="5" t="s">
        <v>55</v>
      </c>
      <c r="C14">
        <v>2</v>
      </c>
      <c r="D14">
        <v>2.2000000000000002</v>
      </c>
      <c r="E14">
        <v>-7.3030542140000003</v>
      </c>
      <c r="F14">
        <v>0.63894539189999999</v>
      </c>
      <c r="K14">
        <f>ABS(E20-E23)</f>
        <v>2.5229466552000002</v>
      </c>
      <c r="L14" s="1"/>
      <c r="N14">
        <f>($L$4-$L$5)*(E20/$L$4)</f>
        <v>-1.8014373582160041</v>
      </c>
      <c r="O14">
        <f>SQRT(((E20/$L$4)*$M$4)^2+((E20/$L$4)*$M$5)^2+(($L$4-$L$5)*$H$11)^2+(((($L$5-$L$4)*E20)/($L$4^2))*$M$4)^2)</f>
        <v>7.722384540373084E-2</v>
      </c>
      <c r="Q14">
        <f t="shared" si="0"/>
        <v>-2.313146583694718</v>
      </c>
      <c r="R14">
        <f t="shared" si="1"/>
        <v>0.10297098749867242</v>
      </c>
      <c r="T14" t="s">
        <v>11</v>
      </c>
      <c r="U14" t="s">
        <v>4</v>
      </c>
      <c r="V14" t="s">
        <v>82</v>
      </c>
      <c r="W14" t="s">
        <v>4</v>
      </c>
      <c r="Z14" t="s">
        <v>25</v>
      </c>
      <c r="AA14">
        <f>(AA9-AA7)/2</f>
        <v>1.9949168650000004</v>
      </c>
      <c r="AB14">
        <f>SQRT((AB9^2)+(AB7^2))</f>
        <v>0.01</v>
      </c>
      <c r="AH14" t="s">
        <v>11</v>
      </c>
      <c r="AI14" t="s">
        <v>4</v>
      </c>
    </row>
    <row r="15" spans="1:35" x14ac:dyDescent="0.25">
      <c r="B15" s="9" t="s">
        <v>56</v>
      </c>
      <c r="C15">
        <v>2</v>
      </c>
      <c r="D15">
        <v>2.5</v>
      </c>
      <c r="E15">
        <v>-7.0065292809999997</v>
      </c>
      <c r="F15">
        <v>0.62549212379999997</v>
      </c>
      <c r="K15">
        <f>ABS(E26-E23)</f>
        <v>2.5897000098</v>
      </c>
      <c r="L15" s="1"/>
      <c r="N15">
        <f>($L$4-$L$5)*(E23/$L$4)</f>
        <v>0.511709225478714</v>
      </c>
      <c r="O15">
        <f>SQRT(((E23/$L$4)*$M$4)^2+((E23/$L$4)*$M$5)^2+(($L$4-$L$5)*$H$11)^2+(((($L$5-$L$4)*E23)/($L$4^2))*$M$4)^2)</f>
        <v>6.811388968127155E-2</v>
      </c>
      <c r="Q15">
        <f t="shared" si="0"/>
        <v>-2.374348945553975</v>
      </c>
      <c r="R15">
        <f t="shared" si="1"/>
        <v>0.11339931070595537</v>
      </c>
      <c r="T15">
        <f>E11*$AH$28</f>
        <v>-8.4999034189064311</v>
      </c>
      <c r="U15">
        <f>(SQRT(($M$3/E11)^2+($AI$28/$AH$28^2)))/100*T15</f>
        <v>-8.1919070875461734E-3</v>
      </c>
      <c r="V15">
        <f>T15-T16</f>
        <v>-2.1473155548817227</v>
      </c>
      <c r="W15">
        <f>SQRT(U15^2+U16^2)</f>
        <v>1.0227143531989079E-2</v>
      </c>
      <c r="Z15" t="s">
        <v>26</v>
      </c>
      <c r="AA15">
        <f>AA14/AA13</f>
        <v>1.6351777581967217</v>
      </c>
      <c r="AB15">
        <f>(((AB13/AA13)*100+(AB14/AA14)*100)/100)*AA15</f>
        <v>8.1967213114754085E-3</v>
      </c>
      <c r="AE15">
        <v>1</v>
      </c>
      <c r="AG15" t="s">
        <v>68</v>
      </c>
      <c r="AH15">
        <f>AH11</f>
        <v>10</v>
      </c>
      <c r="AI15">
        <f>AI11</f>
        <v>0</v>
      </c>
    </row>
    <row r="16" spans="1:35" x14ac:dyDescent="0.25">
      <c r="B16" s="8" t="s">
        <v>54</v>
      </c>
      <c r="C16">
        <v>3</v>
      </c>
      <c r="D16">
        <v>3.05</v>
      </c>
      <c r="E16">
        <v>-4.3248452879999997</v>
      </c>
      <c r="F16">
        <v>0.64221329900000002</v>
      </c>
      <c r="K16">
        <f>ABS(E29-E26)</f>
        <v>2.6815670679999997</v>
      </c>
      <c r="L16" s="1"/>
      <c r="N16">
        <f>($L$4-$L$5)*(E26/$L$4)</f>
        <v>2.8860581710326891</v>
      </c>
      <c r="O16">
        <f>SQRT(((E26/$L$4)*$M$4)^2+((E26/$L$4)*$M$5)^2+(($L$4-$L$5)*$H$11)^2+(((($L$5-$L$4)*E26)/($L$4^2))*$M$4)^2)</f>
        <v>9.066367354720066E-2</v>
      </c>
      <c r="Q16">
        <f t="shared" si="0"/>
        <v>-2.4585766367702866</v>
      </c>
      <c r="R16">
        <f t="shared" si="1"/>
        <v>0.15943829973466228</v>
      </c>
      <c r="T16">
        <f>E14*$AH$28</f>
        <v>-6.3525878640247084</v>
      </c>
      <c r="U16">
        <f>(SQRT(($M$3/E14)^2+($AI$28/$AH$28^2)))/100*T16</f>
        <v>-6.1226728716237003E-3</v>
      </c>
      <c r="V16">
        <f t="shared" ref="V16:V22" si="2">T16-T17</f>
        <v>-2.3180938598281857</v>
      </c>
      <c r="W16">
        <f t="shared" ref="W16:W22" si="3">SQRT(U16^2+U17^2)</f>
        <v>7.2534050724822746E-3</v>
      </c>
      <c r="X16" s="6" t="s">
        <v>83</v>
      </c>
      <c r="Y16" s="6" t="s">
        <v>84</v>
      </c>
      <c r="Z16" t="s">
        <v>27</v>
      </c>
      <c r="AA16">
        <f>ATAN(AA14/AA13)</f>
        <v>1.0219243018584612</v>
      </c>
      <c r="AB16">
        <f>(ABS(1/(1+AA15)))*AB15</f>
        <v>3.1105003394854493E-3</v>
      </c>
      <c r="AG16" t="s">
        <v>69</v>
      </c>
      <c r="AH16">
        <f>AH10/2</f>
        <v>11.994916865</v>
      </c>
      <c r="AI16">
        <f>AI10</f>
        <v>0.01</v>
      </c>
    </row>
    <row r="17" spans="2:35" x14ac:dyDescent="0.25">
      <c r="B17" s="5" t="s">
        <v>55</v>
      </c>
      <c r="C17">
        <v>3</v>
      </c>
      <c r="D17">
        <v>3.1333333329999999</v>
      </c>
      <c r="E17">
        <v>-4.6381300139999997</v>
      </c>
      <c r="F17">
        <v>0.63901070739999999</v>
      </c>
      <c r="K17">
        <f>ABS(E32-E29)</f>
        <v>2.756804251000001</v>
      </c>
      <c r="L17" s="1"/>
      <c r="N17">
        <f>($L$4-$L$5)*(E29/$L$4)</f>
        <v>5.3446348078029757</v>
      </c>
      <c r="O17">
        <f>SQRT(((E29/$L$4)*$M$4)^2+((E29/$L$4)*$M$5)^2+(($L$4-$L$5)*$H$11)^2+(((($L$5-$L$4)*E29)/($L$4^2))*$M$4)^2)</f>
        <v>0.13115132374934932</v>
      </c>
      <c r="Q17">
        <f t="shared" si="0"/>
        <v>-2.5275573393406603</v>
      </c>
      <c r="R17">
        <f t="shared" si="1"/>
        <v>0.22187216101764801</v>
      </c>
      <c r="T17">
        <f>E17*$AH$28</f>
        <v>-4.0344940041965227</v>
      </c>
      <c r="U17">
        <f>(SQRT(($M$3/E17)^2+($AI$28/$AH$28^2)))/100*T17</f>
        <v>-3.8890567047286401E-3</v>
      </c>
      <c r="V17">
        <f t="shared" si="2"/>
        <v>-2.3253831432463374</v>
      </c>
      <c r="W17">
        <f t="shared" si="3"/>
        <v>4.2243611403477458E-3</v>
      </c>
      <c r="X17" s="5">
        <f>ABS(AVERAGE(V15:V24))</f>
        <v>2.2890214851234862</v>
      </c>
      <c r="Y17" s="5">
        <f>SQRT(((W15^2)+(W16^2)+(W17^2)+(W18^2)+(W19^2)+(W20^2)+(W21^2)+(W22^2)+(W23^2)+(W24^2))/($H$13-1))</f>
        <v>7.3569430289979589E-3</v>
      </c>
      <c r="Z17" t="s">
        <v>28</v>
      </c>
      <c r="AA17">
        <f>SQRT((AA14^2)+(AA13^2))</f>
        <v>2.3383954537805254</v>
      </c>
      <c r="AB17">
        <f>SQRT(((ABS(AA13*(AA13^2+AA14^2)))*AB13)^2+((ABS(AA14*(AA13^2+AA14^2)))*AB14)^2)</f>
        <v>0.10908391540095203</v>
      </c>
      <c r="AG17" t="s">
        <v>70</v>
      </c>
      <c r="AH17">
        <f>(AH16)-AH15</f>
        <v>1.9949168650000004</v>
      </c>
      <c r="AI17">
        <f>AI16</f>
        <v>0.01</v>
      </c>
    </row>
    <row r="18" spans="2:35" x14ac:dyDescent="0.25">
      <c r="B18" s="9" t="s">
        <v>56</v>
      </c>
      <c r="C18">
        <v>3</v>
      </c>
      <c r="D18">
        <v>3.4166666669999999</v>
      </c>
      <c r="E18">
        <v>-4.3541099660000002</v>
      </c>
      <c r="F18">
        <v>0.63395032679999996</v>
      </c>
      <c r="K18">
        <f>ABS(E35-E32)</f>
        <v>2.6941758829999998</v>
      </c>
      <c r="N18">
        <f>($L$4-$L$5)*(E32/$L$4)</f>
        <v>7.872192147143636</v>
      </c>
      <c r="O18">
        <f>SQRT(((E32/$L$4)*$M$4)^2+((E32/$L$4)*$M$5)^2+(($L$4-$L$5)*$H$11)^2+(((($L$5-$L$4)*E32)/($L$4^2))*$M$4)^2)</f>
        <v>0.17895973321793504</v>
      </c>
      <c r="Q18">
        <f t="shared" si="0"/>
        <v>-2.4701369435574225</v>
      </c>
      <c r="R18">
        <f t="shared" si="1"/>
        <v>0.28986386384762441</v>
      </c>
      <c r="T18">
        <f>E20*$AH$28</f>
        <v>-1.7091108609501853</v>
      </c>
      <c r="U18">
        <f>(SQRT(($M$3/E20)^2+($AI$28/$AH$28^2)))/100*T18</f>
        <v>-1.6493832154733832E-3</v>
      </c>
      <c r="V18">
        <f t="shared" si="2"/>
        <v>-2.194594183989615</v>
      </c>
      <c r="W18">
        <f t="shared" si="3"/>
        <v>1.716662286146265E-3</v>
      </c>
      <c r="Z18" t="s">
        <v>29</v>
      </c>
      <c r="AA18">
        <f>AA17/AA14</f>
        <v>1.1721768935872547</v>
      </c>
      <c r="AB18">
        <f>(((AB17/AA17)*100+(AB14/AA14)*100)/100)*AA18</f>
        <v>6.0556751239267584E-2</v>
      </c>
      <c r="AG18" t="s">
        <v>71</v>
      </c>
      <c r="AH18">
        <f>2*AH9</f>
        <v>2.4</v>
      </c>
      <c r="AI18">
        <f>AI9</f>
        <v>0</v>
      </c>
    </row>
    <row r="19" spans="2:35" x14ac:dyDescent="0.25">
      <c r="B19" s="8" t="s">
        <v>54</v>
      </c>
      <c r="C19">
        <v>4</v>
      </c>
      <c r="D19">
        <v>4.016666667</v>
      </c>
      <c r="E19">
        <v>-1.6891727750000001</v>
      </c>
      <c r="F19">
        <v>0.63819259880000001</v>
      </c>
      <c r="N19">
        <f>($L$4-$L$5)*(E35/$L$4)</f>
        <v>10.342329090701059</v>
      </c>
      <c r="O19">
        <f>SQRT(((E35/$L$4)*$M$4)^2+((E35/$L$4)*$M$5)^2+(($L$4-$L$5)*$H$11)^2+(((($L$5-$L$4)*E35)/($L$4^2))*$M$4)^2)</f>
        <v>0.22802296693806889</v>
      </c>
      <c r="T19">
        <f>E23*$AH$28</f>
        <v>0.48548332303942981</v>
      </c>
      <c r="U19">
        <f>(SQRT(($M$3/E23)^2+($AI$28/$AH$28^2)))/100*T19</f>
        <v>4.7588277253080285E-4</v>
      </c>
      <c r="V19">
        <f t="shared" si="2"/>
        <v>-2.2526598285663706</v>
      </c>
      <c r="W19">
        <f t="shared" si="3"/>
        <v>2.6827551069287092E-3</v>
      </c>
      <c r="Z19" t="s">
        <v>30</v>
      </c>
      <c r="AA19">
        <f>1/AA15</f>
        <v>0.61155430655001242</v>
      </c>
      <c r="AB19">
        <f>AB15</f>
        <v>8.1967213114754085E-3</v>
      </c>
      <c r="AG19" t="s">
        <v>72</v>
      </c>
      <c r="AH19">
        <f>AH17/AH18</f>
        <v>0.83121536041666688</v>
      </c>
      <c r="AI19">
        <f>SQRT((AI17/AH18)^2)</f>
        <v>4.1666666666666666E-3</v>
      </c>
    </row>
    <row r="20" spans="2:35" x14ac:dyDescent="0.25">
      <c r="B20" s="5" t="s">
        <v>55</v>
      </c>
      <c r="C20">
        <v>4</v>
      </c>
      <c r="D20">
        <v>4.1333333330000004</v>
      </c>
      <c r="E20">
        <v>-1.964825917</v>
      </c>
      <c r="F20">
        <v>0.64740395279999996</v>
      </c>
      <c r="T20">
        <f>E26*$AH$28</f>
        <v>2.7381431516058004</v>
      </c>
      <c r="U20">
        <f>(SQRT(($M$3/E26)^2+($AI$28/$AH$28^2)))/100*T20</f>
        <v>2.6402103231675435E-3</v>
      </c>
      <c r="V20">
        <f t="shared" si="2"/>
        <v>-2.3325707181646176</v>
      </c>
      <c r="W20">
        <f t="shared" si="3"/>
        <v>5.5550076910860606E-3</v>
      </c>
      <c r="Z20" t="s">
        <v>31</v>
      </c>
      <c r="AA20">
        <f>AA10*AA19</f>
        <v>7.3355430655001239</v>
      </c>
      <c r="AB20">
        <f>(((AB10/AA10)*100+(AB19/AA19)*100)/100)*AA20</f>
        <v>0.10443453376222141</v>
      </c>
      <c r="AG20" t="s">
        <v>73</v>
      </c>
      <c r="AH20">
        <f>ATAN(AH19)</f>
        <v>0.69348702228087611</v>
      </c>
      <c r="AI20">
        <f>(ABS(1/(1+AH19)))*AI19</f>
        <v>2.2753558957252307E-3</v>
      </c>
    </row>
    <row r="21" spans="2:35" x14ac:dyDescent="0.25">
      <c r="B21" s="9" t="s">
        <v>56</v>
      </c>
      <c r="C21">
        <v>4</v>
      </c>
      <c r="D21">
        <v>4.3833333330000004</v>
      </c>
      <c r="E21">
        <v>-1.7017166349999999</v>
      </c>
      <c r="F21">
        <v>0.63405461699999999</v>
      </c>
      <c r="T21">
        <f>E29*$AH$28</f>
        <v>5.0707138697704179</v>
      </c>
      <c r="U21">
        <f>(SQRT(($M$3/E29)^2+($AI$28/$AH$28^2)))/100*T21</f>
        <v>4.8874737746063476E-3</v>
      </c>
      <c r="V21">
        <f t="shared" si="2"/>
        <v>-2.3980160512600479</v>
      </c>
      <c r="W21">
        <f t="shared" si="3"/>
        <v>8.7006750089643307E-3</v>
      </c>
      <c r="Z21" t="s">
        <v>32</v>
      </c>
      <c r="AA21">
        <f>AA10*AA18</f>
        <v>14.060164389653073</v>
      </c>
      <c r="AB21">
        <f>(((AB10/AA10)*100+(AB18/AA18)*100)/100)*AA21</f>
        <v>0.73809496566537292</v>
      </c>
    </row>
    <row r="22" spans="2:35" x14ac:dyDescent="0.25">
      <c r="B22" s="8" t="s">
        <v>54</v>
      </c>
      <c r="C22">
        <v>5</v>
      </c>
      <c r="D22">
        <v>4.95</v>
      </c>
      <c r="E22">
        <v>0.83379986409999995</v>
      </c>
      <c r="F22">
        <v>0.65958440870000001</v>
      </c>
      <c r="T22">
        <f>E32*$AH$28</f>
        <v>7.4687299210304658</v>
      </c>
      <c r="U22">
        <f>(SQRT(($M$3/E32)^2+($AI$28/$AH$28^2)))/100*T22</f>
        <v>7.1982182319065341E-3</v>
      </c>
      <c r="V22">
        <f t="shared" si="2"/>
        <v>-2.3435385410509912</v>
      </c>
      <c r="W22">
        <f t="shared" si="3"/>
        <v>1.1884500343464376E-2</v>
      </c>
      <c r="AE22">
        <v>2</v>
      </c>
      <c r="AG22" t="s">
        <v>74</v>
      </c>
      <c r="AH22">
        <f>AH18/AH17</f>
        <v>1.2030576522295326</v>
      </c>
      <c r="AI22">
        <f>SQRT((AI17*(AH18/(AH17^2)))^2)</f>
        <v>6.0306154774501467E-3</v>
      </c>
    </row>
    <row r="23" spans="2:35" x14ac:dyDescent="0.25">
      <c r="B23" s="5" t="s">
        <v>55</v>
      </c>
      <c r="C23">
        <v>5</v>
      </c>
      <c r="D23">
        <v>5.05</v>
      </c>
      <c r="E23">
        <v>0.55812073819999997</v>
      </c>
      <c r="F23">
        <v>0.66044184979999998</v>
      </c>
      <c r="T23">
        <f>E35*$AH$28</f>
        <v>9.8122684620814571</v>
      </c>
      <c r="U23">
        <f>(SQRT(($M$3/E35)^2+($AI$28/$AH$28^2)))/100*T23</f>
        <v>9.456585150023936E-3</v>
      </c>
      <c r="AA23" t="s">
        <v>11</v>
      </c>
      <c r="AB23" t="s">
        <v>4</v>
      </c>
      <c r="AG23" t="s">
        <v>31</v>
      </c>
      <c r="AH23">
        <f>AH22*AH16</f>
        <v>14.430576522295327</v>
      </c>
      <c r="AI23">
        <f>((SQRT((((AI19/AH19)*100)^2)+(((AI16/AH16)*100)^2)))/100)*AH23</f>
        <v>7.3330331147239344E-2</v>
      </c>
    </row>
    <row r="24" spans="2:35" x14ac:dyDescent="0.25">
      <c r="B24" s="9" t="s">
        <v>56</v>
      </c>
      <c r="C24">
        <v>5</v>
      </c>
      <c r="D24">
        <v>5.35</v>
      </c>
      <c r="E24">
        <v>0.83381285559999996</v>
      </c>
      <c r="F24">
        <v>0.66376136519999995</v>
      </c>
      <c r="Y24">
        <v>2</v>
      </c>
      <c r="Z24" t="s">
        <v>33</v>
      </c>
      <c r="AA24">
        <f>AA8/2</f>
        <v>0.61</v>
      </c>
      <c r="AB24">
        <f>AB8</f>
        <v>0</v>
      </c>
      <c r="AG24" t="s">
        <v>75</v>
      </c>
      <c r="AH24">
        <f>AH23-(AH9/2)</f>
        <v>13.830576522295328</v>
      </c>
      <c r="AI24">
        <f>AI23</f>
        <v>7.3330331147239344E-2</v>
      </c>
    </row>
    <row r="25" spans="2:35" x14ac:dyDescent="0.25">
      <c r="B25" s="8" t="s">
        <v>54</v>
      </c>
      <c r="C25">
        <v>6</v>
      </c>
      <c r="D25">
        <v>5.9</v>
      </c>
      <c r="E25">
        <v>3.4777613330000001</v>
      </c>
      <c r="F25">
        <v>0.63465294319999999</v>
      </c>
      <c r="J25" t="s">
        <v>47</v>
      </c>
      <c r="K25" t="s">
        <v>46</v>
      </c>
      <c r="M25" t="s">
        <v>15</v>
      </c>
      <c r="N25" t="s">
        <v>14</v>
      </c>
      <c r="O25" t="s">
        <v>16</v>
      </c>
      <c r="P25" t="s">
        <v>4</v>
      </c>
      <c r="Z25" t="s">
        <v>34</v>
      </c>
      <c r="AA25">
        <f>AA20-AA24</f>
        <v>6.7255430655001236</v>
      </c>
      <c r="AB25">
        <f>SQRT((AB20^2)+(AB24^2))</f>
        <v>0.10443453376222141</v>
      </c>
      <c r="AG25" t="s">
        <v>76</v>
      </c>
      <c r="AH25">
        <f>AH22*AH24</f>
        <v>16.638980919893513</v>
      </c>
      <c r="AI25">
        <f>((SQRT((((AI22/AH22)*100)^2)+(((AI24/AH24)*100)^2)))/100)*AH25</f>
        <v>0.12140669749959145</v>
      </c>
    </row>
    <row r="26" spans="2:35" x14ac:dyDescent="0.25">
      <c r="B26" s="5" t="s">
        <v>55</v>
      </c>
      <c r="C26">
        <v>6</v>
      </c>
      <c r="D26">
        <v>6</v>
      </c>
      <c r="E26">
        <v>3.147820748</v>
      </c>
      <c r="F26">
        <v>0.64821014359999996</v>
      </c>
      <c r="J26">
        <f>D10/4</f>
        <v>0.28333333324999999</v>
      </c>
      <c r="K26">
        <f>J26-J27</f>
        <v>-0.10416666675000003</v>
      </c>
      <c r="M26">
        <v>1</v>
      </c>
      <c r="N26">
        <f>ABS(K26)</f>
        <v>0.10416666675000003</v>
      </c>
      <c r="O26">
        <f>ABS(K27)</f>
        <v>0.13750000000000001</v>
      </c>
      <c r="P26">
        <f>SQRT((H12^2)*2)</f>
        <v>5.8831284194720748E-3</v>
      </c>
      <c r="Z26" t="s">
        <v>35</v>
      </c>
      <c r="AA26" t="s">
        <v>36</v>
      </c>
    </row>
    <row r="27" spans="2:35" x14ac:dyDescent="0.25">
      <c r="B27" s="9" t="s">
        <v>56</v>
      </c>
      <c r="C27">
        <v>6</v>
      </c>
      <c r="D27">
        <v>6.2833333329999999</v>
      </c>
      <c r="E27">
        <v>3.4694463949999998</v>
      </c>
      <c r="F27">
        <v>0.64720979570000003</v>
      </c>
      <c r="J27">
        <f>D12/4</f>
        <v>0.38750000000000001</v>
      </c>
      <c r="K27">
        <f t="shared" ref="K27:K42" si="4">J27-J28</f>
        <v>-0.13750000000000001</v>
      </c>
      <c r="M27">
        <v>2</v>
      </c>
      <c r="N27">
        <f>ABS(K28)</f>
        <v>9.9999999999999978E-2</v>
      </c>
      <c r="O27">
        <f>ABS(K29)</f>
        <v>0.13749999999999996</v>
      </c>
      <c r="P27" t="s">
        <v>85</v>
      </c>
      <c r="AE27">
        <v>3</v>
      </c>
      <c r="AG27" t="s">
        <v>77</v>
      </c>
      <c r="AH27">
        <f>AH24-((3/2)*AH9)</f>
        <v>12.030576522295327</v>
      </c>
      <c r="AI27">
        <f>AI24</f>
        <v>7.3330331147239344E-2</v>
      </c>
    </row>
    <row r="28" spans="2:35" x14ac:dyDescent="0.25">
      <c r="B28" s="8" t="s">
        <v>54</v>
      </c>
      <c r="C28">
        <v>7</v>
      </c>
      <c r="D28">
        <v>6.85</v>
      </c>
      <c r="E28">
        <v>6.1426855329999999</v>
      </c>
      <c r="F28">
        <v>0.63471825879999999</v>
      </c>
      <c r="J28">
        <f>D13/4</f>
        <v>0.52500000000000002</v>
      </c>
      <c r="K28">
        <f t="shared" si="4"/>
        <v>-9.9999999999999978E-2</v>
      </c>
      <c r="M28">
        <v>3</v>
      </c>
      <c r="N28">
        <f>ABS(K30)</f>
        <v>9.1666666750000014E-2</v>
      </c>
      <c r="O28">
        <f>ABS(K31)</f>
        <v>0.15000000000000002</v>
      </c>
      <c r="P28">
        <f>H13</f>
        <v>9</v>
      </c>
      <c r="AG28" t="s">
        <v>78</v>
      </c>
      <c r="AH28">
        <f>AH27/AH24</f>
        <v>0.86985358151206904</v>
      </c>
      <c r="AI28">
        <f>SQRT((AI27/AH24)^2+((AH27*AI24/(AH24^2))^2))</f>
        <v>7.0272498605454103E-3</v>
      </c>
    </row>
    <row r="29" spans="2:35" x14ac:dyDescent="0.25">
      <c r="B29" s="5" t="s">
        <v>55</v>
      </c>
      <c r="C29">
        <v>7</v>
      </c>
      <c r="D29">
        <v>6.95</v>
      </c>
      <c r="E29">
        <v>5.8293878159999997</v>
      </c>
      <c r="F29">
        <v>0.62733871080000003</v>
      </c>
      <c r="J29">
        <f>D15/4</f>
        <v>0.625</v>
      </c>
      <c r="K29">
        <f t="shared" si="4"/>
        <v>-0.13749999999999996</v>
      </c>
      <c r="M29">
        <v>4</v>
      </c>
      <c r="N29">
        <f>ABS(K32)</f>
        <v>9.1666666500000105E-2</v>
      </c>
      <c r="O29">
        <f>ABS(K33)</f>
        <v>0.14166666674999995</v>
      </c>
      <c r="P29" t="s">
        <v>86</v>
      </c>
      <c r="R29" t="s">
        <v>52</v>
      </c>
      <c r="V29" t="s">
        <v>53</v>
      </c>
      <c r="AG29" t="s">
        <v>79</v>
      </c>
    </row>
    <row r="30" spans="2:35" x14ac:dyDescent="0.25">
      <c r="B30" s="9" t="s">
        <v>56</v>
      </c>
      <c r="C30">
        <v>7</v>
      </c>
      <c r="D30">
        <v>7.233333333</v>
      </c>
      <c r="E30">
        <v>6.0924321409999997</v>
      </c>
      <c r="F30">
        <v>0.59310459260000004</v>
      </c>
      <c r="J30">
        <f>D16/4</f>
        <v>0.76249999999999996</v>
      </c>
      <c r="K30">
        <f t="shared" si="4"/>
        <v>-9.1666666750000014E-2</v>
      </c>
      <c r="M30">
        <v>5</v>
      </c>
      <c r="N30">
        <f>ABS(K34)</f>
        <v>9.9999999999999867E-2</v>
      </c>
      <c r="O30">
        <f>ABS(K35)</f>
        <v>0.13750000000000018</v>
      </c>
      <c r="P30">
        <f>P28-1</f>
        <v>8</v>
      </c>
      <c r="S30" s="6" t="s">
        <v>11</v>
      </c>
      <c r="T30" s="6" t="s">
        <v>4</v>
      </c>
      <c r="V30" s="6"/>
      <c r="W30" s="6" t="s">
        <v>11</v>
      </c>
      <c r="X30" s="6" t="s">
        <v>4</v>
      </c>
      <c r="AG30" t="s">
        <v>80</v>
      </c>
    </row>
    <row r="31" spans="2:35" x14ac:dyDescent="0.25">
      <c r="B31" s="8" t="s">
        <v>54</v>
      </c>
      <c r="C31">
        <v>8</v>
      </c>
      <c r="D31">
        <v>7.7833333329999999</v>
      </c>
      <c r="E31">
        <v>8.8868679739999994</v>
      </c>
      <c r="F31">
        <v>0.60112108360000005</v>
      </c>
      <c r="J31">
        <f>D18/4</f>
        <v>0.85416666674999997</v>
      </c>
      <c r="K31">
        <f t="shared" si="4"/>
        <v>-0.15000000000000002</v>
      </c>
      <c r="M31">
        <v>6</v>
      </c>
      <c r="N31">
        <f>ABS(K36)</f>
        <v>9.5833333249999875E-2</v>
      </c>
      <c r="O31">
        <f>ABS(K37)</f>
        <v>0.14166666674999995</v>
      </c>
      <c r="R31" s="6" t="s">
        <v>17</v>
      </c>
      <c r="S31" s="5">
        <f>SUM(N26:O36)</f>
        <v>2.0041666667500002</v>
      </c>
      <c r="T31" s="5">
        <f>SQRT((P26^2)*10)</f>
        <v>1.8604085572798249E-2</v>
      </c>
      <c r="V31" s="6" t="s">
        <v>14</v>
      </c>
      <c r="W31" s="5">
        <f>AVERAGE(N26:N36)</f>
        <v>9.8148148138888891E-2</v>
      </c>
      <c r="X31" s="12">
        <f>SQRT(((P26)^2)/P28)</f>
        <v>1.9610428064906916E-3</v>
      </c>
    </row>
    <row r="32" spans="2:35" x14ac:dyDescent="0.25">
      <c r="B32" s="5" t="s">
        <v>55</v>
      </c>
      <c r="C32">
        <v>8</v>
      </c>
      <c r="D32">
        <v>7.9</v>
      </c>
      <c r="E32">
        <v>8.5861920670000007</v>
      </c>
      <c r="F32">
        <v>0.62294125619999996</v>
      </c>
      <c r="J32">
        <f>D19/4</f>
        <v>1.00416666675</v>
      </c>
      <c r="K32">
        <f t="shared" si="4"/>
        <v>-9.1666666500000105E-2</v>
      </c>
      <c r="M32">
        <v>7</v>
      </c>
      <c r="N32">
        <f>ABS(K38)</f>
        <v>9.5833333250000097E-2</v>
      </c>
      <c r="O32">
        <f>ABS(K39)</f>
        <v>0.13749999999999996</v>
      </c>
      <c r="R32" s="6" t="s">
        <v>19</v>
      </c>
      <c r="S32" s="5">
        <f>H13/S31</f>
        <v>4.4906444904577691</v>
      </c>
      <c r="T32" s="5">
        <f>(H13/(S31^2))*T31</f>
        <v>4.1685322764582554E-2</v>
      </c>
      <c r="V32" s="6" t="s">
        <v>16</v>
      </c>
      <c r="W32" s="5">
        <f>AVERAGE(O26:O35)</f>
        <v>0.14010416668750003</v>
      </c>
      <c r="X32" s="12">
        <f>SQRT(((P26)^2)/P30)</f>
        <v>2.0799999999999998E-3</v>
      </c>
    </row>
    <row r="33" spans="2:42" x14ac:dyDescent="0.25">
      <c r="B33" s="9" t="s">
        <v>56</v>
      </c>
      <c r="C33">
        <v>8</v>
      </c>
      <c r="D33">
        <v>8.1666666669999994</v>
      </c>
      <c r="E33">
        <v>8.8743371050000004</v>
      </c>
      <c r="F33">
        <v>0.60116005819999996</v>
      </c>
      <c r="J33">
        <f>D21/4</f>
        <v>1.0958333332500001</v>
      </c>
      <c r="K33">
        <f t="shared" si="4"/>
        <v>-0.14166666674999995</v>
      </c>
      <c r="M33">
        <v>8</v>
      </c>
      <c r="N33">
        <f>ABS(K40)</f>
        <v>9.5833333499999895E-2</v>
      </c>
      <c r="O33">
        <f>ABS(K41)</f>
        <v>0.13750000000000018</v>
      </c>
      <c r="P33" s="3"/>
      <c r="Q33" s="3"/>
    </row>
    <row r="34" spans="2:42" x14ac:dyDescent="0.25">
      <c r="B34" s="8" t="s">
        <v>54</v>
      </c>
      <c r="C34">
        <v>9</v>
      </c>
      <c r="D34">
        <v>8.7166666670000001</v>
      </c>
      <c r="E34">
        <v>11.572780890000001</v>
      </c>
      <c r="F34">
        <v>0.63453709309999995</v>
      </c>
      <c r="J34">
        <f>D22/4</f>
        <v>1.2375</v>
      </c>
      <c r="K34">
        <f t="shared" si="4"/>
        <v>-9.9999999999999867E-2</v>
      </c>
      <c r="M34">
        <v>9</v>
      </c>
      <c r="N34">
        <f>ABS(K42)</f>
        <v>0.10833333325000005</v>
      </c>
      <c r="P34" s="3"/>
      <c r="Q34" s="3"/>
      <c r="R34" s="3"/>
    </row>
    <row r="35" spans="2:42" x14ac:dyDescent="0.25">
      <c r="B35" s="5" t="s">
        <v>55</v>
      </c>
      <c r="C35">
        <v>9</v>
      </c>
      <c r="D35">
        <v>8.8333333330000006</v>
      </c>
      <c r="E35">
        <v>11.28036795</v>
      </c>
      <c r="F35">
        <v>0.62709258749999996</v>
      </c>
      <c r="J35">
        <f>D24/4</f>
        <v>1.3374999999999999</v>
      </c>
      <c r="K35">
        <f t="shared" si="4"/>
        <v>-0.13750000000000018</v>
      </c>
      <c r="P35" s="3"/>
      <c r="Q35" s="3"/>
    </row>
    <row r="36" spans="2:42" x14ac:dyDescent="0.25">
      <c r="B36" s="9" t="s">
        <v>56</v>
      </c>
      <c r="C36">
        <v>9</v>
      </c>
      <c r="D36">
        <v>9.15</v>
      </c>
      <c r="E36">
        <v>11.589488709999999</v>
      </c>
      <c r="F36">
        <v>0.63448512700000004</v>
      </c>
      <c r="J36">
        <f>D25/4</f>
        <v>1.4750000000000001</v>
      </c>
      <c r="K36">
        <f t="shared" si="4"/>
        <v>-9.5833333249999875E-2</v>
      </c>
      <c r="Q36" t="s">
        <v>87</v>
      </c>
      <c r="AC36" t="s">
        <v>40</v>
      </c>
    </row>
    <row r="37" spans="2:42" x14ac:dyDescent="0.25">
      <c r="B37" s="8"/>
      <c r="J37">
        <f>D27/4</f>
        <v>1.57083333325</v>
      </c>
      <c r="K37">
        <f t="shared" si="4"/>
        <v>-0.14166666674999995</v>
      </c>
      <c r="Q37" t="s">
        <v>88</v>
      </c>
      <c r="R37" t="s">
        <v>89</v>
      </c>
      <c r="S37" t="s">
        <v>90</v>
      </c>
      <c r="T37" t="s">
        <v>91</v>
      </c>
      <c r="V37" t="s">
        <v>92</v>
      </c>
      <c r="W37" t="s">
        <v>93</v>
      </c>
      <c r="AA37" s="6" t="s">
        <v>11</v>
      </c>
      <c r="AB37" s="6" t="s">
        <v>4</v>
      </c>
      <c r="AC37" t="s">
        <v>41</v>
      </c>
      <c r="AD37" s="10"/>
      <c r="AE37" s="10"/>
      <c r="AF37" s="10"/>
      <c r="AG37" s="10"/>
    </row>
    <row r="38" spans="2:42" x14ac:dyDescent="0.25">
      <c r="B38" s="5"/>
      <c r="J38">
        <f>D28/4</f>
        <v>1.7124999999999999</v>
      </c>
      <c r="K38">
        <f t="shared" si="4"/>
        <v>-9.5833333250000097E-2</v>
      </c>
      <c r="Q38">
        <f>V15</f>
        <v>-2.1473155548817227</v>
      </c>
      <c r="R38">
        <f t="shared" ref="Q38:R47" si="5">W15</f>
        <v>1.0227143531989079E-2</v>
      </c>
      <c r="S38">
        <f>D13/4-D10/4</f>
        <v>0.24166666675000004</v>
      </c>
      <c r="T38">
        <f>$P$26</f>
        <v>5.8831284194720748E-3</v>
      </c>
      <c r="V38">
        <f>Q38/S38</f>
        <v>-8.885443672308698</v>
      </c>
      <c r="W38">
        <f>SQRT(((1/S38)*R38)^2+((Q38/(S38^2))*T38)^2)</f>
        <v>0.22040794027550123</v>
      </c>
      <c r="Y38" s="6" t="s">
        <v>94</v>
      </c>
      <c r="Z38" s="6"/>
      <c r="AA38" s="5">
        <f>AVERAGE(V38:V47)</f>
        <v>-9.6625874653785875</v>
      </c>
      <c r="AB38" s="13">
        <f>SQRT(SUM(W38^2+W39^2+W40^2+W41^2+W42^2+W43^2+W44^2+W45^2+W46^2+W47^2)/(H13^2))</f>
        <v>7.6154257688105076E-2</v>
      </c>
      <c r="AC38" t="s">
        <v>42</v>
      </c>
      <c r="AD38" s="10"/>
      <c r="AE38" s="10"/>
      <c r="AF38" s="10"/>
      <c r="AG38" s="10"/>
    </row>
    <row r="39" spans="2:42" x14ac:dyDescent="0.25">
      <c r="B39" s="9"/>
      <c r="J39">
        <f>D30/4</f>
        <v>1.80833333325</v>
      </c>
      <c r="K39">
        <f t="shared" si="4"/>
        <v>-0.13749999999999996</v>
      </c>
      <c r="Q39">
        <f t="shared" si="5"/>
        <v>-2.3180938598281857</v>
      </c>
      <c r="R39">
        <f t="shared" si="5"/>
        <v>7.2534050724822746E-3</v>
      </c>
      <c r="S39">
        <f>D16/4-D13/4</f>
        <v>0.23749999999999993</v>
      </c>
      <c r="T39">
        <f t="shared" ref="T39:T47" si="6">$P$26</f>
        <v>5.8831284194720748E-3</v>
      </c>
      <c r="V39">
        <f t="shared" ref="V39:V47" si="7">Q39/S39</f>
        <v>-9.7603951992765747</v>
      </c>
      <c r="W39">
        <f t="shared" ref="W39:W47" si="8">SQRT(((1/S39)*R39)^2+((Q39/(S39^2))*T39)^2)</f>
        <v>0.24369669124345919</v>
      </c>
      <c r="AC39" t="s">
        <v>59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42" x14ac:dyDescent="0.25">
      <c r="B40" s="8"/>
      <c r="J40">
        <f>D31/4</f>
        <v>1.94583333325</v>
      </c>
      <c r="K40">
        <f t="shared" si="4"/>
        <v>-9.5833333499999895E-2</v>
      </c>
      <c r="Q40">
        <f t="shared" si="5"/>
        <v>-2.3253831432463374</v>
      </c>
      <c r="R40">
        <f t="shared" si="5"/>
        <v>4.2243611403477458E-3</v>
      </c>
      <c r="S40">
        <f>D19/4-D16/4</f>
        <v>0.24166666675000004</v>
      </c>
      <c r="T40">
        <f t="shared" si="6"/>
        <v>5.8831284194720748E-3</v>
      </c>
      <c r="V40">
        <f t="shared" si="7"/>
        <v>-9.622275072184058</v>
      </c>
      <c r="W40">
        <f t="shared" si="8"/>
        <v>0.23489577583189242</v>
      </c>
      <c r="Y40" t="s">
        <v>95</v>
      </c>
      <c r="AC40" t="s">
        <v>60</v>
      </c>
      <c r="AD40" s="10"/>
      <c r="AE40" s="10"/>
      <c r="AF40" s="10"/>
      <c r="AG40" s="10"/>
    </row>
    <row r="41" spans="2:42" x14ac:dyDescent="0.25">
      <c r="B41" s="5"/>
      <c r="J41">
        <f>D33/4</f>
        <v>2.0416666667499999</v>
      </c>
      <c r="K41">
        <f t="shared" si="4"/>
        <v>-0.13750000000000018</v>
      </c>
      <c r="Q41">
        <f t="shared" si="5"/>
        <v>-2.194594183989615</v>
      </c>
      <c r="R41">
        <f t="shared" si="5"/>
        <v>1.716662286146265E-3</v>
      </c>
      <c r="S41">
        <f>D22/4-D19/4</f>
        <v>0.23333333325000005</v>
      </c>
      <c r="T41">
        <f t="shared" si="6"/>
        <v>5.8831284194720748E-3</v>
      </c>
      <c r="V41">
        <f t="shared" si="7"/>
        <v>-9.40540364902885</v>
      </c>
      <c r="W41">
        <f t="shared" si="8"/>
        <v>0.23725637170730798</v>
      </c>
      <c r="AC41" t="s">
        <v>43</v>
      </c>
      <c r="AD41" s="10"/>
      <c r="AE41" s="10"/>
      <c r="AF41" s="10"/>
      <c r="AG41" s="10"/>
      <c r="AH41" s="10"/>
      <c r="AI41" s="10"/>
    </row>
    <row r="42" spans="2:42" x14ac:dyDescent="0.25">
      <c r="B42" s="9"/>
      <c r="J42">
        <f>D34/4</f>
        <v>2.17916666675</v>
      </c>
      <c r="K42">
        <f t="shared" si="4"/>
        <v>-0.10833333325000005</v>
      </c>
      <c r="Q42">
        <f t="shared" si="5"/>
        <v>-2.2526598285663706</v>
      </c>
      <c r="R42">
        <f t="shared" si="5"/>
        <v>2.6827551069287092E-3</v>
      </c>
      <c r="S42">
        <f>D25/4-D22/4</f>
        <v>0.23750000000000004</v>
      </c>
      <c r="T42">
        <f t="shared" si="6"/>
        <v>5.8831284194720748E-3</v>
      </c>
      <c r="V42">
        <f t="shared" si="7"/>
        <v>-9.4848834887005058</v>
      </c>
      <c r="W42">
        <f t="shared" si="8"/>
        <v>0.23522206437706838</v>
      </c>
      <c r="Y42" s="14" t="s">
        <v>96</v>
      </c>
      <c r="Z42" s="14"/>
      <c r="AA42" s="12">
        <f>ABS($X$17*100)</f>
        <v>228.90214851234862</v>
      </c>
      <c r="AB42" s="12">
        <f>$Y$17</f>
        <v>7.3569430289979589E-3</v>
      </c>
      <c r="AC42" t="s">
        <v>48</v>
      </c>
      <c r="AD42" s="10"/>
      <c r="AE42" s="10"/>
      <c r="AF42" s="10"/>
      <c r="AG42" s="10"/>
      <c r="AH42" s="10"/>
      <c r="AI42" s="10"/>
      <c r="AJ42" s="10"/>
      <c r="AK42" s="10"/>
    </row>
    <row r="43" spans="2:42" x14ac:dyDescent="0.25">
      <c r="J43">
        <f>D36/4</f>
        <v>2.2875000000000001</v>
      </c>
      <c r="Q43">
        <f t="shared" si="5"/>
        <v>-2.3325707181646176</v>
      </c>
      <c r="R43">
        <f t="shared" si="5"/>
        <v>5.5550076910860606E-3</v>
      </c>
      <c r="S43">
        <f>D28/4-D25/4</f>
        <v>0.23749999999999982</v>
      </c>
      <c r="T43">
        <f t="shared" si="6"/>
        <v>5.8831284194720748E-3</v>
      </c>
      <c r="V43">
        <f t="shared" si="7"/>
        <v>-9.8213503922720822</v>
      </c>
      <c r="W43">
        <f t="shared" si="8"/>
        <v>0.24440707895874692</v>
      </c>
      <c r="Y43" s="14" t="s">
        <v>97</v>
      </c>
      <c r="Z43" s="14"/>
      <c r="AA43" s="12">
        <f>ABS($W$31)</f>
        <v>9.8148148138888891E-2</v>
      </c>
      <c r="AB43" s="12">
        <f>$X$31</f>
        <v>1.9610428064906916E-3</v>
      </c>
      <c r="AC43" t="s">
        <v>49</v>
      </c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42" x14ac:dyDescent="0.25">
      <c r="Q44">
        <f t="shared" si="5"/>
        <v>-2.3980160512600479</v>
      </c>
      <c r="R44">
        <f t="shared" si="5"/>
        <v>8.7006750089643307E-3</v>
      </c>
      <c r="S44">
        <f>D31/4-D28/4</f>
        <v>0.23333333325000005</v>
      </c>
      <c r="T44">
        <f t="shared" si="6"/>
        <v>5.8831284194720748E-3</v>
      </c>
      <c r="V44">
        <f t="shared" si="7"/>
        <v>-10.277211651927779</v>
      </c>
      <c r="W44">
        <f t="shared" si="8"/>
        <v>0.26179274574577321</v>
      </c>
      <c r="Y44" s="14" t="s">
        <v>98</v>
      </c>
      <c r="Z44" s="14"/>
      <c r="AA44" s="12">
        <f>ABS($W$32)</f>
        <v>0.14010416668750003</v>
      </c>
      <c r="AB44" s="12">
        <f>$X$32</f>
        <v>2.0799999999999998E-3</v>
      </c>
      <c r="AC44" t="s">
        <v>44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x14ac:dyDescent="0.25">
      <c r="Q45">
        <f t="shared" si="5"/>
        <v>-2.3435385410509912</v>
      </c>
      <c r="R45">
        <f t="shared" si="5"/>
        <v>1.1884500343464376E-2</v>
      </c>
      <c r="S45">
        <f>D34/4-D31/4</f>
        <v>0.23333333350000007</v>
      </c>
      <c r="T45">
        <f t="shared" si="6"/>
        <v>5.8831284194720748E-3</v>
      </c>
      <c r="V45">
        <f t="shared" si="7"/>
        <v>-10.043736597330147</v>
      </c>
      <c r="W45">
        <f t="shared" si="8"/>
        <v>0.25830818350795909</v>
      </c>
      <c r="Y45" s="14" t="s">
        <v>99</v>
      </c>
      <c r="Z45" s="14"/>
      <c r="AA45" s="5">
        <f>ABS($S$31)</f>
        <v>2.0041666667500002</v>
      </c>
      <c r="AB45" s="5">
        <f>$T$31</f>
        <v>1.8604085572798249E-2</v>
      </c>
      <c r="AC45" t="s">
        <v>45</v>
      </c>
      <c r="AD45" s="10"/>
      <c r="AE45" s="10"/>
      <c r="AF45" s="10"/>
    </row>
    <row r="46" spans="2:42" x14ac:dyDescent="0.25">
      <c r="Y46" s="14" t="s">
        <v>100</v>
      </c>
      <c r="Z46" s="14"/>
      <c r="AA46" s="5">
        <f>ABS($S$32)</f>
        <v>4.4906444904577691</v>
      </c>
      <c r="AB46" s="5">
        <f>$T$32</f>
        <v>4.1685322764582554E-2</v>
      </c>
      <c r="AC46" s="7"/>
      <c r="AD46" s="10"/>
      <c r="AE46" s="10"/>
      <c r="AF46" s="10"/>
      <c r="AG46" s="10"/>
      <c r="AH46" s="10"/>
      <c r="AI46" s="10"/>
      <c r="AJ46" s="10"/>
    </row>
    <row r="47" spans="2:42" x14ac:dyDescent="0.25">
      <c r="Y47" s="14" t="s">
        <v>92</v>
      </c>
      <c r="Z47" s="14"/>
      <c r="AA47" s="5">
        <f>ABS($AA$38)</f>
        <v>9.6625874653785875</v>
      </c>
      <c r="AB47" s="5">
        <f>$AB$38</f>
        <v>7.6154257688105076E-2</v>
      </c>
      <c r="AC47" s="7"/>
      <c r="AD47" s="10"/>
      <c r="AE47" s="10"/>
      <c r="AF47" s="10"/>
    </row>
    <row r="48" spans="2:42" x14ac:dyDescent="0.25">
      <c r="I48" s="3"/>
    </row>
  </sheetData>
  <mergeCells count="4">
    <mergeCell ref="H3:K3"/>
    <mergeCell ref="H4:K4"/>
    <mergeCell ref="H5:K5"/>
    <mergeCell ref="H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2019-09-04T11:22:47Z</dcterms:modified>
</cp:coreProperties>
</file>