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8"/>
  <workbookPr/>
  <mc:AlternateContent xmlns:mc="http://schemas.openxmlformats.org/markup-compatibility/2006">
    <mc:Choice Requires="x15">
      <x15ac:absPath xmlns:x15ac="http://schemas.microsoft.com/office/spreadsheetml/2010/11/ac" url="https://d.docs.live.net/a1596bc34249505a/"/>
    </mc:Choice>
  </mc:AlternateContent>
  <xr:revisionPtr revIDLastSave="0" documentId="8_{FDC5A772-9315-4AD4-903A-9A63150702D4}" xr6:coauthVersionLast="47" xr6:coauthVersionMax="47" xr10:uidLastSave="{00000000-0000-0000-0000-000000000000}"/>
  <bookViews>
    <workbookView xWindow="-120" yWindow="-120" windowWidth="29040" windowHeight="15720" firstSheet="1" activeTab="1" xr2:uid="{D9EE4D2B-9D20-40D5-90D0-05913C1061BA}"/>
  </bookViews>
  <sheets>
    <sheet name="Start" sheetId="8" r:id="rId1"/>
    <sheet name="IS" sheetId="1" r:id="rId2"/>
    <sheet name="BS" sheetId="2" r:id="rId3"/>
    <sheet name="EPS" sheetId="7" r:id="rId4"/>
    <sheet name="FCF &amp; DCF" sheetId="4" r:id="rId5"/>
    <sheet name="WACC" sheetId="6" r:id="rId6"/>
    <sheet name="Financial Metrics" sheetId="3" r:id="rId7"/>
    <sheet name="Comps" sheetId="5" r:id="rId8"/>
    <sheet name="Graphs"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8" l="1"/>
  <c r="F7" i="8"/>
  <c r="D12" i="8"/>
  <c r="E25" i="3"/>
  <c r="D25" i="3"/>
  <c r="AA10" i="7"/>
  <c r="Z10" i="7"/>
  <c r="Y10" i="7"/>
  <c r="X10" i="7"/>
  <c r="W10" i="7"/>
  <c r="V10" i="7"/>
  <c r="U10" i="7"/>
  <c r="T10" i="7"/>
  <c r="S10" i="7"/>
  <c r="R10" i="7"/>
  <c r="Q10" i="7"/>
  <c r="P10" i="7"/>
  <c r="O10" i="7"/>
  <c r="N10" i="7"/>
  <c r="M10" i="7"/>
  <c r="L10" i="7"/>
  <c r="K10" i="7"/>
  <c r="Q20" i="7"/>
  <c r="AA9" i="7"/>
  <c r="AA8" i="7" s="1"/>
  <c r="Z9" i="7"/>
  <c r="Z8" i="7" s="1"/>
  <c r="Y9" i="7"/>
  <c r="Y8" i="7" s="1"/>
  <c r="X9" i="7"/>
  <c r="X8" i="7" s="1"/>
  <c r="W9" i="7"/>
  <c r="W8" i="7" s="1"/>
  <c r="V9" i="7"/>
  <c r="V8" i="7" s="1"/>
  <c r="U9" i="7"/>
  <c r="U8" i="7" s="1"/>
  <c r="T9" i="7"/>
  <c r="T8" i="7" s="1"/>
  <c r="S9" i="7"/>
  <c r="S8" i="7" s="1"/>
  <c r="R9" i="7"/>
  <c r="R8" i="7" s="1"/>
  <c r="K5" i="7"/>
  <c r="F5" i="7"/>
  <c r="K18" i="5"/>
  <c r="J18" i="5"/>
  <c r="I18" i="5"/>
  <c r="H18" i="5"/>
  <c r="G18" i="5"/>
  <c r="F18" i="5"/>
  <c r="E18" i="5"/>
  <c r="K17" i="5"/>
  <c r="J17" i="5"/>
  <c r="I17" i="5"/>
  <c r="H17" i="5"/>
  <c r="G17" i="5"/>
  <c r="F17" i="5"/>
  <c r="E17" i="5"/>
  <c r="D18" i="5"/>
  <c r="D17" i="5"/>
  <c r="H4" i="5"/>
  <c r="K4" i="5"/>
  <c r="J4" i="5"/>
  <c r="I4" i="5"/>
  <c r="G4" i="5"/>
  <c r="F4" i="5"/>
  <c r="E4" i="5"/>
  <c r="D4" i="5"/>
  <c r="P8" i="7"/>
  <c r="O8" i="7"/>
  <c r="N8" i="7"/>
  <c r="M8" i="7"/>
  <c r="L8" i="7"/>
  <c r="K8" i="7"/>
  <c r="J8" i="7"/>
  <c r="J20" i="7" s="1"/>
  <c r="I8" i="7"/>
  <c r="I20" i="7" s="1"/>
  <c r="H8" i="7"/>
  <c r="H20" i="7" s="1"/>
  <c r="G8" i="7"/>
  <c r="G20" i="7" s="1"/>
  <c r="F8" i="7"/>
  <c r="F20" i="7" s="1"/>
  <c r="E8" i="7"/>
  <c r="E20" i="7" s="1"/>
  <c r="D8" i="7"/>
  <c r="D20" i="7" s="1"/>
  <c r="C8" i="7"/>
  <c r="C20" i="7" s="1"/>
  <c r="B8" i="7"/>
  <c r="B20" i="7" s="1"/>
  <c r="Y6" i="7"/>
  <c r="X6" i="7"/>
  <c r="W6" i="7"/>
  <c r="V6" i="7"/>
  <c r="Z5" i="7"/>
  <c r="U5" i="7"/>
  <c r="P5" i="7"/>
  <c r="O5" i="7"/>
  <c r="N5" i="7"/>
  <c r="M5" i="7"/>
  <c r="L5" i="7"/>
  <c r="AA14" i="4"/>
  <c r="AA15" i="4"/>
  <c r="Z15" i="4"/>
  <c r="Y15" i="4"/>
  <c r="X15" i="4"/>
  <c r="W15" i="4"/>
  <c r="V15" i="4"/>
  <c r="U15" i="4"/>
  <c r="T15" i="4"/>
  <c r="S15" i="4"/>
  <c r="R15" i="4"/>
  <c r="Q15" i="4"/>
  <c r="P15" i="4"/>
  <c r="O15" i="4"/>
  <c r="N15" i="4"/>
  <c r="M15" i="4"/>
  <c r="L15" i="4"/>
  <c r="K15" i="4"/>
  <c r="J15" i="4"/>
  <c r="I15" i="4"/>
  <c r="H15" i="4"/>
  <c r="G15" i="4"/>
  <c r="F15" i="4"/>
  <c r="E15" i="4"/>
  <c r="D15" i="4"/>
  <c r="C15" i="4"/>
  <c r="B15" i="4"/>
  <c r="P14" i="4"/>
  <c r="O14" i="4"/>
  <c r="N14" i="4"/>
  <c r="M14" i="4"/>
  <c r="L14" i="4"/>
  <c r="K14" i="4"/>
  <c r="J14" i="4"/>
  <c r="I14" i="4"/>
  <c r="H14" i="4"/>
  <c r="G14" i="4"/>
  <c r="F14" i="4"/>
  <c r="E14" i="4"/>
  <c r="D14" i="4"/>
  <c r="C14" i="4"/>
  <c r="B14" i="4"/>
  <c r="Y102" i="4"/>
  <c r="Y56" i="4"/>
  <c r="B13" i="6"/>
  <c r="Y27" i="4"/>
  <c r="X27" i="4"/>
  <c r="T27" i="4"/>
  <c r="S27" i="4"/>
  <c r="W27" i="4"/>
  <c r="Y80" i="4"/>
  <c r="Y79" i="4"/>
  <c r="B20" i="6"/>
  <c r="B18" i="6"/>
  <c r="B11" i="6"/>
  <c r="Y17" i="4"/>
  <c r="X17" i="4"/>
  <c r="W17" i="4"/>
  <c r="V17" i="4"/>
  <c r="T17" i="4"/>
  <c r="T18" i="4" s="1"/>
  <c r="S17" i="4"/>
  <c r="S18" i="4" s="1"/>
  <c r="R17" i="4"/>
  <c r="R18" i="4" s="1"/>
  <c r="Q17" i="4"/>
  <c r="Q18" i="4" s="1"/>
  <c r="T24" i="4"/>
  <c r="T21" i="4"/>
  <c r="S21" i="4"/>
  <c r="R21" i="4"/>
  <c r="Z20" i="4"/>
  <c r="U20" i="4"/>
  <c r="Z11" i="4"/>
  <c r="U11" i="4"/>
  <c r="T9" i="4"/>
  <c r="S9" i="4"/>
  <c r="R9" i="4"/>
  <c r="Z8" i="4"/>
  <c r="U8" i="4"/>
  <c r="U5" i="4"/>
  <c r="Q27" i="4"/>
  <c r="P26" i="4"/>
  <c r="O26" i="4"/>
  <c r="N26" i="4"/>
  <c r="M26" i="4"/>
  <c r="L26" i="4"/>
  <c r="K26" i="4"/>
  <c r="J26" i="4"/>
  <c r="I26" i="4"/>
  <c r="H26" i="4"/>
  <c r="G26" i="4"/>
  <c r="Q24" i="4"/>
  <c r="P23" i="4"/>
  <c r="O23" i="4"/>
  <c r="N23" i="4"/>
  <c r="M23" i="4"/>
  <c r="L23" i="4"/>
  <c r="K23" i="4"/>
  <c r="J23" i="4"/>
  <c r="I23" i="4"/>
  <c r="H23" i="4"/>
  <c r="G23" i="4"/>
  <c r="F23" i="4"/>
  <c r="E23" i="4"/>
  <c r="D23" i="4"/>
  <c r="C23" i="4"/>
  <c r="B23" i="4"/>
  <c r="P54" i="2"/>
  <c r="O54" i="2"/>
  <c r="N54" i="2"/>
  <c r="M54" i="2"/>
  <c r="L54" i="2"/>
  <c r="K54" i="2"/>
  <c r="J54" i="2"/>
  <c r="I54" i="2"/>
  <c r="H54" i="2"/>
  <c r="G54" i="2"/>
  <c r="P53" i="2"/>
  <c r="O53" i="2"/>
  <c r="N53" i="2"/>
  <c r="M53" i="2"/>
  <c r="L53" i="2"/>
  <c r="K53" i="2"/>
  <c r="J53" i="2"/>
  <c r="J55" i="2" s="1"/>
  <c r="I53" i="2"/>
  <c r="I55" i="2" s="1"/>
  <c r="H53" i="2"/>
  <c r="G53" i="2"/>
  <c r="F53" i="2"/>
  <c r="F55" i="2" s="1"/>
  <c r="E53" i="2"/>
  <c r="E55" i="2" s="1"/>
  <c r="D53" i="2"/>
  <c r="C53" i="2"/>
  <c r="B53" i="2"/>
  <c r="B55" i="2" s="1"/>
  <c r="M55" i="2"/>
  <c r="Q21" i="4"/>
  <c r="P20" i="4"/>
  <c r="O20" i="4"/>
  <c r="N20" i="4"/>
  <c r="M20" i="4"/>
  <c r="L20" i="4"/>
  <c r="K20" i="4"/>
  <c r="J20" i="4"/>
  <c r="I20" i="4"/>
  <c r="H20" i="4"/>
  <c r="G20" i="4"/>
  <c r="F20" i="4"/>
  <c r="E20" i="4"/>
  <c r="D20" i="4"/>
  <c r="C20" i="4"/>
  <c r="B20" i="4"/>
  <c r="Q9" i="4"/>
  <c r="P12" i="4"/>
  <c r="O12" i="4"/>
  <c r="N12" i="4"/>
  <c r="M12" i="4"/>
  <c r="L12" i="4"/>
  <c r="K12" i="4"/>
  <c r="J12" i="4"/>
  <c r="I12" i="4"/>
  <c r="H12" i="4"/>
  <c r="G12" i="4"/>
  <c r="F12" i="4"/>
  <c r="E12" i="4"/>
  <c r="D12" i="4"/>
  <c r="C12" i="4"/>
  <c r="B12" i="4"/>
  <c r="P11" i="4"/>
  <c r="O11" i="4"/>
  <c r="N11" i="4"/>
  <c r="M11" i="4"/>
  <c r="L11" i="4"/>
  <c r="K11" i="4"/>
  <c r="J11" i="4"/>
  <c r="I11" i="4"/>
  <c r="H11" i="4"/>
  <c r="G11" i="4"/>
  <c r="F11" i="4"/>
  <c r="E11" i="4"/>
  <c r="D11" i="4"/>
  <c r="C11" i="4"/>
  <c r="B11" i="4"/>
  <c r="P8" i="4"/>
  <c r="P17" i="4" s="1"/>
  <c r="O8" i="4"/>
  <c r="O17" i="4" s="1"/>
  <c r="N8" i="4"/>
  <c r="N17" i="4" s="1"/>
  <c r="M8" i="4"/>
  <c r="M17" i="4" s="1"/>
  <c r="L8" i="4"/>
  <c r="L17" i="4" s="1"/>
  <c r="K8" i="4"/>
  <c r="K17" i="4" s="1"/>
  <c r="J8" i="4"/>
  <c r="J17" i="4" s="1"/>
  <c r="I8" i="4"/>
  <c r="I17" i="4" s="1"/>
  <c r="H8" i="4"/>
  <c r="H17" i="4" s="1"/>
  <c r="G8" i="4"/>
  <c r="G17" i="4" s="1"/>
  <c r="F8" i="4"/>
  <c r="F17" i="4" s="1"/>
  <c r="E8" i="4"/>
  <c r="D8" i="4"/>
  <c r="D17" i="4" s="1"/>
  <c r="C8" i="4"/>
  <c r="C17" i="4" s="1"/>
  <c r="B8" i="4"/>
  <c r="B17" i="4" s="1"/>
  <c r="P5" i="4"/>
  <c r="O5" i="4"/>
  <c r="N5" i="4"/>
  <c r="S6" i="4" s="1"/>
  <c r="W6" i="4" s="1"/>
  <c r="W5" i="4" s="1"/>
  <c r="M5" i="4"/>
  <c r="R6" i="4" s="1"/>
  <c r="L5" i="4"/>
  <c r="Q6" i="4" s="1"/>
  <c r="V6" i="4" s="1"/>
  <c r="V5" i="4" s="1"/>
  <c r="K5" i="4"/>
  <c r="J5" i="4"/>
  <c r="I5" i="4"/>
  <c r="H5" i="4"/>
  <c r="G5" i="4"/>
  <c r="F5" i="4"/>
  <c r="E5" i="4"/>
  <c r="D5" i="4"/>
  <c r="C5" i="4"/>
  <c r="B5" i="4"/>
  <c r="C10" i="3"/>
  <c r="F25" i="1"/>
  <c r="E10" i="3"/>
  <c r="D10" i="3"/>
  <c r="P55" i="2"/>
  <c r="E9" i="3" s="1"/>
  <c r="O55" i="2"/>
  <c r="N55" i="2"/>
  <c r="L55" i="2"/>
  <c r="K55" i="2"/>
  <c r="D9" i="3" s="1"/>
  <c r="H55" i="2"/>
  <c r="G55" i="2"/>
  <c r="D55" i="2"/>
  <c r="C55" i="2"/>
  <c r="E20" i="3"/>
  <c r="D20" i="3"/>
  <c r="C20" i="3"/>
  <c r="E14" i="3"/>
  <c r="D14" i="3"/>
  <c r="C14" i="3"/>
  <c r="F8" i="3"/>
  <c r="F25" i="3"/>
  <c r="E6" i="3"/>
  <c r="D6" i="3"/>
  <c r="C6" i="3"/>
  <c r="P37" i="1"/>
  <c r="O37" i="1"/>
  <c r="N37" i="1"/>
  <c r="M37" i="1"/>
  <c r="L37" i="1"/>
  <c r="K37" i="1"/>
  <c r="J37" i="1"/>
  <c r="I37" i="1"/>
  <c r="H37" i="1"/>
  <c r="G37" i="1"/>
  <c r="P101" i="1"/>
  <c r="N101" i="1"/>
  <c r="M101" i="1"/>
  <c r="L101" i="1"/>
  <c r="K101" i="1"/>
  <c r="I101" i="1"/>
  <c r="H101" i="1"/>
  <c r="G101" i="1"/>
  <c r="P99" i="1"/>
  <c r="N99" i="1"/>
  <c r="M99" i="1"/>
  <c r="L99" i="1"/>
  <c r="P89" i="1"/>
  <c r="L89" i="1"/>
  <c r="N87" i="1"/>
  <c r="P77" i="1"/>
  <c r="L77" i="1"/>
  <c r="H77" i="1"/>
  <c r="N75" i="1"/>
  <c r="P73" i="1"/>
  <c r="L73" i="1"/>
  <c r="H73" i="1"/>
  <c r="N71" i="1"/>
  <c r="L71" i="1"/>
  <c r="H71" i="1"/>
  <c r="B71" i="1"/>
  <c r="C68" i="1"/>
  <c r="N62" i="1"/>
  <c r="L62" i="1"/>
  <c r="M57" i="1"/>
  <c r="O100" i="1"/>
  <c r="O101" i="1" s="1"/>
  <c r="O96" i="1"/>
  <c r="O99" i="1" s="1"/>
  <c r="O76" i="1"/>
  <c r="O74" i="1"/>
  <c r="O72" i="1"/>
  <c r="O69" i="1"/>
  <c r="O60" i="1"/>
  <c r="O59" i="1"/>
  <c r="O55" i="1"/>
  <c r="O54" i="1"/>
  <c r="J100" i="1"/>
  <c r="J101" i="1" s="1"/>
  <c r="J96" i="1"/>
  <c r="J76" i="1"/>
  <c r="J74" i="1"/>
  <c r="J72" i="1"/>
  <c r="J69" i="1"/>
  <c r="J60" i="1"/>
  <c r="J59" i="1"/>
  <c r="J55" i="1"/>
  <c r="J54" i="1"/>
  <c r="P88" i="1"/>
  <c r="N88" i="1"/>
  <c r="N89" i="1" s="1"/>
  <c r="M88" i="1"/>
  <c r="M89" i="1" s="1"/>
  <c r="L88" i="1"/>
  <c r="K88" i="1"/>
  <c r="I88" i="1"/>
  <c r="H88" i="1"/>
  <c r="G88" i="1"/>
  <c r="P84" i="1"/>
  <c r="P90" i="1" s="1"/>
  <c r="N84" i="1"/>
  <c r="M84" i="1"/>
  <c r="M87" i="1" s="1"/>
  <c r="L84" i="1"/>
  <c r="L87" i="1" s="1"/>
  <c r="K84" i="1"/>
  <c r="K87" i="1" s="1"/>
  <c r="I84" i="1"/>
  <c r="I87" i="1" s="1"/>
  <c r="H84" i="1"/>
  <c r="H87" i="1" s="1"/>
  <c r="G84" i="1"/>
  <c r="G87" i="1" s="1"/>
  <c r="P102" i="1"/>
  <c r="N102" i="1"/>
  <c r="M102" i="1"/>
  <c r="L102" i="1"/>
  <c r="K102" i="1"/>
  <c r="I102" i="1"/>
  <c r="H102" i="1"/>
  <c r="G102" i="1"/>
  <c r="P78" i="1"/>
  <c r="P75" i="1" s="1"/>
  <c r="N78" i="1"/>
  <c r="N77" i="1" s="1"/>
  <c r="M78" i="1"/>
  <c r="M75" i="1" s="1"/>
  <c r="L78" i="1"/>
  <c r="L75" i="1" s="1"/>
  <c r="K78" i="1"/>
  <c r="K77" i="1" s="1"/>
  <c r="I78" i="1"/>
  <c r="I75" i="1" s="1"/>
  <c r="H78" i="1"/>
  <c r="H75" i="1" s="1"/>
  <c r="G78" i="1"/>
  <c r="G77" i="1" s="1"/>
  <c r="F78" i="1"/>
  <c r="F68" i="1" s="1"/>
  <c r="D78" i="1"/>
  <c r="D68" i="1" s="1"/>
  <c r="C78" i="1"/>
  <c r="B78" i="1"/>
  <c r="B68" i="1" s="1"/>
  <c r="E67" i="1"/>
  <c r="P61" i="1"/>
  <c r="P62" i="1" s="1"/>
  <c r="N61" i="1"/>
  <c r="M61" i="1"/>
  <c r="M62" i="1" s="1"/>
  <c r="L61" i="1"/>
  <c r="K61" i="1"/>
  <c r="K62" i="1" s="1"/>
  <c r="I61" i="1"/>
  <c r="I62" i="1" s="1"/>
  <c r="H61" i="1"/>
  <c r="G61" i="1"/>
  <c r="G62" i="1" s="1"/>
  <c r="P56" i="1"/>
  <c r="P57" i="1" s="1"/>
  <c r="N56" i="1"/>
  <c r="M56" i="1"/>
  <c r="L56" i="1"/>
  <c r="K56" i="1"/>
  <c r="K57" i="1" s="1"/>
  <c r="I56" i="1"/>
  <c r="I64" i="1" s="1"/>
  <c r="H56" i="1"/>
  <c r="H57" i="1" s="1"/>
  <c r="G56" i="1"/>
  <c r="F69" i="1"/>
  <c r="F71" i="1" s="1"/>
  <c r="D69" i="1"/>
  <c r="D71" i="1" s="1"/>
  <c r="C69" i="1"/>
  <c r="C71" i="1" s="1"/>
  <c r="B69" i="1"/>
  <c r="B96" i="1"/>
  <c r="B84" i="1" s="1"/>
  <c r="F60" i="1"/>
  <c r="F61" i="1" s="1"/>
  <c r="D60" i="1"/>
  <c r="D61" i="1" s="1"/>
  <c r="C60" i="1"/>
  <c r="B60" i="1"/>
  <c r="B61" i="1" s="1"/>
  <c r="F55" i="1"/>
  <c r="F56" i="1" s="1"/>
  <c r="D55" i="1"/>
  <c r="D56" i="1" s="1"/>
  <c r="C55" i="1"/>
  <c r="C56" i="1" s="1"/>
  <c r="B55" i="1"/>
  <c r="B56" i="1" s="1"/>
  <c r="F96" i="1"/>
  <c r="F84" i="1" s="1"/>
  <c r="D96" i="1"/>
  <c r="D84" i="1" s="1"/>
  <c r="C96" i="1"/>
  <c r="C84" i="1" s="1"/>
  <c r="E100" i="1"/>
  <c r="E98" i="1"/>
  <c r="E97" i="1"/>
  <c r="E70" i="1"/>
  <c r="E69" i="1" s="1"/>
  <c r="E59" i="1"/>
  <c r="E54" i="1"/>
  <c r="F102" i="1"/>
  <c r="D102" i="1"/>
  <c r="C102" i="1"/>
  <c r="P86" i="1"/>
  <c r="N86" i="1"/>
  <c r="M86" i="1"/>
  <c r="L86" i="1"/>
  <c r="K86" i="1"/>
  <c r="I86" i="1"/>
  <c r="H86" i="1"/>
  <c r="G86" i="1"/>
  <c r="F86" i="1"/>
  <c r="D86" i="1"/>
  <c r="C86" i="1"/>
  <c r="P85" i="1"/>
  <c r="N85" i="1"/>
  <c r="M85" i="1"/>
  <c r="L85" i="1"/>
  <c r="K85" i="1"/>
  <c r="I85" i="1"/>
  <c r="H85" i="1"/>
  <c r="G85" i="1"/>
  <c r="F85" i="1"/>
  <c r="D85" i="1"/>
  <c r="C85" i="1"/>
  <c r="B86" i="1"/>
  <c r="B85" i="1"/>
  <c r="B102" i="1"/>
  <c r="O46" i="2"/>
  <c r="N46" i="2"/>
  <c r="L46" i="2"/>
  <c r="J46" i="2"/>
  <c r="O41" i="2"/>
  <c r="J41" i="2"/>
  <c r="P39" i="2"/>
  <c r="O39" i="2"/>
  <c r="N39" i="2"/>
  <c r="J39" i="2"/>
  <c r="O32" i="2"/>
  <c r="N32" i="2"/>
  <c r="L32" i="2"/>
  <c r="J32" i="2"/>
  <c r="H32" i="2"/>
  <c r="O23" i="2"/>
  <c r="J23" i="2"/>
  <c r="O21" i="2"/>
  <c r="N21" i="2"/>
  <c r="L21" i="2"/>
  <c r="J21" i="2"/>
  <c r="H21" i="2"/>
  <c r="P12" i="2"/>
  <c r="O12" i="2"/>
  <c r="J12" i="2"/>
  <c r="H12" i="2"/>
  <c r="P45" i="2"/>
  <c r="P46" i="2" s="1"/>
  <c r="N45" i="2"/>
  <c r="M45" i="2"/>
  <c r="M46" i="2" s="1"/>
  <c r="L45" i="2"/>
  <c r="K45" i="2"/>
  <c r="D19" i="3" s="1"/>
  <c r="I45" i="2"/>
  <c r="I46" i="2" s="1"/>
  <c r="H45" i="2"/>
  <c r="H46" i="2" s="1"/>
  <c r="G45" i="2"/>
  <c r="G46" i="2" s="1"/>
  <c r="F45" i="2"/>
  <c r="C19" i="3" s="1"/>
  <c r="D45" i="2"/>
  <c r="C45" i="2"/>
  <c r="B45" i="2"/>
  <c r="D38" i="2"/>
  <c r="P38" i="2"/>
  <c r="N38" i="2"/>
  <c r="M38" i="2"/>
  <c r="M39" i="2" s="1"/>
  <c r="L38" i="2"/>
  <c r="L39" i="2" s="1"/>
  <c r="K38" i="2"/>
  <c r="K39" i="2" s="1"/>
  <c r="I38" i="2"/>
  <c r="I39" i="2" s="1"/>
  <c r="H38" i="2"/>
  <c r="G38" i="2"/>
  <c r="G39" i="2" s="1"/>
  <c r="F38" i="2"/>
  <c r="C38" i="2"/>
  <c r="H39" i="2" s="1"/>
  <c r="B38" i="2"/>
  <c r="P31" i="2"/>
  <c r="E23" i="3" s="1"/>
  <c r="N31" i="2"/>
  <c r="M31" i="2"/>
  <c r="M32" i="2" s="1"/>
  <c r="L31" i="2"/>
  <c r="K31" i="2"/>
  <c r="K32" i="2" s="1"/>
  <c r="I31" i="2"/>
  <c r="I32" i="2" s="1"/>
  <c r="H31" i="2"/>
  <c r="G31" i="2"/>
  <c r="G32" i="2" s="1"/>
  <c r="F31" i="2"/>
  <c r="C24" i="3" s="1"/>
  <c r="D31" i="2"/>
  <c r="C31" i="2"/>
  <c r="B31" i="2"/>
  <c r="P20" i="2"/>
  <c r="P21" i="2" s="1"/>
  <c r="N20" i="2"/>
  <c r="M20" i="2"/>
  <c r="M21" i="2" s="1"/>
  <c r="L20" i="2"/>
  <c r="K20" i="2"/>
  <c r="K21" i="2" s="1"/>
  <c r="I20" i="2"/>
  <c r="I21" i="2" s="1"/>
  <c r="H20" i="2"/>
  <c r="G20" i="2"/>
  <c r="G21" i="2" s="1"/>
  <c r="F20" i="2"/>
  <c r="D20" i="2"/>
  <c r="C20" i="2"/>
  <c r="P11" i="2"/>
  <c r="N11" i="2"/>
  <c r="N12" i="2" s="1"/>
  <c r="M11" i="2"/>
  <c r="M12" i="2" s="1"/>
  <c r="L11" i="2"/>
  <c r="L12" i="2" s="1"/>
  <c r="K11" i="2"/>
  <c r="D23" i="3" s="1"/>
  <c r="I11" i="2"/>
  <c r="I12" i="2" s="1"/>
  <c r="H11" i="2"/>
  <c r="G11" i="2"/>
  <c r="G12" i="2" s="1"/>
  <c r="F11" i="2"/>
  <c r="D11" i="2"/>
  <c r="C11" i="2"/>
  <c r="B20" i="2"/>
  <c r="B11" i="2"/>
  <c r="E24" i="1"/>
  <c r="N36" i="1"/>
  <c r="M36" i="1"/>
  <c r="L36" i="1"/>
  <c r="K36" i="1"/>
  <c r="I36" i="1"/>
  <c r="H36" i="1"/>
  <c r="G36" i="1"/>
  <c r="F36" i="1"/>
  <c r="D36" i="1"/>
  <c r="C36" i="1"/>
  <c r="B36" i="1"/>
  <c r="O43" i="1"/>
  <c r="N43" i="1"/>
  <c r="M43" i="1"/>
  <c r="L43" i="1"/>
  <c r="K43" i="1"/>
  <c r="I43" i="1"/>
  <c r="H43" i="1"/>
  <c r="G43" i="1"/>
  <c r="F43" i="1"/>
  <c r="D43" i="1"/>
  <c r="C43" i="1"/>
  <c r="B43" i="1"/>
  <c r="O41" i="1"/>
  <c r="O44" i="1" s="1"/>
  <c r="O45" i="1" s="1"/>
  <c r="N41" i="1"/>
  <c r="N44" i="1" s="1"/>
  <c r="N45" i="1" s="1"/>
  <c r="M41" i="1"/>
  <c r="M44" i="1" s="1"/>
  <c r="M45" i="1" s="1"/>
  <c r="L41" i="1"/>
  <c r="L44" i="1" s="1"/>
  <c r="L45" i="1" s="1"/>
  <c r="K41" i="1"/>
  <c r="K44" i="1" s="1"/>
  <c r="K45" i="1" s="1"/>
  <c r="I41" i="1"/>
  <c r="I44" i="1" s="1"/>
  <c r="I45" i="1" s="1"/>
  <c r="H41" i="1"/>
  <c r="H44" i="1" s="1"/>
  <c r="H45" i="1" s="1"/>
  <c r="G41" i="1"/>
  <c r="G44" i="1" s="1"/>
  <c r="G45" i="1" s="1"/>
  <c r="F41" i="1"/>
  <c r="F44" i="1" s="1"/>
  <c r="F45" i="1" s="1"/>
  <c r="D41" i="1"/>
  <c r="D44" i="1" s="1"/>
  <c r="D45" i="1" s="1"/>
  <c r="C41" i="1"/>
  <c r="C44" i="1" s="1"/>
  <c r="C45" i="1" s="1"/>
  <c r="B41" i="1"/>
  <c r="B44" i="1" s="1"/>
  <c r="B45" i="1" s="1"/>
  <c r="N32" i="1"/>
  <c r="M32" i="1"/>
  <c r="L32" i="1"/>
  <c r="K32" i="1"/>
  <c r="I32" i="1"/>
  <c r="H32" i="1"/>
  <c r="G32" i="1"/>
  <c r="N21" i="1"/>
  <c r="M21" i="1"/>
  <c r="L21" i="1"/>
  <c r="K21" i="1"/>
  <c r="I21" i="1"/>
  <c r="H21" i="1"/>
  <c r="G21" i="1"/>
  <c r="N16" i="1"/>
  <c r="M16" i="1"/>
  <c r="L16" i="1"/>
  <c r="K16" i="1"/>
  <c r="I16" i="1"/>
  <c r="H16" i="1"/>
  <c r="G16" i="1"/>
  <c r="N11" i="1"/>
  <c r="M11" i="1"/>
  <c r="L11" i="1"/>
  <c r="K11" i="1"/>
  <c r="I11" i="1"/>
  <c r="H11" i="1"/>
  <c r="P31" i="1"/>
  <c r="P36" i="1" s="1"/>
  <c r="P30" i="1"/>
  <c r="P27" i="1"/>
  <c r="P24" i="1"/>
  <c r="P20" i="1"/>
  <c r="P21" i="1" s="1"/>
  <c r="P19" i="1"/>
  <c r="P15" i="1"/>
  <c r="P14" i="1"/>
  <c r="P10" i="1"/>
  <c r="P11" i="1" s="1"/>
  <c r="P8" i="1"/>
  <c r="P5" i="1"/>
  <c r="P6" i="1" s="1"/>
  <c r="N6" i="1"/>
  <c r="M6" i="1"/>
  <c r="L6" i="1"/>
  <c r="K6" i="1"/>
  <c r="I6" i="1"/>
  <c r="H6" i="1"/>
  <c r="G6" i="1"/>
  <c r="J31" i="1"/>
  <c r="O32" i="1" s="1"/>
  <c r="J30" i="1"/>
  <c r="J27" i="1"/>
  <c r="J24" i="1"/>
  <c r="J20" i="1"/>
  <c r="J19" i="1"/>
  <c r="J15" i="1"/>
  <c r="J41" i="1" s="1"/>
  <c r="J44" i="1" s="1"/>
  <c r="J14" i="1"/>
  <c r="J10" i="1"/>
  <c r="O11" i="1" s="1"/>
  <c r="J8" i="1"/>
  <c r="J5" i="1"/>
  <c r="E30" i="1"/>
  <c r="E31" i="1"/>
  <c r="E27" i="1"/>
  <c r="E20" i="1"/>
  <c r="E14" i="1"/>
  <c r="E15" i="1"/>
  <c r="E41" i="1" s="1"/>
  <c r="E44" i="1" s="1"/>
  <c r="E8" i="1"/>
  <c r="E5" i="1"/>
  <c r="E43" i="1" s="1"/>
  <c r="O9" i="1"/>
  <c r="N9" i="1"/>
  <c r="M9" i="1"/>
  <c r="L9" i="1"/>
  <c r="K9" i="1"/>
  <c r="I9" i="1"/>
  <c r="H9" i="1"/>
  <c r="G9" i="1"/>
  <c r="F9" i="1"/>
  <c r="D9" i="1"/>
  <c r="C9" i="1"/>
  <c r="B9" i="1"/>
  <c r="O33" i="1"/>
  <c r="N33" i="1"/>
  <c r="M33" i="1"/>
  <c r="L33" i="1"/>
  <c r="K33" i="1"/>
  <c r="I33" i="1"/>
  <c r="H33" i="1"/>
  <c r="G33" i="1"/>
  <c r="F33" i="1"/>
  <c r="D33" i="1"/>
  <c r="C33" i="1"/>
  <c r="B33" i="1"/>
  <c r="O28" i="1"/>
  <c r="N28" i="1"/>
  <c r="M28" i="1"/>
  <c r="L28" i="1"/>
  <c r="K28" i="1"/>
  <c r="I28" i="1"/>
  <c r="H28" i="1"/>
  <c r="G28" i="1"/>
  <c r="F28" i="1"/>
  <c r="D28" i="1"/>
  <c r="C28" i="1"/>
  <c r="O22" i="1"/>
  <c r="N22" i="1"/>
  <c r="M22" i="1"/>
  <c r="L22" i="1"/>
  <c r="K22" i="1"/>
  <c r="I22" i="1"/>
  <c r="H22" i="1"/>
  <c r="G22" i="1"/>
  <c r="F22" i="1"/>
  <c r="D22" i="1"/>
  <c r="C22" i="1"/>
  <c r="O17" i="1"/>
  <c r="N17" i="1"/>
  <c r="M17" i="1"/>
  <c r="L17" i="1"/>
  <c r="K17" i="1"/>
  <c r="I17" i="1"/>
  <c r="H17" i="1"/>
  <c r="G17" i="1"/>
  <c r="F17" i="1"/>
  <c r="D17" i="1"/>
  <c r="C17" i="1"/>
  <c r="O12" i="1"/>
  <c r="N12" i="1"/>
  <c r="M12" i="1"/>
  <c r="L12" i="1"/>
  <c r="K12" i="1"/>
  <c r="I12" i="1"/>
  <c r="H12" i="1"/>
  <c r="G12" i="1"/>
  <c r="F12" i="1"/>
  <c r="D12" i="1"/>
  <c r="C12" i="1"/>
  <c r="B28" i="1"/>
  <c r="B25" i="1"/>
  <c r="B22" i="1"/>
  <c r="B17" i="1"/>
  <c r="B10" i="1"/>
  <c r="E10" i="1" s="1"/>
  <c r="O25" i="1"/>
  <c r="N25" i="1"/>
  <c r="M25" i="1"/>
  <c r="L25" i="1"/>
  <c r="K25" i="1"/>
  <c r="I25" i="1"/>
  <c r="H25" i="1"/>
  <c r="G25" i="1"/>
  <c r="D25" i="1"/>
  <c r="C25" i="1"/>
  <c r="Y103" i="4" l="1"/>
  <c r="Y57" i="4"/>
  <c r="S20" i="7"/>
  <c r="T20" i="7"/>
  <c r="U20" i="7"/>
  <c r="V20" i="7"/>
  <c r="W20" i="7"/>
  <c r="X20" i="7"/>
  <c r="Y20" i="7"/>
  <c r="Z20" i="7"/>
  <c r="Z21" i="7" s="1"/>
  <c r="AA20" i="7"/>
  <c r="AA21" i="7" s="1"/>
  <c r="R20" i="7"/>
  <c r="K20" i="7"/>
  <c r="K21" i="7" s="1"/>
  <c r="L20" i="7"/>
  <c r="N20" i="7"/>
  <c r="O20" i="7"/>
  <c r="P20" i="7"/>
  <c r="P21" i="7" s="1"/>
  <c r="M20" i="7"/>
  <c r="R6" i="7"/>
  <c r="S6" i="7"/>
  <c r="T6" i="7"/>
  <c r="U6" i="7"/>
  <c r="Z6" i="7"/>
  <c r="AA6" i="7" s="1"/>
  <c r="AA5" i="7" s="1"/>
  <c r="G9" i="7"/>
  <c r="H9" i="7"/>
  <c r="I9" i="7"/>
  <c r="J9" i="7"/>
  <c r="K9" i="7"/>
  <c r="Q9" i="7"/>
  <c r="L9" i="7"/>
  <c r="M9" i="7"/>
  <c r="N9" i="7"/>
  <c r="O9" i="7"/>
  <c r="P9" i="7"/>
  <c r="V21" i="4"/>
  <c r="V9" i="4"/>
  <c r="W21" i="4"/>
  <c r="W9" i="4"/>
  <c r="V18" i="4"/>
  <c r="W18" i="4"/>
  <c r="B14" i="6"/>
  <c r="B5" i="6"/>
  <c r="U69" i="4"/>
  <c r="U17" i="4"/>
  <c r="U70" i="4"/>
  <c r="Z17" i="4"/>
  <c r="Z70" i="4"/>
  <c r="B18" i="4"/>
  <c r="C18" i="4"/>
  <c r="D18" i="4"/>
  <c r="F18" i="4"/>
  <c r="G18" i="4"/>
  <c r="H18" i="4"/>
  <c r="I18" i="4"/>
  <c r="J18" i="4"/>
  <c r="K30" i="4"/>
  <c r="K18" i="4"/>
  <c r="L18" i="4"/>
  <c r="M18" i="4"/>
  <c r="N18" i="4"/>
  <c r="O18" i="4"/>
  <c r="P30" i="4"/>
  <c r="P18" i="4"/>
  <c r="C24" i="4"/>
  <c r="U18" i="4"/>
  <c r="K24" i="4"/>
  <c r="C9" i="4"/>
  <c r="G6" i="4"/>
  <c r="K6" i="4"/>
  <c r="O6" i="4"/>
  <c r="B21" i="4"/>
  <c r="F21" i="4"/>
  <c r="J21" i="4"/>
  <c r="N21" i="4"/>
  <c r="H6" i="4"/>
  <c r="P6" i="4"/>
  <c r="C21" i="4"/>
  <c r="G21" i="4"/>
  <c r="K21" i="4"/>
  <c r="O21" i="4"/>
  <c r="E21" i="4"/>
  <c r="I21" i="4"/>
  <c r="I27" i="4"/>
  <c r="D21" i="4"/>
  <c r="P21" i="4"/>
  <c r="M27" i="4"/>
  <c r="B9" i="4"/>
  <c r="F9" i="4"/>
  <c r="G24" i="4"/>
  <c r="O24" i="4"/>
  <c r="D24" i="4"/>
  <c r="H24" i="4"/>
  <c r="L24" i="4"/>
  <c r="V24" i="4" s="1"/>
  <c r="V23" i="4" s="1"/>
  <c r="P24" i="4"/>
  <c r="M6" i="4"/>
  <c r="H9" i="4"/>
  <c r="P9" i="4"/>
  <c r="I9" i="4"/>
  <c r="I24" i="4"/>
  <c r="J6" i="4"/>
  <c r="I6" i="4"/>
  <c r="B24" i="4"/>
  <c r="F24" i="4"/>
  <c r="J24" i="4"/>
  <c r="N24" i="4"/>
  <c r="G27" i="4"/>
  <c r="K27" i="4"/>
  <c r="O27" i="4"/>
  <c r="D9" i="4"/>
  <c r="L9" i="4"/>
  <c r="H21" i="4"/>
  <c r="E9" i="4"/>
  <c r="M9" i="4"/>
  <c r="L21" i="4"/>
  <c r="E24" i="4"/>
  <c r="M24" i="4"/>
  <c r="U9" i="4"/>
  <c r="L6" i="4"/>
  <c r="H27" i="4"/>
  <c r="L27" i="4"/>
  <c r="P27" i="4"/>
  <c r="T6" i="4"/>
  <c r="X6" i="4" s="1"/>
  <c r="X5" i="4" s="1"/>
  <c r="U21" i="4"/>
  <c r="U24" i="4"/>
  <c r="N9" i="4"/>
  <c r="N27" i="4"/>
  <c r="K9" i="4"/>
  <c r="M21" i="4"/>
  <c r="U6" i="4"/>
  <c r="Y6" i="4" s="1"/>
  <c r="Y5" i="4" s="1"/>
  <c r="J9" i="4"/>
  <c r="J27" i="4"/>
  <c r="G9" i="4"/>
  <c r="O9" i="4"/>
  <c r="N6" i="4"/>
  <c r="E19" i="3"/>
  <c r="C23" i="3"/>
  <c r="D24" i="3"/>
  <c r="K12" i="2"/>
  <c r="K46" i="2"/>
  <c r="E24" i="3"/>
  <c r="C9" i="3"/>
  <c r="F9" i="3" s="1"/>
  <c r="P32" i="2"/>
  <c r="F20" i="3"/>
  <c r="F24" i="3"/>
  <c r="F23" i="3"/>
  <c r="F19" i="3"/>
  <c r="F14" i="3"/>
  <c r="F6" i="3"/>
  <c r="H62" i="1"/>
  <c r="G89" i="1"/>
  <c r="J73" i="1"/>
  <c r="O77" i="1"/>
  <c r="G57" i="1"/>
  <c r="L57" i="1"/>
  <c r="J78" i="1"/>
  <c r="J61" i="1"/>
  <c r="J62" i="1" s="1"/>
  <c r="G71" i="1"/>
  <c r="K71" i="1"/>
  <c r="I73" i="1"/>
  <c r="M73" i="1"/>
  <c r="G75" i="1"/>
  <c r="K75" i="1"/>
  <c r="I77" i="1"/>
  <c r="M77" i="1"/>
  <c r="G99" i="1"/>
  <c r="K99" i="1"/>
  <c r="P71" i="1"/>
  <c r="N73" i="1"/>
  <c r="P87" i="1"/>
  <c r="H99" i="1"/>
  <c r="N57" i="1"/>
  <c r="I57" i="1"/>
  <c r="I71" i="1"/>
  <c r="M71" i="1"/>
  <c r="G73" i="1"/>
  <c r="K73" i="1"/>
  <c r="I99" i="1"/>
  <c r="J56" i="1"/>
  <c r="J102" i="1"/>
  <c r="E78" i="1"/>
  <c r="E68" i="1" s="1"/>
  <c r="J86" i="1"/>
  <c r="G90" i="1"/>
  <c r="J84" i="1"/>
  <c r="J88" i="1"/>
  <c r="O102" i="1"/>
  <c r="O78" i="1"/>
  <c r="O75" i="1" s="1"/>
  <c r="O88" i="1"/>
  <c r="O61" i="1"/>
  <c r="O62" i="1" s="1"/>
  <c r="O84" i="1"/>
  <c r="O86" i="1"/>
  <c r="O85" i="1"/>
  <c r="O56" i="1"/>
  <c r="O57" i="1" s="1"/>
  <c r="N90" i="1"/>
  <c r="M64" i="1"/>
  <c r="M90" i="1"/>
  <c r="L90" i="1"/>
  <c r="J85" i="1"/>
  <c r="K90" i="1"/>
  <c r="I90" i="1"/>
  <c r="H90" i="1"/>
  <c r="G64" i="1"/>
  <c r="K64" i="1"/>
  <c r="J64" i="1"/>
  <c r="N64" i="1"/>
  <c r="H64" i="1"/>
  <c r="L64" i="1"/>
  <c r="P64" i="1"/>
  <c r="D88" i="1"/>
  <c r="D90" i="1" s="1"/>
  <c r="F64" i="1"/>
  <c r="B88" i="1"/>
  <c r="B90" i="1" s="1"/>
  <c r="F88" i="1"/>
  <c r="F90" i="1" s="1"/>
  <c r="E55" i="1"/>
  <c r="E60" i="1"/>
  <c r="E61" i="1" s="1"/>
  <c r="C88" i="1"/>
  <c r="C90" i="1" s="1"/>
  <c r="D64" i="1"/>
  <c r="C61" i="1"/>
  <c r="C64" i="1" s="1"/>
  <c r="B64" i="1"/>
  <c r="E96" i="1"/>
  <c r="E86" i="1"/>
  <c r="E102" i="1"/>
  <c r="E85" i="1"/>
  <c r="O36" i="1"/>
  <c r="O35" i="1" s="1"/>
  <c r="J36" i="1"/>
  <c r="J35" i="1" s="1"/>
  <c r="B22" i="2"/>
  <c r="M40" i="2"/>
  <c r="H22" i="2"/>
  <c r="H23" i="2" s="1"/>
  <c r="B40" i="2"/>
  <c r="B48" i="2" s="1"/>
  <c r="P40" i="2"/>
  <c r="P22" i="2"/>
  <c r="N40" i="2"/>
  <c r="N22" i="2"/>
  <c r="M22" i="2"/>
  <c r="L40" i="2"/>
  <c r="L22" i="2"/>
  <c r="K40" i="2"/>
  <c r="K22" i="2"/>
  <c r="I40" i="2"/>
  <c r="I22" i="2"/>
  <c r="I23" i="2" s="1"/>
  <c r="H40" i="2"/>
  <c r="G40" i="2"/>
  <c r="G22" i="2"/>
  <c r="F40" i="2"/>
  <c r="F22" i="2"/>
  <c r="C18" i="3" s="1"/>
  <c r="D40" i="2"/>
  <c r="D48" i="2" s="1"/>
  <c r="D22" i="2"/>
  <c r="C40" i="2"/>
  <c r="C48" i="2" s="1"/>
  <c r="C22" i="2"/>
  <c r="E36" i="1"/>
  <c r="E35" i="1" s="1"/>
  <c r="J6" i="1"/>
  <c r="E45" i="1"/>
  <c r="P43" i="1"/>
  <c r="J9" i="1"/>
  <c r="O6" i="1"/>
  <c r="J32" i="1"/>
  <c r="J43" i="1"/>
  <c r="J45" i="1"/>
  <c r="P17" i="1"/>
  <c r="P28" i="1"/>
  <c r="J16" i="1"/>
  <c r="J22" i="1"/>
  <c r="O16" i="1"/>
  <c r="P41" i="1"/>
  <c r="P44" i="1" s="1"/>
  <c r="P45" i="1" s="1"/>
  <c r="P12" i="1"/>
  <c r="P22" i="1"/>
  <c r="P33" i="1"/>
  <c r="J11" i="1"/>
  <c r="P16" i="1"/>
  <c r="J21" i="1"/>
  <c r="P32" i="1"/>
  <c r="J28" i="1"/>
  <c r="P25" i="1"/>
  <c r="G11" i="1"/>
  <c r="O21" i="1"/>
  <c r="P9" i="1"/>
  <c r="J33" i="1"/>
  <c r="J25" i="1"/>
  <c r="J12" i="1"/>
  <c r="J17" i="1"/>
  <c r="B12" i="1"/>
  <c r="E28" i="1"/>
  <c r="E12" i="1"/>
  <c r="E22" i="1"/>
  <c r="E9" i="1"/>
  <c r="E33" i="1"/>
  <c r="E17" i="1"/>
  <c r="U21" i="7" l="1"/>
  <c r="Y24" i="4"/>
  <c r="Y21" i="4"/>
  <c r="Y9" i="4"/>
  <c r="Y18" i="4"/>
  <c r="X21" i="4"/>
  <c r="X9" i="4"/>
  <c r="Z5" i="4"/>
  <c r="X18" i="4"/>
  <c r="V27" i="4"/>
  <c r="V26" i="4" s="1"/>
  <c r="B22" i="6"/>
  <c r="U92" i="4"/>
  <c r="U93" i="4" s="1"/>
  <c r="U46" i="4"/>
  <c r="U47" i="4" s="1"/>
  <c r="Y26" i="4"/>
  <c r="Z26" i="4" s="1"/>
  <c r="T26" i="4"/>
  <c r="U26" i="4" s="1"/>
  <c r="X26" i="4"/>
  <c r="S26" i="4"/>
  <c r="W26" i="4"/>
  <c r="R27" i="4"/>
  <c r="R26" i="4" s="1"/>
  <c r="R24" i="4"/>
  <c r="R23" i="4" s="1"/>
  <c r="W24" i="4"/>
  <c r="W23" i="4" s="1"/>
  <c r="S24" i="4"/>
  <c r="S23" i="4" s="1"/>
  <c r="F48" i="2"/>
  <c r="C17" i="3"/>
  <c r="L23" i="2"/>
  <c r="E13" i="3"/>
  <c r="E7" i="3"/>
  <c r="N48" i="2"/>
  <c r="N41" i="2"/>
  <c r="D13" i="3"/>
  <c r="D7" i="3"/>
  <c r="G23" i="2"/>
  <c r="I48" i="2"/>
  <c r="I41" i="2"/>
  <c r="L48" i="2"/>
  <c r="L41" i="2"/>
  <c r="P23" i="2"/>
  <c r="E18" i="3"/>
  <c r="M48" i="2"/>
  <c r="M41" i="2"/>
  <c r="G48" i="2"/>
  <c r="G41" i="2"/>
  <c r="K23" i="2"/>
  <c r="D18" i="3"/>
  <c r="F18" i="3" s="1"/>
  <c r="M23" i="2"/>
  <c r="P48" i="2"/>
  <c r="E17" i="3"/>
  <c r="P41" i="2"/>
  <c r="C7" i="3"/>
  <c r="C13" i="3"/>
  <c r="F13" i="3" s="1"/>
  <c r="H48" i="2"/>
  <c r="H41" i="2"/>
  <c r="K48" i="2"/>
  <c r="K41" i="2"/>
  <c r="D17" i="3"/>
  <c r="N23" i="2"/>
  <c r="O89" i="1"/>
  <c r="J75" i="1"/>
  <c r="J71" i="1"/>
  <c r="E71" i="1"/>
  <c r="H89" i="1"/>
  <c r="O73" i="1"/>
  <c r="O71" i="1"/>
  <c r="K89" i="1"/>
  <c r="E84" i="1"/>
  <c r="J87" i="1" s="1"/>
  <c r="J99" i="1"/>
  <c r="J90" i="1"/>
  <c r="O90" i="1"/>
  <c r="O87" i="1"/>
  <c r="J77" i="1"/>
  <c r="I89" i="1"/>
  <c r="O64" i="1"/>
  <c r="E56" i="1"/>
  <c r="E64" i="1" s="1"/>
  <c r="E88" i="1"/>
  <c r="U51" i="4" l="1"/>
  <c r="U97" i="4"/>
  <c r="Z69" i="4"/>
  <c r="Z24" i="4"/>
  <c r="Z18" i="4"/>
  <c r="Z9" i="4"/>
  <c r="Z21" i="4"/>
  <c r="Z6" i="4"/>
  <c r="U94" i="4"/>
  <c r="U71" i="4"/>
  <c r="Z71" i="4" s="1"/>
  <c r="AA71" i="4" s="1"/>
  <c r="Z48" i="4"/>
  <c r="U48" i="4"/>
  <c r="U52" i="4" s="1"/>
  <c r="U53" i="4" s="1"/>
  <c r="AA31" i="4"/>
  <c r="AA75" i="4" s="1"/>
  <c r="Z31" i="4"/>
  <c r="Z75" i="4" s="1"/>
  <c r="U31" i="4"/>
  <c r="U75" i="4" s="1"/>
  <c r="AA5" i="4"/>
  <c r="AA92" i="4"/>
  <c r="AA93" i="4" s="1"/>
  <c r="AA46" i="4"/>
  <c r="AA47" i="4" s="1"/>
  <c r="AA20" i="4"/>
  <c r="U27" i="4"/>
  <c r="U30" i="4"/>
  <c r="Z27" i="4"/>
  <c r="AA27" i="4" s="1"/>
  <c r="AA26" i="4" s="1"/>
  <c r="Z30" i="4"/>
  <c r="X24" i="4"/>
  <c r="X23" i="4" s="1"/>
  <c r="F7" i="3"/>
  <c r="F17" i="3"/>
  <c r="E90" i="1"/>
  <c r="J89" i="1"/>
  <c r="J57" i="1"/>
  <c r="AA51" i="4" l="1"/>
  <c r="AA97" i="4"/>
  <c r="AA48" i="4"/>
  <c r="AA52" i="4" s="1"/>
  <c r="AA53" i="4" s="1"/>
  <c r="T55" i="4" s="1"/>
  <c r="T56" i="4" s="1"/>
  <c r="Z52" i="4"/>
  <c r="Z94" i="4"/>
  <c r="U98" i="4"/>
  <c r="U99" i="4" s="1"/>
  <c r="Z92" i="4"/>
  <c r="Z93" i="4" s="1"/>
  <c r="Z97" i="4" s="1"/>
  <c r="Z46" i="4"/>
  <c r="Z47" i="4" s="1"/>
  <c r="Z51" i="4" s="1"/>
  <c r="Z33" i="4"/>
  <c r="Z76" i="4" s="1"/>
  <c r="Z74" i="4"/>
  <c r="U33" i="4"/>
  <c r="U76" i="4" s="1"/>
  <c r="U74" i="4"/>
  <c r="AA69" i="4"/>
  <c r="AA24" i="4"/>
  <c r="AA8" i="4"/>
  <c r="AA94" i="4" l="1"/>
  <c r="AA98" i="4" s="1"/>
  <c r="AA99" i="4" s="1"/>
  <c r="T101" i="4" s="1"/>
  <c r="T102" i="4" s="1"/>
  <c r="Z98" i="4"/>
  <c r="Z99" i="4" s="1"/>
  <c r="Y101" i="4" s="1"/>
  <c r="Y104" i="4" s="1"/>
  <c r="Y106" i="4" s="1"/>
  <c r="Z53" i="4"/>
  <c r="Y55" i="4" s="1"/>
  <c r="Y58" i="4" s="1"/>
  <c r="Y60" i="4" s="1"/>
  <c r="AA70" i="4"/>
  <c r="AA17" i="4"/>
  <c r="Z62" i="4" l="1"/>
  <c r="Y62" i="4"/>
  <c r="T62" i="4" s="1"/>
  <c r="Z108" i="4"/>
  <c r="Y108" i="4"/>
  <c r="T108" i="4" s="1"/>
  <c r="AA18" i="4"/>
  <c r="AA30" i="4"/>
  <c r="AA33" i="4" l="1"/>
  <c r="AA76" i="4" s="1"/>
  <c r="AA74" i="4"/>
  <c r="T78" i="4" l="1"/>
  <c r="T79" i="4" s="1"/>
  <c r="Y78" i="4"/>
  <c r="Y81" i="4" s="1"/>
  <c r="Y83" i="4" s="1"/>
  <c r="V114" i="4" s="1"/>
  <c r="U116" i="4" l="1"/>
  <c r="T116" i="4"/>
  <c r="Y85" i="4"/>
  <c r="T85" i="4" s="1"/>
  <c r="Z85" i="4"/>
  <c r="R15" i="7"/>
  <c r="R17" i="7"/>
  <c r="S15" i="7"/>
  <c r="S17" i="7"/>
  <c r="T15" i="7"/>
  <c r="T17" i="7"/>
  <c r="U15" i="7"/>
  <c r="U17" i="7"/>
  <c r="V15" i="7"/>
  <c r="V17" i="7"/>
  <c r="W15" i="7"/>
  <c r="W17" i="7"/>
  <c r="X15" i="7"/>
  <c r="X17" i="7"/>
  <c r="Y15" i="7"/>
  <c r="Y17" i="7"/>
  <c r="Z15" i="7"/>
  <c r="Z17" i="7"/>
  <c r="AA15" i="7"/>
  <c r="AA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GESTWEEK</author>
  </authors>
  <commentList>
    <comment ref="B55" authorId="0" shapeId="0" xr:uid="{B2229D92-F580-4001-82E1-F97F1FA85B93}">
      <text>
        <r>
          <rPr>
            <sz val="9"/>
            <color indexed="81"/>
            <rFont val="Tahoma"/>
            <family val="2"/>
          </rPr>
          <t>My Assumption: Since there are no information for the domestic and international DTC sales for 2021, I used the same ratio (almost 2) of the wholesale international vs domestic sales. So the total DTC sales was splitted by 2 between international and domestic</t>
        </r>
      </text>
    </comment>
    <comment ref="B60" authorId="0" shapeId="0" xr:uid="{FDACC652-10D7-4E02-8CD1-CBD2244CBEC2}">
      <text>
        <r>
          <rPr>
            <sz val="9"/>
            <color indexed="81"/>
            <rFont val="Tahoma"/>
            <family val="2"/>
          </rPr>
          <t>My Assumption: Since there are no information for the domestic and international DTC sales for 2021, I used the same ratio (almost 2) of the wholesale international vs domestic sales. So the total DTC sales was splitted by 2 between international and domestic</t>
        </r>
      </text>
    </comment>
    <comment ref="F67" authorId="0" shapeId="0" xr:uid="{7E50E21F-23BF-4680-88F8-C13BEC01BBD8}">
      <text>
        <r>
          <rPr>
            <sz val="9"/>
            <color indexed="81"/>
            <rFont val="Tahoma"/>
            <family val="2"/>
          </rPr>
          <t xml:space="preserve">Different geographical split between 2021 and the other years (2022 and 2023).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GESTWEEK</author>
  </authors>
  <commentList>
    <comment ref="A56" authorId="0" shapeId="0" xr:uid="{AE64A062-8433-4592-AAA8-8380F8FE67BA}">
      <text>
        <r>
          <rPr>
            <b/>
            <sz val="9"/>
            <color indexed="81"/>
            <rFont val="Tahoma"/>
            <family val="2"/>
          </rPr>
          <t>Plugged from Skechers Financial Statements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Edoardo Alberto Donolato</author>
    <author>GESTWEEK</author>
  </authors>
  <commentList>
    <comment ref="R2" authorId="0" shapeId="0" xr:uid="{112BABE9-F633-4531-A95B-AE0F47D89B55}">
      <text>
        <r>
          <rPr>
            <sz val="11"/>
            <color theme="1"/>
            <rFont val="Calibri"/>
            <family val="2"/>
          </rPr>
          <t>Sell side earnings estimates fro 2024 &amp; 2025</t>
        </r>
      </text>
    </comment>
    <comment ref="Q3" authorId="1" shapeId="0" xr:uid="{F1C8554F-8642-44A0-8EAC-FE7210219691}">
      <text>
        <r>
          <rPr>
            <b/>
            <sz val="9"/>
            <color indexed="81"/>
            <rFont val="Tahoma"/>
            <family val="2"/>
          </rPr>
          <t>Plugged from Skechers Q1 24 Report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GESTWEEK</author>
    <author>Edoardo Alberto Donolato</author>
  </authors>
  <commentList>
    <comment ref="Q3" authorId="0" shapeId="0" xr:uid="{52B64B89-E144-423C-9BEA-84523DD36A98}">
      <text>
        <r>
          <rPr>
            <b/>
            <sz val="9"/>
            <color indexed="81"/>
            <rFont val="Tahoma"/>
            <family val="2"/>
          </rPr>
          <t>Plugged from Skechers Q1 24 Report</t>
        </r>
      </text>
    </comment>
    <comment ref="R5" authorId="0" shapeId="0" xr:uid="{8D31F69A-3EC9-43C1-8F13-4938DC2DAD24}">
      <text>
        <r>
          <rPr>
            <sz val="9"/>
            <color indexed="81"/>
            <rFont val="Tahoma"/>
            <family val="2"/>
          </rPr>
          <t xml:space="preserve">Sell side estimates: Piper Sandler Report </t>
        </r>
      </text>
    </comment>
    <comment ref="U23" authorId="0" shapeId="0" xr:uid="{476883E1-7C1F-4464-AE0D-DFB0C753BCA9}">
      <text>
        <r>
          <rPr>
            <sz val="9"/>
            <color indexed="81"/>
            <rFont val="Tahoma"/>
            <family val="2"/>
          </rPr>
          <t xml:space="preserve">From Earnings Call Q1 2024: Expected value of Capex between $325 and $375 mln
</t>
        </r>
      </text>
    </comment>
    <comment ref="U40" authorId="1" shapeId="0" xr:uid="{571A831B-72D6-4BB8-93F1-6A2392D85101}">
      <text>
        <r>
          <rPr>
            <sz val="11"/>
            <color theme="1"/>
            <rFont val="Calibri"/>
            <family val="2"/>
          </rPr>
          <t>Fixed Terminal Growth Rate based on US estimates on inflation , GDP and industry CAGR</t>
        </r>
      </text>
    </comment>
    <comment ref="Z40" authorId="1" shapeId="0" xr:uid="{88974F1C-1385-4621-BA52-097763F26B10}">
      <text>
        <r>
          <rPr>
            <sz val="11"/>
            <color theme="1"/>
            <rFont val="Calibri"/>
            <family val="2"/>
          </rPr>
          <t xml:space="preserve">Skechers' 2023 Financial Report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Edoardo Alberto Donolato</author>
  </authors>
  <commentList>
    <comment ref="B7" authorId="0" shapeId="0" xr:uid="{FA5F7E32-A6F7-441A-B8A7-C34876FA24F4}">
      <text>
        <r>
          <rPr>
            <sz val="11"/>
            <color theme="1"/>
            <rFont val="Calibri"/>
            <family val="2"/>
          </rPr>
          <t>10 Year Treasury Rate: US Risk Free Rate</t>
        </r>
      </text>
    </comment>
    <comment ref="B8" authorId="0" shapeId="0" xr:uid="{C73F5727-F189-4B45-8020-15F9EBB880EF}">
      <text>
        <r>
          <rPr>
            <sz val="11"/>
            <color theme="1"/>
            <rFont val="Calibri"/>
            <family val="2"/>
          </rPr>
          <t>BETA 5Y Monthly
Source: Yahoo Finance, Sell side reports</t>
        </r>
      </text>
    </comment>
    <comment ref="B9" authorId="0" shapeId="0" xr:uid="{E253F899-9E3A-47F1-94E9-04CA863E5EAF}">
      <text>
        <r>
          <rPr>
            <sz val="11"/>
            <color theme="1"/>
            <rFont val="Calibri"/>
            <family val="2"/>
          </rPr>
          <t>Market Risk Premium US: Damodaran January 2024 - NYU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GESTWEEK</author>
    <author>Edoardo Alberto Donolato</author>
  </authors>
  <commentList>
    <comment ref="C8" authorId="0" shapeId="0" xr:uid="{CCEB3B04-8630-45AE-A069-EBCED65637C9}">
      <text>
        <r>
          <rPr>
            <sz val="9"/>
            <color indexed="81"/>
            <rFont val="Tahoma"/>
            <family val="2"/>
          </rPr>
          <t>ROIC Calculations: Sell side calculations 
Source: Refinitiv &amp; AlphaSpread</t>
        </r>
      </text>
    </comment>
    <comment ref="C9" authorId="0" shapeId="0" xr:uid="{E7715F2C-CA62-41AC-92F9-3A10C7716AB4}">
      <text>
        <r>
          <rPr>
            <sz val="9"/>
            <color indexed="81"/>
            <rFont val="Tahoma"/>
            <family val="2"/>
          </rPr>
          <t xml:space="preserve">Negative effective tax rate due to tax benefit allowance in 2021
</t>
        </r>
      </text>
    </comment>
    <comment ref="B30" authorId="1" shapeId="0" xr:uid="{112687F1-A541-4C1B-8610-F7442E39782C}">
      <text>
        <r>
          <rPr>
            <sz val="11"/>
            <color theme="1"/>
            <rFont val="Calibri"/>
            <family val="2"/>
          </rPr>
          <t>Based on up to date sell side reports and the Refinitiv database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Edoardo Alberto Donolato</author>
  </authors>
  <commentList>
    <comment ref="E2" authorId="0" shapeId="0" xr:uid="{6B67D786-7E9A-4A47-A4A8-F65CB05ABAA6}">
      <text>
        <r>
          <rPr>
            <sz val="11"/>
            <color theme="1"/>
            <rFont val="Calibri"/>
            <family val="2"/>
          </rPr>
          <t xml:space="preserve">Sources: Sell side reports and Companies financial reports (2023)
</t>
        </r>
      </text>
    </comment>
    <comment ref="K11" authorId="0" shapeId="0" xr:uid="{C26F8554-51B0-4AA9-B053-7F766C1BD050}">
      <text>
        <r>
          <rPr>
            <sz val="11"/>
            <color theme="1"/>
            <rFont val="Calibri"/>
            <family val="2"/>
          </rPr>
          <t>2023 EPS = -0.67 per share</t>
        </r>
      </text>
    </comment>
  </commentList>
</comments>
</file>

<file path=xl/sharedStrings.xml><?xml version="1.0" encoding="utf-8"?>
<sst xmlns="http://schemas.openxmlformats.org/spreadsheetml/2006/main" count="466" uniqueCount="294">
  <si>
    <t>Company:</t>
  </si>
  <si>
    <t>Skechers USA Inc.</t>
  </si>
  <si>
    <t>Base Case Price per Share:</t>
  </si>
  <si>
    <t>Probability Weighted Price per share:</t>
  </si>
  <si>
    <t>Current Price:</t>
  </si>
  <si>
    <t>Outlook:</t>
  </si>
  <si>
    <t>BUY</t>
  </si>
  <si>
    <r>
      <rPr>
        <b/>
        <sz val="11"/>
        <color rgb="FF000000"/>
        <rFont val="Calibri"/>
      </rPr>
      <t xml:space="preserve">Income Statement  </t>
    </r>
    <r>
      <rPr>
        <sz val="11"/>
        <color rgb="FF000000"/>
        <rFont val="Calibri"/>
      </rPr>
      <t>($ in thousands)</t>
    </r>
  </si>
  <si>
    <t>Q1 21</t>
  </si>
  <si>
    <t>Q2 21</t>
  </si>
  <si>
    <t>Q3 21</t>
  </si>
  <si>
    <t>Q4 21</t>
  </si>
  <si>
    <t>FY 21</t>
  </si>
  <si>
    <t>Q1 22</t>
  </si>
  <si>
    <t>Q2 22</t>
  </si>
  <si>
    <t>Q3 22</t>
  </si>
  <si>
    <t>Q4 22</t>
  </si>
  <si>
    <t>FY 22</t>
  </si>
  <si>
    <t>Q1 23</t>
  </si>
  <si>
    <t>Q2 23</t>
  </si>
  <si>
    <t>Q3 23</t>
  </si>
  <si>
    <t>Q4 23</t>
  </si>
  <si>
    <t>FY 23</t>
  </si>
  <si>
    <t>Comments</t>
  </si>
  <si>
    <t>Net revenues</t>
  </si>
  <si>
    <t>All information for the Income Statement was derived from the financial statements of Skechers USA Inc. The IS take into account the quarterly and FY figures of 2021, 2022 and 2023. For every item percentage was calculated based on revenues and the Y/Y change where relevant.</t>
  </si>
  <si>
    <t>% Y/Y Change</t>
  </si>
  <si>
    <t>Cost of sales</t>
  </si>
  <si>
    <t>% of Revenues</t>
  </si>
  <si>
    <t>Gross Profit</t>
  </si>
  <si>
    <t>In breaking down the IS items through the financial reports, one can find the profitability drivers of the company, which concern costs and revenues. As far as revenues are concerned, they come from various sources (Wholesale and DTC) and countries, and originate from sales of footwear, apparel and accessories and royalties earned from licensing the Skechers brand. Furthermore, cost of sales is represented mainly by cost of shipment of products and stores maintainings, SG&amp;A instead are mainly represented by expenditures in global marketing, digital advertising and labor costs.</t>
  </si>
  <si>
    <t>Gross Margin</t>
  </si>
  <si>
    <t>Cost of sales accounts for almost 50% of the total revenues, maintaining the Gross Profit Margin between 45% and 53%.</t>
  </si>
  <si>
    <t>SG&amp;A</t>
  </si>
  <si>
    <t>Operating Income</t>
  </si>
  <si>
    <t>Operating Margin</t>
  </si>
  <si>
    <t>Other Income (expense)</t>
  </si>
  <si>
    <t>EBT</t>
  </si>
  <si>
    <t>EBT Margin</t>
  </si>
  <si>
    <t>Income tax expense</t>
  </si>
  <si>
    <t>2021 has been a particular year for retail industry, since the post Covid rearrangements in terms of supply and demand were slightly different. This is evident also from the negative tax rate in 2021, due probably to the US Pandemic Tax benefits reform.</t>
  </si>
  <si>
    <t>Tax Rate %</t>
  </si>
  <si>
    <t>-</t>
  </si>
  <si>
    <t>Net Earnings</t>
  </si>
  <si>
    <r>
      <rPr>
        <i/>
        <sz val="11"/>
        <color rgb="FF000000"/>
        <rFont val="Calibri"/>
      </rPr>
      <t>Less:</t>
    </r>
    <r>
      <rPr>
        <sz val="11"/>
        <color rgb="FF000000"/>
        <rFont val="Calibri"/>
      </rPr>
      <t xml:space="preserve"> Net earnings (loss) attributable to noncontrolling interest</t>
    </r>
  </si>
  <si>
    <t>Net earnings attributable to Skechers USA Inc.</t>
  </si>
  <si>
    <t>Weighted average common shares outstanding diluted</t>
  </si>
  <si>
    <t>Diluted EPS:</t>
  </si>
  <si>
    <t>EBIDA Calculations:</t>
  </si>
  <si>
    <t>Calculating the EBITDA summing the D&amp;A from financial reports and calculating EBITDA margin, setted between 8% and 14%.</t>
  </si>
  <si>
    <t>EBIT (Operating Income)</t>
  </si>
  <si>
    <t>D&amp;A</t>
  </si>
  <si>
    <t>EBITDA</t>
  </si>
  <si>
    <t>EBITDA Margin</t>
  </si>
  <si>
    <r>
      <t xml:space="preserve">Revenues Split &amp; Segments  </t>
    </r>
    <r>
      <rPr>
        <sz val="11"/>
        <color rgb="FF000000"/>
        <rFont val="Calibri"/>
      </rPr>
      <t>($ in thousands)</t>
    </r>
  </si>
  <si>
    <t xml:space="preserve">Splitting the Revenues and the costs between the two main distribution channels of the company (Wholesale and DTC) let us to determine the main trends in the revenue growth, especially on a geographical standpoint (see also geographical split). </t>
  </si>
  <si>
    <t>Sales (exluding royalty income)</t>
  </si>
  <si>
    <t>Domestic Wholesale</t>
  </si>
  <si>
    <t>Domestic Direct-to-Consumer</t>
  </si>
  <si>
    <t>Total Domestic Sales</t>
  </si>
  <si>
    <t>International Wholesale</t>
  </si>
  <si>
    <t>International Direct-to-Consumer</t>
  </si>
  <si>
    <t>Total International Sales</t>
  </si>
  <si>
    <t>Total</t>
  </si>
  <si>
    <t>Sales Geographical Split</t>
  </si>
  <si>
    <t>International</t>
  </si>
  <si>
    <t>% Total</t>
  </si>
  <si>
    <t>AMER</t>
  </si>
  <si>
    <t>United States</t>
  </si>
  <si>
    <t>EMEA</t>
  </si>
  <si>
    <t>APAC (including China)</t>
  </si>
  <si>
    <t>China only</t>
  </si>
  <si>
    <r>
      <t xml:space="preserve">Costs Split &amp; Segments  </t>
    </r>
    <r>
      <rPr>
        <sz val="11"/>
        <color rgb="FF000000"/>
        <rFont val="Calibri"/>
      </rPr>
      <t>($ in thousands)</t>
    </r>
  </si>
  <si>
    <t>Since it was not directly written in Skechers Financial Reports, the cost split was built from the Revenue and Gross Margin split, as structured in the 10Qs and 10Ks of the company.</t>
  </si>
  <si>
    <t>Cost of Sales (Sales - Gross Profit)</t>
  </si>
  <si>
    <t>Wholesale</t>
  </si>
  <si>
    <t>Direct-to-Consumer</t>
  </si>
  <si>
    <r>
      <t xml:space="preserve">Gross Profit Split &amp; Segments  </t>
    </r>
    <r>
      <rPr>
        <sz val="11"/>
        <color rgb="FF000000"/>
        <rFont val="Calibri"/>
      </rPr>
      <t>($ in thousands)</t>
    </r>
  </si>
  <si>
    <t>Revenues and Gross profit splits are calculated without the royalty income, since it is not an income dependent to distribution channels.</t>
  </si>
  <si>
    <t>Gross Profit (exluding royalty income)</t>
  </si>
  <si>
    <r>
      <rPr>
        <b/>
        <sz val="11"/>
        <color rgb="FF000000"/>
        <rFont val="Calibri"/>
      </rPr>
      <t xml:space="preserve">Balance Sheet </t>
    </r>
    <r>
      <rPr>
        <sz val="11"/>
        <color rgb="FF000000"/>
        <rFont val="Calibri"/>
      </rPr>
      <t>($ in thousands)</t>
    </r>
  </si>
  <si>
    <t>Assets</t>
  </si>
  <si>
    <t>All information for the Balance Sheet was derived from the financial statements of Skechers USA Inc. The BS take into account the quarterly and FY figures of 2021, 2022 and 2023. For every important item (Asset, Liabilities, Equity) was calculated the Y/Y Change.</t>
  </si>
  <si>
    <t>Cash and Cash equivalents</t>
  </si>
  <si>
    <t>Short term investments</t>
  </si>
  <si>
    <t>Total receivables</t>
  </si>
  <si>
    <t>Inventory</t>
  </si>
  <si>
    <t>Other current assets</t>
  </si>
  <si>
    <t>Total Current Assets</t>
  </si>
  <si>
    <t>PP&amp;E</t>
  </si>
  <si>
    <t>Operating Lease right of use asset</t>
  </si>
  <si>
    <t>The operating leases asset and liabilities refers mainly to retail stores and distribution facilities</t>
  </si>
  <si>
    <t>Deferred tax assets</t>
  </si>
  <si>
    <t>Long term investments</t>
  </si>
  <si>
    <t>Goodwill</t>
  </si>
  <si>
    <t>Other assets, net</t>
  </si>
  <si>
    <t>Total Non Current Assets</t>
  </si>
  <si>
    <t>Total Assets</t>
  </si>
  <si>
    <t>Liabilities and Equity</t>
  </si>
  <si>
    <t>Current installments of long term borrowings</t>
  </si>
  <si>
    <t>Short term borrowings</t>
  </si>
  <si>
    <t>Accounts payable</t>
  </si>
  <si>
    <t>Operating lease liabilities</t>
  </si>
  <si>
    <t>Accrued expenses</t>
  </si>
  <si>
    <t>Total Current Liabilities</t>
  </si>
  <si>
    <t>Long term borrowings</t>
  </si>
  <si>
    <t>Long Term Operating Lease liabilities</t>
  </si>
  <si>
    <t>Deferred tax liabilities</t>
  </si>
  <si>
    <t>Other long term liabilities</t>
  </si>
  <si>
    <t>Total Non Current Liabilities</t>
  </si>
  <si>
    <t>Total Liabilities</t>
  </si>
  <si>
    <t>Sketchers USA Inc. equity</t>
  </si>
  <si>
    <t>Noncontrolling interests</t>
  </si>
  <si>
    <t>Total Stockholders Equity</t>
  </si>
  <si>
    <t>Total Liabilities and Equity</t>
  </si>
  <si>
    <t>Metrics</t>
  </si>
  <si>
    <t>In order to calculate the Financial Metrics in the sheet "Financial Metrics", and the FCF projections, I calculated some useful metrics from the Balance Sheet, such as the NWC, the Change in NWC, the Invested Capital and the Capex.</t>
  </si>
  <si>
    <t>NWC</t>
  </si>
  <si>
    <t>Change in NWC</t>
  </si>
  <si>
    <t>Invested Capital</t>
  </si>
  <si>
    <t>CAPEX</t>
  </si>
  <si>
    <t>Projections for EPS</t>
  </si>
  <si>
    <t>Historicals</t>
  </si>
  <si>
    <t>Estimates</t>
  </si>
  <si>
    <t>Q1 24</t>
  </si>
  <si>
    <t>Q2 24 E</t>
  </si>
  <si>
    <t>Q3 24 E</t>
  </si>
  <si>
    <t>Q4 24 E</t>
  </si>
  <si>
    <t>FY 24 E</t>
  </si>
  <si>
    <t>Q1 25 E</t>
  </si>
  <si>
    <t>Q2 25 E</t>
  </si>
  <si>
    <t>Q3 25 E</t>
  </si>
  <si>
    <t>Q4 25 E</t>
  </si>
  <si>
    <t>FY 25 E</t>
  </si>
  <si>
    <t>FY 26 E</t>
  </si>
  <si>
    <t>Diluted EPS Estimates</t>
  </si>
  <si>
    <t xml:space="preserve">In calculating EPS Sensitivity I firstly I appointed the sell side estimates on Diluted EPS. Then I identified the main driver of profitability for the company, which is the Operating Margin. In fact, the OM has a very similar trend to that of net earnings, and thus EPS. In pointing this out it is important to underline that even revenue growth and gross margin are important drivers of profitability, but the most representative one is the Operating Margin, which include the products' direct and indirect costs. </t>
  </si>
  <si>
    <t>Proxy: EBIT</t>
  </si>
  <si>
    <t>Profitability Driver: Operating Margin</t>
  </si>
  <si>
    <t>Net Earnings/EBIT</t>
  </si>
  <si>
    <t>Only for the purpose of calculating sensitivity, I used a ratio that directly links the operating margin, and thus EBIT, with net earnings. This ratio is Net Earnings/EBIT, and reflects the percentage of operating income that actually becomes earnings for each Quarter and FY.</t>
  </si>
  <si>
    <t>Expected Number of Shares Outstanding</t>
  </si>
  <si>
    <t>Upside Case</t>
  </si>
  <si>
    <t>I built three scenario analysis starting from the projections of the Base Case of the Operating Margin. The Upside Case is based on a +2% for every figure. The Downside case instead is based on a -2% margin for every projected quarter/year.</t>
  </si>
  <si>
    <t>Choose Scenario</t>
  </si>
  <si>
    <t>Base Case</t>
  </si>
  <si>
    <t>Downside Case</t>
  </si>
  <si>
    <t>Basic EPS Sensitivity</t>
  </si>
  <si>
    <t>Finally, calculating the projections of Basic EPS (non diluted EPS) using the Net Earnings/EBIT Ratio as a standpoint and the Operating Margin as a driver. We see the projections are bit higher than the other estimates, probably due to the fact that these EPS are Basic and not Diluted, and that the estimates does not take into account the very good earnings results of the last quarter (Q1 24).</t>
  </si>
  <si>
    <t>Projections for FCF</t>
  </si>
  <si>
    <t>This sheet collects historical data and 3 years projections of key financial data to construct the cash flow, in particular the FCF, and then build the valuation model using the DCF method. I specified the quarterly projections for 2024 and 2025. For evey important line I reported the Y/Y Change or the % of the Revenues, since these measures reveals to be fundamental for an effective analysis. Then I built the DCF with three main scenarios upon certain conditions, which represent Upside, Downside and Base Case scenarios. The valuation is expected to be at the date of the 10th May 2024, with its correspondent stock price and Market Cap. Furthermore, I added the numbers of Q1 24, which has been presented couple of weeks ago. Finally, every figure is coloured based on work instructions: blue for my assumptions, green for sell side estimates and black for others.</t>
  </si>
  <si>
    <t>Revenues</t>
  </si>
  <si>
    <t>Revenues projections for 2024 are based on sell side estimates, instead the 2025 and 2026 one are based on my assumptions, reasoning on the projections of some analysts. Before doing a very good quarter, the company projected to overcome $10 billions of sale in 2026, but I expect it to be very close in 2025 as well, which is why I have raised the 2024 growth rate by 1% per quarter. The rationale is that demand is recovering in APAC region, especially in China, and a new context of lower rates can stimulate both domestic and international consumption. I expect a similar growth rate of 2025 even in 2026, so I setted it from 11.77% to 12%.</t>
  </si>
  <si>
    <t>EBIT</t>
  </si>
  <si>
    <t>I setted the Operating Income (EBIT) projections for 2024 and 2025 based on analysts reports, which take into account a margin mainly between 7% and 12%. This is coherent with the industry and the past company performance, since there are certain direct costs which follow revenues. I expect that the Skechers' margins will be around 12.5%, following the Y/Y margin growth of about 1% per year.</t>
  </si>
  <si>
    <t>% Revenues</t>
  </si>
  <si>
    <t>Taxes</t>
  </si>
  <si>
    <t>Taxes projections are elaborated based on sell side estimates of 20% effective tax rate, which is coherent with the past historical years of income tax</t>
  </si>
  <si>
    <t>% Tax rate</t>
  </si>
  <si>
    <t>The Net Earnings estimates for 2024 and 2025 are based on sell side reports and Refinitiv database. The percentage of the Revenues is coherent through the years and reflects the quarterly changes. My estimation for 2026 was based on the average of the net margin rate between 2025 and 2024.</t>
  </si>
  <si>
    <t>NOPAT</t>
  </si>
  <si>
    <t>--</t>
  </si>
  <si>
    <t>NOPAT was calculated from the EBIT and Taxes estimation = EBIT*(1-Tax Rate)</t>
  </si>
  <si>
    <t>The D&amp;A are calculated to be consistent with the other assumptions, taking the numbers from sell side estimates from the first two years, and calculating the margin at about 2% for 2026, which is the average across the years.</t>
  </si>
  <si>
    <t>,</t>
  </si>
  <si>
    <t>The Capex were projected based on some assumptions on the margin (% of Revenues) and the transcripts of the last earnings call of Skechers. The company is expecting a total Capex for 2024 of around $350 mln (between $325m and $375m), due to the opening of new stores both in new and already covered countries. Then I expect that capex rate will be a bit lower, from a yearly rate of 4% would move closer to 3% on average. The quarter projections are based on the structure of past years.</t>
  </si>
  <si>
    <t>Skechers passed through a situation of increasing NWC in 2022 to another one of decreasing NWC from 2023. I expect a better management of NWC, since the years before 2021 were characterised by more stability in this sense. I expect a slightly increase in 2024 with the same margins on average in 2025 and 2026.</t>
  </si>
  <si>
    <t>Unlevered FCF</t>
  </si>
  <si>
    <t>Calculating the FCF for the three projected years and for the past two years</t>
  </si>
  <si>
    <t>Discount Factor</t>
  </si>
  <si>
    <t>Discount factor based on the WACC and on this part of the year (mid May to December: about 0.5)</t>
  </si>
  <si>
    <t>PV of FCF</t>
  </si>
  <si>
    <t>PV Values of FCF to use in the valuation</t>
  </si>
  <si>
    <t>DCF</t>
  </si>
  <si>
    <t>Valuation as of today (10th May 2024)</t>
  </si>
  <si>
    <t>Assumptions</t>
  </si>
  <si>
    <t xml:space="preserve">All other information in the cell notes </t>
  </si>
  <si>
    <t>Terminal Growth Rate</t>
  </si>
  <si>
    <t>N. Shares Outstanding</t>
  </si>
  <si>
    <t>Current Share Price</t>
  </si>
  <si>
    <t>Conservative Case</t>
  </si>
  <si>
    <t>-3% in Revenue Growth and EBIT Margin + Higher WACC of +0.5%</t>
  </si>
  <si>
    <t>Decerasing Revenues due to overwhelming difficulties in reaching new markets for geopolitical conflicts and new tariffs between China and US</t>
  </si>
  <si>
    <t>EBIT Margin rapidly lowering due to persistent inflation and supply chain issues that increase costs</t>
  </si>
  <si>
    <t>WACC</t>
  </si>
  <si>
    <t>WACC increasing of +0.5% due to changing in Market Risk Premium, higher cost of debt and issues in lowering interest rates by Central Banks</t>
  </si>
  <si>
    <t>FCF</t>
  </si>
  <si>
    <t>Terminal Value</t>
  </si>
  <si>
    <t>Enterprise Value</t>
  </si>
  <si>
    <t>PV of TV</t>
  </si>
  <si>
    <t>(+) Cash</t>
  </si>
  <si>
    <t>(-) ST &amp; LT Debt</t>
  </si>
  <si>
    <t>Equity Value</t>
  </si>
  <si>
    <t>Share Price</t>
  </si>
  <si>
    <t>Action</t>
  </si>
  <si>
    <t>Upside (Downside)</t>
  </si>
  <si>
    <t>The Conservatve case shows the possible risks of this investments, since we are currently in a transitioning phase from a high inflation and uncertain economy. In this case the possible downside is about -50%, which is reflected by a price per share of $33.89. I assigned a lower probability of happening than the Optimistic Case, since I think global demand is now recovering and industrials stocks could be benefit from this.</t>
  </si>
  <si>
    <t>Probability</t>
  </si>
  <si>
    <t>Per share basis</t>
  </si>
  <si>
    <t>Figures as is</t>
  </si>
  <si>
    <t>Based on the basic assumptions of the model, the company appears to be currently fairly valuated. The identified share price of $68.46 is slightly higher than the current one ($67.78). The company remains a BUY,  but would be better for an investor to wait for a small correction in the price before entering, since the risk/reward would be better. I assigned a 30% probability for this outcome, since it can happen that the stock price could be stable or around this level before taking a momentum directionality.</t>
  </si>
  <si>
    <t>Optimistic Case</t>
  </si>
  <si>
    <t>+3% in Revenue Growth and EBIT Margin + Lower WACC of -0.5%</t>
  </si>
  <si>
    <t>Increasing Revenues due to big and fast recover of International Markets and domestic demand for footwear industry</t>
  </si>
  <si>
    <t>EBIT Margin rapidly increasing due to the lower direct costs and lower inflation</t>
  </si>
  <si>
    <t>WACC falling of -0.5% due to changing in Market Risk Premium for US and in the risk free rate which now is higher compared to pre pandemic levels</t>
  </si>
  <si>
    <t>The Optimistic Case shows that results that exceed the expectations in the future will probably be awarded by very positive future cash flows and a possible positive upside of +49.07%. I assigned a higher probability of happening than the Conservative case. This is inflation has been falling for months and central banks seem to be convinced to lower rates soon. Furthermore, demand in China is recovering, as is the global economy, which has been going through a difficult environment for the past three years.</t>
  </si>
  <si>
    <t>Share Price with Combined Probability</t>
  </si>
  <si>
    <t xml:space="preserve">The probability weighted share price, calculated as a probability weighted average of the three scenarios, shows a potential upside of 7.48%. </t>
  </si>
  <si>
    <t>WACC Calculations</t>
  </si>
  <si>
    <t>$ thousands</t>
  </si>
  <si>
    <t>Data as of today 10th May 2024</t>
  </si>
  <si>
    <t>Market Cap</t>
  </si>
  <si>
    <t>Calculating the WACC, composed of Cost of Equity and Cost of Debt is very important to dtermine the discount rate to apply in the DCF valuation. All the sources are pointed out in the notes and the assumption of a 20% tax rate is derived from the previous sell side estimates. The cost of debt is calculated based on the figures of FY 2023.</t>
  </si>
  <si>
    <t>% of Equity</t>
  </si>
  <si>
    <t>Risk free Rate</t>
  </si>
  <si>
    <t>Beta</t>
  </si>
  <si>
    <t>Market Risk Premium</t>
  </si>
  <si>
    <t>Cost of Equity</t>
  </si>
  <si>
    <t>Debt</t>
  </si>
  <si>
    <t>% of Debt</t>
  </si>
  <si>
    <t>Interests paid (2023)</t>
  </si>
  <si>
    <t>Tax Rate</t>
  </si>
  <si>
    <t>Cost of Debt (after tax)</t>
  </si>
  <si>
    <t>Total Capital</t>
  </si>
  <si>
    <t>3y Average</t>
  </si>
  <si>
    <t>Profitability</t>
  </si>
  <si>
    <t>In order to have a good view of the profitability of the company, I used some useful financial metrics from income statement and balance sheet, as well as I calculated the ROIC, putting also other estimates I found on other reports.</t>
  </si>
  <si>
    <t>ROE</t>
  </si>
  <si>
    <t>A return on the ROE between 15% and 20% is considered good for a company</t>
  </si>
  <si>
    <t>ROA</t>
  </si>
  <si>
    <t>The ROA is on average, the ideal value is about 10%</t>
  </si>
  <si>
    <t>ROIC (estimates)</t>
  </si>
  <si>
    <t>ROIC Calculated</t>
  </si>
  <si>
    <t>ROIC average seems to be good, but for the final results it is better to see the median industry's ROIC</t>
  </si>
  <si>
    <t>Efficiency</t>
  </si>
  <si>
    <t>Calculating a measure of efficiency of the company using Asset and Inventory Turnover</t>
  </si>
  <si>
    <t>Asset Turnover</t>
  </si>
  <si>
    <t>A good asset turnover ratio is when it is above 1, since it implies that the company is fully utilising its owned resources to generate sales revenue.</t>
  </si>
  <si>
    <t>Inventory Turnover</t>
  </si>
  <si>
    <t>Inventory turnover measures how efficiently a company uses its inventory: A value between 4 and 5 would be better for footwear retail industry</t>
  </si>
  <si>
    <t>Leverage</t>
  </si>
  <si>
    <t>Calculating the level of indebtness of a company and how quickly it can repay its debt.</t>
  </si>
  <si>
    <t>D/E Book Ratio</t>
  </si>
  <si>
    <t xml:space="preserve">Skechers appears to be fairly indebitated in relation to its capital , and has a good debt coverage with EBITDA </t>
  </si>
  <si>
    <t>Equity Multiplier</t>
  </si>
  <si>
    <t>Debt/Capital</t>
  </si>
  <si>
    <t>Debt/EBITDA</t>
  </si>
  <si>
    <t>Financial Health</t>
  </si>
  <si>
    <t>Calculating the overall Financial Health of the company.</t>
  </si>
  <si>
    <t>Current Ratio</t>
  </si>
  <si>
    <t>A current ratio in the range of 1.5 to 3.0 is considered healthy for the liquidity of the company</t>
  </si>
  <si>
    <t>Quick Ratio</t>
  </si>
  <si>
    <t>Ability to pay liabilities with short term assets: a good quick ratio is anything above 1</t>
  </si>
  <si>
    <t>FCF/Debt</t>
  </si>
  <si>
    <t>Fairly good coverage of FCF in relation to the debt outstanding</t>
  </si>
  <si>
    <t>Company Valuation Metrics</t>
  </si>
  <si>
    <t>Reporting the most important company's valuation metrics to have a complete view of the current valuation of the company. It would be useful to confron them with the other competitors ones in Comps sheet.</t>
  </si>
  <si>
    <t>EV/EBITDA</t>
  </si>
  <si>
    <t>EV/EBIT</t>
  </si>
  <si>
    <t>EV/Sales</t>
  </si>
  <si>
    <t>P/E</t>
  </si>
  <si>
    <t>Forward P/E</t>
  </si>
  <si>
    <t>Price/Sales</t>
  </si>
  <si>
    <t>Price to Book Value</t>
  </si>
  <si>
    <t>LTM Performance Indicators ($ th)</t>
  </si>
  <si>
    <t>TTM Multiples</t>
  </si>
  <si>
    <t>Comparable Companies</t>
  </si>
  <si>
    <t>Country</t>
  </si>
  <si>
    <t>Market Cap ($ th)</t>
  </si>
  <si>
    <t>Net Margin</t>
  </si>
  <si>
    <t>ROIC</t>
  </si>
  <si>
    <t>To make an effective valuation, and better understanding the company's positioning in the industry and future real potential, it is necessary to make comparisons between the Company and its industry, considering various performance Indicators and valuation multiples which clarify the real growth opportunities in the industry.</t>
  </si>
  <si>
    <t>US</t>
  </si>
  <si>
    <t>Nike Inc.</t>
  </si>
  <si>
    <t>Taking into consideration the most relevant competitors in the industry, and taking the statistical robust (median) values, we can see that Skechers is fairly well positioned in the Performance Indicators, as well as for the ROIC. Regarding instead the TTM Multiples, Skechers currently appears undervalued in both EV dependent estimates and P/E ratio.</t>
  </si>
  <si>
    <t>Deckers Outdoor Corp</t>
  </si>
  <si>
    <t>On Holding AG</t>
  </si>
  <si>
    <t>Switzerland</t>
  </si>
  <si>
    <t>Crocs Inc</t>
  </si>
  <si>
    <t>Birkenstock Holding PLC</t>
  </si>
  <si>
    <t>UK</t>
  </si>
  <si>
    <t>Asics Corp</t>
  </si>
  <si>
    <t>Japan</t>
  </si>
  <si>
    <t>Adidas AG</t>
  </si>
  <si>
    <t>Germany</t>
  </si>
  <si>
    <t>N/A</t>
  </si>
  <si>
    <t>Under Armour Inc.</t>
  </si>
  <si>
    <t>Steve Madden Ltd</t>
  </si>
  <si>
    <t>Foot Locker Inc.</t>
  </si>
  <si>
    <t>Puma SE</t>
  </si>
  <si>
    <t>Average</t>
  </si>
  <si>
    <t>Median</t>
  </si>
  <si>
    <t>Sources: Sell side reports, Pitchbook and Refinitiv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</si>
</sst>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45">
    <font>
      <sz val="11"/>
      <color theme="1"/>
      <name val="Calibri"/>
      <family val="2"/>
    </font>
    <font>
      <b/>
      <sz val="11"/>
      <color theme="1"/>
      <name val="Calibri"/>
      <family val="2"/>
    </font>
    <font>
      <i/>
      <sz val="11"/>
      <color theme="2" tint="-0.499984740745262"/>
      <name val="Calibri"/>
      <family val="2"/>
    </font>
    <font>
      <i/>
      <sz val="11"/>
      <color rgb="FFC00000"/>
      <name val="Calibri"/>
      <family val="2"/>
    </font>
    <font>
      <sz val="11"/>
      <color rgb="FF000000"/>
      <name val="Calibri"/>
    </font>
    <font>
      <sz val="11"/>
      <color rgb="FF000000"/>
      <name val="Calibri"/>
      <family val="2"/>
    </font>
    <font>
      <b/>
      <sz val="11"/>
      <color rgb="FF000000"/>
      <name val="Calibri"/>
    </font>
    <font>
      <sz val="11"/>
      <color theme="1"/>
      <name val="Calibri"/>
    </font>
    <font>
      <b/>
      <sz val="11"/>
      <color rgb="FF000000"/>
      <name val="Calibri"/>
      <family val="2"/>
    </font>
    <font>
      <i/>
      <sz val="11"/>
      <color rgb="FF000000"/>
      <name val="Calibri"/>
    </font>
    <font>
      <i/>
      <sz val="11"/>
      <color rgb="FF000000"/>
      <name val="Calibri"/>
      <family val="2"/>
    </font>
    <font>
      <i/>
      <sz val="11"/>
      <color theme="1"/>
      <name val="Calibri"/>
      <family val="2"/>
    </font>
    <font>
      <i/>
      <sz val="11"/>
      <color theme="5" tint="-0.249977111117893"/>
      <name val="Calibri"/>
      <family val="2"/>
    </font>
    <font>
      <i/>
      <sz val="11"/>
      <color theme="0" tint="-0.499984740745262"/>
      <name val="Calibri"/>
      <family val="2"/>
    </font>
    <font>
      <i/>
      <sz val="11"/>
      <name val="Calibri"/>
      <family val="2"/>
    </font>
    <font>
      <sz val="11"/>
      <color theme="5" tint="-0.249977111117893"/>
      <name val="Calibri"/>
      <family val="2"/>
    </font>
    <font>
      <sz val="11"/>
      <name val="Calibri"/>
      <family val="2"/>
    </font>
    <font>
      <b/>
      <sz val="11"/>
      <name val="Calibri"/>
      <family val="2"/>
    </font>
    <font>
      <b/>
      <i/>
      <sz val="11"/>
      <color theme="1"/>
      <name val="Calibri"/>
      <family val="2"/>
    </font>
    <font>
      <sz val="11"/>
      <color theme="3" tint="0.249977111117893"/>
      <name val="Calibri"/>
      <family val="2"/>
    </font>
    <font>
      <b/>
      <sz val="11"/>
      <color theme="3" tint="0.249977111117893"/>
      <name val="Calibri"/>
      <family val="2"/>
    </font>
    <font>
      <sz val="9"/>
      <color indexed="81"/>
      <name val="Tahoma"/>
      <family val="2"/>
    </font>
    <font>
      <sz val="11"/>
      <color theme="9" tint="-0.249977111117893"/>
      <name val="Calibri"/>
      <family val="2"/>
    </font>
    <font>
      <b/>
      <sz val="9"/>
      <color indexed="81"/>
      <name val="Tahoma"/>
      <family val="2"/>
    </font>
    <font>
      <i/>
      <sz val="11"/>
      <color theme="9" tint="-0.249977111117893"/>
      <name val="Calibri"/>
      <family val="2"/>
    </font>
    <font>
      <i/>
      <sz val="11"/>
      <color theme="4"/>
      <name val="Calibri"/>
      <family val="2"/>
    </font>
    <font>
      <sz val="11"/>
      <color rgb="FF002060"/>
      <name val="Calibri"/>
      <family val="2"/>
    </font>
    <font>
      <i/>
      <sz val="11"/>
      <color rgb="FF002060"/>
      <name val="Calibri"/>
      <family val="2"/>
    </font>
    <font>
      <sz val="11"/>
      <color theme="4"/>
      <name val="Calibri"/>
      <family val="2"/>
    </font>
    <font>
      <b/>
      <sz val="11"/>
      <color theme="4"/>
      <name val="Calibri"/>
      <family val="2"/>
    </font>
    <font>
      <sz val="11"/>
      <color theme="0"/>
      <name val="Calibri"/>
      <family val="2"/>
    </font>
    <font>
      <b/>
      <sz val="11"/>
      <color theme="0"/>
      <name val="Calibri"/>
      <family val="2"/>
    </font>
    <font>
      <b/>
      <i/>
      <sz val="11"/>
      <name val="Calibri"/>
      <family val="2"/>
    </font>
    <font>
      <sz val="11"/>
      <color theme="2" tint="-0.499984740745262"/>
      <name val="Calibri"/>
      <family val="2"/>
    </font>
    <font>
      <b/>
      <i/>
      <sz val="11"/>
      <color theme="2" tint="-0.499984740745262"/>
      <name val="Calibri"/>
      <family val="2"/>
    </font>
    <font>
      <b/>
      <i/>
      <sz val="11"/>
      <color theme="7" tint="-0.249977111117893"/>
      <name val="Calibri"/>
      <family val="2"/>
    </font>
    <font>
      <b/>
      <sz val="11"/>
      <color theme="7" tint="-0.249977111117893"/>
      <name val="Calibri"/>
      <family val="2"/>
    </font>
    <font>
      <sz val="11"/>
      <color theme="6" tint="-0.249977111117893"/>
      <name val="Calibri"/>
      <family val="2"/>
    </font>
    <font>
      <sz val="11"/>
      <color theme="5"/>
      <name val="Calibri"/>
      <family val="2"/>
    </font>
    <font>
      <b/>
      <sz val="11"/>
      <color theme="2" tint="-0.499984740745262"/>
      <name val="Calibri"/>
      <family val="2"/>
    </font>
    <font>
      <b/>
      <i/>
      <sz val="11"/>
      <color rgb="FF000000"/>
      <name val="Calibri"/>
      <family val="2"/>
    </font>
    <font>
      <i/>
      <sz val="11"/>
      <color theme="1" tint="0.34998626667073579"/>
      <name val="Calibri"/>
      <family val="2"/>
    </font>
    <font>
      <sz val="11"/>
      <color theme="2" tint="-0.249977111117893"/>
      <name val="Calibri"/>
      <family val="2"/>
    </font>
    <font>
      <b/>
      <sz val="14"/>
      <color theme="1"/>
      <name val="Calibri"/>
      <family val="2"/>
    </font>
    <font>
      <b/>
      <sz val="11"/>
      <color theme="9" tint="-0.249977111117893"/>
      <name val="Calibri"/>
      <family val="2"/>
    </font>
  </fonts>
  <fills count="1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0"/>
        <bgColor indexed="64"/>
      </patternFill>
    </fill>
    <fill>
      <patternFill patternType="solid">
        <fgColor theme="3" tint="0.74999237037263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E7F2B1"/>
        <bgColor indexed="64"/>
      </patternFill>
    </fill>
    <fill>
      <patternFill patternType="solid">
        <fgColor theme="9" tint="0.59999389629810485"/>
        <bgColor indexed="64"/>
      </patternFill>
    </fill>
    <fill>
      <patternFill patternType="solid">
        <fgColor rgb="FFC00000"/>
        <bgColor indexed="64"/>
      </patternFill>
    </fill>
    <fill>
      <patternFill patternType="solid">
        <fgColor theme="3" tint="9.9978637043366805E-2"/>
        <bgColor indexed="64"/>
      </patternFill>
    </fill>
  </fills>
  <borders count="45">
    <border>
      <left/>
      <right/>
      <top/>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rgb="FF000000"/>
      </bottom>
      <diagonal/>
    </border>
    <border>
      <left style="thin">
        <color indexed="64"/>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bottom style="thin">
        <color indexed="64"/>
      </bottom>
      <diagonal/>
    </border>
    <border>
      <left/>
      <right style="thin">
        <color rgb="FF000000"/>
      </right>
      <top/>
      <bottom/>
      <diagonal/>
    </border>
    <border>
      <left/>
      <right style="thin">
        <color rgb="FF000000"/>
      </right>
      <top/>
      <bottom style="thin">
        <color rgb="FF000000"/>
      </bottom>
      <diagonal/>
    </border>
    <border>
      <left style="thin">
        <color theme="9" tint="-0.249977111117893"/>
      </left>
      <right style="thin">
        <color theme="9" tint="-0.249977111117893"/>
      </right>
      <top style="thin">
        <color theme="9" tint="-0.249977111117893"/>
      </top>
      <bottom style="thin">
        <color theme="9" tint="-0.249977111117893"/>
      </bottom>
      <diagonal/>
    </border>
  </borders>
  <cellStyleXfs count="1">
    <xf numFmtId="0" fontId="0" fillId="0" borderId="0"/>
  </cellStyleXfs>
  <cellXfs count="353">
    <xf numFmtId="0" fontId="0" fillId="0" borderId="0" xfId="0"/>
    <xf numFmtId="0" fontId="1" fillId="0" borderId="0" xfId="0" applyFont="1"/>
    <xf numFmtId="0" fontId="1" fillId="0" borderId="1" xfId="0" applyFont="1" applyBorder="1"/>
    <xf numFmtId="0" fontId="1" fillId="3" borderId="1" xfId="0" applyFont="1" applyFill="1" applyBorder="1"/>
    <xf numFmtId="0" fontId="2" fillId="0" borderId="0" xfId="0" applyFont="1"/>
    <xf numFmtId="0" fontId="3" fillId="0" borderId="0" xfId="0" applyFont="1"/>
    <xf numFmtId="0" fontId="0" fillId="4" borderId="0" xfId="0" applyFill="1"/>
    <xf numFmtId="0" fontId="1" fillId="0" borderId="0" xfId="0" applyFont="1" applyAlignment="1">
      <alignment horizontal="center"/>
    </xf>
    <xf numFmtId="0" fontId="1" fillId="0" borderId="3" xfId="0" applyFont="1" applyBorder="1"/>
    <xf numFmtId="0" fontId="1" fillId="5" borderId="0" xfId="0" applyFont="1" applyFill="1"/>
    <xf numFmtId="0" fontId="0" fillId="5" borderId="0" xfId="0" applyFill="1"/>
    <xf numFmtId="0" fontId="4" fillId="0" borderId="0" xfId="0" applyFont="1"/>
    <xf numFmtId="0" fontId="5" fillId="0" borderId="0" xfId="0" applyFont="1"/>
    <xf numFmtId="0" fontId="1" fillId="5" borderId="1" xfId="0" applyFont="1" applyFill="1" applyBorder="1"/>
    <xf numFmtId="0" fontId="0" fillId="6" borderId="0" xfId="0" applyFill="1"/>
    <xf numFmtId="0" fontId="1" fillId="5" borderId="3" xfId="0" applyFont="1" applyFill="1" applyBorder="1"/>
    <xf numFmtId="0" fontId="0" fillId="2" borderId="3" xfId="0" applyFill="1" applyBorder="1"/>
    <xf numFmtId="0" fontId="6" fillId="4" borderId="0" xfId="0" applyFont="1" applyFill="1"/>
    <xf numFmtId="3" fontId="4" fillId="0" borderId="0" xfId="0" applyNumberFormat="1" applyFont="1" applyAlignment="1">
      <alignment wrapText="1"/>
    </xf>
    <xf numFmtId="0" fontId="7" fillId="0" borderId="0" xfId="0" applyFont="1"/>
    <xf numFmtId="3" fontId="4" fillId="0" borderId="3" xfId="0" applyNumberFormat="1" applyFont="1" applyBorder="1" applyAlignment="1">
      <alignment wrapText="1"/>
    </xf>
    <xf numFmtId="10" fontId="7" fillId="0" borderId="0" xfId="0" applyNumberFormat="1" applyFont="1"/>
    <xf numFmtId="3" fontId="7" fillId="0" borderId="1" xfId="0" applyNumberFormat="1" applyFont="1" applyBorder="1"/>
    <xf numFmtId="0" fontId="7" fillId="0" borderId="2" xfId="0" applyFont="1" applyBorder="1"/>
    <xf numFmtId="0" fontId="7" fillId="5" borderId="0" xfId="0" applyFont="1" applyFill="1"/>
    <xf numFmtId="3" fontId="7" fillId="0" borderId="0" xfId="0" applyNumberFormat="1" applyFont="1"/>
    <xf numFmtId="0" fontId="8" fillId="2" borderId="0" xfId="0" applyFont="1" applyFill="1"/>
    <xf numFmtId="3" fontId="7" fillId="2" borderId="0" xfId="0" applyNumberFormat="1" applyFont="1" applyFill="1"/>
    <xf numFmtId="3" fontId="7" fillId="0" borderId="3" xfId="0" applyNumberFormat="1" applyFont="1" applyBorder="1"/>
    <xf numFmtId="0" fontId="8" fillId="6" borderId="0" xfId="0" applyFont="1" applyFill="1"/>
    <xf numFmtId="3" fontId="7" fillId="6" borderId="0" xfId="0" applyNumberFormat="1" applyFont="1" applyFill="1"/>
    <xf numFmtId="0" fontId="7" fillId="6" borderId="0" xfId="0" applyFont="1" applyFill="1"/>
    <xf numFmtId="0" fontId="10" fillId="2" borderId="0" xfId="0" applyFont="1" applyFill="1"/>
    <xf numFmtId="3" fontId="0" fillId="0" borderId="0" xfId="0" applyNumberFormat="1"/>
    <xf numFmtId="10" fontId="11" fillId="0" borderId="0" xfId="0" applyNumberFormat="1" applyFont="1"/>
    <xf numFmtId="10" fontId="2" fillId="0" borderId="0" xfId="0" applyNumberFormat="1" applyFont="1"/>
    <xf numFmtId="3" fontId="0" fillId="0" borderId="1" xfId="0" applyNumberFormat="1" applyBorder="1"/>
    <xf numFmtId="10" fontId="12" fillId="0" borderId="0" xfId="0" applyNumberFormat="1" applyFont="1"/>
    <xf numFmtId="0" fontId="1" fillId="4" borderId="0" xfId="0" applyFont="1" applyFill="1" applyAlignment="1">
      <alignment horizontal="center"/>
    </xf>
    <xf numFmtId="3" fontId="0" fillId="4" borderId="0" xfId="0" applyNumberFormat="1" applyFill="1"/>
    <xf numFmtId="10" fontId="2" fillId="4" borderId="0" xfId="0" applyNumberFormat="1" applyFont="1" applyFill="1"/>
    <xf numFmtId="0" fontId="7" fillId="4" borderId="0" xfId="0" applyFont="1" applyFill="1"/>
    <xf numFmtId="3" fontId="7" fillId="4" borderId="0" xfId="0" applyNumberFormat="1" applyFont="1" applyFill="1"/>
    <xf numFmtId="3" fontId="7" fillId="4" borderId="1" xfId="0" applyNumberFormat="1" applyFont="1" applyFill="1" applyBorder="1"/>
    <xf numFmtId="10" fontId="12" fillId="4" borderId="0" xfId="0" applyNumberFormat="1" applyFont="1" applyFill="1"/>
    <xf numFmtId="0" fontId="7" fillId="4" borderId="2" xfId="0" applyFont="1" applyFill="1" applyBorder="1"/>
    <xf numFmtId="10" fontId="7" fillId="4" borderId="0" xfId="0" applyNumberFormat="1" applyFont="1" applyFill="1"/>
    <xf numFmtId="3" fontId="7" fillId="4" borderId="3" xfId="0" applyNumberFormat="1" applyFont="1" applyFill="1" applyBorder="1"/>
    <xf numFmtId="10" fontId="11" fillId="4" borderId="0" xfId="0" applyNumberFormat="1" applyFont="1" applyFill="1"/>
    <xf numFmtId="10" fontId="13" fillId="0" borderId="0" xfId="0" applyNumberFormat="1" applyFont="1"/>
    <xf numFmtId="10" fontId="13" fillId="4" borderId="0" xfId="0" applyNumberFormat="1" applyFont="1" applyFill="1"/>
    <xf numFmtId="10" fontId="13" fillId="0" borderId="2" xfId="0" applyNumberFormat="1" applyFont="1" applyBorder="1"/>
    <xf numFmtId="10" fontId="13" fillId="4" borderId="2" xfId="0" applyNumberFormat="1" applyFont="1" applyFill="1" applyBorder="1"/>
    <xf numFmtId="10" fontId="11" fillId="0" borderId="0" xfId="0" applyNumberFormat="1" applyFont="1" applyAlignment="1">
      <alignment horizontal="center"/>
    </xf>
    <xf numFmtId="10" fontId="11" fillId="4" borderId="0" xfId="0" applyNumberFormat="1" applyFont="1" applyFill="1" applyAlignment="1">
      <alignment horizontal="center"/>
    </xf>
    <xf numFmtId="0" fontId="14" fillId="0" borderId="0" xfId="0" applyFont="1"/>
    <xf numFmtId="10" fontId="15" fillId="0" borderId="0" xfId="0" applyNumberFormat="1" applyFont="1"/>
    <xf numFmtId="10" fontId="15" fillId="4" borderId="0" xfId="0" applyNumberFormat="1" applyFont="1" applyFill="1"/>
    <xf numFmtId="10" fontId="15" fillId="2" borderId="0" xfId="0" applyNumberFormat="1" applyFont="1" applyFill="1"/>
    <xf numFmtId="0" fontId="11" fillId="0" borderId="0" xfId="0" applyFont="1"/>
    <xf numFmtId="2" fontId="7" fillId="4" borderId="0" xfId="0" applyNumberFormat="1" applyFont="1" applyFill="1"/>
    <xf numFmtId="3" fontId="7" fillId="3" borderId="1" xfId="0" applyNumberFormat="1" applyFont="1" applyFill="1" applyBorder="1"/>
    <xf numFmtId="0" fontId="16" fillId="0" borderId="0" xfId="0" applyFont="1"/>
    <xf numFmtId="0" fontId="17" fillId="7" borderId="0" xfId="0" applyFont="1" applyFill="1"/>
    <xf numFmtId="10" fontId="7" fillId="6" borderId="0" xfId="0" applyNumberFormat="1" applyFont="1" applyFill="1"/>
    <xf numFmtId="2" fontId="7" fillId="7" borderId="0" xfId="0" applyNumberFormat="1" applyFont="1" applyFill="1"/>
    <xf numFmtId="3" fontId="0" fillId="5" borderId="1" xfId="0" applyNumberFormat="1" applyFill="1" applyBorder="1"/>
    <xf numFmtId="3" fontId="0" fillId="6" borderId="0" xfId="0" applyNumberFormat="1" applyFill="1"/>
    <xf numFmtId="3" fontId="0" fillId="6" borderId="3" xfId="0" applyNumberFormat="1" applyFill="1" applyBorder="1"/>
    <xf numFmtId="3" fontId="0" fillId="6" borderId="4" xfId="0" applyNumberFormat="1" applyFill="1" applyBorder="1"/>
    <xf numFmtId="3" fontId="0" fillId="5" borderId="3" xfId="0" applyNumberFormat="1" applyFill="1" applyBorder="1"/>
    <xf numFmtId="3" fontId="0" fillId="5" borderId="0" xfId="0" applyNumberFormat="1" applyFill="1"/>
    <xf numFmtId="3" fontId="0" fillId="2" borderId="1" xfId="0" applyNumberFormat="1" applyFill="1" applyBorder="1"/>
    <xf numFmtId="3" fontId="0" fillId="4" borderId="1" xfId="0" applyNumberFormat="1" applyFill="1" applyBorder="1"/>
    <xf numFmtId="3" fontId="0" fillId="4" borderId="3" xfId="0" applyNumberFormat="1" applyFill="1" applyBorder="1"/>
    <xf numFmtId="0" fontId="1" fillId="6" borderId="0" xfId="0" applyFont="1" applyFill="1"/>
    <xf numFmtId="10" fontId="2" fillId="0" borderId="1" xfId="0" applyNumberFormat="1" applyFont="1" applyBorder="1"/>
    <xf numFmtId="10" fontId="2" fillId="4" borderId="1" xfId="0" applyNumberFormat="1" applyFont="1" applyFill="1" applyBorder="1"/>
    <xf numFmtId="3" fontId="0" fillId="6" borderId="1" xfId="0" applyNumberFormat="1" applyFill="1" applyBorder="1"/>
    <xf numFmtId="0" fontId="0" fillId="0" borderId="5" xfId="0" applyBorder="1"/>
    <xf numFmtId="0" fontId="1" fillId="0" borderId="5" xfId="0" applyFont="1" applyBorder="1" applyAlignment="1">
      <alignment horizontal="center"/>
    </xf>
    <xf numFmtId="0" fontId="1" fillId="4" borderId="5" xfId="0" applyFont="1" applyFill="1" applyBorder="1" applyAlignment="1">
      <alignment horizontal="center"/>
    </xf>
    <xf numFmtId="0" fontId="0" fillId="0" borderId="1" xfId="0" applyBorder="1"/>
    <xf numFmtId="0" fontId="18" fillId="2" borderId="0" xfId="0" applyFont="1" applyFill="1"/>
    <xf numFmtId="0" fontId="8" fillId="4" borderId="0" xfId="0" applyFont="1" applyFill="1"/>
    <xf numFmtId="3" fontId="0" fillId="2" borderId="0" xfId="0" applyNumberFormat="1" applyFill="1"/>
    <xf numFmtId="3" fontId="1" fillId="0" borderId="0" xfId="0" applyNumberFormat="1" applyFont="1"/>
    <xf numFmtId="3" fontId="1" fillId="2" borderId="0" xfId="0" applyNumberFormat="1" applyFont="1" applyFill="1"/>
    <xf numFmtId="0" fontId="1" fillId="0" borderId="2" xfId="0" applyFont="1" applyBorder="1"/>
    <xf numFmtId="3" fontId="0" fillId="0" borderId="2" xfId="0" applyNumberFormat="1" applyBorder="1"/>
    <xf numFmtId="3" fontId="1" fillId="0" borderId="2" xfId="0" applyNumberFormat="1" applyFont="1" applyBorder="1"/>
    <xf numFmtId="3" fontId="0" fillId="0" borderId="5" xfId="0" applyNumberFormat="1" applyBorder="1"/>
    <xf numFmtId="4" fontId="0" fillId="0" borderId="0" xfId="0" applyNumberFormat="1"/>
    <xf numFmtId="3" fontId="19" fillId="0" borderId="5" xfId="0" applyNumberFormat="1" applyFont="1" applyBorder="1"/>
    <xf numFmtId="3" fontId="19" fillId="0" borderId="0" xfId="0" applyNumberFormat="1" applyFont="1"/>
    <xf numFmtId="3" fontId="20" fillId="0" borderId="0" xfId="0" applyNumberFormat="1" applyFont="1"/>
    <xf numFmtId="3" fontId="11" fillId="0" borderId="0" xfId="0" applyNumberFormat="1" applyFont="1"/>
    <xf numFmtId="0" fontId="1" fillId="4" borderId="6" xfId="0" applyFont="1" applyFill="1" applyBorder="1" applyAlignment="1">
      <alignment horizontal="center"/>
    </xf>
    <xf numFmtId="0" fontId="1" fillId="0" borderId="8" xfId="0" applyFont="1" applyBorder="1"/>
    <xf numFmtId="0" fontId="1" fillId="0" borderId="10" xfId="0" applyFont="1" applyBorder="1"/>
    <xf numFmtId="0" fontId="0" fillId="0" borderId="10" xfId="0" applyBorder="1"/>
    <xf numFmtId="0" fontId="0" fillId="0" borderId="12" xfId="0" applyBorder="1"/>
    <xf numFmtId="10"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14" xfId="0" applyBorder="1"/>
    <xf numFmtId="0" fontId="0" fillId="0" borderId="9" xfId="0" applyBorder="1" applyAlignment="1">
      <alignment horizontal="center"/>
    </xf>
    <xf numFmtId="0" fontId="0" fillId="0" borderId="11" xfId="0" applyBorder="1" applyAlignment="1">
      <alignment horizontal="center"/>
    </xf>
    <xf numFmtId="10" fontId="1" fillId="0" borderId="11" xfId="0" applyNumberFormat="1" applyFont="1" applyBorder="1" applyAlignment="1">
      <alignment horizontal="center"/>
    </xf>
    <xf numFmtId="2" fontId="1" fillId="0" borderId="11" xfId="0" applyNumberFormat="1" applyFont="1" applyBorder="1" applyAlignment="1">
      <alignment horizontal="center"/>
    </xf>
    <xf numFmtId="0" fontId="0" fillId="0" borderId="15" xfId="0" applyBorder="1" applyAlignment="1">
      <alignment horizontal="center"/>
    </xf>
    <xf numFmtId="10" fontId="0" fillId="0" borderId="15" xfId="0" applyNumberFormat="1" applyBorder="1" applyAlignment="1">
      <alignment horizontal="center"/>
    </xf>
    <xf numFmtId="10" fontId="1" fillId="0" borderId="13" xfId="0" applyNumberFormat="1" applyFont="1" applyBorder="1" applyAlignment="1">
      <alignment horizontal="center"/>
    </xf>
    <xf numFmtId="0" fontId="1" fillId="4" borderId="16" xfId="0" applyFont="1" applyFill="1" applyBorder="1" applyAlignment="1">
      <alignment horizontal="center"/>
    </xf>
    <xf numFmtId="0" fontId="1" fillId="8" borderId="7" xfId="0" applyFont="1" applyFill="1" applyBorder="1" applyAlignment="1">
      <alignment horizontal="center"/>
    </xf>
    <xf numFmtId="0" fontId="0" fillId="8" borderId="0" xfId="0" applyFill="1"/>
    <xf numFmtId="0" fontId="1" fillId="8" borderId="0" xfId="0" applyFont="1" applyFill="1"/>
    <xf numFmtId="10" fontId="22" fillId="0" borderId="1" xfId="0" applyNumberFormat="1" applyFont="1" applyBorder="1" applyAlignment="1">
      <alignment horizontal="center"/>
    </xf>
    <xf numFmtId="10" fontId="1" fillId="0" borderId="18" xfId="0" applyNumberFormat="1" applyFont="1" applyBorder="1" applyAlignment="1">
      <alignment horizontal="center"/>
    </xf>
    <xf numFmtId="0" fontId="1" fillId="0" borderId="17" xfId="0" applyFont="1" applyBorder="1"/>
    <xf numFmtId="0" fontId="11" fillId="0" borderId="10" xfId="0" applyFont="1" applyBorder="1"/>
    <xf numFmtId="3" fontId="14" fillId="0" borderId="0" xfId="0" applyNumberFormat="1" applyFont="1" applyAlignment="1">
      <alignment horizontal="center"/>
    </xf>
    <xf numFmtId="10" fontId="16" fillId="0" borderId="1" xfId="0" applyNumberFormat="1" applyFont="1" applyBorder="1" applyAlignment="1">
      <alignment horizontal="center"/>
    </xf>
    <xf numFmtId="0" fontId="0" fillId="0" borderId="19" xfId="0" applyBorder="1"/>
    <xf numFmtId="0" fontId="1" fillId="4" borderId="0" xfId="0" applyFont="1" applyFill="1"/>
    <xf numFmtId="0" fontId="1" fillId="0" borderId="20" xfId="0" applyFont="1" applyBorder="1" applyAlignment="1">
      <alignment horizontal="center"/>
    </xf>
    <xf numFmtId="10" fontId="13" fillId="0" borderId="21" xfId="0" applyNumberFormat="1" applyFont="1" applyBorder="1"/>
    <xf numFmtId="3" fontId="22" fillId="0" borderId="19" xfId="0" applyNumberFormat="1" applyFont="1" applyBorder="1"/>
    <xf numFmtId="3" fontId="22" fillId="0" borderId="0" xfId="0" applyNumberFormat="1" applyFont="1"/>
    <xf numFmtId="3" fontId="16" fillId="0" borderId="0" xfId="0" applyNumberFormat="1" applyFont="1"/>
    <xf numFmtId="10" fontId="2" fillId="0" borderId="19" xfId="0" applyNumberFormat="1" applyFont="1" applyBorder="1"/>
    <xf numFmtId="10" fontId="24" fillId="0" borderId="0" xfId="0" applyNumberFormat="1" applyFont="1"/>
    <xf numFmtId="10" fontId="25" fillId="0" borderId="0" xfId="0" applyNumberFormat="1" applyFont="1"/>
    <xf numFmtId="10" fontId="14" fillId="0" borderId="19" xfId="0" applyNumberFormat="1" applyFont="1" applyBorder="1"/>
    <xf numFmtId="10" fontId="14" fillId="0" borderId="0" xfId="0" applyNumberFormat="1" applyFont="1"/>
    <xf numFmtId="10" fontId="27" fillId="0" borderId="19" xfId="0" applyNumberFormat="1" applyFont="1" applyBorder="1"/>
    <xf numFmtId="10" fontId="27" fillId="0" borderId="0" xfId="0" applyNumberFormat="1" applyFont="1"/>
    <xf numFmtId="3" fontId="26" fillId="0" borderId="19" xfId="0" applyNumberFormat="1" applyFont="1" applyBorder="1"/>
    <xf numFmtId="3" fontId="26" fillId="0" borderId="0" xfId="0" applyNumberFormat="1" applyFont="1"/>
    <xf numFmtId="10" fontId="0" fillId="0" borderId="0" xfId="0" applyNumberFormat="1"/>
    <xf numFmtId="3" fontId="28" fillId="0" borderId="19" xfId="0" applyNumberFormat="1" applyFont="1" applyBorder="1"/>
    <xf numFmtId="3" fontId="28" fillId="0" borderId="0" xfId="0" applyNumberFormat="1" applyFont="1"/>
    <xf numFmtId="10" fontId="25" fillId="0" borderId="19" xfId="0" applyNumberFormat="1" applyFont="1" applyBorder="1"/>
    <xf numFmtId="3" fontId="29" fillId="0" borderId="0" xfId="0" applyNumberFormat="1" applyFont="1"/>
    <xf numFmtId="0" fontId="17" fillId="0" borderId="0" xfId="0" applyFont="1"/>
    <xf numFmtId="3" fontId="16" fillId="0" borderId="19" xfId="0" applyNumberFormat="1" applyFont="1" applyBorder="1"/>
    <xf numFmtId="10" fontId="2" fillId="0" borderId="0" xfId="0" applyNumberFormat="1" applyFont="1" applyAlignment="1">
      <alignment horizontal="center"/>
    </xf>
    <xf numFmtId="0" fontId="16" fillId="0" borderId="0" xfId="0" quotePrefix="1" applyFont="1" applyAlignment="1">
      <alignment horizontal="center"/>
    </xf>
    <xf numFmtId="3" fontId="17" fillId="0" borderId="0" xfId="0" applyNumberFormat="1" applyFont="1"/>
    <xf numFmtId="0" fontId="1" fillId="6" borderId="1" xfId="0" applyFont="1" applyFill="1" applyBorder="1"/>
    <xf numFmtId="0" fontId="0" fillId="6" borderId="1" xfId="0" applyFill="1" applyBorder="1"/>
    <xf numFmtId="0" fontId="0" fillId="6" borderId="22" xfId="0" applyFill="1" applyBorder="1"/>
    <xf numFmtId="3" fontId="1" fillId="6" borderId="1" xfId="0" applyNumberFormat="1" applyFont="1" applyFill="1" applyBorder="1"/>
    <xf numFmtId="0" fontId="1" fillId="4" borderId="23" xfId="0" applyFont="1" applyFill="1" applyBorder="1" applyAlignment="1">
      <alignment horizontal="center"/>
    </xf>
    <xf numFmtId="3" fontId="1" fillId="6" borderId="3" xfId="0" applyNumberFormat="1" applyFont="1" applyFill="1" applyBorder="1"/>
    <xf numFmtId="0" fontId="0" fillId="0" borderId="3" xfId="0" applyBorder="1"/>
    <xf numFmtId="0" fontId="1" fillId="9" borderId="0" xfId="0" applyFont="1" applyFill="1"/>
    <xf numFmtId="0" fontId="0" fillId="9" borderId="0" xfId="0" applyFill="1"/>
    <xf numFmtId="2" fontId="0" fillId="0" borderId="0" xfId="0" applyNumberFormat="1"/>
    <xf numFmtId="10" fontId="1" fillId="0" borderId="3" xfId="0" applyNumberFormat="1" applyFont="1" applyBorder="1"/>
    <xf numFmtId="10" fontId="1" fillId="9" borderId="0" xfId="0" applyNumberFormat="1" applyFont="1" applyFill="1"/>
    <xf numFmtId="0" fontId="30" fillId="0" borderId="0" xfId="0" applyFont="1"/>
    <xf numFmtId="3" fontId="1" fillId="6" borderId="0" xfId="0" applyNumberFormat="1" applyFont="1" applyFill="1"/>
    <xf numFmtId="0" fontId="0" fillId="0" borderId="24" xfId="0" applyBorder="1"/>
    <xf numFmtId="0" fontId="0" fillId="6" borderId="25" xfId="0" applyFill="1" applyBorder="1"/>
    <xf numFmtId="4" fontId="0" fillId="6" borderId="0" xfId="0" applyNumberFormat="1" applyFill="1"/>
    <xf numFmtId="3" fontId="0" fillId="0" borderId="3" xfId="0" applyNumberFormat="1" applyBorder="1"/>
    <xf numFmtId="0" fontId="0" fillId="5" borderId="19" xfId="0" applyFill="1" applyBorder="1"/>
    <xf numFmtId="0" fontId="1" fillId="7" borderId="19" xfId="0" applyFont="1" applyFill="1" applyBorder="1"/>
    <xf numFmtId="0" fontId="0" fillId="7" borderId="0" xfId="0" applyFill="1"/>
    <xf numFmtId="0" fontId="0" fillId="0" borderId="25" xfId="0" applyBorder="1"/>
    <xf numFmtId="0" fontId="1" fillId="2" borderId="0" xfId="0" applyFont="1" applyFill="1"/>
    <xf numFmtId="0" fontId="0" fillId="2" borderId="0" xfId="0" applyFill="1"/>
    <xf numFmtId="0" fontId="0" fillId="2" borderId="25" xfId="0" applyFill="1" applyBorder="1"/>
    <xf numFmtId="0" fontId="1" fillId="2" borderId="25" xfId="0" applyFont="1" applyFill="1" applyBorder="1"/>
    <xf numFmtId="10" fontId="0" fillId="2" borderId="0" xfId="0" applyNumberFormat="1" applyFill="1"/>
    <xf numFmtId="2" fontId="0" fillId="2" borderId="0" xfId="0" applyNumberFormat="1" applyFill="1"/>
    <xf numFmtId="0" fontId="0" fillId="2" borderId="4" xfId="0" applyFill="1" applyBorder="1"/>
    <xf numFmtId="3" fontId="0" fillId="2" borderId="4" xfId="0" applyNumberFormat="1" applyFill="1" applyBorder="1"/>
    <xf numFmtId="0" fontId="0" fillId="2" borderId="23" xfId="0" applyFill="1" applyBorder="1"/>
    <xf numFmtId="10" fontId="0" fillId="2" borderId="23" xfId="0" applyNumberFormat="1" applyFill="1" applyBorder="1"/>
    <xf numFmtId="0" fontId="1" fillId="2" borderId="28" xfId="0" applyFont="1" applyFill="1" applyBorder="1"/>
    <xf numFmtId="0" fontId="1" fillId="10" borderId="25" xfId="0" applyFont="1" applyFill="1" applyBorder="1"/>
    <xf numFmtId="0" fontId="0" fillId="10" borderId="0" xfId="0" applyFill="1"/>
    <xf numFmtId="0" fontId="9" fillId="10" borderId="0" xfId="0" applyFont="1" applyFill="1"/>
    <xf numFmtId="3" fontId="0" fillId="2" borderId="3" xfId="0" applyNumberFormat="1" applyFill="1" applyBorder="1"/>
    <xf numFmtId="2" fontId="0" fillId="2" borderId="4" xfId="0" applyNumberFormat="1" applyFill="1" applyBorder="1"/>
    <xf numFmtId="0" fontId="1" fillId="2" borderId="26" xfId="0" applyFont="1" applyFill="1" applyBorder="1"/>
    <xf numFmtId="0" fontId="1" fillId="2" borderId="27" xfId="0" applyFont="1" applyFill="1" applyBorder="1"/>
    <xf numFmtId="3" fontId="28" fillId="2" borderId="4" xfId="0" applyNumberFormat="1" applyFont="1" applyFill="1" applyBorder="1"/>
    <xf numFmtId="3" fontId="28" fillId="2" borderId="0" xfId="0" applyNumberFormat="1" applyFont="1" applyFill="1"/>
    <xf numFmtId="10" fontId="28" fillId="2" borderId="23" xfId="0" applyNumberFormat="1" applyFont="1" applyFill="1" applyBorder="1"/>
    <xf numFmtId="3" fontId="5" fillId="2" borderId="3" xfId="0" applyNumberFormat="1" applyFont="1" applyFill="1" applyBorder="1"/>
    <xf numFmtId="0" fontId="1" fillId="6" borderId="19" xfId="0" applyFont="1" applyFill="1" applyBorder="1"/>
    <xf numFmtId="0" fontId="1" fillId="10" borderId="19" xfId="0" applyFont="1" applyFill="1" applyBorder="1"/>
    <xf numFmtId="0" fontId="11" fillId="10" borderId="0" xfId="0" applyFont="1" applyFill="1"/>
    <xf numFmtId="0" fontId="18" fillId="10" borderId="0" xfId="0" applyFont="1" applyFill="1"/>
    <xf numFmtId="0" fontId="1" fillId="10" borderId="0" xfId="0" applyFont="1" applyFill="1"/>
    <xf numFmtId="3" fontId="0" fillId="2" borderId="29" xfId="0" applyNumberFormat="1" applyFill="1" applyBorder="1"/>
    <xf numFmtId="0" fontId="1" fillId="6" borderId="28" xfId="0" applyFont="1" applyFill="1" applyBorder="1"/>
    <xf numFmtId="0" fontId="0" fillId="6" borderId="3" xfId="0" applyFill="1" applyBorder="1"/>
    <xf numFmtId="10" fontId="0" fillId="11" borderId="30" xfId="0" applyNumberFormat="1" applyFill="1" applyBorder="1" applyAlignment="1">
      <alignment wrapText="1"/>
    </xf>
    <xf numFmtId="0" fontId="0" fillId="2" borderId="30" xfId="0" applyFill="1" applyBorder="1"/>
    <xf numFmtId="3" fontId="1" fillId="4" borderId="29" xfId="0" applyNumberFormat="1" applyFont="1" applyFill="1" applyBorder="1"/>
    <xf numFmtId="10" fontId="25" fillId="0" borderId="0" xfId="0" applyNumberFormat="1" applyFont="1" applyAlignment="1">
      <alignment wrapText="1"/>
    </xf>
    <xf numFmtId="10" fontId="2" fillId="0" borderId="0" xfId="0" applyNumberFormat="1" applyFont="1" applyAlignment="1">
      <alignment wrapText="1"/>
    </xf>
    <xf numFmtId="10" fontId="28" fillId="0" borderId="0" xfId="0" applyNumberFormat="1" applyFont="1" applyAlignment="1">
      <alignment wrapText="1"/>
    </xf>
    <xf numFmtId="10" fontId="0" fillId="6" borderId="0" xfId="0" applyNumberFormat="1" applyFill="1" applyAlignment="1">
      <alignment wrapText="1"/>
    </xf>
    <xf numFmtId="0" fontId="1" fillId="6" borderId="25" xfId="0" applyFont="1" applyFill="1" applyBorder="1"/>
    <xf numFmtId="3" fontId="0" fillId="6" borderId="0" xfId="0" applyNumberFormat="1" applyFill="1" applyAlignment="1">
      <alignment wrapText="1"/>
    </xf>
    <xf numFmtId="0" fontId="1" fillId="6" borderId="26" xfId="0" applyFont="1" applyFill="1" applyBorder="1"/>
    <xf numFmtId="0" fontId="0" fillId="6" borderId="4" xfId="0" applyFill="1" applyBorder="1"/>
    <xf numFmtId="3" fontId="0" fillId="11" borderId="31" xfId="0" applyNumberFormat="1" applyFill="1" applyBorder="1" applyAlignment="1">
      <alignment wrapText="1"/>
    </xf>
    <xf numFmtId="2" fontId="1" fillId="2" borderId="0" xfId="0" applyNumberFormat="1" applyFont="1" applyFill="1"/>
    <xf numFmtId="164" fontId="1" fillId="5" borderId="3" xfId="0" applyNumberFormat="1" applyFont="1" applyFill="1" applyBorder="1"/>
    <xf numFmtId="0" fontId="11" fillId="2" borderId="0" xfId="0" applyFont="1" applyFill="1"/>
    <xf numFmtId="164" fontId="1" fillId="2" borderId="0" xfId="0" applyNumberFormat="1" applyFont="1" applyFill="1"/>
    <xf numFmtId="164" fontId="1" fillId="6" borderId="30" xfId="0" applyNumberFormat="1" applyFont="1" applyFill="1" applyBorder="1" applyAlignment="1">
      <alignment wrapText="1"/>
    </xf>
    <xf numFmtId="10" fontId="28" fillId="2" borderId="0" xfId="0" applyNumberFormat="1" applyFont="1" applyFill="1"/>
    <xf numFmtId="4" fontId="0" fillId="2" borderId="4" xfId="0" applyNumberFormat="1" applyFill="1" applyBorder="1"/>
    <xf numFmtId="10" fontId="1" fillId="12" borderId="29" xfId="0" applyNumberFormat="1" applyFont="1" applyFill="1" applyBorder="1"/>
    <xf numFmtId="10" fontId="31" fillId="13" borderId="29" xfId="0" applyNumberFormat="1" applyFont="1" applyFill="1" applyBorder="1"/>
    <xf numFmtId="0" fontId="0" fillId="2" borderId="32" xfId="0" applyFill="1" applyBorder="1" applyAlignment="1">
      <alignment horizontal="center"/>
    </xf>
    <xf numFmtId="164" fontId="1" fillId="5" borderId="29" xfId="0" applyNumberFormat="1" applyFont="1" applyFill="1" applyBorder="1"/>
    <xf numFmtId="10" fontId="29" fillId="2" borderId="29" xfId="0" applyNumberFormat="1" applyFont="1" applyFill="1" applyBorder="1"/>
    <xf numFmtId="0" fontId="31" fillId="14" borderId="25" xfId="0" applyFont="1" applyFill="1" applyBorder="1"/>
    <xf numFmtId="0" fontId="31" fillId="14" borderId="0" xfId="0" applyFont="1" applyFill="1"/>
    <xf numFmtId="0" fontId="30" fillId="14" borderId="0" xfId="0" applyFont="1" applyFill="1"/>
    <xf numFmtId="164" fontId="31" fillId="14" borderId="0" xfId="0" applyNumberFormat="1" applyFont="1" applyFill="1"/>
    <xf numFmtId="0" fontId="8" fillId="0" borderId="0" xfId="0" applyFont="1"/>
    <xf numFmtId="3" fontId="5" fillId="0" borderId="0" xfId="0" applyNumberFormat="1" applyFont="1"/>
    <xf numFmtId="3" fontId="8" fillId="0" borderId="0" xfId="0" applyNumberFormat="1" applyFont="1"/>
    <xf numFmtId="10" fontId="2" fillId="0" borderId="25" xfId="0" applyNumberFormat="1" applyFont="1" applyBorder="1"/>
    <xf numFmtId="10" fontId="25" fillId="6" borderId="0" xfId="0" applyNumberFormat="1" applyFont="1" applyFill="1"/>
    <xf numFmtId="0" fontId="1" fillId="0" borderId="33" xfId="0" applyFont="1" applyBorder="1"/>
    <xf numFmtId="0" fontId="1" fillId="0" borderId="38" xfId="0" applyFont="1" applyBorder="1"/>
    <xf numFmtId="0" fontId="0" fillId="0" borderId="34" xfId="0" applyBorder="1"/>
    <xf numFmtId="0" fontId="0" fillId="0" borderId="39" xfId="0" applyBorder="1"/>
    <xf numFmtId="10" fontId="1" fillId="0" borderId="0" xfId="0" applyNumberFormat="1" applyFont="1" applyAlignment="1">
      <alignment horizontal="center"/>
    </xf>
    <xf numFmtId="2" fontId="1" fillId="0" borderId="0" xfId="0" applyNumberFormat="1" applyFont="1" applyAlignment="1">
      <alignment horizontal="center"/>
    </xf>
    <xf numFmtId="10" fontId="22" fillId="0" borderId="0" xfId="0" applyNumberFormat="1" applyFont="1" applyAlignment="1">
      <alignment horizontal="center"/>
    </xf>
    <xf numFmtId="10" fontId="16" fillId="0" borderId="0" xfId="0" applyNumberFormat="1" applyFont="1" applyAlignment="1">
      <alignment horizontal="center"/>
    </xf>
    <xf numFmtId="3" fontId="32" fillId="0" borderId="0" xfId="0" applyNumberFormat="1" applyFont="1" applyAlignment="1">
      <alignment horizontal="center"/>
    </xf>
    <xf numFmtId="0" fontId="1" fillId="0" borderId="35" xfId="0" applyFont="1" applyBorder="1"/>
    <xf numFmtId="0" fontId="0" fillId="0" borderId="36" xfId="0" applyBorder="1" applyAlignment="1">
      <alignment horizontal="center"/>
    </xf>
    <xf numFmtId="10" fontId="0" fillId="0" borderId="34" xfId="0" applyNumberFormat="1" applyBorder="1" applyAlignment="1">
      <alignment horizontal="center"/>
    </xf>
    <xf numFmtId="10" fontId="22" fillId="0" borderId="34" xfId="0" applyNumberFormat="1" applyFont="1" applyBorder="1" applyAlignment="1">
      <alignment horizontal="center"/>
    </xf>
    <xf numFmtId="10" fontId="16" fillId="0" borderId="34" xfId="0" applyNumberFormat="1" applyFont="1" applyBorder="1" applyAlignment="1">
      <alignment horizontal="center"/>
    </xf>
    <xf numFmtId="3" fontId="32" fillId="0" borderId="34" xfId="0" applyNumberFormat="1" applyFont="1" applyBorder="1" applyAlignment="1">
      <alignment horizontal="center"/>
    </xf>
    <xf numFmtId="10" fontId="0" fillId="0" borderId="37" xfId="0" applyNumberFormat="1" applyBorder="1" applyAlignment="1">
      <alignment horizontal="center"/>
    </xf>
    <xf numFmtId="0" fontId="0" fillId="0" borderId="40" xfId="0" applyBorder="1"/>
    <xf numFmtId="4" fontId="22" fillId="0" borderId="0" xfId="0" applyNumberFormat="1" applyFont="1" applyAlignment="1">
      <alignment horizontal="center"/>
    </xf>
    <xf numFmtId="0" fontId="31" fillId="0" borderId="0" xfId="0" applyFont="1" applyAlignment="1">
      <alignment horizontal="center"/>
    </xf>
    <xf numFmtId="0" fontId="31" fillId="6" borderId="0" xfId="0" applyFont="1" applyFill="1" applyAlignment="1">
      <alignment horizontal="center"/>
    </xf>
    <xf numFmtId="0" fontId="1" fillId="0" borderId="41" xfId="0" applyFont="1" applyBorder="1" applyAlignment="1">
      <alignment horizontal="center"/>
    </xf>
    <xf numFmtId="0" fontId="31" fillId="0" borderId="25" xfId="0" applyFont="1" applyBorder="1" applyAlignment="1">
      <alignment horizontal="center"/>
    </xf>
    <xf numFmtId="10" fontId="2" fillId="6" borderId="0" xfId="0" applyNumberFormat="1" applyFont="1" applyFill="1"/>
    <xf numFmtId="10" fontId="34" fillId="6" borderId="0" xfId="0" applyNumberFormat="1" applyFont="1" applyFill="1"/>
    <xf numFmtId="10" fontId="2" fillId="6" borderId="25" xfId="0" applyNumberFormat="1" applyFont="1" applyFill="1" applyBorder="1"/>
    <xf numFmtId="0" fontId="1" fillId="2" borderId="0" xfId="0" applyFont="1" applyFill="1" applyAlignment="1">
      <alignment horizontal="center" vertical="center"/>
    </xf>
    <xf numFmtId="0" fontId="0" fillId="0" borderId="4" xfId="0" applyBorder="1"/>
    <xf numFmtId="0" fontId="0" fillId="0" borderId="4" xfId="0" applyBorder="1" applyAlignment="1">
      <alignment horizontal="center" vertical="center"/>
    </xf>
    <xf numFmtId="0" fontId="0" fillId="3" borderId="4" xfId="0" applyFill="1" applyBorder="1" applyAlignment="1">
      <alignment horizontal="center" vertical="center"/>
    </xf>
    <xf numFmtId="0" fontId="0" fillId="0" borderId="23" xfId="0" applyBorder="1"/>
    <xf numFmtId="10" fontId="38" fillId="6" borderId="4" xfId="0" applyNumberFormat="1" applyFont="1" applyFill="1" applyBorder="1"/>
    <xf numFmtId="10" fontId="37" fillId="6" borderId="23" xfId="0" applyNumberFormat="1" applyFont="1" applyFill="1" applyBorder="1"/>
    <xf numFmtId="0" fontId="37" fillId="0" borderId="0" xfId="0" applyFont="1"/>
    <xf numFmtId="10" fontId="37" fillId="6" borderId="0" xfId="0" applyNumberFormat="1" applyFont="1" applyFill="1"/>
    <xf numFmtId="0" fontId="1" fillId="0" borderId="29" xfId="0" applyFont="1" applyBorder="1"/>
    <xf numFmtId="0" fontId="0" fillId="4" borderId="0" xfId="0" applyFill="1" applyAlignment="1">
      <alignment horizontal="center" vertical="center"/>
    </xf>
    <xf numFmtId="3" fontId="0" fillId="4" borderId="0" xfId="0" applyNumberFormat="1" applyFill="1" applyAlignment="1">
      <alignment horizontal="center" vertical="center"/>
    </xf>
    <xf numFmtId="0" fontId="1" fillId="4" borderId="0" xfId="0" applyFont="1" applyFill="1" applyAlignment="1">
      <alignment horizontal="center" vertical="center"/>
    </xf>
    <xf numFmtId="0" fontId="0" fillId="6" borderId="4" xfId="0" applyFill="1" applyBorder="1" applyAlignment="1">
      <alignment horizontal="center" vertical="center"/>
    </xf>
    <xf numFmtId="10" fontId="0" fillId="4" borderId="0" xfId="0" applyNumberFormat="1" applyFill="1" applyAlignment="1">
      <alignment horizontal="center" vertical="center"/>
    </xf>
    <xf numFmtId="4" fontId="0" fillId="4" borderId="0" xfId="0" applyNumberFormat="1" applyFill="1" applyAlignment="1">
      <alignment horizontal="center" vertical="center"/>
    </xf>
    <xf numFmtId="2" fontId="0" fillId="0" borderId="4" xfId="0" applyNumberFormat="1" applyBorder="1" applyAlignment="1">
      <alignment horizontal="center" vertical="center"/>
    </xf>
    <xf numFmtId="3" fontId="0" fillId="0" borderId="4" xfId="0" applyNumberFormat="1" applyBorder="1" applyAlignment="1">
      <alignment horizontal="center" vertical="center"/>
    </xf>
    <xf numFmtId="3" fontId="0" fillId="3" borderId="4" xfId="0" applyNumberFormat="1" applyFill="1" applyBorder="1" applyAlignment="1">
      <alignment horizontal="center" vertical="center"/>
    </xf>
    <xf numFmtId="10" fontId="0" fillId="0" borderId="4" xfId="0" applyNumberFormat="1" applyBorder="1" applyAlignment="1">
      <alignment horizontal="center" vertical="center"/>
    </xf>
    <xf numFmtId="10" fontId="0" fillId="3" borderId="4" xfId="0" applyNumberFormat="1" applyFill="1" applyBorder="1" applyAlignment="1">
      <alignment horizontal="center" vertical="center"/>
    </xf>
    <xf numFmtId="2" fontId="0" fillId="3" borderId="4" xfId="0" applyNumberFormat="1" applyFill="1" applyBorder="1" applyAlignment="1">
      <alignment horizontal="center" vertical="center"/>
    </xf>
    <xf numFmtId="10" fontId="0" fillId="3" borderId="4" xfId="0" applyNumberFormat="1" applyFill="1" applyBorder="1" applyAlignment="1">
      <alignment horizontal="center" vertical="center" wrapText="1"/>
    </xf>
    <xf numFmtId="0" fontId="1" fillId="7" borderId="4" xfId="0" applyFont="1" applyFill="1" applyBorder="1" applyAlignment="1">
      <alignment horizontal="center" vertical="center"/>
    </xf>
    <xf numFmtId="0" fontId="0" fillId="7" borderId="4" xfId="0" applyFill="1" applyBorder="1" applyAlignment="1">
      <alignment horizontal="center" vertical="center"/>
    </xf>
    <xf numFmtId="0" fontId="1" fillId="7" borderId="3" xfId="0" applyFont="1" applyFill="1" applyBorder="1" applyAlignment="1">
      <alignment horizontal="center" vertical="center"/>
    </xf>
    <xf numFmtId="0" fontId="0" fillId="7" borderId="3" xfId="0" applyFill="1" applyBorder="1" applyAlignment="1">
      <alignment horizontal="center" vertical="center"/>
    </xf>
    <xf numFmtId="3" fontId="0" fillId="6" borderId="4" xfId="0" applyNumberFormat="1" applyFill="1" applyBorder="1" applyAlignment="1">
      <alignment horizontal="center" vertical="center"/>
    </xf>
    <xf numFmtId="10" fontId="0" fillId="6" borderId="4" xfId="0" applyNumberFormat="1" applyFill="1" applyBorder="1" applyAlignment="1">
      <alignment horizontal="center" vertical="center"/>
    </xf>
    <xf numFmtId="2" fontId="0" fillId="6" borderId="4" xfId="0" applyNumberFormat="1" applyFill="1" applyBorder="1" applyAlignment="1">
      <alignment horizontal="center" vertical="center"/>
    </xf>
    <xf numFmtId="10" fontId="0" fillId="0" borderId="4" xfId="0" applyNumberFormat="1" applyBorder="1" applyAlignment="1">
      <alignment horizontal="center" vertical="center" wrapText="1"/>
    </xf>
    <xf numFmtId="3" fontId="0" fillId="7" borderId="4" xfId="0" applyNumberFormat="1" applyFill="1" applyBorder="1" applyAlignment="1">
      <alignment horizontal="center" vertical="center"/>
    </xf>
    <xf numFmtId="3" fontId="0" fillId="7" borderId="3" xfId="0" applyNumberFormat="1" applyFill="1" applyBorder="1" applyAlignment="1">
      <alignment horizontal="center" vertical="center"/>
    </xf>
    <xf numFmtId="0" fontId="15" fillId="0" borderId="0" xfId="0" applyFont="1"/>
    <xf numFmtId="10" fontId="38" fillId="6" borderId="0" xfId="0" applyNumberFormat="1" applyFont="1" applyFill="1"/>
    <xf numFmtId="0" fontId="15" fillId="0" borderId="26" xfId="0" applyFont="1" applyBorder="1"/>
    <xf numFmtId="0" fontId="33" fillId="0" borderId="25" xfId="0" applyFont="1" applyBorder="1"/>
    <xf numFmtId="0" fontId="37" fillId="0" borderId="27" xfId="0" applyFont="1" applyBorder="1"/>
    <xf numFmtId="10" fontId="38" fillId="6" borderId="31" xfId="0" applyNumberFormat="1" applyFont="1" applyFill="1" applyBorder="1"/>
    <xf numFmtId="10" fontId="37" fillId="6" borderId="43" xfId="0" applyNumberFormat="1" applyFont="1" applyFill="1" applyBorder="1"/>
    <xf numFmtId="0" fontId="39" fillId="0" borderId="0" xfId="0" applyFont="1"/>
    <xf numFmtId="10" fontId="33" fillId="6" borderId="0" xfId="0" applyNumberFormat="1" applyFont="1" applyFill="1"/>
    <xf numFmtId="10" fontId="39" fillId="6" borderId="0" xfId="0" applyNumberFormat="1" applyFont="1" applyFill="1"/>
    <xf numFmtId="10" fontId="39" fillId="6" borderId="42" xfId="0" applyNumberFormat="1" applyFont="1" applyFill="1" applyBorder="1"/>
    <xf numFmtId="0" fontId="40" fillId="0" borderId="29" xfId="0" applyFont="1" applyBorder="1" applyAlignment="1">
      <alignment horizontal="left"/>
    </xf>
    <xf numFmtId="0" fontId="1" fillId="0" borderId="29" xfId="0" applyFont="1" applyBorder="1" applyAlignment="1">
      <alignment horizontal="center" vertical="center"/>
    </xf>
    <xf numFmtId="3" fontId="5" fillId="0" borderId="25" xfId="0" applyNumberFormat="1" applyFont="1" applyBorder="1"/>
    <xf numFmtId="10" fontId="1" fillId="7" borderId="4" xfId="0" applyNumberFormat="1" applyFont="1" applyFill="1" applyBorder="1" applyAlignment="1">
      <alignment horizontal="center" vertical="center"/>
    </xf>
    <xf numFmtId="2" fontId="1" fillId="7" borderId="4" xfId="0" applyNumberFormat="1" applyFont="1" applyFill="1" applyBorder="1" applyAlignment="1">
      <alignment horizontal="center" vertical="center"/>
    </xf>
    <xf numFmtId="10" fontId="1" fillId="7" borderId="3" xfId="0" applyNumberFormat="1" applyFont="1" applyFill="1" applyBorder="1" applyAlignment="1">
      <alignment horizontal="center" vertical="center"/>
    </xf>
    <xf numFmtId="4" fontId="1" fillId="7" borderId="3" xfId="0" applyNumberFormat="1" applyFont="1" applyFill="1" applyBorder="1" applyAlignment="1">
      <alignment horizontal="center" vertical="center"/>
    </xf>
    <xf numFmtId="0" fontId="25" fillId="0" borderId="0" xfId="0" applyFont="1"/>
    <xf numFmtId="10" fontId="28" fillId="6" borderId="0" xfId="0" applyNumberFormat="1" applyFont="1" applyFill="1"/>
    <xf numFmtId="10" fontId="28" fillId="6" borderId="25" xfId="0" applyNumberFormat="1" applyFont="1" applyFill="1" applyBorder="1"/>
    <xf numFmtId="0" fontId="1" fillId="3" borderId="0" xfId="0" applyFont="1" applyFill="1"/>
    <xf numFmtId="2" fontId="0" fillId="3" borderId="0" xfId="0" applyNumberFormat="1" applyFill="1"/>
    <xf numFmtId="2" fontId="1" fillId="3" borderId="0" xfId="0" applyNumberFormat="1" applyFont="1" applyFill="1"/>
    <xf numFmtId="0" fontId="0" fillId="3" borderId="0" xfId="0" applyFill="1"/>
    <xf numFmtId="2" fontId="22" fillId="3" borderId="25" xfId="0" applyNumberFormat="1" applyFont="1" applyFill="1" applyBorder="1"/>
    <xf numFmtId="2" fontId="22" fillId="3" borderId="0" xfId="0" applyNumberFormat="1" applyFont="1" applyFill="1"/>
    <xf numFmtId="2" fontId="8" fillId="3" borderId="0" xfId="0" applyNumberFormat="1" applyFont="1" applyFill="1"/>
    <xf numFmtId="2" fontId="36" fillId="3" borderId="0" xfId="0" applyNumberFormat="1" applyFont="1" applyFill="1"/>
    <xf numFmtId="0" fontId="2" fillId="3" borderId="0" xfId="0" applyFont="1" applyFill="1"/>
    <xf numFmtId="10" fontId="2" fillId="3" borderId="0" xfId="0" applyNumberFormat="1" applyFont="1" applyFill="1"/>
    <xf numFmtId="10" fontId="34" fillId="3" borderId="0" xfId="0" applyNumberFormat="1" applyFont="1" applyFill="1"/>
    <xf numFmtId="10" fontId="2" fillId="3" borderId="25" xfId="0" applyNumberFormat="1" applyFont="1" applyFill="1" applyBorder="1"/>
    <xf numFmtId="10" fontId="35" fillId="3" borderId="0" xfId="0" applyNumberFormat="1" applyFont="1" applyFill="1"/>
    <xf numFmtId="3" fontId="0" fillId="3" borderId="0" xfId="0" applyNumberFormat="1" applyFill="1"/>
    <xf numFmtId="0" fontId="8" fillId="3" borderId="0" xfId="0" applyFont="1" applyFill="1"/>
    <xf numFmtId="2" fontId="0" fillId="5" borderId="0" xfId="0" applyNumberFormat="1" applyFill="1"/>
    <xf numFmtId="2" fontId="1" fillId="5" borderId="0" xfId="0" applyNumberFormat="1" applyFont="1" applyFill="1"/>
    <xf numFmtId="0" fontId="2" fillId="5" borderId="0" xfId="0" applyFont="1" applyFill="1"/>
    <xf numFmtId="10" fontId="41" fillId="5" borderId="0" xfId="0" applyNumberFormat="1" applyFont="1" applyFill="1"/>
    <xf numFmtId="2" fontId="0" fillId="5" borderId="25" xfId="0" applyNumberFormat="1" applyFill="1" applyBorder="1"/>
    <xf numFmtId="10" fontId="41" fillId="5" borderId="25" xfId="0" applyNumberFormat="1" applyFont="1" applyFill="1" applyBorder="1"/>
    <xf numFmtId="0" fontId="0" fillId="0" borderId="0" xfId="0" applyAlignment="1">
      <alignment horizontal="left"/>
    </xf>
    <xf numFmtId="0" fontId="42" fillId="0" borderId="0" xfId="0" applyFont="1"/>
    <xf numFmtId="2" fontId="0" fillId="0" borderId="0" xfId="0" applyNumberFormat="1" applyAlignment="1">
      <alignment horizontal="left"/>
    </xf>
    <xf numFmtId="0" fontId="1" fillId="0" borderId="5" xfId="0" applyFont="1" applyBorder="1"/>
    <xf numFmtId="0" fontId="43" fillId="0" borderId="0" xfId="0" applyFont="1"/>
    <xf numFmtId="0" fontId="1" fillId="5" borderId="28" xfId="0" applyFont="1" applyFill="1" applyBorder="1"/>
    <xf numFmtId="0" fontId="0" fillId="5" borderId="3" xfId="0" applyFill="1" applyBorder="1"/>
    <xf numFmtId="0" fontId="1" fillId="7" borderId="28" xfId="0" applyFont="1" applyFill="1" applyBorder="1"/>
    <xf numFmtId="0" fontId="0" fillId="7" borderId="3" xfId="0" applyFill="1" applyBorder="1"/>
    <xf numFmtId="0" fontId="44" fillId="0" borderId="44" xfId="0" applyFont="1" applyBorder="1" applyAlignment="1">
      <alignment horizontal="center"/>
    </xf>
    <xf numFmtId="164" fontId="0" fillId="0" borderId="29" xfId="0" applyNumberFormat="1" applyBorder="1"/>
    <xf numFmtId="164" fontId="1" fillId="5" borderId="30" xfId="0" applyNumberFormat="1" applyFont="1" applyFill="1" applyBorder="1"/>
    <xf numFmtId="164" fontId="1" fillId="7" borderId="30" xfId="0" applyNumberFormat="1" applyFont="1" applyFill="1" applyBorder="1"/>
    <xf numFmtId="0" fontId="1" fillId="4" borderId="0" xfId="0" applyFont="1" applyFill="1" applyAlignment="1">
      <alignment horizontal="center"/>
    </xf>
    <xf numFmtId="0" fontId="1" fillId="4" borderId="38" xfId="0" applyFont="1" applyFill="1" applyBorder="1" applyAlignment="1">
      <alignment horizontal="center"/>
    </xf>
    <xf numFmtId="0" fontId="1" fillId="4" borderId="39" xfId="0" applyFont="1" applyFill="1" applyBorder="1" applyAlignment="1">
      <alignment horizontal="center"/>
    </xf>
    <xf numFmtId="0" fontId="1" fillId="4" borderId="40" xfId="0" applyFont="1" applyFill="1" applyBorder="1" applyAlignment="1">
      <alignment horizontal="center"/>
    </xf>
    <xf numFmtId="0" fontId="1" fillId="10" borderId="0" xfId="0" applyFont="1" applyFill="1" applyAlignment="1">
      <alignment horizontal="center" vertical="center"/>
    </xf>
    <xf numFmtId="0" fontId="1" fillId="5" borderId="0" xfId="0" applyFont="1" applyFill="1" applyAlignment="1">
      <alignment horizontal="center" vertical="center"/>
    </xf>
  </cellXfs>
  <cellStyles count="1">
    <cellStyle name="Normal" xfId="0" builtinId="0"/>
  </cellStyles>
  <dxfs count="3">
    <dxf>
      <font>
        <color rgb="FF9C0006"/>
      </font>
      <fill>
        <patternFill>
          <bgColor rgb="FFFFC7CE"/>
        </patternFill>
      </fill>
    </dxf>
    <dxf>
      <font>
        <color theme="9" tint="-0.499984740745262"/>
      </font>
      <fill>
        <patternFill patternType="solid">
          <bgColor rgb="FF92D050"/>
        </patternFill>
      </fill>
    </dxf>
    <dxf>
      <font>
        <color theme="9" tint="-0.499984740745262"/>
      </font>
      <fill>
        <patternFill patternType="solid">
          <bgColor rgb="FF92D050"/>
        </patternFill>
      </fill>
    </dxf>
  </dxfs>
  <tableStyles count="0" defaultTableStyle="TableStyleMedium2" defaultPivotStyle="PivotStyleLight16"/>
  <colors>
    <mruColors>
      <color rgb="FFE7F2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EPS Estimates y/y</a:t>
            </a:r>
          </a:p>
        </c:rich>
      </c:tx>
      <c:overlay val="0"/>
      <c:spPr>
        <a:noFill/>
        <a:ln w="25400">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Reported</c:v>
          </c:tx>
          <c:spPr>
            <a:solidFill>
              <a:srgbClr val="E97132"/>
            </a:solidFill>
            <a:ln>
              <a:noFill/>
            </a:ln>
            <a:effectLst/>
          </c:spPr>
          <c:invertIfNegative val="0"/>
          <c:dPt>
            <c:idx val="3"/>
            <c:invertIfNegative val="0"/>
            <c:bubble3D val="0"/>
            <c:spPr>
              <a:solidFill>
                <a:srgbClr val="215C98"/>
              </a:solidFill>
              <a:ln>
                <a:noFill/>
              </a:ln>
              <a:effectLst/>
            </c:spPr>
            <c:extLst>
              <c:ext xmlns:c16="http://schemas.microsoft.com/office/drawing/2014/chart" uri="{C3380CC4-5D6E-409C-BE32-E72D297353CC}">
                <c16:uniqueId val="{00000001-0593-492F-B151-B5644E22D4D4}"/>
              </c:ext>
            </c:extLst>
          </c:dPt>
          <c:dPt>
            <c:idx val="4"/>
            <c:invertIfNegative val="0"/>
            <c:bubble3D val="0"/>
            <c:spPr>
              <a:solidFill>
                <a:srgbClr val="215C98"/>
              </a:solidFill>
              <a:ln>
                <a:noFill/>
              </a:ln>
              <a:effectLst/>
            </c:spPr>
            <c:extLst>
              <c:ext xmlns:c16="http://schemas.microsoft.com/office/drawing/2014/chart" uri="{C3380CC4-5D6E-409C-BE32-E72D297353CC}">
                <c16:uniqueId val="{00000003-0593-492F-B151-B5644E22D4D4}"/>
              </c:ext>
            </c:extLst>
          </c:dPt>
          <c:dPt>
            <c:idx val="5"/>
            <c:invertIfNegative val="0"/>
            <c:bubble3D val="0"/>
            <c:spPr>
              <a:solidFill>
                <a:srgbClr val="215C98"/>
              </a:solidFill>
              <a:ln>
                <a:noFill/>
              </a:ln>
              <a:effectLst/>
            </c:spPr>
            <c:extLst>
              <c:ext xmlns:c16="http://schemas.microsoft.com/office/drawing/2014/chart" uri="{C3380CC4-5D6E-409C-BE32-E72D297353CC}">
                <c16:uniqueId val="{00000005-0593-492F-B151-B5644E22D4D4}"/>
              </c:ext>
            </c:extLst>
          </c:dPt>
          <c:cat>
            <c:strRef>
              <c:f>(EPS!$F$3,EPS!$K$3,EPS!$P$3,EPS!$U$3,EPS!$Z$3:$AA$3)</c:f>
              <c:strCache>
                <c:ptCount val="6"/>
                <c:pt idx="0">
                  <c:v>FY 21</c:v>
                </c:pt>
                <c:pt idx="1">
                  <c:v>FY 22</c:v>
                </c:pt>
                <c:pt idx="2">
                  <c:v>FY 23</c:v>
                </c:pt>
                <c:pt idx="3">
                  <c:v>FY 24 E</c:v>
                </c:pt>
                <c:pt idx="4">
                  <c:v>FY 25 E</c:v>
                </c:pt>
                <c:pt idx="5">
                  <c:v>FY 26 E</c:v>
                </c:pt>
              </c:strCache>
            </c:strRef>
          </c:cat>
          <c:val>
            <c:numRef>
              <c:f>(EPS!$F$5,EPS!$K$5,EPS!$P$5,EPS!$U$5,EPS!$Z$5:$AA$5)</c:f>
              <c:numCache>
                <c:formatCode>0.00</c:formatCode>
                <c:ptCount val="6"/>
                <c:pt idx="0">
                  <c:v>4.7291541768179908</c:v>
                </c:pt>
                <c:pt idx="1">
                  <c:v>2.3819217409072335</c:v>
                </c:pt>
                <c:pt idx="2">
                  <c:v>3.4929858693426175</c:v>
                </c:pt>
                <c:pt idx="3">
                  <c:v>4.0200000000000005</c:v>
                </c:pt>
                <c:pt idx="4">
                  <c:v>4.67</c:v>
                </c:pt>
                <c:pt idx="5">
                  <c:v>5.3998494859451354</c:v>
                </c:pt>
              </c:numCache>
            </c:numRef>
          </c:val>
          <c:extLst>
            <c:ext xmlns:c16="http://schemas.microsoft.com/office/drawing/2014/chart" uri="{C3380CC4-5D6E-409C-BE32-E72D297353CC}">
              <c16:uniqueId val="{00000006-0593-492F-B151-B5644E22D4D4}"/>
            </c:ext>
          </c:extLst>
        </c:ser>
        <c:ser>
          <c:idx val="0"/>
          <c:order val="1"/>
          <c:tx>
            <c:v>Estimates</c:v>
          </c:tx>
          <c:spPr>
            <a:solidFill>
              <a:srgbClr val="156082"/>
            </a:solidFill>
            <a:ln>
              <a:noFill/>
            </a:ln>
            <a:effectLst/>
          </c:spPr>
          <c:invertIfNegative val="0"/>
          <c:cat>
            <c:strRef>
              <c:f>(EPS!$F$3,EPS!$K$3,EPS!$P$3,EPS!$U$3,EPS!$Z$3:$AA$3)</c:f>
              <c:strCache>
                <c:ptCount val="6"/>
                <c:pt idx="0">
                  <c:v>FY 21</c:v>
                </c:pt>
                <c:pt idx="1">
                  <c:v>FY 22</c:v>
                </c:pt>
                <c:pt idx="2">
                  <c:v>FY 23</c:v>
                </c:pt>
                <c:pt idx="3">
                  <c:v>FY 24 E</c:v>
                </c:pt>
                <c:pt idx="4">
                  <c:v>FY 25 E</c:v>
                </c:pt>
                <c:pt idx="5">
                  <c:v>FY 26 E</c:v>
                </c:pt>
              </c:strCache>
            </c:strRef>
          </c:cat>
          <c:val>
            <c:numRef>
              <c:f>(EPS!$F$4,EPS!$K$4,EPS!$P$4,EPS!$U$4,EPS!$Z$4:$AA$4)</c:f>
              <c:numCache>
                <c:formatCode>General</c:formatCode>
                <c:ptCount val="6"/>
              </c:numCache>
            </c:numRef>
          </c:val>
          <c:extLst>
            <c:ext xmlns:c16="http://schemas.microsoft.com/office/drawing/2014/chart" uri="{C3380CC4-5D6E-409C-BE32-E72D297353CC}">
              <c16:uniqueId val="{00000007-0593-492F-B151-B5644E22D4D4}"/>
            </c:ext>
          </c:extLst>
        </c:ser>
        <c:dLbls>
          <c:showLegendKey val="0"/>
          <c:showVal val="0"/>
          <c:showCatName val="0"/>
          <c:showSerName val="0"/>
          <c:showPercent val="0"/>
          <c:showBubbleSize val="0"/>
        </c:dLbls>
        <c:gapWidth val="118"/>
        <c:overlap val="-27"/>
        <c:axId val="655450632"/>
        <c:axId val="622411784"/>
      </c:barChart>
      <c:catAx>
        <c:axId val="65545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11784"/>
        <c:crosses val="autoZero"/>
        <c:auto val="1"/>
        <c:lblAlgn val="ctr"/>
        <c:lblOffset val="100"/>
        <c:noMultiLvlLbl val="0"/>
      </c:catAx>
      <c:valAx>
        <c:axId val="6224117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50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Domestic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IS!$A$54</c:f>
              <c:strCache>
                <c:ptCount val="1"/>
                <c:pt idx="0">
                  <c:v>Domestic Wholesale</c:v>
                </c:pt>
              </c:strCache>
            </c:strRef>
          </c:tx>
          <c:spPr>
            <a:solidFill>
              <a:schemeClr val="accent1"/>
            </a:solidFill>
            <a:ln>
              <a:noFill/>
            </a:ln>
            <a:effectLst/>
          </c:spPr>
          <c:invertIfNegative val="0"/>
          <c:cat>
            <c:strRef>
              <c:f>(IS!$F$4,IS!$K$4,IS!$P$4)</c:f>
              <c:strCache>
                <c:ptCount val="3"/>
                <c:pt idx="0">
                  <c:v>FY 21</c:v>
                </c:pt>
                <c:pt idx="1">
                  <c:v>FY 22</c:v>
                </c:pt>
                <c:pt idx="2">
                  <c:v>FY 23</c:v>
                </c:pt>
              </c:strCache>
            </c:strRef>
          </c:cat>
          <c:val>
            <c:numRef>
              <c:f>(IS!$F$54,IS!$K$54,IS!$P$54)</c:f>
              <c:numCache>
                <c:formatCode>#,##0</c:formatCode>
                <c:ptCount val="3"/>
                <c:pt idx="0">
                  <c:v>1438038</c:v>
                </c:pt>
                <c:pt idx="1">
                  <c:v>1831642</c:v>
                </c:pt>
                <c:pt idx="2">
                  <c:v>1567806</c:v>
                </c:pt>
              </c:numCache>
            </c:numRef>
          </c:val>
          <c:extLst>
            <c:ext xmlns:c16="http://schemas.microsoft.com/office/drawing/2014/chart" uri="{C3380CC4-5D6E-409C-BE32-E72D297353CC}">
              <c16:uniqueId val="{00000000-9888-415B-AB07-8774ECFA4A65}"/>
            </c:ext>
          </c:extLst>
        </c:ser>
        <c:ser>
          <c:idx val="1"/>
          <c:order val="1"/>
          <c:tx>
            <c:strRef>
              <c:f>IS!$A$55</c:f>
              <c:strCache>
                <c:ptCount val="1"/>
                <c:pt idx="0">
                  <c:v>Domestic Direct-to-Consumer</c:v>
                </c:pt>
              </c:strCache>
            </c:strRef>
          </c:tx>
          <c:spPr>
            <a:solidFill>
              <a:schemeClr val="accent2"/>
            </a:solidFill>
            <a:ln>
              <a:noFill/>
            </a:ln>
            <a:effectLst/>
          </c:spPr>
          <c:invertIfNegative val="0"/>
          <c:cat>
            <c:strRef>
              <c:f>(IS!$F$4,IS!$K$4,IS!$P$4)</c:f>
              <c:strCache>
                <c:ptCount val="3"/>
                <c:pt idx="0">
                  <c:v>FY 21</c:v>
                </c:pt>
                <c:pt idx="1">
                  <c:v>FY 22</c:v>
                </c:pt>
                <c:pt idx="2">
                  <c:v>FY 23</c:v>
                </c:pt>
              </c:strCache>
            </c:strRef>
          </c:cat>
          <c:val>
            <c:numRef>
              <c:f>(IS!$F$55,IS!$K$55,IS!$P$55)</c:f>
              <c:numCache>
                <c:formatCode>#,##0</c:formatCode>
                <c:ptCount val="3"/>
                <c:pt idx="0">
                  <c:v>910756</c:v>
                </c:pt>
                <c:pt idx="1">
                  <c:v>1243511</c:v>
                </c:pt>
                <c:pt idx="2">
                  <c:v>1482392</c:v>
                </c:pt>
              </c:numCache>
            </c:numRef>
          </c:val>
          <c:extLst>
            <c:ext xmlns:c16="http://schemas.microsoft.com/office/drawing/2014/chart" uri="{C3380CC4-5D6E-409C-BE32-E72D297353CC}">
              <c16:uniqueId val="{00000001-9888-415B-AB07-8774ECFA4A65}"/>
            </c:ext>
          </c:extLst>
        </c:ser>
        <c:dLbls>
          <c:showLegendKey val="0"/>
          <c:showVal val="0"/>
          <c:showCatName val="0"/>
          <c:showSerName val="0"/>
          <c:showPercent val="0"/>
          <c:showBubbleSize val="0"/>
        </c:dLbls>
        <c:gapWidth val="150"/>
        <c:overlap val="100"/>
        <c:axId val="318874632"/>
        <c:axId val="318876680"/>
      </c:barChart>
      <c:catAx>
        <c:axId val="31887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76680"/>
        <c:crosses val="autoZero"/>
        <c:auto val="1"/>
        <c:lblAlgn val="ctr"/>
        <c:lblOffset val="100"/>
        <c:noMultiLvlLbl val="0"/>
      </c:catAx>
      <c:valAx>
        <c:axId val="318876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International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IS!$A$59</c:f>
              <c:strCache>
                <c:ptCount val="1"/>
                <c:pt idx="0">
                  <c:v>International Wholesale</c:v>
                </c:pt>
              </c:strCache>
            </c:strRef>
          </c:tx>
          <c:spPr>
            <a:solidFill>
              <a:schemeClr val="accent1"/>
            </a:solidFill>
            <a:ln>
              <a:noFill/>
            </a:ln>
            <a:effectLst/>
          </c:spPr>
          <c:invertIfNegative val="0"/>
          <c:cat>
            <c:strRef>
              <c:f>(IS!$F$4,IS!$K$4,IS!$P$4)</c:f>
              <c:strCache>
                <c:ptCount val="3"/>
                <c:pt idx="0">
                  <c:v>FY 21</c:v>
                </c:pt>
                <c:pt idx="1">
                  <c:v>FY 22</c:v>
                </c:pt>
                <c:pt idx="2">
                  <c:v>FY 23</c:v>
                </c:pt>
              </c:strCache>
            </c:strRef>
          </c:cat>
          <c:val>
            <c:numRef>
              <c:f>(IS!$F$59,IS!$K$59,IS!$P$59)</c:f>
              <c:numCache>
                <c:formatCode>#,##0</c:formatCode>
                <c:ptCount val="3"/>
                <c:pt idx="0">
                  <c:v>3025479</c:v>
                </c:pt>
                <c:pt idx="1">
                  <c:v>2800787</c:v>
                </c:pt>
                <c:pt idx="2">
                  <c:v>2936970</c:v>
                </c:pt>
              </c:numCache>
            </c:numRef>
          </c:val>
          <c:extLst>
            <c:ext xmlns:c16="http://schemas.microsoft.com/office/drawing/2014/chart" uri="{C3380CC4-5D6E-409C-BE32-E72D297353CC}">
              <c16:uniqueId val="{00000000-E3A5-43C4-8C80-669DFE0650A1}"/>
            </c:ext>
          </c:extLst>
        </c:ser>
        <c:ser>
          <c:idx val="1"/>
          <c:order val="1"/>
          <c:tx>
            <c:strRef>
              <c:f>IS!$A$60</c:f>
              <c:strCache>
                <c:ptCount val="1"/>
                <c:pt idx="0">
                  <c:v>International Direct-to-Consumer</c:v>
                </c:pt>
              </c:strCache>
            </c:strRef>
          </c:tx>
          <c:spPr>
            <a:solidFill>
              <a:schemeClr val="accent2"/>
            </a:solidFill>
            <a:ln>
              <a:noFill/>
            </a:ln>
            <a:effectLst/>
          </c:spPr>
          <c:invertIfNegative val="0"/>
          <c:cat>
            <c:strRef>
              <c:f>(IS!$F$4,IS!$K$4,IS!$P$4)</c:f>
              <c:strCache>
                <c:ptCount val="3"/>
                <c:pt idx="0">
                  <c:v>FY 21</c:v>
                </c:pt>
                <c:pt idx="1">
                  <c:v>FY 22</c:v>
                </c:pt>
                <c:pt idx="2">
                  <c:v>FY 23</c:v>
                </c:pt>
              </c:strCache>
            </c:strRef>
          </c:cat>
          <c:val>
            <c:numRef>
              <c:f>(IS!$F$60,IS!$K$60,IS!$P$60)</c:f>
              <c:numCache>
                <c:formatCode>#,##0</c:formatCode>
                <c:ptCount val="3"/>
                <c:pt idx="0">
                  <c:v>910756</c:v>
                </c:pt>
                <c:pt idx="1">
                  <c:v>1568610</c:v>
                </c:pt>
                <c:pt idx="2">
                  <c:v>2013174</c:v>
                </c:pt>
              </c:numCache>
            </c:numRef>
          </c:val>
          <c:extLst>
            <c:ext xmlns:c16="http://schemas.microsoft.com/office/drawing/2014/chart" uri="{C3380CC4-5D6E-409C-BE32-E72D297353CC}">
              <c16:uniqueId val="{00000001-E3A5-43C4-8C80-669DFE0650A1}"/>
            </c:ext>
          </c:extLst>
        </c:ser>
        <c:dLbls>
          <c:showLegendKey val="0"/>
          <c:showVal val="0"/>
          <c:showCatName val="0"/>
          <c:showSerName val="0"/>
          <c:showPercent val="0"/>
          <c:showBubbleSize val="0"/>
        </c:dLbls>
        <c:gapWidth val="150"/>
        <c:overlap val="100"/>
        <c:axId val="19689479"/>
        <c:axId val="19691527"/>
      </c:barChart>
      <c:catAx>
        <c:axId val="19689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527"/>
        <c:crosses val="autoZero"/>
        <c:auto val="1"/>
        <c:lblAlgn val="ctr"/>
        <c:lblOffset val="100"/>
        <c:noMultiLvlLbl val="0"/>
      </c:catAx>
      <c:valAx>
        <c:axId val="196915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9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447675</xdr:colOff>
      <xdr:row>2</xdr:row>
      <xdr:rowOff>19050</xdr:rowOff>
    </xdr:from>
    <xdr:to>
      <xdr:col>8</xdr:col>
      <xdr:colOff>381000</xdr:colOff>
      <xdr:row>16</xdr:row>
      <xdr:rowOff>95250</xdr:rowOff>
    </xdr:to>
    <xdr:graphicFrame macro="">
      <xdr:nvGraphicFramePr>
        <xdr:cNvPr id="2" name="Chart 1">
          <a:extLst>
            <a:ext uri="{FF2B5EF4-FFF2-40B4-BE49-F238E27FC236}">
              <a16:creationId xmlns:a16="http://schemas.microsoft.com/office/drawing/2014/main" id="{89252F36-50A3-4335-A62E-0AA90B37C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390525</xdr:colOff>
      <xdr:row>2</xdr:row>
      <xdr:rowOff>9525</xdr:rowOff>
    </xdr:from>
    <xdr:to>
      <xdr:col>17</xdr:col>
      <xdr:colOff>85725</xdr:colOff>
      <xdr:row>16</xdr:row>
      <xdr:rowOff>85725</xdr:rowOff>
    </xdr:to>
    <xdr:graphicFrame macro="">
      <xdr:nvGraphicFramePr>
        <xdr:cNvPr id="3" name="Chart 2">
          <a:extLst>
            <a:ext uri="{FF2B5EF4-FFF2-40B4-BE49-F238E27FC236}">
              <a16:creationId xmlns:a16="http://schemas.microsoft.com/office/drawing/2014/main" id="{04DC4B41-F6DB-4FCC-92AE-F3CCA291B25D}"/>
            </a:ext>
            <a:ext uri="{147F2762-F138-4A5C-976F-8EAC2B608ADB}">
              <a16:predDERef xmlns:a16="http://schemas.microsoft.com/office/drawing/2014/main" pred="{89252F36-50A3-4335-A62E-0AA90B37C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180975</xdr:colOff>
      <xdr:row>2</xdr:row>
      <xdr:rowOff>19050</xdr:rowOff>
    </xdr:from>
    <xdr:to>
      <xdr:col>25</xdr:col>
      <xdr:colOff>485775</xdr:colOff>
      <xdr:row>16</xdr:row>
      <xdr:rowOff>95250</xdr:rowOff>
    </xdr:to>
    <xdr:graphicFrame macro="">
      <xdr:nvGraphicFramePr>
        <xdr:cNvPr id="4" name="Chart 3">
          <a:extLst>
            <a:ext uri="{FF2B5EF4-FFF2-40B4-BE49-F238E27FC236}">
              <a16:creationId xmlns:a16="http://schemas.microsoft.com/office/drawing/2014/main" id="{FAA45A92-4A8A-47F6-8D0E-D066640385FE}"/>
            </a:ext>
            <a:ext uri="{147F2762-F138-4A5C-976F-8EAC2B608ADB}">
              <a16:predDERef xmlns:a16="http://schemas.microsoft.com/office/drawing/2014/main" pred="{04DC4B41-F6DB-4FCC-92AE-F3CCA291B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6F3F3-37BC-4248-B5BF-A2E987EA0C7F}">
  <dimension ref="B4:F15"/>
  <sheetViews>
    <sheetView showGridLines="0" workbookViewId="0">
      <selection activeCell="J9" sqref="J9"/>
    </sheetView>
  </sheetViews>
  <sheetFormatPr defaultRowHeight="15"/>
  <cols>
    <col min="2" max="2" width="10.28515625" customWidth="1"/>
    <col min="4" max="4" width="16.5703125" customWidth="1"/>
    <col min="6" max="6" width="12.85546875" customWidth="1"/>
  </cols>
  <sheetData>
    <row r="4" spans="2:6" ht="18.75">
      <c r="B4" s="1" t="s">
        <v>0</v>
      </c>
      <c r="D4" s="338" t="s">
        <v>1</v>
      </c>
    </row>
    <row r="7" spans="2:6">
      <c r="B7" s="339" t="s">
        <v>2</v>
      </c>
      <c r="C7" s="340"/>
      <c r="D7" s="340"/>
      <c r="E7" s="340"/>
      <c r="F7" s="345">
        <f>+'FCF &amp; DCF'!Y83</f>
        <v>68.461365439854063</v>
      </c>
    </row>
    <row r="8" spans="2:6">
      <c r="B8" s="1"/>
    </row>
    <row r="9" spans="2:6">
      <c r="B9" s="341" t="s">
        <v>3</v>
      </c>
      <c r="C9" s="342"/>
      <c r="D9" s="342"/>
      <c r="E9" s="342"/>
      <c r="F9" s="346">
        <f>+'FCF &amp; DCF'!V114</f>
        <v>72.848911804454616</v>
      </c>
    </row>
    <row r="12" spans="2:6">
      <c r="B12" s="1" t="s">
        <v>4</v>
      </c>
      <c r="D12" s="344">
        <f>+'FCF &amp; DCF'!Z41</f>
        <v>67.78</v>
      </c>
    </row>
    <row r="13" spans="2:6">
      <c r="B13" s="1"/>
    </row>
    <row r="14" spans="2:6">
      <c r="B14" s="1"/>
    </row>
    <row r="15" spans="2:6">
      <c r="B15" s="1" t="s">
        <v>5</v>
      </c>
      <c r="D15" s="34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EA04-FDC0-493D-BE8F-D59B88B4CD19}">
  <dimension ref="A2:V102"/>
  <sheetViews>
    <sheetView showGridLines="0" tabSelected="1" zoomScaleNormal="100" workbookViewId="0">
      <pane ySplit="4" topLeftCell="M61" activePane="bottomLeft" state="frozen"/>
      <selection pane="bottomLeft" activeCell="V77" sqref="V77"/>
    </sheetView>
  </sheetViews>
  <sheetFormatPr defaultRowHeight="15"/>
  <cols>
    <col min="1" max="1" width="52.5703125" customWidth="1"/>
    <col min="2" max="16" width="10.7109375" customWidth="1"/>
    <col min="19" max="19" width="10.140625" bestFit="1" customWidth="1"/>
  </cols>
  <sheetData>
    <row r="2" spans="1:19">
      <c r="A2" s="17" t="s">
        <v>7</v>
      </c>
      <c r="B2" s="6"/>
      <c r="C2" s="6"/>
      <c r="D2" s="6"/>
      <c r="E2" s="6"/>
      <c r="F2" s="6"/>
      <c r="G2" s="6"/>
      <c r="H2" s="6"/>
      <c r="I2" s="6"/>
      <c r="J2" s="6"/>
      <c r="K2" s="6"/>
      <c r="L2" s="6"/>
      <c r="M2" s="6"/>
      <c r="N2" s="6"/>
      <c r="O2" s="6"/>
      <c r="P2" s="6"/>
    </row>
    <row r="3" spans="1:19">
      <c r="A3" s="1"/>
    </row>
    <row r="4" spans="1:19" s="79" customFormat="1">
      <c r="B4" s="80" t="s">
        <v>8</v>
      </c>
      <c r="C4" s="80" t="s">
        <v>9</v>
      </c>
      <c r="D4" s="80" t="s">
        <v>10</v>
      </c>
      <c r="E4" s="80" t="s">
        <v>11</v>
      </c>
      <c r="F4" s="81" t="s">
        <v>12</v>
      </c>
      <c r="G4" s="80" t="s">
        <v>13</v>
      </c>
      <c r="H4" s="80" t="s">
        <v>14</v>
      </c>
      <c r="I4" s="80" t="s">
        <v>15</v>
      </c>
      <c r="J4" s="80" t="s">
        <v>16</v>
      </c>
      <c r="K4" s="81" t="s">
        <v>17</v>
      </c>
      <c r="L4" s="80" t="s">
        <v>18</v>
      </c>
      <c r="M4" s="80" t="s">
        <v>19</v>
      </c>
      <c r="N4" s="80" t="s">
        <v>20</v>
      </c>
      <c r="O4" s="80" t="s">
        <v>21</v>
      </c>
      <c r="P4" s="81" t="s">
        <v>22</v>
      </c>
      <c r="S4" s="337" t="s">
        <v>23</v>
      </c>
    </row>
    <row r="5" spans="1:19">
      <c r="A5" t="s">
        <v>24</v>
      </c>
      <c r="B5" s="18">
        <v>1434455</v>
      </c>
      <c r="C5" s="25">
        <v>1661871</v>
      </c>
      <c r="D5" s="33">
        <v>1558476</v>
      </c>
      <c r="E5" s="33">
        <f>+F5-SUM(B5:D5)</f>
        <v>1655386</v>
      </c>
      <c r="F5" s="39">
        <v>6310188</v>
      </c>
      <c r="G5" s="33">
        <v>1819594</v>
      </c>
      <c r="H5" s="33">
        <v>1867804</v>
      </c>
      <c r="I5" s="33">
        <v>1878367</v>
      </c>
      <c r="J5" s="33">
        <f>+K5-SUM(G5:I5)</f>
        <v>1878785</v>
      </c>
      <c r="K5" s="39">
        <v>7444550</v>
      </c>
      <c r="L5" s="33">
        <v>2001900</v>
      </c>
      <c r="M5" s="33">
        <v>2012500</v>
      </c>
      <c r="N5" s="33">
        <v>2025000</v>
      </c>
      <c r="O5" s="33">
        <v>1960900</v>
      </c>
      <c r="P5" s="42">
        <f>+SUM(L5:O5)</f>
        <v>8000300</v>
      </c>
      <c r="S5" t="s">
        <v>25</v>
      </c>
    </row>
    <row r="6" spans="1:19">
      <c r="A6" s="4" t="s">
        <v>26</v>
      </c>
      <c r="B6" s="18"/>
      <c r="C6" s="19"/>
      <c r="D6" s="19"/>
      <c r="E6" s="19"/>
      <c r="F6" s="40"/>
      <c r="G6" s="49">
        <f>+(G5/B5)-1</f>
        <v>0.2684915176844167</v>
      </c>
      <c r="H6" s="49">
        <f>+(H5/C5)-1</f>
        <v>0.12391635692541714</v>
      </c>
      <c r="I6" s="49">
        <f t="shared" ref="I6:P6" si="0">+(I5/D5)-1</f>
        <v>0.20525885544596134</v>
      </c>
      <c r="J6" s="49">
        <f t="shared" si="0"/>
        <v>0.13495281463054543</v>
      </c>
      <c r="K6" s="50">
        <f t="shared" si="0"/>
        <v>0.17976675179883705</v>
      </c>
      <c r="L6" s="49">
        <f t="shared" si="0"/>
        <v>0.10019048205258985</v>
      </c>
      <c r="M6" s="49">
        <f t="shared" si="0"/>
        <v>7.746851382693265E-2</v>
      </c>
      <c r="N6" s="49">
        <f t="shared" si="0"/>
        <v>7.8064084388194566E-2</v>
      </c>
      <c r="O6" s="49">
        <f t="shared" si="0"/>
        <v>4.3706437937284015E-2</v>
      </c>
      <c r="P6" s="50">
        <f t="shared" si="0"/>
        <v>7.4651926577160577E-2</v>
      </c>
    </row>
    <row r="7" spans="1:19" ht="6" customHeight="1">
      <c r="A7" s="4"/>
      <c r="B7" s="19"/>
      <c r="C7" s="19"/>
      <c r="D7" s="19"/>
      <c r="E7" s="19"/>
      <c r="F7" s="41"/>
      <c r="G7" s="19"/>
      <c r="H7" s="19"/>
      <c r="I7" s="19"/>
      <c r="J7" s="19"/>
      <c r="K7" s="41"/>
      <c r="L7" s="19"/>
      <c r="M7" s="19"/>
      <c r="N7" s="19"/>
      <c r="O7" s="19"/>
      <c r="P7" s="41"/>
    </row>
    <row r="8" spans="1:19">
      <c r="A8" t="s">
        <v>27</v>
      </c>
      <c r="B8" s="18">
        <v>748796</v>
      </c>
      <c r="C8" s="25">
        <v>808280</v>
      </c>
      <c r="D8" s="25">
        <v>781513</v>
      </c>
      <c r="E8" s="33">
        <f>+F8-SUM(B8:D8)</f>
        <v>847228</v>
      </c>
      <c r="F8" s="42">
        <v>3185817</v>
      </c>
      <c r="G8" s="25">
        <v>995431</v>
      </c>
      <c r="H8" s="25">
        <v>970225</v>
      </c>
      <c r="I8" s="25">
        <v>994432</v>
      </c>
      <c r="J8" s="25">
        <f>+K8-SUM(G8:I8)</f>
        <v>969105</v>
      </c>
      <c r="K8" s="42">
        <v>3929193</v>
      </c>
      <c r="L8" s="25">
        <v>1023300</v>
      </c>
      <c r="M8" s="25">
        <v>952000</v>
      </c>
      <c r="N8" s="25">
        <v>953000</v>
      </c>
      <c r="O8" s="25">
        <v>919600</v>
      </c>
      <c r="P8" s="42">
        <f>+SUM(L8:O8)</f>
        <v>3847900</v>
      </c>
    </row>
    <row r="9" spans="1:19">
      <c r="A9" s="4" t="s">
        <v>28</v>
      </c>
      <c r="B9" s="35">
        <f>+B8/B5</f>
        <v>0.52200731288189595</v>
      </c>
      <c r="C9" s="35">
        <f t="shared" ref="C9:P9" si="1">+C8/C5</f>
        <v>0.48636747376902301</v>
      </c>
      <c r="D9" s="35">
        <f t="shared" si="1"/>
        <v>0.50145975940598375</v>
      </c>
      <c r="E9" s="35">
        <f t="shared" si="1"/>
        <v>0.51180087302900956</v>
      </c>
      <c r="F9" s="40">
        <f t="shared" si="1"/>
        <v>0.50486879313262933</v>
      </c>
      <c r="G9" s="35">
        <f t="shared" si="1"/>
        <v>0.54706214683055676</v>
      </c>
      <c r="H9" s="35">
        <f t="shared" si="1"/>
        <v>0.51944690128086246</v>
      </c>
      <c r="I9" s="35">
        <f t="shared" si="1"/>
        <v>0.52941304867472649</v>
      </c>
      <c r="J9" s="35">
        <f t="shared" si="1"/>
        <v>0.51581474197420141</v>
      </c>
      <c r="K9" s="40">
        <f t="shared" si="1"/>
        <v>0.52779456112189449</v>
      </c>
      <c r="L9" s="35">
        <f t="shared" si="1"/>
        <v>0.51116439382586543</v>
      </c>
      <c r="M9" s="35">
        <f t="shared" si="1"/>
        <v>0.47304347826086957</v>
      </c>
      <c r="N9" s="35">
        <f t="shared" si="1"/>
        <v>0.4706172839506173</v>
      </c>
      <c r="O9" s="35">
        <f t="shared" si="1"/>
        <v>0.46896833086847878</v>
      </c>
      <c r="P9" s="40">
        <f t="shared" si="1"/>
        <v>0.48096946364511328</v>
      </c>
    </row>
    <row r="10" spans="1:19">
      <c r="A10" s="2" t="s">
        <v>29</v>
      </c>
      <c r="B10" s="20">
        <f>+B5-B8</f>
        <v>685659</v>
      </c>
      <c r="C10" s="22">
        <v>853591</v>
      </c>
      <c r="D10" s="22">
        <v>776963</v>
      </c>
      <c r="E10" s="36">
        <f>+F10-SUM(B10:D10)</f>
        <v>808158</v>
      </c>
      <c r="F10" s="43">
        <v>3124371</v>
      </c>
      <c r="G10" s="22">
        <v>824163</v>
      </c>
      <c r="H10" s="22">
        <v>897579</v>
      </c>
      <c r="I10" s="22">
        <v>883935</v>
      </c>
      <c r="J10" s="22">
        <f>+K10-SUM(G10:I10)</f>
        <v>909680</v>
      </c>
      <c r="K10" s="43">
        <v>3515357</v>
      </c>
      <c r="L10" s="22">
        <v>978600</v>
      </c>
      <c r="M10" s="22">
        <v>1060500</v>
      </c>
      <c r="N10" s="22">
        <v>1071900</v>
      </c>
      <c r="O10" s="22">
        <v>1041400</v>
      </c>
      <c r="P10" s="43">
        <f>+SUM(L10:O10)</f>
        <v>4152400</v>
      </c>
      <c r="S10" t="s">
        <v>30</v>
      </c>
    </row>
    <row r="11" spans="1:19">
      <c r="A11" s="4" t="s">
        <v>26</v>
      </c>
      <c r="B11" s="19"/>
      <c r="C11" s="19"/>
      <c r="D11" s="19"/>
      <c r="E11" s="19"/>
      <c r="F11" s="41"/>
      <c r="G11" s="49">
        <f>+(G10/B10)-1</f>
        <v>0.20200128635371217</v>
      </c>
      <c r="H11" s="49">
        <f t="shared" ref="H11:P11" si="2">+(H10/C10)-1</f>
        <v>5.1532876986753573E-2</v>
      </c>
      <c r="I11" s="49">
        <f t="shared" si="2"/>
        <v>0.13767965784728498</v>
      </c>
      <c r="J11" s="49">
        <f t="shared" si="2"/>
        <v>0.12562147500859977</v>
      </c>
      <c r="K11" s="50">
        <f t="shared" si="2"/>
        <v>0.12514070832177104</v>
      </c>
      <c r="L11" s="49">
        <f t="shared" si="2"/>
        <v>0.18738647573356237</v>
      </c>
      <c r="M11" s="49">
        <f t="shared" si="2"/>
        <v>0.18151159953608542</v>
      </c>
      <c r="N11" s="49">
        <f t="shared" si="2"/>
        <v>0.21264572621290023</v>
      </c>
      <c r="O11" s="49">
        <f t="shared" si="2"/>
        <v>0.14479817078533119</v>
      </c>
      <c r="P11" s="50">
        <f t="shared" si="2"/>
        <v>0.18121715660742277</v>
      </c>
    </row>
    <row r="12" spans="1:19">
      <c r="A12" s="5" t="s">
        <v>31</v>
      </c>
      <c r="B12" s="37">
        <f>+B10/B5</f>
        <v>0.47799268711810411</v>
      </c>
      <c r="C12" s="37">
        <f t="shared" ref="C12:P12" si="3">+C10/C5</f>
        <v>0.51363252623097699</v>
      </c>
      <c r="D12" s="37">
        <f t="shared" si="3"/>
        <v>0.49854024059401619</v>
      </c>
      <c r="E12" s="37">
        <f t="shared" si="3"/>
        <v>0.48819912697099044</v>
      </c>
      <c r="F12" s="44">
        <f t="shared" si="3"/>
        <v>0.49513120686737067</v>
      </c>
      <c r="G12" s="37">
        <f t="shared" si="3"/>
        <v>0.45293785316944329</v>
      </c>
      <c r="H12" s="37">
        <f t="shared" si="3"/>
        <v>0.48055309871913754</v>
      </c>
      <c r="I12" s="37">
        <f t="shared" si="3"/>
        <v>0.47058695132527351</v>
      </c>
      <c r="J12" s="37">
        <f t="shared" si="3"/>
        <v>0.48418525802579859</v>
      </c>
      <c r="K12" s="44">
        <f t="shared" si="3"/>
        <v>0.47220543887810545</v>
      </c>
      <c r="L12" s="37">
        <f t="shared" si="3"/>
        <v>0.48883560617413457</v>
      </c>
      <c r="M12" s="37">
        <f t="shared" si="3"/>
        <v>0.52695652173913043</v>
      </c>
      <c r="N12" s="37">
        <f t="shared" si="3"/>
        <v>0.52933333333333332</v>
      </c>
      <c r="O12" s="37">
        <f t="shared" si="3"/>
        <v>0.53108266612269872</v>
      </c>
      <c r="P12" s="44">
        <f t="shared" si="3"/>
        <v>0.51903053635488672</v>
      </c>
      <c r="S12" t="s">
        <v>32</v>
      </c>
    </row>
    <row r="13" spans="1:19" ht="6" customHeight="1">
      <c r="A13" s="4"/>
      <c r="B13" s="19"/>
      <c r="C13" s="19"/>
      <c r="D13" s="19"/>
      <c r="E13" s="19"/>
      <c r="F13" s="41"/>
      <c r="G13" s="19"/>
      <c r="H13" s="19"/>
      <c r="I13" s="19"/>
      <c r="J13" s="19"/>
      <c r="K13" s="41"/>
      <c r="L13" s="19"/>
      <c r="M13" s="19"/>
      <c r="N13" s="19"/>
      <c r="O13" s="19"/>
      <c r="P13" s="41"/>
    </row>
    <row r="14" spans="1:19">
      <c r="A14" t="s">
        <v>33</v>
      </c>
      <c r="B14" s="18">
        <v>527991</v>
      </c>
      <c r="C14" s="25">
        <v>652382</v>
      </c>
      <c r="D14" s="25">
        <v>630716</v>
      </c>
      <c r="E14" s="25">
        <f>+F14-SUM(B14:D14)</f>
        <v>715095</v>
      </c>
      <c r="F14" s="42">
        <v>2526184</v>
      </c>
      <c r="G14" s="25">
        <v>648259</v>
      </c>
      <c r="H14" s="25">
        <v>743421</v>
      </c>
      <c r="I14" s="25">
        <v>753964</v>
      </c>
      <c r="J14" s="25">
        <f>+K14-SUM(G14:I14)</f>
        <v>823043</v>
      </c>
      <c r="K14" s="42">
        <v>2968687</v>
      </c>
      <c r="L14" s="25">
        <v>755000</v>
      </c>
      <c r="M14" s="25">
        <v>842800</v>
      </c>
      <c r="N14" s="25">
        <v>858700</v>
      </c>
      <c r="O14" s="25">
        <v>911100</v>
      </c>
      <c r="P14" s="42">
        <f>+SUM(L14:O14)</f>
        <v>3367600</v>
      </c>
    </row>
    <row r="15" spans="1:19">
      <c r="A15" s="2" t="s">
        <v>34</v>
      </c>
      <c r="B15" s="22">
        <v>157668</v>
      </c>
      <c r="C15" s="22">
        <v>201209</v>
      </c>
      <c r="D15" s="22">
        <v>146247</v>
      </c>
      <c r="E15" s="22">
        <f>+F15-SUM(B15:D15)</f>
        <v>93063</v>
      </c>
      <c r="F15" s="43">
        <v>598187</v>
      </c>
      <c r="G15" s="22">
        <v>175904</v>
      </c>
      <c r="H15" s="22">
        <v>154158</v>
      </c>
      <c r="I15" s="22">
        <v>129971</v>
      </c>
      <c r="J15" s="22">
        <f>+K15-SUM(G15:I15)</f>
        <v>86637</v>
      </c>
      <c r="K15" s="43">
        <v>546670</v>
      </c>
      <c r="L15" s="22">
        <v>223600</v>
      </c>
      <c r="M15" s="22">
        <v>217700</v>
      </c>
      <c r="N15" s="22">
        <v>213200</v>
      </c>
      <c r="O15" s="22">
        <v>130300</v>
      </c>
      <c r="P15" s="43">
        <f>+SUM(L15:O15)</f>
        <v>784800</v>
      </c>
    </row>
    <row r="16" spans="1:19">
      <c r="A16" s="4" t="s">
        <v>26</v>
      </c>
      <c r="B16" s="23"/>
      <c r="C16" s="23"/>
      <c r="D16" s="23"/>
      <c r="E16" s="23"/>
      <c r="F16" s="45"/>
      <c r="G16" s="49">
        <f>+(G15/B15)-1</f>
        <v>0.11566075551158139</v>
      </c>
      <c r="H16" s="51">
        <f t="shared" ref="H16:P16" si="4">+(H15/C15)-1</f>
        <v>-0.23384142856432866</v>
      </c>
      <c r="I16" s="51">
        <f t="shared" si="4"/>
        <v>-0.11129117178472037</v>
      </c>
      <c r="J16" s="51">
        <f t="shared" si="4"/>
        <v>-6.9049998388188594E-2</v>
      </c>
      <c r="K16" s="52">
        <f t="shared" si="4"/>
        <v>-8.6121898336139036E-2</v>
      </c>
      <c r="L16" s="51">
        <f t="shared" si="4"/>
        <v>0.27114789885392021</v>
      </c>
      <c r="M16" s="51">
        <f t="shared" si="4"/>
        <v>0.41218749594571813</v>
      </c>
      <c r="N16" s="51">
        <f t="shared" si="4"/>
        <v>0.64036592778389023</v>
      </c>
      <c r="O16" s="51">
        <f t="shared" si="4"/>
        <v>0.50397636113900535</v>
      </c>
      <c r="P16" s="52">
        <f t="shared" si="4"/>
        <v>0.435601002432912</v>
      </c>
    </row>
    <row r="17" spans="1:19">
      <c r="A17" s="5" t="s">
        <v>35</v>
      </c>
      <c r="B17" s="56">
        <f>+B15/B5</f>
        <v>0.10991491542083927</v>
      </c>
      <c r="C17" s="56">
        <f t="shared" ref="C17:P17" si="5">+C15/C5</f>
        <v>0.12107377768791922</v>
      </c>
      <c r="D17" s="56">
        <f t="shared" si="5"/>
        <v>9.3839751141499769E-2</v>
      </c>
      <c r="E17" s="56">
        <f t="shared" si="5"/>
        <v>5.6218307995839038E-2</v>
      </c>
      <c r="F17" s="57">
        <f t="shared" si="5"/>
        <v>9.4797017141169171E-2</v>
      </c>
      <c r="G17" s="56">
        <f t="shared" si="5"/>
        <v>9.6672114768459341E-2</v>
      </c>
      <c r="H17" s="56">
        <f t="shared" si="5"/>
        <v>8.2534355853183736E-2</v>
      </c>
      <c r="I17" s="56">
        <f t="shared" si="5"/>
        <v>6.919361338865089E-2</v>
      </c>
      <c r="J17" s="56">
        <f t="shared" si="5"/>
        <v>4.6113312592978975E-2</v>
      </c>
      <c r="K17" s="57">
        <f t="shared" si="5"/>
        <v>7.343224237865284E-2</v>
      </c>
      <c r="L17" s="56">
        <f t="shared" si="5"/>
        <v>0.11169389080373646</v>
      </c>
      <c r="M17" s="56">
        <f t="shared" si="5"/>
        <v>0.10817391304347826</v>
      </c>
      <c r="N17" s="56">
        <f t="shared" si="5"/>
        <v>0.10528395061728395</v>
      </c>
      <c r="O17" s="56">
        <f t="shared" si="5"/>
        <v>6.6449079504309241E-2</v>
      </c>
      <c r="P17" s="57">
        <f t="shared" si="5"/>
        <v>9.8096321387947952E-2</v>
      </c>
    </row>
    <row r="18" spans="1:19" ht="6" customHeight="1">
      <c r="A18" s="1"/>
      <c r="B18" s="19"/>
      <c r="C18" s="19"/>
      <c r="D18" s="19"/>
      <c r="E18" s="19"/>
      <c r="F18" s="41"/>
      <c r="G18" s="19"/>
      <c r="H18" s="19"/>
      <c r="I18" s="19"/>
      <c r="J18" s="19"/>
      <c r="K18" s="41"/>
      <c r="L18" s="19"/>
      <c r="M18" s="19"/>
      <c r="N18" s="19"/>
      <c r="O18" s="19"/>
      <c r="P18" s="41"/>
    </row>
    <row r="19" spans="1:19" ht="15" customHeight="1">
      <c r="A19" t="s">
        <v>36</v>
      </c>
      <c r="B19" s="25">
        <v>-13904</v>
      </c>
      <c r="C19" s="25">
        <v>2158</v>
      </c>
      <c r="D19" s="25">
        <v>-8049</v>
      </c>
      <c r="E19" s="33">
        <v>-8335</v>
      </c>
      <c r="F19" s="39">
        <v>-28400</v>
      </c>
      <c r="G19" s="25">
        <v>-5746</v>
      </c>
      <c r="H19" s="25">
        <v>-19259</v>
      </c>
      <c r="I19" s="25">
        <v>-15139</v>
      </c>
      <c r="J19" s="25">
        <f>+K19-SUM(G19:I19)</f>
        <v>15731</v>
      </c>
      <c r="K19" s="42">
        <v>-24413</v>
      </c>
      <c r="L19" s="25">
        <v>9900</v>
      </c>
      <c r="M19" s="25">
        <v>2800</v>
      </c>
      <c r="N19" s="25">
        <v>-7100</v>
      </c>
      <c r="O19" s="25">
        <v>14900</v>
      </c>
      <c r="P19" s="42">
        <f>+SUM(L19:O19)</f>
        <v>20500</v>
      </c>
      <c r="S19" s="92"/>
    </row>
    <row r="20" spans="1:19">
      <c r="A20" s="2" t="s">
        <v>37</v>
      </c>
      <c r="B20" s="22">
        <v>143494</v>
      </c>
      <c r="C20" s="22">
        <v>203367</v>
      </c>
      <c r="D20" s="22">
        <v>138198</v>
      </c>
      <c r="E20" s="22">
        <f>+F20-SUM(B20:D20)</f>
        <v>84698</v>
      </c>
      <c r="F20" s="43">
        <v>569757</v>
      </c>
      <c r="G20" s="22">
        <v>170158</v>
      </c>
      <c r="H20" s="22">
        <v>134899</v>
      </c>
      <c r="I20" s="22">
        <v>114832</v>
      </c>
      <c r="J20" s="22">
        <f>+K20-SUM(G20:I20)</f>
        <v>102368</v>
      </c>
      <c r="K20" s="43">
        <v>522257</v>
      </c>
      <c r="L20" s="22">
        <v>233500</v>
      </c>
      <c r="M20" s="22">
        <v>220500</v>
      </c>
      <c r="N20" s="22">
        <v>206100</v>
      </c>
      <c r="O20" s="22">
        <v>140700</v>
      </c>
      <c r="P20" s="43">
        <f>+SUM(L20:O20)</f>
        <v>800800</v>
      </c>
    </row>
    <row r="21" spans="1:19">
      <c r="A21" s="4" t="s">
        <v>26</v>
      </c>
      <c r="B21" s="19"/>
      <c r="C21" s="19"/>
      <c r="D21" s="19"/>
      <c r="E21" s="19"/>
      <c r="F21" s="41"/>
      <c r="G21" s="49">
        <f>+(G20/B20)-1</f>
        <v>0.18581961615119802</v>
      </c>
      <c r="H21" s="49">
        <f t="shared" ref="H21:P21" si="6">+(H20/C20)-1</f>
        <v>-0.33667212477933983</v>
      </c>
      <c r="I21" s="49">
        <f t="shared" si="6"/>
        <v>-0.16907625291248785</v>
      </c>
      <c r="J21" s="49">
        <f t="shared" si="6"/>
        <v>0.20862358024982885</v>
      </c>
      <c r="K21" s="50">
        <f t="shared" si="6"/>
        <v>-8.3368874801011628E-2</v>
      </c>
      <c r="L21" s="49">
        <f t="shared" si="6"/>
        <v>0.37225402273181407</v>
      </c>
      <c r="M21" s="49">
        <f t="shared" si="6"/>
        <v>0.63455622354502261</v>
      </c>
      <c r="N21" s="49">
        <f t="shared" si="6"/>
        <v>0.79479587571408672</v>
      </c>
      <c r="O21" s="49">
        <f t="shared" si="6"/>
        <v>0.37445295404814005</v>
      </c>
      <c r="P21" s="50">
        <f t="shared" si="6"/>
        <v>0.53334469427887043</v>
      </c>
    </row>
    <row r="22" spans="1:19">
      <c r="A22" s="5" t="s">
        <v>38</v>
      </c>
      <c r="B22" s="56">
        <f t="shared" ref="B22:P22" si="7">+B20/B5</f>
        <v>0.10003381075042438</v>
      </c>
      <c r="C22" s="56">
        <f t="shared" si="7"/>
        <v>0.1223723140965815</v>
      </c>
      <c r="D22" s="56">
        <f t="shared" si="7"/>
        <v>8.8675090280504798E-2</v>
      </c>
      <c r="E22" s="56">
        <f t="shared" si="7"/>
        <v>5.1165105902792461E-2</v>
      </c>
      <c r="F22" s="57">
        <f t="shared" si="7"/>
        <v>9.0291604624141153E-2</v>
      </c>
      <c r="G22" s="56">
        <f t="shared" si="7"/>
        <v>9.3514267468457243E-2</v>
      </c>
      <c r="H22" s="56">
        <f t="shared" si="7"/>
        <v>7.2223316793410874E-2</v>
      </c>
      <c r="I22" s="56">
        <f t="shared" si="7"/>
        <v>6.1133953056032184E-2</v>
      </c>
      <c r="J22" s="56">
        <f t="shared" si="7"/>
        <v>5.4486277035424489E-2</v>
      </c>
      <c r="K22" s="57">
        <f t="shared" si="7"/>
        <v>7.0152930667400984E-2</v>
      </c>
      <c r="L22" s="56">
        <f t="shared" si="7"/>
        <v>0.11663919276687147</v>
      </c>
      <c r="M22" s="56">
        <f t="shared" si="7"/>
        <v>0.10956521739130434</v>
      </c>
      <c r="N22" s="56">
        <f t="shared" si="7"/>
        <v>0.10177777777777777</v>
      </c>
      <c r="O22" s="56">
        <f t="shared" si="7"/>
        <v>7.1752766586771377E-2</v>
      </c>
      <c r="P22" s="57">
        <f t="shared" si="7"/>
        <v>0.10009624639076034</v>
      </c>
    </row>
    <row r="23" spans="1:19" ht="6" customHeight="1">
      <c r="A23" s="5"/>
      <c r="B23" s="19"/>
      <c r="C23" s="19"/>
      <c r="D23" s="19"/>
      <c r="E23" s="19"/>
      <c r="F23" s="41"/>
      <c r="G23" s="19"/>
      <c r="H23" s="19"/>
      <c r="I23" s="19"/>
      <c r="J23" s="19"/>
      <c r="K23" s="41"/>
      <c r="L23" s="19"/>
      <c r="M23" s="19"/>
      <c r="N23" s="19"/>
      <c r="O23" s="19"/>
      <c r="P23" s="41"/>
    </row>
    <row r="24" spans="1:19">
      <c r="A24" t="s">
        <v>39</v>
      </c>
      <c r="B24" s="25">
        <v>28985</v>
      </c>
      <c r="C24" s="25">
        <v>41544</v>
      </c>
      <c r="D24" s="25">
        <v>21497</v>
      </c>
      <c r="E24" s="25">
        <f>+F24-SUM(B24:D24)</f>
        <v>-337901</v>
      </c>
      <c r="F24" s="42">
        <v>-245875</v>
      </c>
      <c r="G24" s="25">
        <v>33992</v>
      </c>
      <c r="H24" s="25">
        <v>28739</v>
      </c>
      <c r="I24" s="25">
        <v>20498</v>
      </c>
      <c r="J24" s="25">
        <f>+K24-SUM(G24:I24)</f>
        <v>10676</v>
      </c>
      <c r="K24" s="42">
        <v>93905</v>
      </c>
      <c r="L24" s="25">
        <v>43200</v>
      </c>
      <c r="M24" s="25">
        <v>38900</v>
      </c>
      <c r="N24" s="25">
        <v>40200</v>
      </c>
      <c r="O24" s="25">
        <v>28600</v>
      </c>
      <c r="P24" s="42">
        <f>+SUM(L24:O24)</f>
        <v>150900</v>
      </c>
      <c r="S24" t="s">
        <v>40</v>
      </c>
    </row>
    <row r="25" spans="1:19">
      <c r="A25" s="55" t="s">
        <v>41</v>
      </c>
      <c r="B25" s="34">
        <f>+B24/B20</f>
        <v>0.20199450848119085</v>
      </c>
      <c r="C25" s="34">
        <f t="shared" ref="C25:P25" si="8">+C24/C20</f>
        <v>0.20428093053445248</v>
      </c>
      <c r="D25" s="34">
        <f t="shared" si="8"/>
        <v>0.15555217875801386</v>
      </c>
      <c r="E25" s="53" t="s">
        <v>42</v>
      </c>
      <c r="F25" s="54">
        <f>+F24/F20</f>
        <v>-0.43154362298313143</v>
      </c>
      <c r="G25" s="34">
        <f t="shared" si="8"/>
        <v>0.19976727512077011</v>
      </c>
      <c r="H25" s="34">
        <f t="shared" si="8"/>
        <v>0.21304086761206531</v>
      </c>
      <c r="I25" s="34">
        <f t="shared" si="8"/>
        <v>0.17850424968649853</v>
      </c>
      <c r="J25" s="34">
        <f t="shared" si="8"/>
        <v>0.10429040325101595</v>
      </c>
      <c r="K25" s="48">
        <f t="shared" si="8"/>
        <v>0.17980611078453712</v>
      </c>
      <c r="L25" s="34">
        <f t="shared" si="8"/>
        <v>0.18501070663811564</v>
      </c>
      <c r="M25" s="34">
        <f t="shared" si="8"/>
        <v>0.1764172335600907</v>
      </c>
      <c r="N25" s="34">
        <f t="shared" si="8"/>
        <v>0.1950509461426492</v>
      </c>
      <c r="O25" s="34">
        <f t="shared" si="8"/>
        <v>0.20326936744847193</v>
      </c>
      <c r="P25" s="48">
        <f t="shared" si="8"/>
        <v>0.18843656343656343</v>
      </c>
    </row>
    <row r="26" spans="1:19" ht="6" customHeight="1">
      <c r="A26" s="4"/>
      <c r="B26" s="21"/>
      <c r="C26" s="21"/>
      <c r="D26" s="21"/>
      <c r="E26" s="21"/>
      <c r="F26" s="46"/>
      <c r="G26" s="21"/>
      <c r="H26" s="21"/>
      <c r="I26" s="21"/>
      <c r="J26" s="21"/>
      <c r="K26" s="46"/>
      <c r="L26" s="21"/>
      <c r="M26" s="21"/>
      <c r="N26" s="21"/>
      <c r="O26" s="21"/>
      <c r="P26" s="46"/>
    </row>
    <row r="27" spans="1:19">
      <c r="A27" s="26" t="s">
        <v>43</v>
      </c>
      <c r="B27" s="27">
        <v>114509</v>
      </c>
      <c r="C27" s="27">
        <v>161823</v>
      </c>
      <c r="D27" s="27">
        <v>116701</v>
      </c>
      <c r="E27" s="27">
        <f>+F27-SUM(B27:D27)</f>
        <v>422599</v>
      </c>
      <c r="F27" s="42">
        <v>815632</v>
      </c>
      <c r="G27" s="27">
        <v>136166</v>
      </c>
      <c r="H27" s="27">
        <v>106160</v>
      </c>
      <c r="I27" s="27">
        <v>94334</v>
      </c>
      <c r="J27" s="27">
        <f>+K27-SUM(G27:I27)</f>
        <v>92502</v>
      </c>
      <c r="K27" s="42">
        <v>429162</v>
      </c>
      <c r="L27" s="27">
        <v>190300</v>
      </c>
      <c r="M27" s="27">
        <v>181600</v>
      </c>
      <c r="N27" s="27">
        <v>165900</v>
      </c>
      <c r="O27" s="27">
        <v>112100</v>
      </c>
      <c r="P27" s="42">
        <f>+SUM(L27:O27)</f>
        <v>649900</v>
      </c>
    </row>
    <row r="28" spans="1:19">
      <c r="A28" s="32" t="s">
        <v>28</v>
      </c>
      <c r="B28" s="58">
        <f t="shared" ref="B28:P28" si="9">+B27/B5</f>
        <v>7.9827530316391934E-2</v>
      </c>
      <c r="C28" s="58">
        <f t="shared" si="9"/>
        <v>9.7373983901277536E-2</v>
      </c>
      <c r="D28" s="58">
        <f t="shared" si="9"/>
        <v>7.4881486785808707E-2</v>
      </c>
      <c r="E28" s="58">
        <f t="shared" si="9"/>
        <v>0.2552872864697418</v>
      </c>
      <c r="F28" s="57">
        <f t="shared" si="9"/>
        <v>0.12925637080860347</v>
      </c>
      <c r="G28" s="58">
        <f t="shared" si="9"/>
        <v>7.4833177071368662E-2</v>
      </c>
      <c r="H28" s="58">
        <f t="shared" si="9"/>
        <v>5.6836798721921572E-2</v>
      </c>
      <c r="I28" s="58">
        <f t="shared" si="9"/>
        <v>5.0221282635395534E-2</v>
      </c>
      <c r="J28" s="58">
        <f t="shared" si="9"/>
        <v>4.9235010924613513E-2</v>
      </c>
      <c r="K28" s="57">
        <f t="shared" si="9"/>
        <v>5.7647809471358245E-2</v>
      </c>
      <c r="L28" s="58">
        <f t="shared" si="9"/>
        <v>9.505969329137319E-2</v>
      </c>
      <c r="M28" s="58">
        <f t="shared" si="9"/>
        <v>9.02360248447205E-2</v>
      </c>
      <c r="N28" s="58">
        <f t="shared" si="9"/>
        <v>8.192592592592593E-2</v>
      </c>
      <c r="O28" s="58">
        <f t="shared" si="9"/>
        <v>5.7167627110000507E-2</v>
      </c>
      <c r="P28" s="57">
        <f t="shared" si="9"/>
        <v>8.1234453707985946E-2</v>
      </c>
    </row>
    <row r="29" spans="1:19" s="14" customFormat="1" ht="6" customHeight="1">
      <c r="A29" s="29"/>
      <c r="B29" s="30"/>
      <c r="C29" s="31"/>
      <c r="D29" s="31"/>
      <c r="E29" s="31"/>
      <c r="F29" s="41"/>
      <c r="G29" s="31"/>
      <c r="H29" s="31"/>
      <c r="I29" s="31"/>
      <c r="J29" s="31"/>
      <c r="K29" s="41"/>
      <c r="L29" s="31"/>
      <c r="M29" s="31"/>
      <c r="N29" s="31"/>
      <c r="O29" s="31"/>
      <c r="P29" s="41"/>
    </row>
    <row r="30" spans="1:19">
      <c r="A30" s="11" t="s">
        <v>44</v>
      </c>
      <c r="B30" s="25">
        <v>15936</v>
      </c>
      <c r="C30" s="25">
        <v>24454</v>
      </c>
      <c r="D30" s="25">
        <v>13562</v>
      </c>
      <c r="E30" s="25">
        <f>+F30-SUM(B30:D30)</f>
        <v>20177</v>
      </c>
      <c r="F30" s="42">
        <v>74129</v>
      </c>
      <c r="G30" s="25">
        <v>14943</v>
      </c>
      <c r="H30" s="25">
        <v>15756</v>
      </c>
      <c r="I30" s="25">
        <v>8448</v>
      </c>
      <c r="J30" s="25">
        <f>+K30-SUM(G30:I30)</f>
        <v>16987</v>
      </c>
      <c r="K30" s="42">
        <v>56134</v>
      </c>
      <c r="L30" s="25">
        <v>29800</v>
      </c>
      <c r="M30" s="25">
        <v>28800</v>
      </c>
      <c r="N30" s="25">
        <v>20500</v>
      </c>
      <c r="O30" s="25">
        <v>24900</v>
      </c>
      <c r="P30" s="42">
        <f>+SUM(L30:O30)</f>
        <v>104000</v>
      </c>
    </row>
    <row r="31" spans="1:19">
      <c r="A31" s="8" t="s">
        <v>45</v>
      </c>
      <c r="B31" s="28">
        <v>98573</v>
      </c>
      <c r="C31" s="28">
        <v>137369</v>
      </c>
      <c r="D31" s="28">
        <v>103139</v>
      </c>
      <c r="E31" s="28">
        <f>+F31-SUM(B31:D31)</f>
        <v>402422</v>
      </c>
      <c r="F31" s="47">
        <v>741503</v>
      </c>
      <c r="G31" s="28">
        <v>121223</v>
      </c>
      <c r="H31" s="28">
        <v>90404</v>
      </c>
      <c r="I31" s="28">
        <v>85886</v>
      </c>
      <c r="J31" s="28">
        <f>+K31-SUM(G31:I31)</f>
        <v>75515</v>
      </c>
      <c r="K31" s="47">
        <v>373028</v>
      </c>
      <c r="L31" s="28">
        <v>160400</v>
      </c>
      <c r="M31" s="28">
        <v>152800</v>
      </c>
      <c r="N31" s="28">
        <v>145400</v>
      </c>
      <c r="O31" s="28">
        <v>87200</v>
      </c>
      <c r="P31" s="47">
        <f>+SUM(L31:O31)</f>
        <v>545800</v>
      </c>
    </row>
    <row r="32" spans="1:19">
      <c r="A32" s="4" t="s">
        <v>26</v>
      </c>
      <c r="B32" s="19"/>
      <c r="C32" s="19"/>
      <c r="D32" s="19"/>
      <c r="E32" s="19"/>
      <c r="F32" s="41"/>
      <c r="G32" s="49">
        <f>+(G31/B31)-1</f>
        <v>0.2297789455530419</v>
      </c>
      <c r="H32" s="35">
        <f t="shared" ref="H32:P32" si="10">+(H31/C31)-1</f>
        <v>-0.34188936368467415</v>
      </c>
      <c r="I32" s="35">
        <f t="shared" si="10"/>
        <v>-0.16727910877553598</v>
      </c>
      <c r="J32" s="35">
        <f t="shared" si="10"/>
        <v>-0.81234872844923989</v>
      </c>
      <c r="K32" s="40">
        <f t="shared" si="10"/>
        <v>-0.49692988430255847</v>
      </c>
      <c r="L32" s="35">
        <f t="shared" si="10"/>
        <v>0.32318124448330754</v>
      </c>
      <c r="M32" s="35">
        <f t="shared" si="10"/>
        <v>0.69019069952656964</v>
      </c>
      <c r="N32" s="35">
        <f t="shared" si="10"/>
        <v>0.69294180658081639</v>
      </c>
      <c r="O32" s="35">
        <f t="shared" si="10"/>
        <v>0.15473746937694499</v>
      </c>
      <c r="P32" s="40">
        <f t="shared" si="10"/>
        <v>0.4631609423421299</v>
      </c>
    </row>
    <row r="33" spans="1:19">
      <c r="A33" s="4" t="s">
        <v>28</v>
      </c>
      <c r="B33" s="21">
        <f t="shared" ref="B33:P33" si="11">+B31/B5</f>
        <v>6.8718084568703791E-2</v>
      </c>
      <c r="C33" s="21">
        <f t="shared" si="11"/>
        <v>8.2659243707844957E-2</v>
      </c>
      <c r="D33" s="21">
        <f t="shared" si="11"/>
        <v>6.6179395768686852E-2</v>
      </c>
      <c r="E33" s="21">
        <f t="shared" si="11"/>
        <v>0.24309858848631075</v>
      </c>
      <c r="F33" s="46">
        <f t="shared" si="11"/>
        <v>0.11750886027484443</v>
      </c>
      <c r="G33" s="21">
        <f t="shared" si="11"/>
        <v>6.6620905542665018E-2</v>
      </c>
      <c r="H33" s="21">
        <f t="shared" si="11"/>
        <v>4.8401224111309323E-2</v>
      </c>
      <c r="I33" s="21">
        <f t="shared" si="11"/>
        <v>4.5723758988525674E-2</v>
      </c>
      <c r="J33" s="21">
        <f t="shared" si="11"/>
        <v>4.0193529328794941E-2</v>
      </c>
      <c r="K33" s="46">
        <f t="shared" si="11"/>
        <v>5.0107528326090896E-2</v>
      </c>
      <c r="L33" s="21">
        <f t="shared" si="11"/>
        <v>8.0123882311803785E-2</v>
      </c>
      <c r="M33" s="21">
        <f t="shared" si="11"/>
        <v>7.5925465838509315E-2</v>
      </c>
      <c r="N33" s="21">
        <f t="shared" si="11"/>
        <v>7.1802469135802474E-2</v>
      </c>
      <c r="O33" s="21">
        <f t="shared" si="11"/>
        <v>4.4469376306797898E-2</v>
      </c>
      <c r="P33" s="46">
        <f t="shared" si="11"/>
        <v>6.8222441658437813E-2</v>
      </c>
    </row>
    <row r="34" spans="1:19">
      <c r="A34" s="4"/>
      <c r="B34" s="21"/>
      <c r="C34" s="21"/>
      <c r="D34" s="21"/>
      <c r="E34" s="21"/>
      <c r="F34" s="64"/>
      <c r="G34" s="21"/>
      <c r="H34" s="21"/>
      <c r="I34" s="21"/>
      <c r="J34" s="21"/>
      <c r="K34" s="64"/>
      <c r="L34" s="21"/>
      <c r="M34" s="21"/>
      <c r="N34" s="21"/>
      <c r="O34" s="21"/>
      <c r="P34" s="64"/>
    </row>
    <row r="35" spans="1:19">
      <c r="A35" s="62" t="s">
        <v>46</v>
      </c>
      <c r="B35" s="25">
        <v>155936</v>
      </c>
      <c r="C35" s="25">
        <v>156674</v>
      </c>
      <c r="D35" s="25">
        <v>157123</v>
      </c>
      <c r="E35" s="25">
        <f>+E31/E36</f>
        <v>156962.35283022435</v>
      </c>
      <c r="F35" s="42">
        <v>156794</v>
      </c>
      <c r="G35" s="30">
        <v>157448</v>
      </c>
      <c r="H35" s="30">
        <v>156748</v>
      </c>
      <c r="I35" s="30">
        <v>156233</v>
      </c>
      <c r="J35" s="30">
        <f>+J31/J36</f>
        <v>155534.24013555853</v>
      </c>
      <c r="K35" s="42">
        <v>156608</v>
      </c>
      <c r="L35" s="30">
        <v>156755</v>
      </c>
      <c r="M35" s="30">
        <v>156571</v>
      </c>
      <c r="N35" s="30">
        <v>156200</v>
      </c>
      <c r="O35" s="30">
        <f>+O31/O36</f>
        <v>154895.53338188221</v>
      </c>
      <c r="P35" s="42">
        <v>156256</v>
      </c>
    </row>
    <row r="36" spans="1:19">
      <c r="A36" s="63" t="s">
        <v>47</v>
      </c>
      <c r="B36" s="65">
        <f>+B31/B35</f>
        <v>0.63213754360763386</v>
      </c>
      <c r="C36" s="65">
        <f t="shared" ref="C36:P36" si="12">+C31/C35</f>
        <v>0.8767823633787355</v>
      </c>
      <c r="D36" s="65">
        <f t="shared" si="12"/>
        <v>0.65642203878490102</v>
      </c>
      <c r="E36" s="65">
        <f>+F36-SUM(B36:D36)</f>
        <v>2.5638122310467204</v>
      </c>
      <c r="F36" s="60">
        <f t="shared" si="12"/>
        <v>4.7291541768179908</v>
      </c>
      <c r="G36" s="65">
        <f t="shared" si="12"/>
        <v>0.76992403841268231</v>
      </c>
      <c r="H36" s="65">
        <f t="shared" si="12"/>
        <v>0.57674739071630898</v>
      </c>
      <c r="I36" s="65">
        <f t="shared" si="12"/>
        <v>0.5497302106469184</v>
      </c>
      <c r="J36" s="65">
        <f>+K36-SUM(G36:I36)</f>
        <v>0.48552010113132393</v>
      </c>
      <c r="K36" s="60">
        <f t="shared" si="12"/>
        <v>2.3819217409072335</v>
      </c>
      <c r="L36" s="65">
        <f t="shared" si="12"/>
        <v>1.0232528467991451</v>
      </c>
      <c r="M36" s="65">
        <f t="shared" si="12"/>
        <v>0.97591508005952576</v>
      </c>
      <c r="N36" s="65">
        <f t="shared" si="12"/>
        <v>0.93085787451984636</v>
      </c>
      <c r="O36" s="65">
        <f>+P36-SUM(L36:N36)</f>
        <v>0.56296006796410047</v>
      </c>
      <c r="P36" s="60">
        <f t="shared" si="12"/>
        <v>3.4929858693426175</v>
      </c>
    </row>
    <row r="37" spans="1:19">
      <c r="A37" s="4" t="s">
        <v>26</v>
      </c>
      <c r="B37" s="19"/>
      <c r="C37" s="19"/>
      <c r="D37" s="19"/>
      <c r="E37" s="19"/>
      <c r="F37" s="19"/>
      <c r="G37" s="49">
        <f>+(G36/B36)-1</f>
        <v>0.21796916857476223</v>
      </c>
      <c r="H37" s="49">
        <f t="shared" ref="H37:P37" si="13">+(H36/C36)-1</f>
        <v>-0.34220005464779546</v>
      </c>
      <c r="I37" s="49">
        <f t="shared" si="13"/>
        <v>-0.16253541446518038</v>
      </c>
      <c r="J37" s="49">
        <f t="shared" si="13"/>
        <v>-0.81062571772929637</v>
      </c>
      <c r="K37" s="49">
        <f t="shared" si="13"/>
        <v>-0.49633239859608291</v>
      </c>
      <c r="L37" s="49">
        <f t="shared" si="13"/>
        <v>0.32903091181402688</v>
      </c>
      <c r="M37" s="49">
        <f t="shared" si="13"/>
        <v>0.69210142216241044</v>
      </c>
      <c r="N37" s="49">
        <f t="shared" si="13"/>
        <v>0.69329947034277017</v>
      </c>
      <c r="O37" s="49">
        <f t="shared" si="13"/>
        <v>0.15949899221954245</v>
      </c>
      <c r="P37" s="49">
        <f t="shared" si="13"/>
        <v>0.46645702474347384</v>
      </c>
    </row>
    <row r="38" spans="1:19">
      <c r="A38" s="4"/>
      <c r="B38" s="19"/>
      <c r="C38" s="19"/>
      <c r="D38" s="19"/>
      <c r="E38" s="19"/>
      <c r="F38" s="19"/>
      <c r="G38" s="19"/>
      <c r="H38" s="19"/>
      <c r="I38" s="19"/>
      <c r="J38" s="19"/>
      <c r="K38" s="19"/>
      <c r="L38" s="19"/>
      <c r="M38" s="19"/>
      <c r="N38" s="19"/>
      <c r="O38" s="19"/>
      <c r="P38" s="19"/>
    </row>
    <row r="39" spans="1:19">
      <c r="A39" s="5"/>
      <c r="B39" s="19"/>
      <c r="C39" s="19"/>
      <c r="D39" s="19"/>
      <c r="E39" s="19"/>
      <c r="F39" s="19"/>
      <c r="G39" s="19"/>
      <c r="H39" s="19"/>
      <c r="I39" s="19"/>
      <c r="J39" s="19"/>
      <c r="K39" s="19"/>
      <c r="L39" s="19"/>
      <c r="M39" s="19"/>
      <c r="N39" s="19"/>
      <c r="O39" s="19"/>
      <c r="P39" s="19"/>
    </row>
    <row r="40" spans="1:19">
      <c r="A40" s="9" t="s">
        <v>48</v>
      </c>
      <c r="B40" s="24"/>
      <c r="C40" s="24"/>
      <c r="D40" s="24"/>
      <c r="E40" s="24"/>
      <c r="F40" s="41"/>
      <c r="G40" s="24"/>
      <c r="H40" s="24"/>
      <c r="I40" s="24"/>
      <c r="J40" s="24"/>
      <c r="K40" s="41"/>
      <c r="L40" s="24"/>
      <c r="M40" s="24"/>
      <c r="N40" s="24"/>
      <c r="O40" s="24"/>
      <c r="P40" s="41"/>
      <c r="S40" t="s">
        <v>49</v>
      </c>
    </row>
    <row r="41" spans="1:19">
      <c r="A41" t="s">
        <v>50</v>
      </c>
      <c r="B41" s="25">
        <f>+B15</f>
        <v>157668</v>
      </c>
      <c r="C41" s="25">
        <f t="shared" ref="C41:P41" si="14">+C15</f>
        <v>201209</v>
      </c>
      <c r="D41" s="25">
        <f t="shared" si="14"/>
        <v>146247</v>
      </c>
      <c r="E41" s="25">
        <f t="shared" si="14"/>
        <v>93063</v>
      </c>
      <c r="F41" s="42">
        <f t="shared" si="14"/>
        <v>598187</v>
      </c>
      <c r="G41" s="25">
        <f t="shared" si="14"/>
        <v>175904</v>
      </c>
      <c r="H41" s="25">
        <f t="shared" si="14"/>
        <v>154158</v>
      </c>
      <c r="I41" s="25">
        <f t="shared" si="14"/>
        <v>129971</v>
      </c>
      <c r="J41" s="25">
        <f t="shared" si="14"/>
        <v>86637</v>
      </c>
      <c r="K41" s="42">
        <f t="shared" si="14"/>
        <v>546670</v>
      </c>
      <c r="L41" s="25">
        <f t="shared" si="14"/>
        <v>223600</v>
      </c>
      <c r="M41" s="25">
        <f t="shared" si="14"/>
        <v>217700</v>
      </c>
      <c r="N41" s="25">
        <f t="shared" si="14"/>
        <v>213200</v>
      </c>
      <c r="O41" s="25">
        <f t="shared" si="14"/>
        <v>130300</v>
      </c>
      <c r="P41" s="42">
        <f t="shared" si="14"/>
        <v>784800</v>
      </c>
    </row>
    <row r="42" spans="1:19">
      <c r="A42" t="s">
        <v>51</v>
      </c>
      <c r="B42" s="25">
        <v>33008</v>
      </c>
      <c r="C42" s="25">
        <v>33641</v>
      </c>
      <c r="D42" s="25">
        <v>34009</v>
      </c>
      <c r="E42" s="25">
        <v>38942</v>
      </c>
      <c r="F42" s="42">
        <v>139600</v>
      </c>
      <c r="G42" s="25">
        <v>36516</v>
      </c>
      <c r="H42" s="25">
        <v>35516</v>
      </c>
      <c r="I42" s="25">
        <v>38606</v>
      </c>
      <c r="J42" s="25">
        <v>43078</v>
      </c>
      <c r="K42" s="42">
        <v>153716</v>
      </c>
      <c r="L42" s="25">
        <v>41424</v>
      </c>
      <c r="M42" s="25">
        <v>43971</v>
      </c>
      <c r="N42" s="25">
        <v>46140</v>
      </c>
      <c r="O42" s="25">
        <v>50390</v>
      </c>
      <c r="P42" s="42">
        <v>181925</v>
      </c>
    </row>
    <row r="43" spans="1:19">
      <c r="A43" s="4" t="s">
        <v>28</v>
      </c>
      <c r="B43" s="35">
        <f t="shared" ref="B43:P43" si="15">+B42/B5</f>
        <v>2.3010829897068923E-2</v>
      </c>
      <c r="C43" s="35">
        <f t="shared" si="15"/>
        <v>2.0242846767288197E-2</v>
      </c>
      <c r="D43" s="35">
        <f t="shared" si="15"/>
        <v>2.1821959401363895E-2</v>
      </c>
      <c r="E43" s="35">
        <f t="shared" si="15"/>
        <v>2.3524422702620416E-2</v>
      </c>
      <c r="F43" s="40">
        <f t="shared" si="15"/>
        <v>2.2122954181396814E-2</v>
      </c>
      <c r="G43" s="35">
        <f t="shared" si="15"/>
        <v>2.0068213018948181E-2</v>
      </c>
      <c r="H43" s="35">
        <f t="shared" si="15"/>
        <v>1.9014843099168864E-2</v>
      </c>
      <c r="I43" s="35">
        <f t="shared" si="15"/>
        <v>2.0552959033032416E-2</v>
      </c>
      <c r="J43" s="35">
        <f t="shared" si="15"/>
        <v>2.2928648035831667E-2</v>
      </c>
      <c r="K43" s="40">
        <f t="shared" si="15"/>
        <v>2.0648125138524154E-2</v>
      </c>
      <c r="L43" s="35">
        <f t="shared" si="15"/>
        <v>2.0692342274838904E-2</v>
      </c>
      <c r="M43" s="35">
        <f t="shared" si="15"/>
        <v>2.1848944099378882E-2</v>
      </c>
      <c r="N43" s="35">
        <f t="shared" si="15"/>
        <v>2.2785185185185186E-2</v>
      </c>
      <c r="O43" s="35">
        <f t="shared" si="15"/>
        <v>2.5697383854352593E-2</v>
      </c>
      <c r="P43" s="40">
        <f t="shared" si="15"/>
        <v>2.2739772258540306E-2</v>
      </c>
    </row>
    <row r="44" spans="1:19">
      <c r="A44" s="3" t="s">
        <v>52</v>
      </c>
      <c r="B44" s="61">
        <f>+B41+B42</f>
        <v>190676</v>
      </c>
      <c r="C44" s="61">
        <f t="shared" ref="C44:P44" si="16">+C41+C42</f>
        <v>234850</v>
      </c>
      <c r="D44" s="61">
        <f t="shared" si="16"/>
        <v>180256</v>
      </c>
      <c r="E44" s="61">
        <f t="shared" si="16"/>
        <v>132005</v>
      </c>
      <c r="F44" s="43">
        <f t="shared" si="16"/>
        <v>737787</v>
      </c>
      <c r="G44" s="61">
        <f t="shared" si="16"/>
        <v>212420</v>
      </c>
      <c r="H44" s="61">
        <f t="shared" si="16"/>
        <v>189674</v>
      </c>
      <c r="I44" s="61">
        <f t="shared" si="16"/>
        <v>168577</v>
      </c>
      <c r="J44" s="61">
        <f t="shared" si="16"/>
        <v>129715</v>
      </c>
      <c r="K44" s="43">
        <f t="shared" si="16"/>
        <v>700386</v>
      </c>
      <c r="L44" s="61">
        <f t="shared" si="16"/>
        <v>265024</v>
      </c>
      <c r="M44" s="61">
        <f t="shared" si="16"/>
        <v>261671</v>
      </c>
      <c r="N44" s="61">
        <f t="shared" si="16"/>
        <v>259340</v>
      </c>
      <c r="O44" s="61">
        <f t="shared" si="16"/>
        <v>180690</v>
      </c>
      <c r="P44" s="43">
        <f t="shared" si="16"/>
        <v>966725</v>
      </c>
    </row>
    <row r="45" spans="1:19">
      <c r="A45" s="59" t="s">
        <v>53</v>
      </c>
      <c r="B45" s="34">
        <f t="shared" ref="B45:P45" si="17">+B44/B5</f>
        <v>0.13292574531790818</v>
      </c>
      <c r="C45" s="34">
        <f t="shared" si="17"/>
        <v>0.1413166244552074</v>
      </c>
      <c r="D45" s="34">
        <f t="shared" si="17"/>
        <v>0.11566171054286367</v>
      </c>
      <c r="E45" s="34">
        <f t="shared" si="17"/>
        <v>7.9742730698459455E-2</v>
      </c>
      <c r="F45" s="48">
        <f t="shared" si="17"/>
        <v>0.11691997132256599</v>
      </c>
      <c r="G45" s="34">
        <f t="shared" si="17"/>
        <v>0.11674032778740752</v>
      </c>
      <c r="H45" s="34">
        <f t="shared" si="17"/>
        <v>0.10154919895235261</v>
      </c>
      <c r="I45" s="34">
        <f t="shared" si="17"/>
        <v>8.9746572421683296E-2</v>
      </c>
      <c r="J45" s="34">
        <f t="shared" si="17"/>
        <v>6.9041960628810642E-2</v>
      </c>
      <c r="K45" s="48">
        <f t="shared" si="17"/>
        <v>9.4080367517176994E-2</v>
      </c>
      <c r="L45" s="34">
        <f t="shared" si="17"/>
        <v>0.13238623307857536</v>
      </c>
      <c r="M45" s="34">
        <f t="shared" si="17"/>
        <v>0.13002285714285713</v>
      </c>
      <c r="N45" s="34">
        <f t="shared" si="17"/>
        <v>0.12806913580246915</v>
      </c>
      <c r="O45" s="34">
        <f t="shared" si="17"/>
        <v>9.2146463358661834E-2</v>
      </c>
      <c r="P45" s="48">
        <f t="shared" si="17"/>
        <v>0.12083609364648826</v>
      </c>
    </row>
    <row r="47" spans="1:19">
      <c r="G47" s="33"/>
    </row>
    <row r="51" spans="1:22">
      <c r="A51" s="17" t="s">
        <v>54</v>
      </c>
      <c r="B51" s="6"/>
      <c r="C51" s="6"/>
      <c r="D51" s="6"/>
      <c r="E51" s="6"/>
      <c r="F51" s="6"/>
      <c r="G51" s="6"/>
      <c r="H51" s="6"/>
      <c r="I51" s="6"/>
      <c r="J51" s="6"/>
      <c r="K51" s="6"/>
      <c r="L51" s="6"/>
      <c r="M51" s="6"/>
      <c r="N51" s="6"/>
      <c r="O51" s="6"/>
      <c r="P51" s="6"/>
      <c r="S51" t="s">
        <v>55</v>
      </c>
    </row>
    <row r="52" spans="1:22" ht="6" customHeight="1"/>
    <row r="53" spans="1:22">
      <c r="A53" s="2" t="s">
        <v>56</v>
      </c>
      <c r="B53" s="82"/>
      <c r="C53" s="82"/>
      <c r="D53" s="82"/>
      <c r="E53" s="82"/>
      <c r="F53" s="82"/>
      <c r="G53" s="82"/>
      <c r="H53" s="82"/>
      <c r="I53" s="82"/>
      <c r="J53" s="82"/>
      <c r="K53" s="82"/>
      <c r="L53" s="82"/>
      <c r="M53" s="82"/>
      <c r="N53" s="82"/>
      <c r="O53" s="82"/>
      <c r="P53" s="82"/>
    </row>
    <row r="54" spans="1:22">
      <c r="A54" t="s">
        <v>57</v>
      </c>
      <c r="B54" s="33">
        <v>374665</v>
      </c>
      <c r="C54" s="33">
        <v>399653</v>
      </c>
      <c r="D54" s="33">
        <v>350672</v>
      </c>
      <c r="E54" s="33">
        <f>+F54-SUM(B54:D54)</f>
        <v>313048</v>
      </c>
      <c r="F54" s="86">
        <v>1438038</v>
      </c>
      <c r="G54" s="33">
        <v>538569</v>
      </c>
      <c r="H54" s="33">
        <v>521041</v>
      </c>
      <c r="I54" s="33">
        <v>406594</v>
      </c>
      <c r="J54" s="33">
        <f>+K54-SUM(G54:I54)</f>
        <v>365438</v>
      </c>
      <c r="K54" s="33">
        <v>1831642</v>
      </c>
      <c r="L54" s="33">
        <v>441903</v>
      </c>
      <c r="M54" s="33">
        <v>390783</v>
      </c>
      <c r="N54" s="33">
        <v>407670</v>
      </c>
      <c r="O54" s="33">
        <f>+P54-SUM(L54:N54)</f>
        <v>327450</v>
      </c>
      <c r="P54" s="33">
        <v>1567806</v>
      </c>
    </row>
    <row r="55" spans="1:22">
      <c r="A55" s="79" t="s">
        <v>58</v>
      </c>
      <c r="B55" s="93">
        <f>341578/2</f>
        <v>170789</v>
      </c>
      <c r="C55" s="94">
        <f>507929/2</f>
        <v>253964.5</v>
      </c>
      <c r="D55" s="94">
        <f>488399/2</f>
        <v>244199.5</v>
      </c>
      <c r="E55" s="94">
        <f>+F55-SUM(B55:D55)</f>
        <v>241803</v>
      </c>
      <c r="F55" s="95">
        <f>1821512/2</f>
        <v>910756</v>
      </c>
      <c r="G55" s="91">
        <v>239448</v>
      </c>
      <c r="H55" s="91">
        <v>319508</v>
      </c>
      <c r="I55" s="91">
        <v>339174</v>
      </c>
      <c r="J55" s="33">
        <f>+K55-SUM(G55:I55)</f>
        <v>345381</v>
      </c>
      <c r="K55" s="91">
        <v>1243511</v>
      </c>
      <c r="L55" s="91">
        <v>298963</v>
      </c>
      <c r="M55" s="91">
        <v>411063</v>
      </c>
      <c r="N55" s="91">
        <v>386883</v>
      </c>
      <c r="O55" s="33">
        <f>+P55-SUM(L55:N55)</f>
        <v>385483</v>
      </c>
      <c r="P55" s="91">
        <v>1482392</v>
      </c>
    </row>
    <row r="56" spans="1:22">
      <c r="A56" s="88" t="s">
        <v>59</v>
      </c>
      <c r="B56" s="89">
        <f>+B54+B55</f>
        <v>545454</v>
      </c>
      <c r="C56" s="89">
        <f t="shared" ref="C56:F56" si="18">+C54+C55</f>
        <v>653617.5</v>
      </c>
      <c r="D56" s="89">
        <f t="shared" si="18"/>
        <v>594871.5</v>
      </c>
      <c r="E56" s="89">
        <f t="shared" si="18"/>
        <v>554851</v>
      </c>
      <c r="F56" s="90">
        <f t="shared" si="18"/>
        <v>2348794</v>
      </c>
      <c r="G56" s="89">
        <f>+G54+G55</f>
        <v>778017</v>
      </c>
      <c r="H56" s="89">
        <f t="shared" ref="H56" si="19">+H54+H55</f>
        <v>840549</v>
      </c>
      <c r="I56" s="89">
        <f t="shared" ref="I56" si="20">+I54+I55</f>
        <v>745768</v>
      </c>
      <c r="J56" s="89">
        <f t="shared" ref="J56" si="21">+J54+J55</f>
        <v>710819</v>
      </c>
      <c r="K56" s="90">
        <f t="shared" ref="K56" si="22">+K54+K55</f>
        <v>3075153</v>
      </c>
      <c r="L56" s="89">
        <f t="shared" ref="L56" si="23">+L54+L55</f>
        <v>740866</v>
      </c>
      <c r="M56" s="89">
        <f t="shared" ref="M56" si="24">+M54+M55</f>
        <v>801846</v>
      </c>
      <c r="N56" s="89">
        <f t="shared" ref="N56" si="25">+N54+N55</f>
        <v>794553</v>
      </c>
      <c r="O56" s="89">
        <f t="shared" ref="O56" si="26">+O54+O55</f>
        <v>712933</v>
      </c>
      <c r="P56" s="90">
        <f t="shared" ref="P56" si="27">+P54+P55</f>
        <v>3050198</v>
      </c>
    </row>
    <row r="57" spans="1:22">
      <c r="A57" s="4" t="s">
        <v>26</v>
      </c>
      <c r="B57" s="33"/>
      <c r="C57" s="33"/>
      <c r="D57" s="33"/>
      <c r="E57" s="33"/>
      <c r="F57" s="86"/>
      <c r="G57" s="35">
        <f>+(G56/B56)-1</f>
        <v>0.4263659263659263</v>
      </c>
      <c r="H57" s="35">
        <f t="shared" ref="H57:P57" si="28">+(H56/C56)-1</f>
        <v>0.28599524951519806</v>
      </c>
      <c r="I57" s="35">
        <f t="shared" si="28"/>
        <v>0.2536623455653868</v>
      </c>
      <c r="J57" s="35">
        <f t="shared" si="28"/>
        <v>0.28109888961180562</v>
      </c>
      <c r="K57" s="35">
        <f t="shared" si="28"/>
        <v>0.30924763942687172</v>
      </c>
      <c r="L57" s="35">
        <f t="shared" si="28"/>
        <v>-4.7750884620773038E-2</v>
      </c>
      <c r="M57" s="35">
        <f t="shared" si="28"/>
        <v>-4.6044906364768767E-2</v>
      </c>
      <c r="N57" s="35">
        <f t="shared" si="28"/>
        <v>6.5415786142607457E-2</v>
      </c>
      <c r="O57" s="35">
        <f t="shared" si="28"/>
        <v>2.9740341774768808E-3</v>
      </c>
      <c r="P57" s="35">
        <f t="shared" si="28"/>
        <v>-8.1150433815813106E-3</v>
      </c>
      <c r="R57" s="33"/>
      <c r="S57" s="92"/>
    </row>
    <row r="58" spans="1:22" ht="6" customHeight="1">
      <c r="A58" s="4"/>
      <c r="B58" s="33"/>
      <c r="C58" s="33"/>
      <c r="D58" s="33"/>
      <c r="E58" s="33"/>
      <c r="F58" s="86"/>
      <c r="G58" s="33"/>
      <c r="I58" s="33"/>
      <c r="J58" s="33"/>
      <c r="K58" s="33"/>
      <c r="L58" s="33"/>
      <c r="M58" s="33"/>
      <c r="N58" s="33"/>
      <c r="O58" s="33"/>
      <c r="P58" s="33"/>
      <c r="R58" s="33"/>
      <c r="S58" s="92"/>
    </row>
    <row r="59" spans="1:22">
      <c r="A59" t="s">
        <v>60</v>
      </c>
      <c r="B59" s="33">
        <v>712175</v>
      </c>
      <c r="C59" s="33">
        <v>750191</v>
      </c>
      <c r="D59" s="33">
        <v>711886</v>
      </c>
      <c r="E59" s="33">
        <f>+F59-SUM(B59:D59)</f>
        <v>851227</v>
      </c>
      <c r="F59" s="86">
        <v>3025479</v>
      </c>
      <c r="G59" s="33">
        <v>712737</v>
      </c>
      <c r="H59" s="33">
        <v>619284</v>
      </c>
      <c r="I59" s="33">
        <v>784991</v>
      </c>
      <c r="J59" s="33">
        <f>+K59-SUM(G59:I59)</f>
        <v>683775</v>
      </c>
      <c r="K59" s="33">
        <v>2800787</v>
      </c>
      <c r="L59" s="33">
        <v>852655</v>
      </c>
      <c r="M59" s="33">
        <v>682236</v>
      </c>
      <c r="N59" s="33">
        <v>766926</v>
      </c>
      <c r="O59" s="33">
        <f>+P59-SUM(L59:N59)</f>
        <v>635153</v>
      </c>
      <c r="P59" s="33">
        <v>2936970</v>
      </c>
    </row>
    <row r="60" spans="1:22">
      <c r="A60" t="s">
        <v>61</v>
      </c>
      <c r="B60" s="93">
        <f>341578/2</f>
        <v>170789</v>
      </c>
      <c r="C60" s="94">
        <f>507929/2</f>
        <v>253964.5</v>
      </c>
      <c r="D60" s="94">
        <f>488399/2</f>
        <v>244199.5</v>
      </c>
      <c r="E60" s="94">
        <f>+F60-SUM(B60:D60)</f>
        <v>241803</v>
      </c>
      <c r="F60" s="95">
        <f>1821512/2</f>
        <v>910756</v>
      </c>
      <c r="G60" s="33">
        <v>328840</v>
      </c>
      <c r="H60" s="33">
        <v>407971</v>
      </c>
      <c r="I60" s="33">
        <v>347608</v>
      </c>
      <c r="J60" s="33">
        <f>+K60-SUM(G60:I60)</f>
        <v>484191</v>
      </c>
      <c r="K60" s="33">
        <v>1568610</v>
      </c>
      <c r="L60" s="33">
        <v>408407</v>
      </c>
      <c r="M60" s="33">
        <v>528434</v>
      </c>
      <c r="N60" s="33">
        <v>463479</v>
      </c>
      <c r="O60" s="33">
        <f>+P60-SUM(L60:N60)</f>
        <v>612854</v>
      </c>
      <c r="P60" s="33">
        <v>2013174</v>
      </c>
    </row>
    <row r="61" spans="1:22">
      <c r="A61" s="88" t="s">
        <v>62</v>
      </c>
      <c r="B61" s="89">
        <f>+B59+B60</f>
        <v>882964</v>
      </c>
      <c r="C61" s="89">
        <f t="shared" ref="C61:F61" si="29">+C59+C60</f>
        <v>1004155.5</v>
      </c>
      <c r="D61" s="89">
        <f t="shared" si="29"/>
        <v>956085.5</v>
      </c>
      <c r="E61" s="89">
        <f t="shared" si="29"/>
        <v>1093030</v>
      </c>
      <c r="F61" s="90">
        <f t="shared" si="29"/>
        <v>3936235</v>
      </c>
      <c r="G61" s="89">
        <f t="shared" ref="G61" si="30">+G59+G60</f>
        <v>1041577</v>
      </c>
      <c r="H61" s="89">
        <f t="shared" ref="H61" si="31">+H59+H60</f>
        <v>1027255</v>
      </c>
      <c r="I61" s="89">
        <f t="shared" ref="I61" si="32">+I59+I60</f>
        <v>1132599</v>
      </c>
      <c r="J61" s="89">
        <f t="shared" ref="J61" si="33">+J59+J60</f>
        <v>1167966</v>
      </c>
      <c r="K61" s="90">
        <f t="shared" ref="K61" si="34">+K59+K60</f>
        <v>4369397</v>
      </c>
      <c r="L61" s="89">
        <f t="shared" ref="L61" si="35">+L59+L60</f>
        <v>1261062</v>
      </c>
      <c r="M61" s="89">
        <f t="shared" ref="M61" si="36">+M59+M60</f>
        <v>1210670</v>
      </c>
      <c r="N61" s="89">
        <f t="shared" ref="N61" si="37">+N59+N60</f>
        <v>1230405</v>
      </c>
      <c r="O61" s="89">
        <f t="shared" ref="O61" si="38">+O59+O60</f>
        <v>1248007</v>
      </c>
      <c r="P61" s="90">
        <f t="shared" ref="P61" si="39">+P59+P60</f>
        <v>4950144</v>
      </c>
      <c r="R61" s="33"/>
      <c r="S61" s="33"/>
      <c r="T61" s="33"/>
      <c r="U61" s="33"/>
      <c r="V61" s="86"/>
    </row>
    <row r="62" spans="1:22">
      <c r="A62" s="4" t="s">
        <v>26</v>
      </c>
      <c r="F62" s="1"/>
      <c r="G62" s="35">
        <f>+(G61/B61)-1</f>
        <v>0.17963699539279054</v>
      </c>
      <c r="H62" s="35">
        <f t="shared" ref="H62:P62" si="40">+(H61/C61)-1</f>
        <v>2.3003907263366985E-2</v>
      </c>
      <c r="I62" s="35">
        <f t="shared" si="40"/>
        <v>0.18462104069144436</v>
      </c>
      <c r="J62" s="35">
        <f t="shared" si="40"/>
        <v>6.8558045067381501E-2</v>
      </c>
      <c r="K62" s="35">
        <f t="shared" si="40"/>
        <v>0.11004475088504617</v>
      </c>
      <c r="L62" s="35">
        <f t="shared" si="40"/>
        <v>0.21072373909946163</v>
      </c>
      <c r="M62" s="35">
        <f t="shared" si="40"/>
        <v>0.17854865637061867</v>
      </c>
      <c r="N62" s="35">
        <f t="shared" si="40"/>
        <v>8.6355364961473668E-2</v>
      </c>
      <c r="O62" s="35">
        <f t="shared" si="40"/>
        <v>6.8530248312022701E-2</v>
      </c>
      <c r="P62" s="35">
        <f t="shared" si="40"/>
        <v>0.13291239042824454</v>
      </c>
    </row>
    <row r="63" spans="1:22" ht="6" customHeight="1">
      <c r="A63" s="4"/>
      <c r="F63" s="1"/>
    </row>
    <row r="64" spans="1:22">
      <c r="A64" s="83" t="s">
        <v>63</v>
      </c>
      <c r="B64" s="85">
        <f>+B61+B56</f>
        <v>1428418</v>
      </c>
      <c r="C64" s="85">
        <f t="shared" ref="C64:P64" si="41">+C61+C56</f>
        <v>1657773</v>
      </c>
      <c r="D64" s="85">
        <f t="shared" si="41"/>
        <v>1550957</v>
      </c>
      <c r="E64" s="85">
        <f t="shared" si="41"/>
        <v>1647881</v>
      </c>
      <c r="F64" s="87">
        <f t="shared" si="41"/>
        <v>6285029</v>
      </c>
      <c r="G64" s="85">
        <f>+G61+G56</f>
        <v>1819594</v>
      </c>
      <c r="H64" s="85">
        <f t="shared" si="41"/>
        <v>1867804</v>
      </c>
      <c r="I64" s="85">
        <f t="shared" si="41"/>
        <v>1878367</v>
      </c>
      <c r="J64" s="85">
        <f t="shared" si="41"/>
        <v>1878785</v>
      </c>
      <c r="K64" s="87">
        <f t="shared" si="41"/>
        <v>7444550</v>
      </c>
      <c r="L64" s="85">
        <f t="shared" si="41"/>
        <v>2001928</v>
      </c>
      <c r="M64" s="85">
        <f t="shared" si="41"/>
        <v>2012516</v>
      </c>
      <c r="N64" s="85">
        <f t="shared" si="41"/>
        <v>2024958</v>
      </c>
      <c r="O64" s="85">
        <f t="shared" si="41"/>
        <v>1960940</v>
      </c>
      <c r="P64" s="87">
        <f t="shared" si="41"/>
        <v>8000342</v>
      </c>
    </row>
    <row r="66" spans="1:16">
      <c r="A66" s="2" t="s">
        <v>64</v>
      </c>
      <c r="B66" s="82"/>
      <c r="C66" s="82"/>
      <c r="D66" s="82"/>
      <c r="E66" s="82"/>
      <c r="F66" s="82"/>
      <c r="G66" s="82"/>
      <c r="H66" s="82"/>
      <c r="I66" s="82"/>
      <c r="J66" s="82"/>
      <c r="K66" s="82"/>
      <c r="L66" s="82"/>
      <c r="M66" s="82"/>
      <c r="N66" s="82"/>
      <c r="O66" s="82"/>
      <c r="P66" s="82"/>
    </row>
    <row r="67" spans="1:16">
      <c r="A67" t="s">
        <v>65</v>
      </c>
      <c r="B67" s="33">
        <v>826301</v>
      </c>
      <c r="C67" s="33">
        <v>931139</v>
      </c>
      <c r="D67" s="33">
        <v>905380</v>
      </c>
      <c r="E67" s="33">
        <f>+F67-SUM(B67:D67)</f>
        <v>1069153</v>
      </c>
      <c r="F67" s="86">
        <v>3731973</v>
      </c>
      <c r="G67" s="33"/>
      <c r="H67" s="33"/>
      <c r="I67" s="33"/>
      <c r="J67" s="33"/>
      <c r="K67" s="33"/>
      <c r="L67" s="33"/>
      <c r="M67" s="33"/>
      <c r="N67" s="33"/>
      <c r="O67" s="33"/>
      <c r="P67" s="33"/>
    </row>
    <row r="68" spans="1:16">
      <c r="A68" s="4" t="s">
        <v>66</v>
      </c>
      <c r="B68" s="35">
        <f>+B67/B78</f>
        <v>0.57847282798172528</v>
      </c>
      <c r="C68" s="35">
        <f t="shared" ref="C68:F68" si="42">+C67/C78</f>
        <v>0.56168064023240816</v>
      </c>
      <c r="D68" s="35">
        <f t="shared" si="42"/>
        <v>0.58375570696028323</v>
      </c>
      <c r="E68" s="35">
        <f t="shared" si="42"/>
        <v>0.64880473772074565</v>
      </c>
      <c r="F68" s="35">
        <f t="shared" si="42"/>
        <v>0.5937877136286881</v>
      </c>
    </row>
    <row r="69" spans="1:16">
      <c r="A69" t="s">
        <v>67</v>
      </c>
      <c r="B69" s="33">
        <f>+B70</f>
        <v>602117</v>
      </c>
      <c r="C69" s="33">
        <f t="shared" ref="C69:F69" si="43">+C70</f>
        <v>726634</v>
      </c>
      <c r="D69" s="33">
        <f t="shared" si="43"/>
        <v>645577</v>
      </c>
      <c r="E69" s="33">
        <f t="shared" si="43"/>
        <v>578728</v>
      </c>
      <c r="F69" s="33">
        <f t="shared" si="43"/>
        <v>2553056</v>
      </c>
      <c r="G69" s="33">
        <v>946886</v>
      </c>
      <c r="H69" s="33">
        <v>1033879</v>
      </c>
      <c r="I69" s="33">
        <v>947987</v>
      </c>
      <c r="J69" s="33">
        <f>+K69-SUM(G69:I69)</f>
        <v>925640</v>
      </c>
      <c r="K69" s="33">
        <v>3854392</v>
      </c>
      <c r="L69" s="33">
        <v>945931</v>
      </c>
      <c r="M69" s="33">
        <v>1027006</v>
      </c>
      <c r="N69" s="33">
        <v>1017447</v>
      </c>
      <c r="O69" s="33">
        <f>+P69-SUM(L69:N69)</f>
        <v>955351</v>
      </c>
      <c r="P69" s="33">
        <v>3945735</v>
      </c>
    </row>
    <row r="70" spans="1:16" hidden="1">
      <c r="A70" t="s">
        <v>68</v>
      </c>
      <c r="B70" s="33">
        <v>602117</v>
      </c>
      <c r="C70" s="33">
        <v>726634</v>
      </c>
      <c r="D70" s="33">
        <v>645577</v>
      </c>
      <c r="E70" s="33">
        <f>+F70-SUM(B70:D70)</f>
        <v>578728</v>
      </c>
      <c r="F70" s="86">
        <v>2553056</v>
      </c>
      <c r="G70" s="33"/>
      <c r="H70" s="33"/>
      <c r="I70" s="33"/>
      <c r="J70" s="33"/>
      <c r="K70" s="33"/>
      <c r="L70" s="33"/>
      <c r="M70" s="33"/>
      <c r="N70" s="33"/>
      <c r="O70" s="33"/>
      <c r="P70" s="33"/>
    </row>
    <row r="71" spans="1:16">
      <c r="A71" s="4" t="s">
        <v>66</v>
      </c>
      <c r="B71" s="35">
        <f t="shared" ref="B71:P71" si="44">+B69/B$78</f>
        <v>0.42152717201827478</v>
      </c>
      <c r="C71" s="35">
        <f t="shared" si="44"/>
        <v>0.43831935976759184</v>
      </c>
      <c r="D71" s="35">
        <f t="shared" si="44"/>
        <v>0.41624429303971677</v>
      </c>
      <c r="E71" s="35">
        <f t="shared" si="44"/>
        <v>0.35119526227925441</v>
      </c>
      <c r="F71" s="35">
        <f t="shared" si="44"/>
        <v>0.4062122863713119</v>
      </c>
      <c r="G71" s="35">
        <f t="shared" si="44"/>
        <v>0.52038311843191398</v>
      </c>
      <c r="H71" s="35">
        <f t="shared" si="44"/>
        <v>0.55352649421459643</v>
      </c>
      <c r="I71" s="35">
        <f t="shared" si="44"/>
        <v>0.50468678378612908</v>
      </c>
      <c r="J71" s="35">
        <f t="shared" si="44"/>
        <v>0.49268010975178106</v>
      </c>
      <c r="K71" s="35">
        <f t="shared" si="44"/>
        <v>0.51774680806764684</v>
      </c>
      <c r="L71" s="35">
        <f t="shared" si="44"/>
        <v>0.47251000035965329</v>
      </c>
      <c r="M71" s="35">
        <f t="shared" si="44"/>
        <v>0.51030948325379777</v>
      </c>
      <c r="N71" s="35">
        <f t="shared" si="44"/>
        <v>0.50245338421833929</v>
      </c>
      <c r="O71" s="35">
        <f t="shared" si="44"/>
        <v>0.48719032708802923</v>
      </c>
      <c r="P71" s="35">
        <f t="shared" si="44"/>
        <v>0.49319579087993987</v>
      </c>
    </row>
    <row r="72" spans="1:16">
      <c r="A72" s="62" t="s">
        <v>69</v>
      </c>
      <c r="G72" s="33">
        <v>441201</v>
      </c>
      <c r="H72" s="33">
        <v>374566</v>
      </c>
      <c r="I72" s="33">
        <v>469787</v>
      </c>
      <c r="J72" s="33">
        <f>+K72-SUM(G72:I72)</f>
        <v>413661</v>
      </c>
      <c r="K72" s="33">
        <v>1699215</v>
      </c>
      <c r="L72" s="33">
        <v>534494</v>
      </c>
      <c r="M72" s="33">
        <v>433351</v>
      </c>
      <c r="N72" s="33">
        <v>480377</v>
      </c>
      <c r="O72" s="33">
        <f>+P72-SUM(L72:N72)</f>
        <v>383626</v>
      </c>
      <c r="P72" s="33">
        <v>1831848</v>
      </c>
    </row>
    <row r="73" spans="1:16">
      <c r="A73" s="4" t="s">
        <v>66</v>
      </c>
      <c r="G73" s="35">
        <f>+G72/G$78</f>
        <v>0.24247222182530828</v>
      </c>
      <c r="H73" s="35">
        <f t="shared" ref="H73:P73" si="45">+H72/H$78</f>
        <v>0.20053817209942798</v>
      </c>
      <c r="I73" s="35">
        <f t="shared" si="45"/>
        <v>0.25010394667282804</v>
      </c>
      <c r="J73" s="35">
        <f t="shared" si="45"/>
        <v>0.22017474059032832</v>
      </c>
      <c r="K73" s="35">
        <f t="shared" si="45"/>
        <v>0.22824952482017047</v>
      </c>
      <c r="L73" s="35">
        <f t="shared" si="45"/>
        <v>0.26698962200438775</v>
      </c>
      <c r="M73" s="35">
        <f t="shared" si="45"/>
        <v>0.21532797751670049</v>
      </c>
      <c r="N73" s="35">
        <f t="shared" si="45"/>
        <v>0.23722813016368735</v>
      </c>
      <c r="O73" s="35">
        <f t="shared" si="45"/>
        <v>0.19563372668210144</v>
      </c>
      <c r="P73" s="35">
        <f t="shared" si="45"/>
        <v>0.2289712114807092</v>
      </c>
    </row>
    <row r="74" spans="1:16">
      <c r="A74" s="62" t="s">
        <v>70</v>
      </c>
      <c r="G74" s="33">
        <v>431507</v>
      </c>
      <c r="H74" s="33">
        <v>459359</v>
      </c>
      <c r="I74" s="33">
        <v>460593</v>
      </c>
      <c r="J74" s="33">
        <f>+K74-SUM(G74:I74)</f>
        <v>539484</v>
      </c>
      <c r="K74" s="33">
        <v>1890943</v>
      </c>
      <c r="L74" s="33">
        <v>521503</v>
      </c>
      <c r="M74" s="33">
        <v>552159</v>
      </c>
      <c r="N74" s="33">
        <v>527134</v>
      </c>
      <c r="O74" s="33">
        <f>+P74-SUM(L74:N74)</f>
        <v>621963</v>
      </c>
      <c r="P74" s="33">
        <v>2222759</v>
      </c>
    </row>
    <row r="75" spans="1:16">
      <c r="A75" s="4" t="s">
        <v>66</v>
      </c>
      <c r="G75" s="35">
        <f>+G74/G$78</f>
        <v>0.23714465974277779</v>
      </c>
      <c r="H75" s="35">
        <f t="shared" ref="H75:P75" si="46">+H74/H$78</f>
        <v>0.24593533368597562</v>
      </c>
      <c r="I75" s="35">
        <f t="shared" si="46"/>
        <v>0.24520926954104283</v>
      </c>
      <c r="J75" s="35">
        <f t="shared" si="46"/>
        <v>0.28714514965789062</v>
      </c>
      <c r="K75" s="35">
        <f t="shared" si="46"/>
        <v>0.25400366711218275</v>
      </c>
      <c r="L75" s="35">
        <f t="shared" si="46"/>
        <v>0.26050037763595896</v>
      </c>
      <c r="M75" s="35">
        <f t="shared" si="46"/>
        <v>0.27436253922950177</v>
      </c>
      <c r="N75" s="35">
        <f t="shared" si="46"/>
        <v>0.26031848561797333</v>
      </c>
      <c r="O75" s="35">
        <f t="shared" si="46"/>
        <v>0.31717594622986933</v>
      </c>
      <c r="P75" s="35">
        <f t="shared" si="46"/>
        <v>0.27783299763935093</v>
      </c>
    </row>
    <row r="76" spans="1:16">
      <c r="A76" s="55" t="s">
        <v>71</v>
      </c>
      <c r="G76" s="96">
        <v>273031</v>
      </c>
      <c r="H76" s="96">
        <v>254917</v>
      </c>
      <c r="I76" s="96">
        <v>226728</v>
      </c>
      <c r="J76" s="96">
        <f>+K76-SUM(G76:I76)</f>
        <v>308048</v>
      </c>
      <c r="K76" s="96">
        <v>1062724</v>
      </c>
      <c r="L76" s="96">
        <v>281953</v>
      </c>
      <c r="M76" s="96">
        <v>302401</v>
      </c>
      <c r="N76" s="96">
        <v>267602</v>
      </c>
      <c r="O76" s="96">
        <f>+P76-SUM(L76:N76)</f>
        <v>376674</v>
      </c>
      <c r="P76" s="96">
        <v>1228630</v>
      </c>
    </row>
    <row r="77" spans="1:16">
      <c r="A77" s="4" t="s">
        <v>66</v>
      </c>
      <c r="G77" s="35">
        <f>+G76/G$78</f>
        <v>0.15005050577216675</v>
      </c>
      <c r="H77" s="35">
        <f t="shared" ref="H77:P77" si="47">+H76/H$78</f>
        <v>0.13647952354743859</v>
      </c>
      <c r="I77" s="35">
        <f t="shared" si="47"/>
        <v>0.12070484628403289</v>
      </c>
      <c r="J77" s="35">
        <f t="shared" si="47"/>
        <v>0.16396128348906341</v>
      </c>
      <c r="K77" s="35">
        <f t="shared" si="47"/>
        <v>0.14275194605449623</v>
      </c>
      <c r="L77" s="35">
        <f t="shared" si="47"/>
        <v>0.14084072953672661</v>
      </c>
      <c r="M77" s="35">
        <f t="shared" si="47"/>
        <v>0.1502601718445965</v>
      </c>
      <c r="N77" s="35">
        <f t="shared" si="47"/>
        <v>0.13215187673028281</v>
      </c>
      <c r="O77" s="35">
        <f t="shared" si="47"/>
        <v>0.19208848817403898</v>
      </c>
      <c r="P77" s="35">
        <f t="shared" si="47"/>
        <v>0.15357218478910026</v>
      </c>
    </row>
    <row r="78" spans="1:16">
      <c r="A78" s="83" t="s">
        <v>63</v>
      </c>
      <c r="B78" s="85">
        <f>+B67+B70</f>
        <v>1428418</v>
      </c>
      <c r="C78" s="85">
        <f t="shared" ref="C78:F78" si="48">+C67+C70</f>
        <v>1657773</v>
      </c>
      <c r="D78" s="85">
        <f t="shared" si="48"/>
        <v>1550957</v>
      </c>
      <c r="E78" s="85">
        <f t="shared" si="48"/>
        <v>1647881</v>
      </c>
      <c r="F78" s="87">
        <f t="shared" si="48"/>
        <v>6285029</v>
      </c>
      <c r="G78" s="85">
        <f>+G69+G72+G74</f>
        <v>1819594</v>
      </c>
      <c r="H78" s="85">
        <f t="shared" ref="H78:P78" si="49">+H69+H72+H74</f>
        <v>1867804</v>
      </c>
      <c r="I78" s="85">
        <f t="shared" si="49"/>
        <v>1878367</v>
      </c>
      <c r="J78" s="85">
        <f t="shared" si="49"/>
        <v>1878785</v>
      </c>
      <c r="K78" s="87">
        <f t="shared" si="49"/>
        <v>7444550</v>
      </c>
      <c r="L78" s="85">
        <f t="shared" si="49"/>
        <v>2001928</v>
      </c>
      <c r="M78" s="85">
        <f t="shared" si="49"/>
        <v>2012516</v>
      </c>
      <c r="N78" s="85">
        <f t="shared" si="49"/>
        <v>2024958</v>
      </c>
      <c r="O78" s="85">
        <f t="shared" si="49"/>
        <v>1960940</v>
      </c>
      <c r="P78" s="87">
        <f t="shared" si="49"/>
        <v>8000342</v>
      </c>
    </row>
    <row r="81" spans="1:19">
      <c r="A81" s="84" t="s">
        <v>72</v>
      </c>
      <c r="B81" s="6"/>
      <c r="C81" s="6"/>
      <c r="D81" s="6"/>
      <c r="E81" s="6"/>
      <c r="F81" s="6"/>
      <c r="G81" s="6"/>
      <c r="H81" s="6"/>
      <c r="I81" s="6"/>
      <c r="J81" s="6"/>
      <c r="K81" s="6"/>
      <c r="L81" s="6"/>
      <c r="M81" s="6"/>
      <c r="N81" s="6"/>
      <c r="O81" s="6"/>
      <c r="P81" s="6"/>
      <c r="S81" t="s">
        <v>73</v>
      </c>
    </row>
    <row r="83" spans="1:19">
      <c r="A83" s="2" t="s">
        <v>74</v>
      </c>
      <c r="B83" s="82"/>
      <c r="C83" s="82"/>
      <c r="D83" s="82"/>
      <c r="E83" s="82"/>
      <c r="F83" s="82"/>
      <c r="G83" s="82"/>
      <c r="H83" s="82"/>
      <c r="I83" s="82"/>
      <c r="J83" s="82"/>
      <c r="K83" s="82"/>
      <c r="L83" s="82"/>
      <c r="M83" s="82"/>
      <c r="N83" s="82"/>
      <c r="O83" s="82"/>
      <c r="P83" s="82"/>
    </row>
    <row r="84" spans="1:19">
      <c r="A84" s="1" t="s">
        <v>75</v>
      </c>
      <c r="B84" s="33">
        <f>+B54+B59-B96</f>
        <v>626135</v>
      </c>
      <c r="C84" s="33">
        <f>+C54+C59-C96</f>
        <v>645603</v>
      </c>
      <c r="D84" s="33">
        <f>+D54+D59-D96</f>
        <v>616768</v>
      </c>
      <c r="E84" s="33">
        <f>+E54+E59-E96</f>
        <v>687499</v>
      </c>
      <c r="F84" s="86">
        <f>+F54+F59-F96</f>
        <v>2576005</v>
      </c>
      <c r="G84" s="33">
        <f t="shared" ref="G84:P84" si="50">+G54+G59-G96</f>
        <v>796346</v>
      </c>
      <c r="H84" s="33">
        <f t="shared" si="50"/>
        <v>725846</v>
      </c>
      <c r="I84" s="33">
        <f t="shared" si="50"/>
        <v>766985</v>
      </c>
      <c r="J84" s="33">
        <f t="shared" si="50"/>
        <v>673976</v>
      </c>
      <c r="K84" s="86">
        <f t="shared" si="50"/>
        <v>2963153</v>
      </c>
      <c r="L84" s="33">
        <f t="shared" si="50"/>
        <v>782559</v>
      </c>
      <c r="M84" s="33">
        <f t="shared" si="50"/>
        <v>641468</v>
      </c>
      <c r="N84" s="33">
        <f t="shared" si="50"/>
        <v>664553</v>
      </c>
      <c r="O84" s="33">
        <f t="shared" si="50"/>
        <v>569377</v>
      </c>
      <c r="P84" s="86">
        <f t="shared" si="50"/>
        <v>2657957</v>
      </c>
    </row>
    <row r="85" spans="1:19" hidden="1">
      <c r="A85" t="s">
        <v>57</v>
      </c>
      <c r="B85" s="33">
        <f t="shared" ref="B85:P85" si="51">+B54-B97</f>
        <v>234741</v>
      </c>
      <c r="C85" s="33">
        <f t="shared" si="51"/>
        <v>244478</v>
      </c>
      <c r="D85" s="33">
        <f t="shared" si="51"/>
        <v>224439</v>
      </c>
      <c r="E85" s="33">
        <f t="shared" si="51"/>
        <v>211215</v>
      </c>
      <c r="F85" s="86">
        <f t="shared" si="51"/>
        <v>914873</v>
      </c>
      <c r="G85" s="33">
        <f t="shared" si="51"/>
        <v>538569</v>
      </c>
      <c r="H85" s="33">
        <f t="shared" si="51"/>
        <v>521041</v>
      </c>
      <c r="I85" s="33">
        <f t="shared" si="51"/>
        <v>406594</v>
      </c>
      <c r="J85" s="33">
        <f t="shared" si="51"/>
        <v>365438</v>
      </c>
      <c r="K85" s="33">
        <f t="shared" si="51"/>
        <v>1831642</v>
      </c>
      <c r="L85" s="33">
        <f t="shared" si="51"/>
        <v>441903</v>
      </c>
      <c r="M85" s="33">
        <f t="shared" si="51"/>
        <v>390783</v>
      </c>
      <c r="N85" s="33">
        <f t="shared" si="51"/>
        <v>407670</v>
      </c>
      <c r="O85" s="33">
        <f t="shared" si="51"/>
        <v>327450</v>
      </c>
      <c r="P85" s="33">
        <f t="shared" si="51"/>
        <v>1567806</v>
      </c>
    </row>
    <row r="86" spans="1:19" hidden="1">
      <c r="A86" t="s">
        <v>60</v>
      </c>
      <c r="B86" s="33">
        <f t="shared" ref="B86:P86" si="52">+B59-B98</f>
        <v>391394</v>
      </c>
      <c r="C86" s="33">
        <f t="shared" si="52"/>
        <v>401125</v>
      </c>
      <c r="D86" s="33">
        <f t="shared" si="52"/>
        <v>392329</v>
      </c>
      <c r="E86" s="33">
        <f t="shared" si="52"/>
        <v>476284</v>
      </c>
      <c r="F86" s="86">
        <f t="shared" si="52"/>
        <v>1661132</v>
      </c>
      <c r="G86" s="33">
        <f t="shared" si="52"/>
        <v>712737</v>
      </c>
      <c r="H86" s="33">
        <f t="shared" si="52"/>
        <v>619284</v>
      </c>
      <c r="I86" s="33">
        <f t="shared" si="52"/>
        <v>784991</v>
      </c>
      <c r="J86" s="33">
        <f t="shared" si="52"/>
        <v>683775</v>
      </c>
      <c r="K86" s="33">
        <f t="shared" si="52"/>
        <v>2800787</v>
      </c>
      <c r="L86" s="33">
        <f t="shared" si="52"/>
        <v>852655</v>
      </c>
      <c r="M86" s="33">
        <f t="shared" si="52"/>
        <v>682236</v>
      </c>
      <c r="N86" s="33">
        <f t="shared" si="52"/>
        <v>766926</v>
      </c>
      <c r="O86" s="33">
        <f t="shared" si="52"/>
        <v>635153</v>
      </c>
      <c r="P86" s="33">
        <f t="shared" si="52"/>
        <v>2936970</v>
      </c>
    </row>
    <row r="87" spans="1:19">
      <c r="A87" s="4" t="s">
        <v>26</v>
      </c>
      <c r="F87" s="1"/>
      <c r="G87" s="35">
        <f>+(G84/B84)-1</f>
        <v>0.27184393142054031</v>
      </c>
      <c r="H87" s="35">
        <f t="shared" ref="H87:P87" si="53">+(H84/C84)-1</f>
        <v>0.12429155378769918</v>
      </c>
      <c r="I87" s="35">
        <f t="shared" si="53"/>
        <v>0.2435551131057383</v>
      </c>
      <c r="J87" s="35">
        <f t="shared" si="53"/>
        <v>-1.9669846792504386E-2</v>
      </c>
      <c r="K87" s="35">
        <f t="shared" si="53"/>
        <v>0.15029008095869378</v>
      </c>
      <c r="L87" s="35">
        <f t="shared" si="53"/>
        <v>-1.7312826334281883E-2</v>
      </c>
      <c r="M87" s="35">
        <f t="shared" si="53"/>
        <v>-0.11624779911992356</v>
      </c>
      <c r="N87" s="35">
        <f t="shared" si="53"/>
        <v>-0.13355150361480339</v>
      </c>
      <c r="O87" s="35">
        <f t="shared" si="53"/>
        <v>-0.15519692095860982</v>
      </c>
      <c r="P87" s="35">
        <f t="shared" si="53"/>
        <v>-0.10299704402708876</v>
      </c>
    </row>
    <row r="88" spans="1:19">
      <c r="A88" s="1" t="s">
        <v>76</v>
      </c>
      <c r="B88" s="33">
        <f>+B55+B60-B100</f>
        <v>122661</v>
      </c>
      <c r="C88" s="33">
        <f>+C55+C60-C100</f>
        <v>162677</v>
      </c>
      <c r="D88" s="33">
        <f>+D55+D60-D100</f>
        <v>164745</v>
      </c>
      <c r="E88" s="33">
        <f>+E55+E60-E100</f>
        <v>159729</v>
      </c>
      <c r="F88" s="86">
        <f>+F55+F60-F100</f>
        <v>609812</v>
      </c>
      <c r="G88" s="33">
        <f t="shared" ref="G88:P88" si="54">+G55+G60-G100</f>
        <v>199085</v>
      </c>
      <c r="H88" s="33">
        <f t="shared" si="54"/>
        <v>244379</v>
      </c>
      <c r="I88" s="33">
        <f t="shared" si="54"/>
        <v>227447</v>
      </c>
      <c r="J88" s="33">
        <f t="shared" si="54"/>
        <v>295129</v>
      </c>
      <c r="K88" s="86">
        <f t="shared" si="54"/>
        <v>966040</v>
      </c>
      <c r="L88" s="33">
        <f t="shared" si="54"/>
        <v>240790</v>
      </c>
      <c r="M88" s="33">
        <f t="shared" si="54"/>
        <v>310524</v>
      </c>
      <c r="N88" s="33">
        <f t="shared" si="54"/>
        <v>288487</v>
      </c>
      <c r="O88" s="33">
        <f t="shared" si="54"/>
        <v>350180</v>
      </c>
      <c r="P88" s="86">
        <f t="shared" si="54"/>
        <v>1189981</v>
      </c>
    </row>
    <row r="89" spans="1:19">
      <c r="A89" s="4" t="s">
        <v>26</v>
      </c>
      <c r="F89" s="1"/>
      <c r="G89" s="35">
        <f>+(G88/B88)-1</f>
        <v>0.62305052135560612</v>
      </c>
      <c r="H89" s="35">
        <f t="shared" ref="H89:P89" si="55">+(H88/C88)-1</f>
        <v>0.50223448920253011</v>
      </c>
      <c r="I89" s="35">
        <f t="shared" si="55"/>
        <v>0.38060032170930835</v>
      </c>
      <c r="J89" s="35">
        <f t="shared" si="55"/>
        <v>0.84768576776915894</v>
      </c>
      <c r="K89" s="35">
        <f t="shared" si="55"/>
        <v>0.58416036417781214</v>
      </c>
      <c r="L89" s="35">
        <f t="shared" si="55"/>
        <v>0.20948338649320641</v>
      </c>
      <c r="M89" s="35">
        <f t="shared" si="55"/>
        <v>0.27066564639351176</v>
      </c>
      <c r="N89" s="35">
        <f t="shared" si="55"/>
        <v>0.26837021372011938</v>
      </c>
      <c r="O89" s="35">
        <f t="shared" si="55"/>
        <v>0.18653199109541929</v>
      </c>
      <c r="P89" s="35">
        <f t="shared" si="55"/>
        <v>0.23181338246863481</v>
      </c>
    </row>
    <row r="90" spans="1:19">
      <c r="A90" s="83" t="s">
        <v>63</v>
      </c>
      <c r="B90" s="85">
        <f>+B84+B88</f>
        <v>748796</v>
      </c>
      <c r="C90" s="85">
        <f t="shared" ref="C90:P90" si="56">+C84+C88</f>
        <v>808280</v>
      </c>
      <c r="D90" s="85">
        <f t="shared" si="56"/>
        <v>781513</v>
      </c>
      <c r="E90" s="85">
        <f t="shared" si="56"/>
        <v>847228</v>
      </c>
      <c r="F90" s="87">
        <f t="shared" si="56"/>
        <v>3185817</v>
      </c>
      <c r="G90" s="85">
        <f t="shared" si="56"/>
        <v>995431</v>
      </c>
      <c r="H90" s="85">
        <f t="shared" si="56"/>
        <v>970225</v>
      </c>
      <c r="I90" s="85">
        <f t="shared" si="56"/>
        <v>994432</v>
      </c>
      <c r="J90" s="85">
        <f t="shared" si="56"/>
        <v>969105</v>
      </c>
      <c r="K90" s="87">
        <f t="shared" si="56"/>
        <v>3929193</v>
      </c>
      <c r="L90" s="85">
        <f t="shared" si="56"/>
        <v>1023349</v>
      </c>
      <c r="M90" s="85">
        <f t="shared" si="56"/>
        <v>951992</v>
      </c>
      <c r="N90" s="85">
        <f t="shared" si="56"/>
        <v>953040</v>
      </c>
      <c r="O90" s="85">
        <f t="shared" si="56"/>
        <v>919557</v>
      </c>
      <c r="P90" s="87">
        <f t="shared" si="56"/>
        <v>3847938</v>
      </c>
    </row>
    <row r="93" spans="1:19">
      <c r="A93" s="84" t="s">
        <v>77</v>
      </c>
      <c r="B93" s="6"/>
      <c r="C93" s="6"/>
      <c r="D93" s="6"/>
      <c r="E93" s="6"/>
      <c r="F93" s="6"/>
      <c r="G93" s="6"/>
      <c r="H93" s="6"/>
      <c r="I93" s="6"/>
      <c r="J93" s="6"/>
      <c r="K93" s="6"/>
      <c r="L93" s="6"/>
      <c r="M93" s="6"/>
      <c r="N93" s="6"/>
      <c r="O93" s="6"/>
      <c r="P93" s="6"/>
      <c r="S93" t="s">
        <v>78</v>
      </c>
    </row>
    <row r="95" spans="1:19">
      <c r="A95" s="2" t="s">
        <v>79</v>
      </c>
      <c r="B95" s="82"/>
      <c r="C95" s="82"/>
      <c r="D95" s="82"/>
      <c r="E95" s="82"/>
      <c r="F95" s="82"/>
      <c r="G95" s="82"/>
      <c r="H95" s="82"/>
      <c r="I95" s="82"/>
      <c r="J95" s="82"/>
      <c r="K95" s="82"/>
      <c r="L95" s="82"/>
      <c r="M95" s="82"/>
      <c r="N95" s="82"/>
      <c r="O95" s="82"/>
      <c r="P95" s="82"/>
    </row>
    <row r="96" spans="1:19">
      <c r="A96" s="1" t="s">
        <v>75</v>
      </c>
      <c r="B96" s="33">
        <f>+B97+B98</f>
        <v>460705</v>
      </c>
      <c r="C96" s="33">
        <f>+C98+C97</f>
        <v>504241</v>
      </c>
      <c r="D96" s="33">
        <f>+D98+D97</f>
        <v>445790</v>
      </c>
      <c r="E96" s="33">
        <f t="shared" ref="E96:F96" si="57">+E98+E97</f>
        <v>476776</v>
      </c>
      <c r="F96" s="86">
        <f t="shared" si="57"/>
        <v>1887512</v>
      </c>
      <c r="G96" s="33">
        <v>454960</v>
      </c>
      <c r="H96" s="33">
        <v>414479</v>
      </c>
      <c r="I96" s="33">
        <v>424600</v>
      </c>
      <c r="J96" s="33">
        <f>+K96-SUM(G96:I96)</f>
        <v>375237</v>
      </c>
      <c r="K96" s="86">
        <v>1669276</v>
      </c>
      <c r="L96" s="33">
        <v>511999</v>
      </c>
      <c r="M96" s="33">
        <v>431551</v>
      </c>
      <c r="N96" s="33">
        <v>510043</v>
      </c>
      <c r="O96" s="33">
        <f>+P96-SUM(L96:N96)</f>
        <v>393226</v>
      </c>
      <c r="P96" s="86">
        <v>1846819</v>
      </c>
    </row>
    <row r="97" spans="1:16" hidden="1">
      <c r="A97" t="s">
        <v>57</v>
      </c>
      <c r="B97" s="33">
        <v>139924</v>
      </c>
      <c r="C97" s="33">
        <v>155175</v>
      </c>
      <c r="D97" s="33">
        <v>126233</v>
      </c>
      <c r="E97" s="33">
        <f>+F97-SUM(B97:D97)</f>
        <v>101833</v>
      </c>
      <c r="F97" s="86">
        <v>523165</v>
      </c>
      <c r="G97" s="33"/>
      <c r="H97" s="33"/>
      <c r="I97" s="33"/>
      <c r="J97" s="33"/>
      <c r="K97" s="33"/>
      <c r="L97" s="33"/>
      <c r="M97" s="33"/>
      <c r="N97" s="33"/>
      <c r="O97" s="33"/>
      <c r="P97" s="33"/>
    </row>
    <row r="98" spans="1:16" hidden="1">
      <c r="A98" t="s">
        <v>60</v>
      </c>
      <c r="B98" s="33">
        <v>320781</v>
      </c>
      <c r="C98" s="33">
        <v>349066</v>
      </c>
      <c r="D98" s="33">
        <v>319557</v>
      </c>
      <c r="E98" s="33">
        <f>+F98-SUM(B98:D98)</f>
        <v>374943</v>
      </c>
      <c r="F98" s="86">
        <v>1364347</v>
      </c>
      <c r="G98" s="33"/>
      <c r="H98" s="33"/>
      <c r="I98" s="33"/>
      <c r="J98" s="33"/>
      <c r="K98" s="33"/>
      <c r="L98" s="33"/>
      <c r="M98" s="33"/>
      <c r="N98" s="33"/>
      <c r="O98" s="33"/>
      <c r="P98" s="33"/>
    </row>
    <row r="99" spans="1:16">
      <c r="A99" s="4" t="s">
        <v>26</v>
      </c>
      <c r="G99" s="35">
        <f>+(G96/B96)-1</f>
        <v>-1.2470018775572189E-2</v>
      </c>
      <c r="H99" s="35">
        <f t="shared" ref="H99:P99" si="58">+(H96/C96)-1</f>
        <v>-0.17801408453497436</v>
      </c>
      <c r="I99" s="35">
        <f t="shared" si="58"/>
        <v>-4.7533592050068463E-2</v>
      </c>
      <c r="J99" s="35">
        <f t="shared" si="58"/>
        <v>-0.21297003204859311</v>
      </c>
      <c r="K99" s="35">
        <f t="shared" si="58"/>
        <v>-0.11562098678048138</v>
      </c>
      <c r="L99" s="35">
        <f t="shared" si="58"/>
        <v>0.12537146122736065</v>
      </c>
      <c r="M99" s="35">
        <f t="shared" si="58"/>
        <v>4.118905903556036E-2</v>
      </c>
      <c r="N99" s="35">
        <f t="shared" si="58"/>
        <v>0.20123174752708439</v>
      </c>
      <c r="O99" s="35">
        <f t="shared" si="58"/>
        <v>4.7940368353867058E-2</v>
      </c>
      <c r="P99" s="35">
        <f t="shared" si="58"/>
        <v>0.10635928390511817</v>
      </c>
    </row>
    <row r="100" spans="1:16">
      <c r="A100" s="1" t="s">
        <v>76</v>
      </c>
      <c r="B100" s="33">
        <v>218917</v>
      </c>
      <c r="C100" s="33">
        <v>345252</v>
      </c>
      <c r="D100" s="33">
        <v>323654</v>
      </c>
      <c r="E100" s="33">
        <f>+F100-SUM(B100:D100)</f>
        <v>323877</v>
      </c>
      <c r="F100" s="86">
        <v>1211700</v>
      </c>
      <c r="G100" s="33">
        <v>369203</v>
      </c>
      <c r="H100" s="33">
        <v>483100</v>
      </c>
      <c r="I100" s="33">
        <v>459335</v>
      </c>
      <c r="J100" s="33">
        <f>+K100-SUM(G100:I100)</f>
        <v>534443</v>
      </c>
      <c r="K100" s="86">
        <v>1846081</v>
      </c>
      <c r="L100" s="33">
        <v>466580</v>
      </c>
      <c r="M100" s="33">
        <v>628973</v>
      </c>
      <c r="N100" s="33">
        <v>561875</v>
      </c>
      <c r="O100" s="33">
        <f>+P100-SUM(L100:N100)</f>
        <v>648157</v>
      </c>
      <c r="P100" s="86">
        <v>2305585</v>
      </c>
    </row>
    <row r="101" spans="1:16">
      <c r="A101" s="4" t="s">
        <v>26</v>
      </c>
      <c r="G101" s="35">
        <f>+(G100/B100)-1</f>
        <v>0.68649762238656664</v>
      </c>
      <c r="H101" s="35">
        <f t="shared" ref="H101:P101" si="59">+(H100/C100)-1</f>
        <v>0.39926778121488082</v>
      </c>
      <c r="I101" s="35">
        <f t="shared" si="59"/>
        <v>0.41921620001606663</v>
      </c>
      <c r="J101" s="35">
        <f t="shared" si="59"/>
        <v>0.65014187484755026</v>
      </c>
      <c r="K101" s="35">
        <f t="shared" si="59"/>
        <v>0.52354625732442028</v>
      </c>
      <c r="L101" s="35">
        <f t="shared" si="59"/>
        <v>0.26374921113858774</v>
      </c>
      <c r="M101" s="35">
        <f t="shared" si="59"/>
        <v>0.30195197681639407</v>
      </c>
      <c r="N101" s="35">
        <f t="shared" si="59"/>
        <v>0.22323576474686235</v>
      </c>
      <c r="O101" s="35">
        <f t="shared" si="59"/>
        <v>0.21277105322737877</v>
      </c>
      <c r="P101" s="35">
        <f t="shared" si="59"/>
        <v>0.24890782148778956</v>
      </c>
    </row>
    <row r="102" spans="1:16">
      <c r="A102" s="83" t="s">
        <v>63</v>
      </c>
      <c r="B102" s="85">
        <f>+B100+B98+B97</f>
        <v>679622</v>
      </c>
      <c r="C102" s="85">
        <f>+C100+C98+C97</f>
        <v>849493</v>
      </c>
      <c r="D102" s="85">
        <f>+D100+D98+D97</f>
        <v>769444</v>
      </c>
      <c r="E102" s="85">
        <f>+E100+E98+E97</f>
        <v>800653</v>
      </c>
      <c r="F102" s="87">
        <f>+F100+F98+F97</f>
        <v>3099212</v>
      </c>
      <c r="G102" s="85">
        <f>+G96+G100</f>
        <v>824163</v>
      </c>
      <c r="H102" s="85">
        <f t="shared" ref="H102:P102" si="60">+H96+H100</f>
        <v>897579</v>
      </c>
      <c r="I102" s="85">
        <f t="shared" si="60"/>
        <v>883935</v>
      </c>
      <c r="J102" s="85">
        <f t="shared" si="60"/>
        <v>909680</v>
      </c>
      <c r="K102" s="87">
        <f t="shared" si="60"/>
        <v>3515357</v>
      </c>
      <c r="L102" s="85">
        <f t="shared" si="60"/>
        <v>978579</v>
      </c>
      <c r="M102" s="85">
        <f t="shared" si="60"/>
        <v>1060524</v>
      </c>
      <c r="N102" s="85">
        <f t="shared" si="60"/>
        <v>1071918</v>
      </c>
      <c r="O102" s="85">
        <f t="shared" si="60"/>
        <v>1041383</v>
      </c>
      <c r="P102" s="87">
        <f t="shared" si="60"/>
        <v>4152404</v>
      </c>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29F7-F877-4A2F-BCCE-0A37A0BE7BF3}">
  <dimension ref="A2:T57"/>
  <sheetViews>
    <sheetView showGridLines="0" workbookViewId="0">
      <pane ySplit="4" topLeftCell="A20" activePane="bottomLeft" state="frozen"/>
      <selection pane="bottomLeft" activeCell="K54" sqref="K54"/>
    </sheetView>
  </sheetViews>
  <sheetFormatPr defaultRowHeight="15"/>
  <cols>
    <col min="1" max="1" width="46.7109375" customWidth="1"/>
    <col min="2" max="16" width="10.7109375" customWidth="1"/>
    <col min="20" max="20" width="9.5703125" bestFit="1" customWidth="1"/>
  </cols>
  <sheetData>
    <row r="2" spans="1:19">
      <c r="A2" s="17" t="s">
        <v>80</v>
      </c>
      <c r="B2" s="6"/>
      <c r="C2" s="6"/>
      <c r="D2" s="6"/>
      <c r="E2" s="6"/>
      <c r="F2" s="6"/>
      <c r="G2" s="6"/>
      <c r="H2" s="6"/>
      <c r="I2" s="6"/>
      <c r="J2" s="6"/>
      <c r="K2" s="6"/>
      <c r="L2" s="6"/>
      <c r="M2" s="6"/>
      <c r="N2" s="6"/>
      <c r="O2" s="6"/>
      <c r="P2" s="6"/>
    </row>
    <row r="3" spans="1:19">
      <c r="A3" s="1"/>
    </row>
    <row r="4" spans="1:19">
      <c r="B4" s="7" t="s">
        <v>8</v>
      </c>
      <c r="C4" s="7" t="s">
        <v>9</v>
      </c>
      <c r="D4" s="7" t="s">
        <v>10</v>
      </c>
      <c r="E4" s="7" t="s">
        <v>11</v>
      </c>
      <c r="F4" s="38" t="s">
        <v>12</v>
      </c>
      <c r="G4" s="7" t="s">
        <v>13</v>
      </c>
      <c r="H4" s="7" t="s">
        <v>14</v>
      </c>
      <c r="I4" s="7" t="s">
        <v>15</v>
      </c>
      <c r="J4" s="7" t="s">
        <v>16</v>
      </c>
      <c r="K4" s="38" t="s">
        <v>17</v>
      </c>
      <c r="L4" s="7" t="s">
        <v>18</v>
      </c>
      <c r="M4" s="7" t="s">
        <v>19</v>
      </c>
      <c r="N4" s="7" t="s">
        <v>20</v>
      </c>
      <c r="O4" s="7" t="s">
        <v>21</v>
      </c>
      <c r="P4" s="38" t="s">
        <v>22</v>
      </c>
      <c r="S4" s="1" t="s">
        <v>23</v>
      </c>
    </row>
    <row r="5" spans="1:19">
      <c r="A5" s="9" t="s">
        <v>81</v>
      </c>
      <c r="B5" s="7"/>
      <c r="C5" s="7"/>
      <c r="D5" s="7"/>
      <c r="E5" s="7"/>
      <c r="F5" s="38"/>
      <c r="G5" s="7"/>
      <c r="H5" s="7"/>
      <c r="I5" s="7"/>
      <c r="J5" s="7"/>
      <c r="K5" s="38"/>
      <c r="L5" s="7"/>
      <c r="M5" s="7"/>
      <c r="N5" s="7"/>
      <c r="O5" s="7"/>
      <c r="P5" s="38"/>
      <c r="S5" t="s">
        <v>82</v>
      </c>
    </row>
    <row r="6" spans="1:19">
      <c r="A6" t="s">
        <v>83</v>
      </c>
      <c r="B6" s="33">
        <v>1284540</v>
      </c>
      <c r="C6" s="33">
        <v>1091355</v>
      </c>
      <c r="D6" s="33">
        <v>952076</v>
      </c>
      <c r="E6" s="33">
        <v>796283</v>
      </c>
      <c r="F6" s="39">
        <v>796283</v>
      </c>
      <c r="G6" s="33">
        <v>589908</v>
      </c>
      <c r="H6" s="33">
        <v>751904</v>
      </c>
      <c r="I6" s="33">
        <v>508281</v>
      </c>
      <c r="J6" s="33">
        <v>615733</v>
      </c>
      <c r="K6" s="39">
        <v>615733</v>
      </c>
      <c r="L6" s="33">
        <v>760040</v>
      </c>
      <c r="M6" s="33">
        <v>896514</v>
      </c>
      <c r="N6" s="33">
        <v>1100401</v>
      </c>
      <c r="O6" s="33">
        <v>1189910</v>
      </c>
      <c r="P6" s="39">
        <v>1189910</v>
      </c>
    </row>
    <row r="7" spans="1:19">
      <c r="A7" s="11" t="s">
        <v>84</v>
      </c>
      <c r="B7" s="33">
        <v>106028</v>
      </c>
      <c r="C7" s="33">
        <v>107626</v>
      </c>
      <c r="D7" s="33">
        <v>90577</v>
      </c>
      <c r="E7" s="33">
        <v>98580</v>
      </c>
      <c r="F7" s="39">
        <v>98580</v>
      </c>
      <c r="G7" s="33">
        <v>104933</v>
      </c>
      <c r="H7" s="33">
        <v>105099</v>
      </c>
      <c r="I7" s="33">
        <v>102986</v>
      </c>
      <c r="J7" s="33">
        <v>102166</v>
      </c>
      <c r="K7" s="39">
        <v>102166</v>
      </c>
      <c r="L7" s="33">
        <v>89507</v>
      </c>
      <c r="M7" s="33">
        <v>80648</v>
      </c>
      <c r="N7" s="33">
        <v>64065</v>
      </c>
      <c r="O7" s="33">
        <v>72595</v>
      </c>
      <c r="P7" s="39">
        <v>72595</v>
      </c>
    </row>
    <row r="8" spans="1:19">
      <c r="A8" s="12" t="s">
        <v>85</v>
      </c>
      <c r="B8" s="33">
        <v>869594</v>
      </c>
      <c r="C8" s="33">
        <v>844514</v>
      </c>
      <c r="D8" s="33">
        <v>840075</v>
      </c>
      <c r="E8" s="33">
        <v>812836</v>
      </c>
      <c r="F8" s="39">
        <v>812836</v>
      </c>
      <c r="G8" s="33">
        <v>1082523</v>
      </c>
      <c r="H8" s="33">
        <v>971823</v>
      </c>
      <c r="I8" s="33">
        <v>1008983</v>
      </c>
      <c r="J8" s="33">
        <v>934323</v>
      </c>
      <c r="K8" s="39">
        <v>934323</v>
      </c>
      <c r="L8" s="33">
        <v>1135635</v>
      </c>
      <c r="M8" s="33">
        <v>1009508</v>
      </c>
      <c r="N8" s="33">
        <v>994691</v>
      </c>
      <c r="O8" s="33">
        <v>942553</v>
      </c>
      <c r="P8" s="39">
        <v>942553</v>
      </c>
    </row>
    <row r="9" spans="1:19">
      <c r="A9" t="s">
        <v>86</v>
      </c>
      <c r="B9" s="33">
        <v>1067437</v>
      </c>
      <c r="C9" s="33">
        <v>1057284</v>
      </c>
      <c r="D9" s="33">
        <v>1230349</v>
      </c>
      <c r="E9" s="33">
        <v>1470994</v>
      </c>
      <c r="F9" s="39">
        <v>1470994</v>
      </c>
      <c r="G9" s="33">
        <v>1449513</v>
      </c>
      <c r="H9" s="33">
        <v>1563907</v>
      </c>
      <c r="I9" s="33">
        <v>1779369</v>
      </c>
      <c r="J9" s="33">
        <v>1818016</v>
      </c>
      <c r="K9" s="39">
        <v>1818016</v>
      </c>
      <c r="L9" s="33">
        <v>1502247</v>
      </c>
      <c r="M9" s="33">
        <v>1486012</v>
      </c>
      <c r="N9" s="33">
        <v>1382027</v>
      </c>
      <c r="O9" s="33">
        <v>1525409</v>
      </c>
      <c r="P9" s="39">
        <v>1525409</v>
      </c>
    </row>
    <row r="10" spans="1:19">
      <c r="A10" s="12" t="s">
        <v>87</v>
      </c>
      <c r="B10" s="33">
        <v>137138</v>
      </c>
      <c r="C10" s="33">
        <v>145256</v>
      </c>
      <c r="D10" s="33">
        <v>189598</v>
      </c>
      <c r="E10" s="33">
        <v>193547</v>
      </c>
      <c r="F10" s="39">
        <v>193547</v>
      </c>
      <c r="G10" s="33">
        <v>198727</v>
      </c>
      <c r="H10" s="33">
        <v>177236</v>
      </c>
      <c r="I10" s="33">
        <v>182260</v>
      </c>
      <c r="J10" s="33">
        <v>176035</v>
      </c>
      <c r="K10" s="39">
        <v>176035</v>
      </c>
      <c r="L10" s="33">
        <v>222556</v>
      </c>
      <c r="M10" s="33">
        <v>197007</v>
      </c>
      <c r="N10" s="33">
        <v>226565</v>
      </c>
      <c r="O10" s="33">
        <v>222137</v>
      </c>
      <c r="P10" s="39">
        <v>222137</v>
      </c>
    </row>
    <row r="11" spans="1:19">
      <c r="A11" s="2" t="s">
        <v>88</v>
      </c>
      <c r="B11" s="36">
        <f>+SUM(B6:B10)</f>
        <v>3464737</v>
      </c>
      <c r="C11" s="36">
        <f t="shared" ref="C11:P11" si="0">+SUM(C6:C10)</f>
        <v>3246035</v>
      </c>
      <c r="D11" s="36">
        <f t="shared" si="0"/>
        <v>3302675</v>
      </c>
      <c r="E11" s="36">
        <v>3372240</v>
      </c>
      <c r="F11" s="73">
        <f t="shared" si="0"/>
        <v>3372240</v>
      </c>
      <c r="G11" s="36">
        <f t="shared" si="0"/>
        <v>3425604</v>
      </c>
      <c r="H11" s="36">
        <f t="shared" si="0"/>
        <v>3569969</v>
      </c>
      <c r="I11" s="36">
        <f t="shared" si="0"/>
        <v>3581879</v>
      </c>
      <c r="J11" s="36">
        <v>3646273</v>
      </c>
      <c r="K11" s="73">
        <f t="shared" si="0"/>
        <v>3646273</v>
      </c>
      <c r="L11" s="36">
        <f t="shared" si="0"/>
        <v>3709985</v>
      </c>
      <c r="M11" s="36">
        <f t="shared" si="0"/>
        <v>3669689</v>
      </c>
      <c r="N11" s="36">
        <f t="shared" si="0"/>
        <v>3767749</v>
      </c>
      <c r="O11" s="36">
        <v>3952604</v>
      </c>
      <c r="P11" s="73">
        <f t="shared" si="0"/>
        <v>3952604</v>
      </c>
    </row>
    <row r="12" spans="1:19">
      <c r="A12" s="4" t="s">
        <v>26</v>
      </c>
      <c r="B12" s="33"/>
      <c r="C12" s="33"/>
      <c r="D12" s="33"/>
      <c r="E12" s="33"/>
      <c r="F12" s="39"/>
      <c r="G12" s="35">
        <f>+(G11/B11)-1</f>
        <v>-1.1294652379098324E-2</v>
      </c>
      <c r="H12" s="35">
        <f t="shared" ref="H12:P12" si="1">+(H11/C11)-1</f>
        <v>9.9793748373015134E-2</v>
      </c>
      <c r="I12" s="35">
        <f t="shared" si="1"/>
        <v>8.4538745108132085E-2</v>
      </c>
      <c r="J12" s="35">
        <f t="shared" si="1"/>
        <v>8.1261416743766857E-2</v>
      </c>
      <c r="K12" s="40">
        <f t="shared" si="1"/>
        <v>8.1261416743766857E-2</v>
      </c>
      <c r="L12" s="35">
        <f t="shared" si="1"/>
        <v>8.3016308948728357E-2</v>
      </c>
      <c r="M12" s="35">
        <f t="shared" si="1"/>
        <v>2.7933015664841854E-2</v>
      </c>
      <c r="N12" s="35">
        <f t="shared" si="1"/>
        <v>5.1891758487654149E-2</v>
      </c>
      <c r="O12" s="35">
        <f t="shared" si="1"/>
        <v>8.4012085765382993E-2</v>
      </c>
      <c r="P12" s="40">
        <f t="shared" si="1"/>
        <v>8.4012085765382993E-2</v>
      </c>
    </row>
    <row r="13" spans="1:19" ht="6" customHeight="1">
      <c r="A13" s="4"/>
      <c r="B13" s="33"/>
      <c r="C13" s="33"/>
      <c r="D13" s="33"/>
      <c r="E13" s="33"/>
      <c r="F13" s="39"/>
      <c r="G13" s="33"/>
      <c r="H13" s="33"/>
      <c r="I13" s="33"/>
      <c r="J13" s="33"/>
      <c r="K13" s="39"/>
      <c r="L13" s="33"/>
      <c r="M13" s="33"/>
      <c r="N13" s="33"/>
      <c r="O13" s="33"/>
      <c r="P13" s="39"/>
    </row>
    <row r="14" spans="1:19">
      <c r="A14" s="12" t="s">
        <v>89</v>
      </c>
      <c r="B14" s="33">
        <v>992512</v>
      </c>
      <c r="C14" s="33">
        <v>1026777</v>
      </c>
      <c r="D14" s="33">
        <v>1087183</v>
      </c>
      <c r="E14" s="33">
        <v>1128909</v>
      </c>
      <c r="F14" s="39">
        <v>1128909</v>
      </c>
      <c r="G14" s="33">
        <v>1184483</v>
      </c>
      <c r="H14" s="33">
        <v>1225529</v>
      </c>
      <c r="I14" s="33">
        <v>1289520</v>
      </c>
      <c r="J14" s="33">
        <v>1345370</v>
      </c>
      <c r="K14" s="39">
        <v>1345370</v>
      </c>
      <c r="L14" s="33">
        <v>1377588</v>
      </c>
      <c r="M14" s="33">
        <v>1417225</v>
      </c>
      <c r="N14" s="33">
        <v>1466145</v>
      </c>
      <c r="O14" s="33">
        <v>1506690</v>
      </c>
      <c r="P14" s="39">
        <v>1506690</v>
      </c>
    </row>
    <row r="15" spans="1:19">
      <c r="A15" s="12" t="s">
        <v>90</v>
      </c>
      <c r="B15" s="33">
        <v>1159339</v>
      </c>
      <c r="C15" s="33">
        <v>1134145</v>
      </c>
      <c r="D15" s="33">
        <v>1130279</v>
      </c>
      <c r="E15" s="33">
        <v>1224580</v>
      </c>
      <c r="F15" s="39">
        <v>1224580</v>
      </c>
      <c r="G15" s="33">
        <v>1191885</v>
      </c>
      <c r="H15" s="33">
        <v>1168385</v>
      </c>
      <c r="I15" s="33">
        <v>1117951</v>
      </c>
      <c r="J15" s="33">
        <v>1200565</v>
      </c>
      <c r="K15" s="39">
        <v>1200565</v>
      </c>
      <c r="L15" s="33">
        <v>1239222</v>
      </c>
      <c r="M15" s="33">
        <v>1230635</v>
      </c>
      <c r="N15" s="33">
        <v>1212113</v>
      </c>
      <c r="O15" s="33">
        <v>1276171</v>
      </c>
      <c r="P15" s="39">
        <v>1276171</v>
      </c>
      <c r="S15" t="s">
        <v>91</v>
      </c>
    </row>
    <row r="16" spans="1:19">
      <c r="A16" s="12" t="s">
        <v>92</v>
      </c>
      <c r="B16" s="33">
        <v>63339</v>
      </c>
      <c r="C16" s="33">
        <v>61276</v>
      </c>
      <c r="D16" s="33">
        <v>70353</v>
      </c>
      <c r="E16" s="33">
        <v>451355</v>
      </c>
      <c r="F16" s="39">
        <v>451355</v>
      </c>
      <c r="G16" s="33">
        <v>446007</v>
      </c>
      <c r="H16" s="33">
        <v>452747</v>
      </c>
      <c r="I16" s="33">
        <v>448179</v>
      </c>
      <c r="J16" s="33">
        <v>454190</v>
      </c>
      <c r="K16" s="39">
        <v>454190</v>
      </c>
      <c r="L16" s="33">
        <v>461614</v>
      </c>
      <c r="M16" s="33">
        <v>461021</v>
      </c>
      <c r="N16" s="33">
        <v>442875</v>
      </c>
      <c r="O16" s="33">
        <v>450574</v>
      </c>
      <c r="P16" s="39">
        <v>450574</v>
      </c>
    </row>
    <row r="17" spans="1:20">
      <c r="A17" t="s">
        <v>93</v>
      </c>
      <c r="B17" s="33">
        <v>124379</v>
      </c>
      <c r="C17" s="33">
        <v>122542</v>
      </c>
      <c r="D17" s="33">
        <v>139052</v>
      </c>
      <c r="E17" s="33">
        <v>145590</v>
      </c>
      <c r="F17" s="39">
        <v>145590</v>
      </c>
      <c r="G17" s="33">
        <v>125051</v>
      </c>
      <c r="H17" s="33">
        <v>89423</v>
      </c>
      <c r="I17" s="33">
        <v>70242</v>
      </c>
      <c r="J17" s="33">
        <v>70498</v>
      </c>
      <c r="K17" s="39">
        <v>70498</v>
      </c>
      <c r="L17" s="33">
        <v>80743</v>
      </c>
      <c r="M17" s="33">
        <v>96591</v>
      </c>
      <c r="N17" s="33">
        <v>108517</v>
      </c>
      <c r="O17" s="33">
        <v>123996</v>
      </c>
      <c r="P17" s="39">
        <v>123996</v>
      </c>
    </row>
    <row r="18" spans="1:20">
      <c r="A18" t="s">
        <v>94</v>
      </c>
      <c r="B18" s="33">
        <v>93497</v>
      </c>
      <c r="C18" s="33">
        <v>93497</v>
      </c>
      <c r="D18" s="33">
        <v>93497</v>
      </c>
      <c r="E18" s="33">
        <v>93497</v>
      </c>
      <c r="F18" s="39">
        <v>93497</v>
      </c>
      <c r="G18" s="33">
        <v>93497</v>
      </c>
      <c r="H18" s="33">
        <v>93497</v>
      </c>
      <c r="I18" s="33">
        <v>93497</v>
      </c>
      <c r="J18" s="33">
        <v>93497</v>
      </c>
      <c r="K18" s="39">
        <v>93497</v>
      </c>
      <c r="L18" s="33">
        <v>93497</v>
      </c>
      <c r="M18" s="33">
        <v>101483</v>
      </c>
      <c r="N18" s="33">
        <v>101230</v>
      </c>
      <c r="O18" s="33">
        <v>101230</v>
      </c>
      <c r="P18" s="39">
        <v>101230</v>
      </c>
    </row>
    <row r="19" spans="1:20">
      <c r="A19" t="s">
        <v>95</v>
      </c>
      <c r="B19" s="33">
        <v>87763</v>
      </c>
      <c r="C19" s="33">
        <v>80459</v>
      </c>
      <c r="D19" s="33">
        <v>78536</v>
      </c>
      <c r="E19" s="33">
        <v>75109</v>
      </c>
      <c r="F19" s="39">
        <v>75109</v>
      </c>
      <c r="G19" s="33">
        <v>78583</v>
      </c>
      <c r="H19" s="33">
        <v>77046</v>
      </c>
      <c r="I19" s="33">
        <v>77371</v>
      </c>
      <c r="J19" s="33">
        <v>83094</v>
      </c>
      <c r="K19" s="39">
        <v>83094</v>
      </c>
      <c r="L19" s="33">
        <v>81822</v>
      </c>
      <c r="M19" s="33">
        <v>131013</v>
      </c>
      <c r="N19" s="33">
        <v>140635</v>
      </c>
      <c r="O19" s="33">
        <v>136086</v>
      </c>
      <c r="P19" s="39">
        <v>136086</v>
      </c>
    </row>
    <row r="20" spans="1:20">
      <c r="A20" s="2" t="s">
        <v>96</v>
      </c>
      <c r="B20" s="36">
        <f>+SUM(B14:B19)</f>
        <v>2520829</v>
      </c>
      <c r="C20" s="36">
        <f t="shared" ref="C20:P20" si="2">+SUM(C14:C19)</f>
        <v>2518696</v>
      </c>
      <c r="D20" s="36">
        <f t="shared" si="2"/>
        <v>2598900</v>
      </c>
      <c r="E20" s="36">
        <v>3119040</v>
      </c>
      <c r="F20" s="73">
        <f t="shared" si="2"/>
        <v>3119040</v>
      </c>
      <c r="G20" s="36">
        <f t="shared" si="2"/>
        <v>3119506</v>
      </c>
      <c r="H20" s="36">
        <f t="shared" si="2"/>
        <v>3106627</v>
      </c>
      <c r="I20" s="36">
        <f t="shared" si="2"/>
        <v>3096760</v>
      </c>
      <c r="J20" s="36">
        <v>3247214</v>
      </c>
      <c r="K20" s="73">
        <f t="shared" si="2"/>
        <v>3247214</v>
      </c>
      <c r="L20" s="36">
        <f t="shared" si="2"/>
        <v>3334486</v>
      </c>
      <c r="M20" s="36">
        <f t="shared" si="2"/>
        <v>3437968</v>
      </c>
      <c r="N20" s="36">
        <f t="shared" si="2"/>
        <v>3471515</v>
      </c>
      <c r="O20" s="36">
        <v>3594747</v>
      </c>
      <c r="P20" s="73">
        <f t="shared" si="2"/>
        <v>3594747</v>
      </c>
    </row>
    <row r="21" spans="1:20">
      <c r="A21" s="4" t="s">
        <v>26</v>
      </c>
      <c r="B21" s="36"/>
      <c r="C21" s="36"/>
      <c r="D21" s="36"/>
      <c r="E21" s="36"/>
      <c r="F21" s="73"/>
      <c r="G21" s="35">
        <f>+(G20/B20)-1</f>
        <v>0.2374921107302399</v>
      </c>
      <c r="H21" s="76">
        <f t="shared" ref="H21:P21" si="3">+(H20/C20)-1</f>
        <v>0.23342674145669018</v>
      </c>
      <c r="I21" s="76">
        <f t="shared" si="3"/>
        <v>0.191565662395629</v>
      </c>
      <c r="J21" s="76">
        <f t="shared" si="3"/>
        <v>4.1094054580896655E-2</v>
      </c>
      <c r="K21" s="77">
        <f t="shared" si="3"/>
        <v>4.1094054580896655E-2</v>
      </c>
      <c r="L21" s="76">
        <f t="shared" si="3"/>
        <v>6.8914757657141834E-2</v>
      </c>
      <c r="M21" s="76">
        <f t="shared" si="3"/>
        <v>0.10665619013805006</v>
      </c>
      <c r="N21" s="76">
        <f t="shared" si="3"/>
        <v>0.12101519006962125</v>
      </c>
      <c r="O21" s="76">
        <f t="shared" si="3"/>
        <v>0.10702497587162418</v>
      </c>
      <c r="P21" s="77">
        <f t="shared" si="3"/>
        <v>0.10702497587162418</v>
      </c>
    </row>
    <row r="22" spans="1:20">
      <c r="A22" s="13" t="s">
        <v>97</v>
      </c>
      <c r="B22" s="66">
        <f>+B11+B20</f>
        <v>5985566</v>
      </c>
      <c r="C22" s="66">
        <f>+C11+C20</f>
        <v>5764731</v>
      </c>
      <c r="D22" s="66">
        <f>+D11+D20</f>
        <v>5901575</v>
      </c>
      <c r="E22" s="66">
        <v>6491280</v>
      </c>
      <c r="F22" s="73">
        <f>+F11+F20</f>
        <v>6491280</v>
      </c>
      <c r="G22" s="66">
        <f>+G11+G20</f>
        <v>6545110</v>
      </c>
      <c r="H22" s="66">
        <f>+H11+H20</f>
        <v>6676596</v>
      </c>
      <c r="I22" s="66">
        <f>+I11+I20</f>
        <v>6678639</v>
      </c>
      <c r="J22" s="66">
        <v>6893487</v>
      </c>
      <c r="K22" s="73">
        <f>+K11+K20</f>
        <v>6893487</v>
      </c>
      <c r="L22" s="66">
        <f>+L11+L20</f>
        <v>7044471</v>
      </c>
      <c r="M22" s="66">
        <f>+M11+M20</f>
        <v>7107657</v>
      </c>
      <c r="N22" s="66">
        <f>+N11+N20</f>
        <v>7239264</v>
      </c>
      <c r="O22" s="66">
        <v>7547351</v>
      </c>
      <c r="P22" s="73">
        <f>+P11+P20</f>
        <v>7547351</v>
      </c>
    </row>
    <row r="23" spans="1:20" s="14" customFormat="1">
      <c r="A23" s="4" t="s">
        <v>26</v>
      </c>
      <c r="B23" s="67"/>
      <c r="C23" s="67"/>
      <c r="D23" s="67"/>
      <c r="E23" s="67"/>
      <c r="F23" s="39"/>
      <c r="G23" s="35">
        <f>+(G22/B22)-1</f>
        <v>9.3482220394863313E-2</v>
      </c>
      <c r="H23" s="35">
        <f t="shared" ref="H23:P23" si="4">+(H22/C22)-1</f>
        <v>0.15817997405256201</v>
      </c>
      <c r="I23" s="35">
        <f t="shared" si="4"/>
        <v>0.13167061335321506</v>
      </c>
      <c r="J23" s="35">
        <f t="shared" si="4"/>
        <v>6.1961123229933079E-2</v>
      </c>
      <c r="K23" s="40">
        <f t="shared" si="4"/>
        <v>6.1961123229933079E-2</v>
      </c>
      <c r="L23" s="35">
        <f t="shared" si="4"/>
        <v>7.629527998765484E-2</v>
      </c>
      <c r="M23" s="35">
        <f t="shared" si="4"/>
        <v>6.4562989882868349E-2</v>
      </c>
      <c r="N23" s="35">
        <f t="shared" si="4"/>
        <v>8.3943000961722802E-2</v>
      </c>
      <c r="O23" s="35">
        <f t="shared" si="4"/>
        <v>9.485243099754892E-2</v>
      </c>
      <c r="P23" s="40">
        <f t="shared" si="4"/>
        <v>9.485243099754892E-2</v>
      </c>
      <c r="T23" s="67"/>
    </row>
    <row r="24" spans="1:20">
      <c r="A24" s="5"/>
      <c r="B24" s="33"/>
      <c r="C24" s="33"/>
      <c r="D24" s="33"/>
      <c r="E24" s="33"/>
      <c r="F24" s="39"/>
      <c r="G24" s="33"/>
      <c r="H24" s="33"/>
      <c r="I24" s="33"/>
      <c r="J24" s="33"/>
      <c r="K24" s="39"/>
      <c r="L24" s="33"/>
      <c r="M24" s="33"/>
      <c r="N24" s="33"/>
      <c r="O24" s="33"/>
      <c r="P24" s="39"/>
      <c r="T24" s="33"/>
    </row>
    <row r="25" spans="1:20">
      <c r="A25" s="9" t="s">
        <v>98</v>
      </c>
      <c r="B25" s="67"/>
      <c r="C25" s="67"/>
      <c r="D25" s="67"/>
      <c r="E25" s="67"/>
      <c r="F25" s="39"/>
      <c r="G25" s="67"/>
      <c r="H25" s="67"/>
      <c r="I25" s="67"/>
      <c r="J25" s="67"/>
      <c r="K25" s="39"/>
      <c r="L25" s="67"/>
      <c r="M25" s="67"/>
      <c r="N25" s="67"/>
      <c r="O25" s="67"/>
      <c r="P25" s="39"/>
    </row>
    <row r="26" spans="1:20">
      <c r="A26" t="s">
        <v>99</v>
      </c>
      <c r="B26" s="67">
        <v>60942</v>
      </c>
      <c r="C26" s="67">
        <v>42547</v>
      </c>
      <c r="D26" s="67">
        <v>43742</v>
      </c>
      <c r="E26" s="67">
        <v>76967</v>
      </c>
      <c r="F26" s="39">
        <v>76967</v>
      </c>
      <c r="G26" s="67">
        <v>58711</v>
      </c>
      <c r="H26" s="67">
        <v>73414</v>
      </c>
      <c r="I26" s="67">
        <v>136930</v>
      </c>
      <c r="J26" s="67">
        <v>103184</v>
      </c>
      <c r="K26" s="39">
        <v>103184</v>
      </c>
      <c r="L26" s="67">
        <v>100469</v>
      </c>
      <c r="M26" s="67">
        <v>76388</v>
      </c>
      <c r="N26" s="67">
        <v>76695</v>
      </c>
      <c r="O26" s="67">
        <v>46571</v>
      </c>
      <c r="P26" s="39">
        <v>46571</v>
      </c>
      <c r="T26" s="33"/>
    </row>
    <row r="27" spans="1:20">
      <c r="A27" s="11" t="s">
        <v>100</v>
      </c>
      <c r="B27" s="67">
        <v>1138</v>
      </c>
      <c r="C27" s="67">
        <v>575</v>
      </c>
      <c r="D27" s="67">
        <v>320</v>
      </c>
      <c r="E27" s="67">
        <v>1195</v>
      </c>
      <c r="F27" s="39">
        <v>1195</v>
      </c>
      <c r="G27" s="67">
        <v>50245</v>
      </c>
      <c r="H27" s="67">
        <v>0</v>
      </c>
      <c r="I27" s="67">
        <v>31013</v>
      </c>
      <c r="J27" s="67">
        <v>19635</v>
      </c>
      <c r="K27" s="39">
        <v>19635</v>
      </c>
      <c r="L27" s="67">
        <v>30471</v>
      </c>
      <c r="M27" s="67">
        <v>36654</v>
      </c>
      <c r="N27" s="67">
        <v>35178</v>
      </c>
      <c r="O27" s="67">
        <v>11894</v>
      </c>
      <c r="P27" s="39">
        <v>11894</v>
      </c>
    </row>
    <row r="28" spans="1:20">
      <c r="A28" s="12" t="s">
        <v>101</v>
      </c>
      <c r="B28" s="67">
        <v>807949</v>
      </c>
      <c r="C28" s="67">
        <v>831910</v>
      </c>
      <c r="D28" s="67">
        <v>846101</v>
      </c>
      <c r="E28" s="67">
        <v>876342</v>
      </c>
      <c r="F28" s="39">
        <v>876342</v>
      </c>
      <c r="G28" s="67">
        <v>812216</v>
      </c>
      <c r="H28" s="67">
        <v>972399</v>
      </c>
      <c r="I28" s="67">
        <v>925907</v>
      </c>
      <c r="J28" s="67">
        <v>957384</v>
      </c>
      <c r="K28" s="39">
        <v>957384</v>
      </c>
      <c r="L28" s="67">
        <v>892057</v>
      </c>
      <c r="M28" s="67">
        <v>802234</v>
      </c>
      <c r="N28" s="67">
        <v>820789</v>
      </c>
      <c r="O28" s="67">
        <v>1008001</v>
      </c>
      <c r="P28" s="39">
        <v>1008001</v>
      </c>
    </row>
    <row r="29" spans="1:20">
      <c r="A29" t="s">
        <v>102</v>
      </c>
      <c r="B29" s="67">
        <v>217241</v>
      </c>
      <c r="C29" s="67">
        <v>214271</v>
      </c>
      <c r="D29" s="67">
        <v>214192</v>
      </c>
      <c r="E29" s="67">
        <v>225658</v>
      </c>
      <c r="F29" s="39">
        <v>225658</v>
      </c>
      <c r="G29" s="67">
        <v>225885</v>
      </c>
      <c r="H29" s="67">
        <v>223230</v>
      </c>
      <c r="I29" s="67">
        <v>221396</v>
      </c>
      <c r="J29" s="67">
        <v>238694</v>
      </c>
      <c r="K29" s="39">
        <v>238694</v>
      </c>
      <c r="L29" s="67">
        <v>247411</v>
      </c>
      <c r="M29" s="67">
        <v>261954</v>
      </c>
      <c r="N29" s="67">
        <v>264556</v>
      </c>
      <c r="O29" s="67">
        <v>274296</v>
      </c>
      <c r="P29" s="39">
        <v>274296</v>
      </c>
    </row>
    <row r="30" spans="1:20">
      <c r="A30" s="12" t="s">
        <v>103</v>
      </c>
      <c r="B30" s="67">
        <v>184109</v>
      </c>
      <c r="C30" s="67">
        <v>248996</v>
      </c>
      <c r="D30" s="67">
        <v>232599</v>
      </c>
      <c r="E30" s="67">
        <v>265420</v>
      </c>
      <c r="F30" s="39">
        <v>265420</v>
      </c>
      <c r="G30" s="67">
        <v>258713</v>
      </c>
      <c r="H30" s="67">
        <v>258640</v>
      </c>
      <c r="I30" s="67">
        <v>261577</v>
      </c>
      <c r="J30" s="67">
        <v>294143</v>
      </c>
      <c r="K30" s="39">
        <v>294143</v>
      </c>
      <c r="L30" s="67">
        <v>269225</v>
      </c>
      <c r="M30" s="67">
        <v>300071</v>
      </c>
      <c r="N30" s="67">
        <v>296313</v>
      </c>
      <c r="O30" s="67">
        <v>320105</v>
      </c>
      <c r="P30" s="39">
        <v>320105</v>
      </c>
    </row>
    <row r="31" spans="1:20">
      <c r="A31" s="8" t="s">
        <v>104</v>
      </c>
      <c r="B31" s="68">
        <f>+SUM(B26:B30)</f>
        <v>1271379</v>
      </c>
      <c r="C31" s="68">
        <f t="shared" ref="C31:P31" si="5">+SUM(C26:C30)</f>
        <v>1338299</v>
      </c>
      <c r="D31" s="68">
        <f t="shared" si="5"/>
        <v>1336954</v>
      </c>
      <c r="E31" s="68">
        <v>1445582</v>
      </c>
      <c r="F31" s="74">
        <f t="shared" si="5"/>
        <v>1445582</v>
      </c>
      <c r="G31" s="68">
        <f t="shared" si="5"/>
        <v>1405770</v>
      </c>
      <c r="H31" s="68">
        <f t="shared" si="5"/>
        <v>1527683</v>
      </c>
      <c r="I31" s="68">
        <f t="shared" si="5"/>
        <v>1576823</v>
      </c>
      <c r="J31" s="68">
        <v>1613040</v>
      </c>
      <c r="K31" s="74">
        <f t="shared" si="5"/>
        <v>1613040</v>
      </c>
      <c r="L31" s="68">
        <f t="shared" si="5"/>
        <v>1539633</v>
      </c>
      <c r="M31" s="68">
        <f t="shared" si="5"/>
        <v>1477301</v>
      </c>
      <c r="N31" s="68">
        <f t="shared" si="5"/>
        <v>1493531</v>
      </c>
      <c r="O31" s="68">
        <v>1660867</v>
      </c>
      <c r="P31" s="74">
        <f t="shared" si="5"/>
        <v>1660867</v>
      </c>
    </row>
    <row r="32" spans="1:20">
      <c r="A32" s="4" t="s">
        <v>26</v>
      </c>
      <c r="B32" s="67"/>
      <c r="C32" s="67"/>
      <c r="D32" s="67"/>
      <c r="E32" s="67"/>
      <c r="F32" s="39"/>
      <c r="G32" s="35">
        <f>+(G31/B31)-1</f>
        <v>0.10570490782056341</v>
      </c>
      <c r="H32" s="35">
        <f t="shared" ref="H32:P32" si="6">+(H31/C31)-1</f>
        <v>0.14151097774114763</v>
      </c>
      <c r="I32" s="35">
        <f t="shared" si="6"/>
        <v>0.17941454979004523</v>
      </c>
      <c r="J32" s="35">
        <f t="shared" si="6"/>
        <v>0.11584123211274067</v>
      </c>
      <c r="K32" s="40">
        <f t="shared" si="6"/>
        <v>0.11584123211274067</v>
      </c>
      <c r="L32" s="35">
        <f t="shared" si="6"/>
        <v>9.5223969781685458E-2</v>
      </c>
      <c r="M32" s="35">
        <f t="shared" si="6"/>
        <v>-3.297935501016902E-2</v>
      </c>
      <c r="N32" s="35">
        <f t="shared" si="6"/>
        <v>-5.2822669380139686E-2</v>
      </c>
      <c r="O32" s="35">
        <f t="shared" si="6"/>
        <v>2.9650225660863949E-2</v>
      </c>
      <c r="P32" s="40">
        <f t="shared" si="6"/>
        <v>2.9650225660863949E-2</v>
      </c>
    </row>
    <row r="33" spans="1:16" ht="6" customHeight="1">
      <c r="A33" s="1"/>
      <c r="B33" s="67"/>
      <c r="C33" s="67"/>
      <c r="D33" s="67"/>
      <c r="E33" s="67"/>
      <c r="F33" s="39"/>
      <c r="G33" s="67"/>
      <c r="H33" s="67"/>
      <c r="I33" s="67"/>
      <c r="J33" s="67"/>
      <c r="K33" s="39"/>
      <c r="L33" s="67"/>
      <c r="M33" s="67"/>
      <c r="N33" s="67"/>
      <c r="O33" s="67"/>
      <c r="P33" s="39"/>
    </row>
    <row r="34" spans="1:16">
      <c r="A34" s="12" t="s">
        <v>105</v>
      </c>
      <c r="B34" s="67">
        <v>717595</v>
      </c>
      <c r="C34" s="67">
        <v>268913</v>
      </c>
      <c r="D34" s="67">
        <v>282760</v>
      </c>
      <c r="E34" s="67">
        <v>263445</v>
      </c>
      <c r="F34" s="39">
        <v>263445</v>
      </c>
      <c r="G34" s="67">
        <v>265305</v>
      </c>
      <c r="H34" s="67">
        <v>253260</v>
      </c>
      <c r="I34" s="67">
        <v>225505</v>
      </c>
      <c r="J34" s="67">
        <v>216488</v>
      </c>
      <c r="K34" s="39">
        <v>216488</v>
      </c>
      <c r="L34" s="67">
        <v>230275</v>
      </c>
      <c r="M34" s="67">
        <v>236763</v>
      </c>
      <c r="N34" s="67">
        <v>239590</v>
      </c>
      <c r="O34" s="67">
        <v>242944</v>
      </c>
      <c r="P34" s="39">
        <v>242944</v>
      </c>
    </row>
    <row r="35" spans="1:16">
      <c r="A35" s="12" t="s">
        <v>106</v>
      </c>
      <c r="B35" s="67">
        <v>1039763</v>
      </c>
      <c r="C35" s="67">
        <v>1015754</v>
      </c>
      <c r="D35" s="67">
        <v>1010499</v>
      </c>
      <c r="E35" s="67">
        <v>1094748</v>
      </c>
      <c r="F35" s="39">
        <v>1094748</v>
      </c>
      <c r="G35" s="67">
        <v>1064231</v>
      </c>
      <c r="H35" s="67">
        <v>1049330</v>
      </c>
      <c r="I35" s="67">
        <v>996414</v>
      </c>
      <c r="J35" s="67">
        <v>1063672</v>
      </c>
      <c r="K35" s="39">
        <v>1063672</v>
      </c>
      <c r="L35" s="67">
        <v>1092711</v>
      </c>
      <c r="M35" s="67">
        <v>1069384</v>
      </c>
      <c r="N35" s="67">
        <v>1047896</v>
      </c>
      <c r="O35" s="67">
        <v>1108110</v>
      </c>
      <c r="P35" s="39">
        <v>1108110</v>
      </c>
    </row>
    <row r="36" spans="1:16">
      <c r="A36" s="12" t="s">
        <v>107</v>
      </c>
      <c r="B36" s="67">
        <v>10835</v>
      </c>
      <c r="C36" s="67">
        <v>10421</v>
      </c>
      <c r="D36" s="67">
        <v>9850</v>
      </c>
      <c r="E36" s="67">
        <v>11820</v>
      </c>
      <c r="F36" s="39">
        <v>11820</v>
      </c>
      <c r="G36" s="67">
        <v>11300</v>
      </c>
      <c r="H36" s="67">
        <v>9712</v>
      </c>
      <c r="I36" s="67">
        <v>11739</v>
      </c>
      <c r="J36" s="67">
        <v>8656</v>
      </c>
      <c r="K36" s="39">
        <v>8656</v>
      </c>
      <c r="L36" s="67">
        <v>8722</v>
      </c>
      <c r="M36" s="67">
        <v>20224</v>
      </c>
      <c r="N36" s="67">
        <v>20203</v>
      </c>
      <c r="O36" s="67">
        <v>12594</v>
      </c>
      <c r="P36" s="39">
        <v>12594</v>
      </c>
    </row>
    <row r="37" spans="1:16">
      <c r="A37" t="s">
        <v>108</v>
      </c>
      <c r="B37" s="67">
        <v>114448</v>
      </c>
      <c r="C37" s="67">
        <v>117240</v>
      </c>
      <c r="D37" s="67">
        <v>129518</v>
      </c>
      <c r="E37" s="67">
        <v>133613</v>
      </c>
      <c r="F37" s="39">
        <v>133613</v>
      </c>
      <c r="G37" s="67">
        <v>132588</v>
      </c>
      <c r="H37" s="67">
        <v>118507</v>
      </c>
      <c r="I37" s="67">
        <v>119288</v>
      </c>
      <c r="J37" s="67">
        <v>120045</v>
      </c>
      <c r="K37" s="39">
        <v>120045</v>
      </c>
      <c r="L37" s="67">
        <v>126835</v>
      </c>
      <c r="M37" s="67">
        <v>112523</v>
      </c>
      <c r="N37" s="67">
        <v>133781</v>
      </c>
      <c r="O37" s="67">
        <v>122794</v>
      </c>
      <c r="P37" s="39">
        <v>122794</v>
      </c>
    </row>
    <row r="38" spans="1:16">
      <c r="A38" s="2" t="s">
        <v>109</v>
      </c>
      <c r="B38" s="69">
        <f>+SUM(B34:B37)</f>
        <v>1882641</v>
      </c>
      <c r="C38" s="69">
        <f t="shared" ref="C38:P38" si="7">+SUM(C34:C37)</f>
        <v>1412328</v>
      </c>
      <c r="D38" s="69">
        <f>+SUM(D34:D37)</f>
        <v>1432627</v>
      </c>
      <c r="E38" s="69">
        <v>1503626</v>
      </c>
      <c r="F38" s="73">
        <f t="shared" si="7"/>
        <v>1503626</v>
      </c>
      <c r="G38" s="78">
        <f t="shared" si="7"/>
        <v>1473424</v>
      </c>
      <c r="H38" s="78">
        <f t="shared" si="7"/>
        <v>1430809</v>
      </c>
      <c r="I38" s="78">
        <f t="shared" si="7"/>
        <v>1352946</v>
      </c>
      <c r="J38" s="78">
        <v>1408861</v>
      </c>
      <c r="K38" s="73">
        <f t="shared" si="7"/>
        <v>1408861</v>
      </c>
      <c r="L38" s="78">
        <f t="shared" si="7"/>
        <v>1458543</v>
      </c>
      <c r="M38" s="78">
        <f t="shared" si="7"/>
        <v>1438894</v>
      </c>
      <c r="N38" s="78">
        <f t="shared" si="7"/>
        <v>1441470</v>
      </c>
      <c r="O38" s="78">
        <v>1486442</v>
      </c>
      <c r="P38" s="73">
        <f t="shared" si="7"/>
        <v>1486442</v>
      </c>
    </row>
    <row r="39" spans="1:16">
      <c r="A39" s="4" t="s">
        <v>26</v>
      </c>
      <c r="B39" s="69"/>
      <c r="C39" s="69"/>
      <c r="D39" s="69"/>
      <c r="E39" s="69"/>
      <c r="F39" s="39"/>
      <c r="G39" s="35">
        <f>+(G38/B38)-1</f>
        <v>-0.21736326787741267</v>
      </c>
      <c r="H39" s="35">
        <f t="shared" ref="H39:P39" si="8">+(H38/C38)-1</f>
        <v>1.3085487223930992E-2</v>
      </c>
      <c r="I39" s="35">
        <f t="shared" si="8"/>
        <v>-5.5618803777954806E-2</v>
      </c>
      <c r="J39" s="35">
        <f t="shared" si="8"/>
        <v>-6.3024315887062365E-2</v>
      </c>
      <c r="K39" s="40">
        <f t="shared" si="8"/>
        <v>-6.3024315887062365E-2</v>
      </c>
      <c r="L39" s="35">
        <f t="shared" si="8"/>
        <v>-1.0099604730206657E-2</v>
      </c>
      <c r="M39" s="35">
        <f t="shared" si="8"/>
        <v>5.6506493878638597E-3</v>
      </c>
      <c r="N39" s="35">
        <f t="shared" si="8"/>
        <v>6.543054933456327E-2</v>
      </c>
      <c r="O39" s="35">
        <f t="shared" si="8"/>
        <v>5.5066468587035899E-2</v>
      </c>
      <c r="P39" s="40">
        <f t="shared" si="8"/>
        <v>5.5066468587035899E-2</v>
      </c>
    </row>
    <row r="40" spans="1:16">
      <c r="A40" s="15" t="s">
        <v>110</v>
      </c>
      <c r="B40" s="70">
        <f>+B38+B31</f>
        <v>3154020</v>
      </c>
      <c r="C40" s="70">
        <f>+C38+C31</f>
        <v>2750627</v>
      </c>
      <c r="D40" s="70">
        <f>+D38+D31</f>
        <v>2769581</v>
      </c>
      <c r="E40" s="70">
        <v>2949208</v>
      </c>
      <c r="F40" s="74">
        <f>+F38+F31</f>
        <v>2949208</v>
      </c>
      <c r="G40" s="70">
        <f>+G38+G31</f>
        <v>2879194</v>
      </c>
      <c r="H40" s="70">
        <f>+H38+H31</f>
        <v>2958492</v>
      </c>
      <c r="I40" s="70">
        <f>+I38+I31</f>
        <v>2929769</v>
      </c>
      <c r="J40" s="70">
        <v>3021901</v>
      </c>
      <c r="K40" s="74">
        <f>+K38+K31</f>
        <v>3021901</v>
      </c>
      <c r="L40" s="70">
        <f>+L38+L31</f>
        <v>2998176</v>
      </c>
      <c r="M40" s="70">
        <f>+M38+M31</f>
        <v>2916195</v>
      </c>
      <c r="N40" s="70">
        <f>+N38+N31</f>
        <v>2935001</v>
      </c>
      <c r="O40" s="70">
        <v>3147309</v>
      </c>
      <c r="P40" s="74">
        <f>+P38+P31</f>
        <v>3147309</v>
      </c>
    </row>
    <row r="41" spans="1:16" s="14" customFormat="1">
      <c r="A41" s="4" t="s">
        <v>26</v>
      </c>
      <c r="B41" s="67"/>
      <c r="C41" s="67"/>
      <c r="D41" s="67"/>
      <c r="E41" s="67"/>
      <c r="F41" s="67"/>
      <c r="G41" s="35">
        <f>+(G40/B40)-1</f>
        <v>-8.7135148160125797E-2</v>
      </c>
      <c r="H41" s="35">
        <f t="shared" ref="H41:P41" si="9">+(H40/C40)-1</f>
        <v>7.5570042757524103E-2</v>
      </c>
      <c r="I41" s="35">
        <f t="shared" si="9"/>
        <v>5.7838351721794634E-2</v>
      </c>
      <c r="J41" s="35">
        <f t="shared" si="9"/>
        <v>2.4648312360471047E-2</v>
      </c>
      <c r="K41" s="35">
        <f t="shared" si="9"/>
        <v>2.4648312360471047E-2</v>
      </c>
      <c r="L41" s="35">
        <f t="shared" si="9"/>
        <v>4.1324759637592967E-2</v>
      </c>
      <c r="M41" s="35">
        <f t="shared" si="9"/>
        <v>-1.4296810672464244E-2</v>
      </c>
      <c r="N41" s="35">
        <f t="shared" si="9"/>
        <v>1.7858063212492503E-3</v>
      </c>
      <c r="O41" s="35">
        <f t="shared" si="9"/>
        <v>4.1499704987026487E-2</v>
      </c>
      <c r="P41" s="35">
        <f t="shared" si="9"/>
        <v>4.1499704987026487E-2</v>
      </c>
    </row>
    <row r="42" spans="1:16">
      <c r="A42" s="5"/>
      <c r="B42" s="67"/>
      <c r="C42" s="67"/>
      <c r="D42" s="67"/>
      <c r="E42" s="67"/>
      <c r="F42" s="39"/>
      <c r="G42" s="67"/>
      <c r="H42" s="67"/>
      <c r="I42" s="67"/>
      <c r="J42" s="67"/>
      <c r="K42" s="39"/>
      <c r="L42" s="67"/>
      <c r="M42" s="67"/>
      <c r="N42" s="67"/>
      <c r="O42" s="67"/>
      <c r="P42" s="39"/>
    </row>
    <row r="43" spans="1:16">
      <c r="A43" s="10" t="s">
        <v>111</v>
      </c>
      <c r="B43" s="67">
        <v>2576129</v>
      </c>
      <c r="C43" s="67">
        <v>2733459</v>
      </c>
      <c r="D43" s="67">
        <v>2841503</v>
      </c>
      <c r="E43" s="67">
        <v>3259344</v>
      </c>
      <c r="F43" s="39">
        <v>3259344</v>
      </c>
      <c r="G43" s="67">
        <v>3367817</v>
      </c>
      <c r="H43" s="67">
        <v>3416262</v>
      </c>
      <c r="I43" s="67">
        <v>3458704</v>
      </c>
      <c r="J43" s="67">
        <v>3569988</v>
      </c>
      <c r="K43" s="39">
        <v>3569988</v>
      </c>
      <c r="L43" s="67">
        <v>3714851</v>
      </c>
      <c r="M43" s="67">
        <v>3839349</v>
      </c>
      <c r="N43" s="67">
        <v>3952134</v>
      </c>
      <c r="O43" s="67">
        <v>4019342</v>
      </c>
      <c r="P43" s="39">
        <v>4019342</v>
      </c>
    </row>
    <row r="44" spans="1:16">
      <c r="A44" t="s">
        <v>112</v>
      </c>
      <c r="B44" s="67">
        <v>255417</v>
      </c>
      <c r="C44" s="67">
        <v>280645</v>
      </c>
      <c r="D44" s="67">
        <v>290491</v>
      </c>
      <c r="E44" s="67">
        <v>282728</v>
      </c>
      <c r="F44" s="39">
        <v>282728</v>
      </c>
      <c r="G44" s="67">
        <v>298099</v>
      </c>
      <c r="H44" s="67">
        <v>301842</v>
      </c>
      <c r="I44" s="67">
        <v>290166</v>
      </c>
      <c r="J44" s="67">
        <v>301598</v>
      </c>
      <c r="K44" s="39">
        <v>301598</v>
      </c>
      <c r="L44" s="67">
        <v>331444</v>
      </c>
      <c r="M44" s="67">
        <v>352113</v>
      </c>
      <c r="N44" s="67">
        <v>352129</v>
      </c>
      <c r="O44" s="67">
        <v>380700</v>
      </c>
      <c r="P44" s="39">
        <v>380700</v>
      </c>
    </row>
    <row r="45" spans="1:16">
      <c r="A45" s="9" t="s">
        <v>113</v>
      </c>
      <c r="B45" s="71">
        <f>+SUM(B43+B44)</f>
        <v>2831546</v>
      </c>
      <c r="C45" s="71">
        <f t="shared" ref="C45:P45" si="10">+SUM(C43+C44)</f>
        <v>3014104</v>
      </c>
      <c r="D45" s="71">
        <f t="shared" si="10"/>
        <v>3131994</v>
      </c>
      <c r="E45" s="71">
        <v>3542072</v>
      </c>
      <c r="F45" s="39">
        <f t="shared" si="10"/>
        <v>3542072</v>
      </c>
      <c r="G45" s="71">
        <f t="shared" si="10"/>
        <v>3665916</v>
      </c>
      <c r="H45" s="71">
        <f t="shared" si="10"/>
        <v>3718104</v>
      </c>
      <c r="I45" s="71">
        <f t="shared" si="10"/>
        <v>3748870</v>
      </c>
      <c r="J45" s="71">
        <v>3871586</v>
      </c>
      <c r="K45" s="39">
        <f t="shared" si="10"/>
        <v>3871586</v>
      </c>
      <c r="L45" s="71">
        <f t="shared" si="10"/>
        <v>4046295</v>
      </c>
      <c r="M45" s="71">
        <f t="shared" si="10"/>
        <v>4191462</v>
      </c>
      <c r="N45" s="71">
        <f t="shared" si="10"/>
        <v>4304263</v>
      </c>
      <c r="O45" s="71">
        <v>4400042</v>
      </c>
      <c r="P45" s="39">
        <f t="shared" si="10"/>
        <v>4400042</v>
      </c>
    </row>
    <row r="46" spans="1:16" s="14" customFormat="1">
      <c r="A46" s="4" t="s">
        <v>26</v>
      </c>
      <c r="B46" s="67"/>
      <c r="C46" s="67"/>
      <c r="D46" s="67"/>
      <c r="E46" s="67"/>
      <c r="F46" s="67"/>
      <c r="G46" s="35">
        <f>+(G45/B45)-1</f>
        <v>0.294669413811395</v>
      </c>
      <c r="H46" s="35">
        <f t="shared" ref="H46:P46" si="11">+(H45/C45)-1</f>
        <v>0.23356858290224891</v>
      </c>
      <c r="I46" s="35">
        <f t="shared" si="11"/>
        <v>0.19695950886240521</v>
      </c>
      <c r="J46" s="35">
        <f t="shared" si="11"/>
        <v>9.3028600209143164E-2</v>
      </c>
      <c r="K46" s="35">
        <f t="shared" si="11"/>
        <v>9.3028600209143164E-2</v>
      </c>
      <c r="L46" s="35">
        <f t="shared" si="11"/>
        <v>0.10376096997312545</v>
      </c>
      <c r="M46" s="35">
        <f t="shared" si="11"/>
        <v>0.12731166207292754</v>
      </c>
      <c r="N46" s="35">
        <f t="shared" si="11"/>
        <v>0.14814944236529937</v>
      </c>
      <c r="O46" s="35">
        <f t="shared" si="11"/>
        <v>0.13649599931397627</v>
      </c>
      <c r="P46" s="35">
        <f t="shared" si="11"/>
        <v>0.13649599931397627</v>
      </c>
    </row>
    <row r="47" spans="1:16" s="14" customFormat="1" ht="6" customHeight="1">
      <c r="A47" s="75"/>
      <c r="B47" s="67"/>
      <c r="C47" s="67"/>
      <c r="D47" s="67"/>
      <c r="E47" s="67"/>
      <c r="F47" s="67"/>
      <c r="G47" s="67"/>
      <c r="H47" s="67"/>
      <c r="I47" s="67"/>
      <c r="J47" s="67"/>
      <c r="K47" s="67"/>
      <c r="L47" s="67"/>
      <c r="M47" s="67"/>
      <c r="N47" s="67"/>
      <c r="O47" s="67"/>
      <c r="P47" s="67"/>
    </row>
    <row r="48" spans="1:16">
      <c r="A48" s="16" t="s">
        <v>114</v>
      </c>
      <c r="B48" s="72">
        <f>+B45+B40</f>
        <v>5985566</v>
      </c>
      <c r="C48" s="72">
        <f>+C45+C40</f>
        <v>5764731</v>
      </c>
      <c r="D48" s="72">
        <f>+D45+D40</f>
        <v>5901575</v>
      </c>
      <c r="E48" s="72">
        <v>6491280</v>
      </c>
      <c r="F48" s="73">
        <f>+F45+F40</f>
        <v>6491280</v>
      </c>
      <c r="G48" s="72">
        <f>+G45+G40</f>
        <v>6545110</v>
      </c>
      <c r="H48" s="72">
        <f>+H45+H40</f>
        <v>6676596</v>
      </c>
      <c r="I48" s="72">
        <f>+I45+I40</f>
        <v>6678639</v>
      </c>
      <c r="J48" s="72">
        <v>6893487</v>
      </c>
      <c r="K48" s="73">
        <f>+K45+K40</f>
        <v>6893487</v>
      </c>
      <c r="L48" s="72">
        <f>+L45+L40</f>
        <v>7044471</v>
      </c>
      <c r="M48" s="72">
        <f>+M45+M40</f>
        <v>7107657</v>
      </c>
      <c r="N48" s="72">
        <f>+N45+N40</f>
        <v>7239264</v>
      </c>
      <c r="O48" s="72">
        <v>7547351</v>
      </c>
      <c r="P48" s="73">
        <f>+P45+P40</f>
        <v>7547351</v>
      </c>
    </row>
    <row r="49" spans="1:19">
      <c r="B49" s="14"/>
      <c r="C49" s="14"/>
      <c r="D49" s="14"/>
      <c r="E49" s="14"/>
      <c r="F49" s="14"/>
      <c r="G49" s="14"/>
      <c r="H49" s="14"/>
      <c r="I49" s="14"/>
      <c r="J49" s="14"/>
      <c r="K49" s="14"/>
      <c r="L49" s="14"/>
      <c r="M49" s="14"/>
      <c r="N49" s="14"/>
      <c r="O49" s="14"/>
      <c r="P49" s="14"/>
    </row>
    <row r="52" spans="1:19">
      <c r="A52" s="116" t="s">
        <v>115</v>
      </c>
      <c r="B52" s="115"/>
      <c r="C52" s="115"/>
      <c r="D52" s="115"/>
      <c r="E52" s="115"/>
      <c r="F52" s="115"/>
      <c r="G52" s="115"/>
      <c r="H52" s="115"/>
      <c r="I52" s="115"/>
      <c r="J52" s="115"/>
      <c r="K52" s="115"/>
      <c r="L52" s="115"/>
      <c r="M52" s="115"/>
      <c r="N52" s="115"/>
      <c r="O52" s="115"/>
      <c r="P52" s="115"/>
      <c r="S52" t="s">
        <v>116</v>
      </c>
    </row>
    <row r="53" spans="1:19">
      <c r="A53" t="s">
        <v>117</v>
      </c>
      <c r="B53" s="33">
        <f>+SUM(B8:B10)-SUM(B28,B30)</f>
        <v>1082111</v>
      </c>
      <c r="C53" s="33">
        <f t="shared" ref="C53:P53" si="12">+SUM(C8:C10)-SUM(C28,C30)</f>
        <v>966148</v>
      </c>
      <c r="D53" s="33">
        <f t="shared" si="12"/>
        <v>1181322</v>
      </c>
      <c r="E53" s="33">
        <f t="shared" si="12"/>
        <v>1335615</v>
      </c>
      <c r="F53" s="86">
        <f t="shared" si="12"/>
        <v>1335615</v>
      </c>
      <c r="G53" s="33">
        <f t="shared" si="12"/>
        <v>1659834</v>
      </c>
      <c r="H53" s="33">
        <f t="shared" si="12"/>
        <v>1481927</v>
      </c>
      <c r="I53" s="33">
        <f t="shared" si="12"/>
        <v>1783128</v>
      </c>
      <c r="J53" s="33">
        <f t="shared" si="12"/>
        <v>1676847</v>
      </c>
      <c r="K53" s="86">
        <f t="shared" si="12"/>
        <v>1676847</v>
      </c>
      <c r="L53" s="33">
        <f t="shared" si="12"/>
        <v>1699156</v>
      </c>
      <c r="M53" s="33">
        <f t="shared" si="12"/>
        <v>1590222</v>
      </c>
      <c r="N53" s="33">
        <f t="shared" si="12"/>
        <v>1486181</v>
      </c>
      <c r="O53" s="33">
        <f t="shared" si="12"/>
        <v>1361993</v>
      </c>
      <c r="P53" s="86">
        <f t="shared" si="12"/>
        <v>1361993</v>
      </c>
    </row>
    <row r="54" spans="1:19">
      <c r="A54" t="s">
        <v>118</v>
      </c>
      <c r="B54" s="33"/>
      <c r="C54" s="33"/>
      <c r="D54" s="33"/>
      <c r="E54" s="33"/>
      <c r="F54" s="86"/>
      <c r="G54" s="33">
        <f>+B53-G53</f>
        <v>-577723</v>
      </c>
      <c r="H54" s="33">
        <f t="shared" ref="H54:P54" si="13">+C53-H53</f>
        <v>-515779</v>
      </c>
      <c r="I54" s="33">
        <f t="shared" si="13"/>
        <v>-601806</v>
      </c>
      <c r="J54" s="33">
        <f t="shared" si="13"/>
        <v>-341232</v>
      </c>
      <c r="K54" s="86">
        <f t="shared" si="13"/>
        <v>-341232</v>
      </c>
      <c r="L54" s="33">
        <f t="shared" si="13"/>
        <v>-39322</v>
      </c>
      <c r="M54" s="33">
        <f t="shared" si="13"/>
        <v>-108295</v>
      </c>
      <c r="N54" s="33">
        <f t="shared" si="13"/>
        <v>296947</v>
      </c>
      <c r="O54" s="33">
        <f t="shared" si="13"/>
        <v>314854</v>
      </c>
      <c r="P54" s="86">
        <f t="shared" si="13"/>
        <v>314854</v>
      </c>
    </row>
    <row r="55" spans="1:19">
      <c r="A55" t="s">
        <v>119</v>
      </c>
      <c r="B55" s="33">
        <f>+B53+B14+B18+B19-IS!B42+BS!B15</f>
        <v>3382214</v>
      </c>
      <c r="C55" s="33">
        <f>+C53+C14+C18+C19-IS!C42+BS!C15</f>
        <v>3267385</v>
      </c>
      <c r="D55" s="33">
        <f>+D53+D14+D18+D19-IS!D42+BS!D15</f>
        <v>3536808</v>
      </c>
      <c r="E55" s="33">
        <f>+E53+E14+E18+E19-IS!E42+BS!E15</f>
        <v>3818768</v>
      </c>
      <c r="F55" s="86">
        <f>+F53+F14+F18+F19-IS!F42+BS!F15</f>
        <v>3718110</v>
      </c>
      <c r="G55" s="33">
        <f>+G53+G14+G18+G19-IS!G42+BS!G15</f>
        <v>4171766</v>
      </c>
      <c r="H55" s="33">
        <f>+H53+H14+H18+H19-IS!H42+BS!H15</f>
        <v>4010868</v>
      </c>
      <c r="I55" s="33">
        <f>+I53+I14+I18+I19-IS!I42+BS!I15</f>
        <v>4322861</v>
      </c>
      <c r="J55" s="33">
        <f>+J53+J14+J18+J19-IS!J42+BS!J15</f>
        <v>4356295</v>
      </c>
      <c r="K55" s="86">
        <f>+K53+K14+K18+K19-IS!K42+BS!K15</f>
        <v>4245657</v>
      </c>
      <c r="L55" s="33">
        <f>+L53+L14+L18+L19-IS!L42+BS!L15</f>
        <v>4449861</v>
      </c>
      <c r="M55" s="33">
        <f>+M53+M14+M18+M19-IS!M42+BS!M15</f>
        <v>4426607</v>
      </c>
      <c r="N55" s="33">
        <f>+N53+N14+N18+N19-IS!N42+BS!N15</f>
        <v>4360164</v>
      </c>
      <c r="O55" s="33">
        <f>+O53+O14+O18+O19-IS!O42+BS!O15</f>
        <v>4331780</v>
      </c>
      <c r="P55" s="86">
        <f>+P53+P14+P18+P19-IS!P42+BS!P15</f>
        <v>4200245</v>
      </c>
    </row>
    <row r="56" spans="1:19">
      <c r="A56" t="s">
        <v>120</v>
      </c>
      <c r="B56" s="33">
        <v>84237</v>
      </c>
      <c r="C56" s="33">
        <v>146219</v>
      </c>
      <c r="D56" s="33">
        <v>238712</v>
      </c>
      <c r="E56" s="33">
        <v>309674</v>
      </c>
      <c r="F56" s="33">
        <v>309674</v>
      </c>
      <c r="G56" s="33">
        <v>89398</v>
      </c>
      <c r="H56" s="33">
        <v>163511</v>
      </c>
      <c r="I56" s="33">
        <v>263631</v>
      </c>
      <c r="J56" s="33">
        <v>358992</v>
      </c>
      <c r="K56" s="86">
        <v>358992</v>
      </c>
      <c r="L56" s="33">
        <v>71213</v>
      </c>
      <c r="M56" s="33">
        <v>147425</v>
      </c>
      <c r="N56" s="33">
        <v>238712</v>
      </c>
      <c r="O56" s="33">
        <v>323722</v>
      </c>
      <c r="P56" s="86">
        <v>323722</v>
      </c>
    </row>
    <row r="57" spans="1:19">
      <c r="B57" s="33"/>
      <c r="C57" s="33"/>
      <c r="D57" s="33"/>
      <c r="E57" s="33"/>
      <c r="F57" s="86"/>
      <c r="G57" s="33"/>
      <c r="H57" s="33"/>
      <c r="I57" s="33"/>
      <c r="J57" s="33"/>
      <c r="K57" s="33"/>
      <c r="L57" s="33"/>
      <c r="M57" s="33"/>
      <c r="N57" s="33"/>
      <c r="O57" s="33"/>
      <c r="P57" s="33"/>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9C18E-FC24-43A7-A65F-34013F251A43}">
  <dimension ref="A2:AH21"/>
  <sheetViews>
    <sheetView showGridLines="0" workbookViewId="0">
      <pane ySplit="3" topLeftCell="F4" activePane="bottomLeft" state="frozen"/>
      <selection pane="bottomLeft" activeCell="S31" sqref="S31"/>
    </sheetView>
  </sheetViews>
  <sheetFormatPr defaultRowHeight="15"/>
  <cols>
    <col min="1" max="1" width="42.140625" customWidth="1"/>
    <col min="2" max="5" width="0" hidden="1" customWidth="1"/>
    <col min="6" max="6" width="13.7109375" bestFit="1" customWidth="1"/>
    <col min="7" max="10" width="0" hidden="1" customWidth="1"/>
    <col min="12" max="15" width="9.140625" customWidth="1"/>
    <col min="21" max="21" width="11.5703125" customWidth="1"/>
    <col min="26" max="26" width="10.85546875" customWidth="1"/>
    <col min="27" max="27" width="11" customWidth="1"/>
  </cols>
  <sheetData>
    <row r="2" spans="1:34">
      <c r="A2" s="124" t="s">
        <v>121</v>
      </c>
      <c r="B2" s="347" t="s">
        <v>122</v>
      </c>
      <c r="C2" s="347"/>
      <c r="D2" s="347"/>
      <c r="E2" s="347"/>
      <c r="F2" s="347"/>
      <c r="G2" s="347"/>
      <c r="H2" s="347"/>
      <c r="I2" s="347"/>
      <c r="J2" s="347"/>
      <c r="K2" s="347"/>
      <c r="L2" s="347"/>
      <c r="M2" s="347"/>
      <c r="N2" s="347"/>
      <c r="O2" s="347"/>
      <c r="P2" s="347"/>
      <c r="Q2" s="347"/>
      <c r="R2" s="347" t="s">
        <v>123</v>
      </c>
      <c r="S2" s="347"/>
      <c r="T2" s="347"/>
      <c r="U2" s="347"/>
      <c r="V2" s="347"/>
      <c r="W2" s="347"/>
      <c r="X2" s="347"/>
      <c r="Y2" s="347"/>
      <c r="Z2" s="347"/>
      <c r="AA2" s="38"/>
    </row>
    <row r="3" spans="1:34">
      <c r="B3" s="80" t="s">
        <v>8</v>
      </c>
      <c r="C3" s="80" t="s">
        <v>9</v>
      </c>
      <c r="D3" s="80" t="s">
        <v>10</v>
      </c>
      <c r="E3" s="80" t="s">
        <v>11</v>
      </c>
      <c r="F3" s="81" t="s">
        <v>12</v>
      </c>
      <c r="G3" s="80" t="s">
        <v>13</v>
      </c>
      <c r="H3" s="80" t="s">
        <v>14</v>
      </c>
      <c r="I3" s="80" t="s">
        <v>15</v>
      </c>
      <c r="J3" s="80" t="s">
        <v>16</v>
      </c>
      <c r="K3" s="81" t="s">
        <v>17</v>
      </c>
      <c r="L3" s="80" t="s">
        <v>18</v>
      </c>
      <c r="M3" s="80" t="s">
        <v>19</v>
      </c>
      <c r="N3" s="80" t="s">
        <v>20</v>
      </c>
      <c r="O3" s="80" t="s">
        <v>21</v>
      </c>
      <c r="P3" s="81" t="s">
        <v>22</v>
      </c>
      <c r="Q3" s="80" t="s">
        <v>124</v>
      </c>
      <c r="R3" s="254" t="s">
        <v>125</v>
      </c>
      <c r="S3" s="80" t="s">
        <v>126</v>
      </c>
      <c r="T3" s="80" t="s">
        <v>127</v>
      </c>
      <c r="U3" s="81" t="s">
        <v>128</v>
      </c>
      <c r="V3" s="80" t="s">
        <v>129</v>
      </c>
      <c r="W3" s="80" t="s">
        <v>130</v>
      </c>
      <c r="X3" s="80" t="s">
        <v>131</v>
      </c>
      <c r="Y3" s="80" t="s">
        <v>132</v>
      </c>
      <c r="Z3" s="81" t="s">
        <v>133</v>
      </c>
      <c r="AA3" s="153" t="s">
        <v>134</v>
      </c>
      <c r="AC3" s="1" t="s">
        <v>23</v>
      </c>
    </row>
    <row r="4" spans="1:34" s="161" customFormat="1" ht="9" customHeight="1">
      <c r="B4" s="252"/>
      <c r="C4" s="252"/>
      <c r="D4" s="252"/>
      <c r="E4" s="252"/>
      <c r="F4" s="253"/>
      <c r="G4" s="252"/>
      <c r="H4" s="252"/>
      <c r="I4" s="252"/>
      <c r="J4" s="252"/>
      <c r="K4" s="253"/>
      <c r="L4" s="252"/>
      <c r="M4" s="252"/>
      <c r="N4" s="252"/>
      <c r="O4" s="252"/>
      <c r="P4" s="253"/>
      <c r="Q4" s="252"/>
      <c r="R4" s="255"/>
      <c r="S4" s="252"/>
      <c r="T4" s="252"/>
      <c r="U4" s="253"/>
      <c r="V4" s="252"/>
      <c r="W4" s="252"/>
      <c r="X4" s="252"/>
      <c r="Y4" s="252"/>
      <c r="Z4" s="253"/>
      <c r="AA4" s="253"/>
    </row>
    <row r="5" spans="1:34">
      <c r="A5" s="313" t="s">
        <v>135</v>
      </c>
      <c r="B5" s="314"/>
      <c r="C5" s="314"/>
      <c r="D5" s="314"/>
      <c r="E5" s="314"/>
      <c r="F5" s="315">
        <f>+IS!F36</f>
        <v>4.7291541768179908</v>
      </c>
      <c r="G5" s="314"/>
      <c r="H5" s="314"/>
      <c r="I5" s="314"/>
      <c r="J5" s="314"/>
      <c r="K5" s="315">
        <f>+IS!K36</f>
        <v>2.3819217409072335</v>
      </c>
      <c r="L5" s="314">
        <f>+IS!L36</f>
        <v>1.0232528467991451</v>
      </c>
      <c r="M5" s="314">
        <f>+IS!M36</f>
        <v>0.97591508005952576</v>
      </c>
      <c r="N5" s="314">
        <f>+IS!N36</f>
        <v>0.93085787451984636</v>
      </c>
      <c r="O5" s="314">
        <f>+IS!O36</f>
        <v>0.56296006796410047</v>
      </c>
      <c r="P5" s="315">
        <f>+IS!P36</f>
        <v>3.4929858693426175</v>
      </c>
      <c r="Q5" s="316">
        <v>1.33</v>
      </c>
      <c r="R5" s="317">
        <v>0.9</v>
      </c>
      <c r="S5" s="318">
        <v>1.0900000000000001</v>
      </c>
      <c r="T5" s="318">
        <v>0.7</v>
      </c>
      <c r="U5" s="319">
        <f>+SUM(Q5:T5)</f>
        <v>4.0200000000000005</v>
      </c>
      <c r="V5" s="318">
        <v>1.4</v>
      </c>
      <c r="W5" s="318">
        <v>1.28</v>
      </c>
      <c r="X5" s="318">
        <v>1.24</v>
      </c>
      <c r="Y5" s="318">
        <v>0.75</v>
      </c>
      <c r="Z5" s="319">
        <f>+SUM(V5:Y5)</f>
        <v>4.67</v>
      </c>
      <c r="AA5" s="320">
        <f>+Z5*(1+AA6)</f>
        <v>5.3998494859451354</v>
      </c>
      <c r="AC5" s="12" t="s">
        <v>136</v>
      </c>
    </row>
    <row r="6" spans="1:34">
      <c r="A6" s="321" t="s">
        <v>26</v>
      </c>
      <c r="B6" s="316"/>
      <c r="C6" s="316"/>
      <c r="D6" s="316"/>
      <c r="E6" s="316"/>
      <c r="F6" s="316"/>
      <c r="G6" s="322"/>
      <c r="H6" s="322"/>
      <c r="I6" s="322"/>
      <c r="J6" s="322"/>
      <c r="K6" s="323"/>
      <c r="L6" s="322"/>
      <c r="M6" s="322"/>
      <c r="N6" s="322"/>
      <c r="O6" s="322"/>
      <c r="P6" s="323"/>
      <c r="Q6" s="322"/>
      <c r="R6" s="324">
        <f t="shared" ref="R6:Z6" si="0">+(R5/M5)-1</f>
        <v>-7.7788612565445003E-2</v>
      </c>
      <c r="S6" s="322">
        <f t="shared" si="0"/>
        <v>0.17096286107290237</v>
      </c>
      <c r="T6" s="322">
        <f t="shared" si="0"/>
        <v>0.24342744687290763</v>
      </c>
      <c r="U6" s="323">
        <f t="shared" si="0"/>
        <v>0.15087783070721872</v>
      </c>
      <c r="V6" s="322">
        <f t="shared" si="0"/>
        <v>5.2631578947368363E-2</v>
      </c>
      <c r="W6" s="322">
        <f t="shared" si="0"/>
        <v>0.42222222222222228</v>
      </c>
      <c r="X6" s="322">
        <f t="shared" si="0"/>
        <v>0.13761467889908241</v>
      </c>
      <c r="Y6" s="322">
        <f t="shared" si="0"/>
        <v>7.1428571428571397E-2</v>
      </c>
      <c r="Z6" s="323">
        <f t="shared" si="0"/>
        <v>0.16169154228855698</v>
      </c>
      <c r="AA6" s="325">
        <f>+AVERAGE(Z6,U6)</f>
        <v>0.15628468649788785</v>
      </c>
    </row>
    <row r="7" spans="1:34">
      <c r="R7" s="170"/>
    </row>
    <row r="8" spans="1:34">
      <c r="A8" s="1" t="s">
        <v>137</v>
      </c>
      <c r="B8" s="33">
        <f>+IS!B15</f>
        <v>157668</v>
      </c>
      <c r="C8" s="33">
        <f>+IS!C15</f>
        <v>201209</v>
      </c>
      <c r="D8" s="33">
        <f>+IS!D15</f>
        <v>146247</v>
      </c>
      <c r="E8" s="33">
        <f>+IS!E15</f>
        <v>93063</v>
      </c>
      <c r="F8" s="86">
        <f>+IS!F15</f>
        <v>598187</v>
      </c>
      <c r="G8" s="33">
        <f>+IS!G15</f>
        <v>175904</v>
      </c>
      <c r="H8" s="33">
        <f>+IS!H15</f>
        <v>154158</v>
      </c>
      <c r="I8" s="33">
        <f>+IS!I15</f>
        <v>129971</v>
      </c>
      <c r="J8" s="33">
        <f>+IS!J15</f>
        <v>86637</v>
      </c>
      <c r="K8" s="86">
        <f>+IS!K15</f>
        <v>546670</v>
      </c>
      <c r="L8" s="33">
        <f>+IS!L15</f>
        <v>223600</v>
      </c>
      <c r="M8" s="33">
        <f>+IS!M15</f>
        <v>217700</v>
      </c>
      <c r="N8" s="33">
        <f>+IS!N15</f>
        <v>213200</v>
      </c>
      <c r="O8" s="33">
        <f>+IS!O15</f>
        <v>130300</v>
      </c>
      <c r="P8" s="86">
        <f>+IS!P15</f>
        <v>784800</v>
      </c>
      <c r="Q8" s="33">
        <v>298798</v>
      </c>
      <c r="R8" s="305">
        <f>+'FCF &amp; DCF'!R5*EPS!R9</f>
        <v>249700</v>
      </c>
      <c r="S8" s="230">
        <f>+'FCF &amp; DCF'!S5*EPS!S9</f>
        <v>237800</v>
      </c>
      <c r="T8" s="230">
        <f>+'FCF &amp; DCF'!T5*EPS!T9</f>
        <v>156000</v>
      </c>
      <c r="U8" s="231">
        <f>+'FCF &amp; DCF'!U5*EPS!U9</f>
        <v>942298</v>
      </c>
      <c r="V8" s="230">
        <f>+'FCF &amp; DCF'!V5*EPS!V9</f>
        <v>301800</v>
      </c>
      <c r="W8" s="230">
        <f>+'FCF &amp; DCF'!W5*EPS!W9</f>
        <v>293900</v>
      </c>
      <c r="X8" s="230">
        <f>+'FCF &amp; DCF'!X5*EPS!X9</f>
        <v>279400</v>
      </c>
      <c r="Y8" s="230">
        <f>+'FCF &amp; DCF'!Y5*EPS!Y9</f>
        <v>251000</v>
      </c>
      <c r="Z8" s="231">
        <f>+'FCF &amp; DCF'!Z5*EPS!Z9</f>
        <v>1126100</v>
      </c>
      <c r="AA8" s="231">
        <f>+'FCF &amp; DCF'!AA5*EPS!AA9</f>
        <v>1382268.1210401445</v>
      </c>
    </row>
    <row r="9" spans="1:34">
      <c r="A9" s="299" t="s">
        <v>138</v>
      </c>
      <c r="G9" s="256">
        <f>+(G8/B8)-1</f>
        <v>0.11566075551158139</v>
      </c>
      <c r="H9" s="256">
        <f t="shared" ref="H9:Q9" si="1">+(H8/C8)-1</f>
        <v>-0.23384142856432866</v>
      </c>
      <c r="I9" s="256">
        <f t="shared" si="1"/>
        <v>-0.11129117178472037</v>
      </c>
      <c r="J9" s="256">
        <f t="shared" si="1"/>
        <v>-6.9049998388188594E-2</v>
      </c>
      <c r="K9" s="257">
        <f t="shared" si="1"/>
        <v>-8.6121898336139036E-2</v>
      </c>
      <c r="L9" s="256">
        <f t="shared" si="1"/>
        <v>0.27114789885392021</v>
      </c>
      <c r="M9" s="256">
        <f t="shared" si="1"/>
        <v>0.41218749594571813</v>
      </c>
      <c r="N9" s="256">
        <f t="shared" si="1"/>
        <v>0.64036592778389023</v>
      </c>
      <c r="O9" s="256">
        <f t="shared" si="1"/>
        <v>0.50397636113900535</v>
      </c>
      <c r="P9" s="257">
        <f t="shared" si="1"/>
        <v>0.435601002432912</v>
      </c>
      <c r="Q9" s="256">
        <f t="shared" si="1"/>
        <v>0.33630590339892663</v>
      </c>
      <c r="R9" s="258">
        <f>+CHOOSE($F$16,R15,R16,R17)</f>
        <v>0.11377409213104296</v>
      </c>
      <c r="S9" s="256">
        <f t="shared" ref="S9:AA9" si="2">+CHOOSE($F$16,S15,S16,S17)</f>
        <v>0.107499660955653</v>
      </c>
      <c r="T9" s="256">
        <f t="shared" si="2"/>
        <v>7.1724137931034479E-2</v>
      </c>
      <c r="U9" s="256">
        <f t="shared" si="2"/>
        <v>0.10667459718452277</v>
      </c>
      <c r="V9" s="256">
        <f t="shared" si="2"/>
        <v>0.11812447066754198</v>
      </c>
      <c r="W9" s="256">
        <f t="shared" si="2"/>
        <v>0.12147507148845131</v>
      </c>
      <c r="X9" s="256">
        <f t="shared" si="2"/>
        <v>0.11285477432705723</v>
      </c>
      <c r="Y9" s="256">
        <f t="shared" si="2"/>
        <v>0.10358045721036023</v>
      </c>
      <c r="Z9" s="256">
        <f t="shared" si="2"/>
        <v>0.11405457277085056</v>
      </c>
      <c r="AA9" s="256">
        <f t="shared" si="2"/>
        <v>0.125</v>
      </c>
    </row>
    <row r="10" spans="1:34" ht="15" customHeight="1">
      <c r="A10" s="310" t="s">
        <v>139</v>
      </c>
      <c r="G10" s="256"/>
      <c r="H10" s="256"/>
      <c r="I10" s="256"/>
      <c r="J10" s="256"/>
      <c r="K10" s="311">
        <f>+'FCF &amp; DCF'!K14/'FCF &amp; DCF'!K8</f>
        <v>0.7850476521484625</v>
      </c>
      <c r="L10" s="311">
        <f>+'FCF &amp; DCF'!L14/'FCF &amp; DCF'!L8</f>
        <v>0.85107334525939182</v>
      </c>
      <c r="M10" s="311">
        <f>+'FCF &amp; DCF'!M14/'FCF &amp; DCF'!M8</f>
        <v>0.83417547083141941</v>
      </c>
      <c r="N10" s="311">
        <f>+'FCF &amp; DCF'!N14/'FCF &amp; DCF'!N8</f>
        <v>0.77814258911819889</v>
      </c>
      <c r="O10" s="311">
        <f>+'FCF &amp; DCF'!O14/'FCF &amp; DCF'!O8</f>
        <v>0.86032233307751338</v>
      </c>
      <c r="P10" s="311">
        <f>+'FCF &amp; DCF'!P14/'FCF &amp; DCF'!P8</f>
        <v>0.82810907237512743</v>
      </c>
      <c r="Q10" s="311">
        <f>+'FCF &amp; DCF'!Q14/'FCF &amp; DCF'!Q8</f>
        <v>0.80448329640760652</v>
      </c>
      <c r="R10" s="312">
        <f>+'FCF &amp; DCF'!R14/'FCF &amp; DCF'!R8</f>
        <v>0.79495394473368042</v>
      </c>
      <c r="S10" s="311">
        <f>+'FCF &amp; DCF'!S14/'FCF &amp; DCF'!S8</f>
        <v>0.79478553406223718</v>
      </c>
      <c r="T10" s="311">
        <f>+'FCF &amp; DCF'!T14/'FCF &amp; DCF'!T8</f>
        <v>0.79551282051282046</v>
      </c>
      <c r="U10" s="311">
        <f>+'FCF &amp; DCF'!U14/'FCF &amp; DCF'!U8</f>
        <v>0.75931393253514279</v>
      </c>
      <c r="V10" s="311">
        <f>+'FCF &amp; DCF'!V14/'FCF &amp; DCF'!V8</f>
        <v>0.7998674618952949</v>
      </c>
      <c r="W10" s="311">
        <f>+'FCF &amp; DCF'!W14/'FCF &amp; DCF'!W8</f>
        <v>0.79993194964273562</v>
      </c>
      <c r="X10" s="311">
        <f>+'FCF &amp; DCF'!X14/'FCF &amp; DCF'!X8</f>
        <v>0.79992841803865422</v>
      </c>
      <c r="Y10" s="311">
        <f>+'FCF &amp; DCF'!Y14/'FCF &amp; DCF'!Y8</f>
        <v>0.60916334661354576</v>
      </c>
      <c r="Z10" s="311">
        <f>+'FCF &amp; DCF'!Z14/'FCF &amp; DCF'!Z8</f>
        <v>0.75739277151229911</v>
      </c>
      <c r="AA10" s="311">
        <f>+'FCF &amp; DCF'!AA14/'FCF &amp; DCF'!AA8</f>
        <v>0.66953446745739187</v>
      </c>
      <c r="AC10" t="s">
        <v>140</v>
      </c>
    </row>
    <row r="11" spans="1:34" ht="15" customHeight="1">
      <c r="A11" s="4"/>
      <c r="G11" s="256"/>
      <c r="H11" s="256"/>
      <c r="I11" s="256"/>
      <c r="J11" s="256"/>
      <c r="K11" s="257"/>
      <c r="L11" s="256"/>
      <c r="M11" s="256"/>
      <c r="N11" s="256"/>
      <c r="O11" s="256"/>
      <c r="P11" s="257"/>
      <c r="Q11" s="256"/>
      <c r="R11" s="256"/>
      <c r="S11" s="256"/>
      <c r="T11" s="256"/>
      <c r="U11" s="257"/>
      <c r="V11" s="256"/>
      <c r="W11" s="256"/>
      <c r="X11" s="256"/>
      <c r="Y11" s="256"/>
      <c r="Z11" s="257"/>
      <c r="AA11" s="257"/>
    </row>
    <row r="12" spans="1:34" ht="15" customHeight="1">
      <c r="A12" s="327" t="s">
        <v>141</v>
      </c>
      <c r="F12" s="326">
        <v>155199000</v>
      </c>
      <c r="G12" s="256"/>
      <c r="H12" s="256"/>
      <c r="I12" s="256"/>
      <c r="J12" s="256"/>
      <c r="K12" s="257"/>
      <c r="L12" s="256"/>
      <c r="M12" s="256"/>
      <c r="N12" s="256"/>
      <c r="O12" s="256"/>
      <c r="P12" s="257"/>
      <c r="Q12" s="256"/>
      <c r="R12" s="256"/>
      <c r="S12" s="256"/>
      <c r="T12" s="256"/>
      <c r="U12" s="257"/>
      <c r="V12" s="256"/>
      <c r="W12" s="256"/>
      <c r="X12" s="256"/>
      <c r="Y12" s="256"/>
      <c r="Z12" s="257"/>
      <c r="AA12" s="257"/>
    </row>
    <row r="13" spans="1:34" ht="10.5" customHeight="1">
      <c r="A13" s="4"/>
      <c r="G13" s="256"/>
      <c r="H13" s="256"/>
      <c r="I13" s="256"/>
      <c r="J13" s="256"/>
      <c r="K13" s="257"/>
      <c r="L13" s="256"/>
      <c r="M13" s="256"/>
      <c r="N13" s="256"/>
      <c r="O13" s="256"/>
      <c r="P13" s="257"/>
      <c r="Q13" s="256"/>
      <c r="R13" s="256"/>
      <c r="S13" s="256"/>
      <c r="T13" s="256"/>
      <c r="U13" s="257"/>
      <c r="V13" s="256"/>
      <c r="W13" s="256"/>
      <c r="X13" s="256"/>
      <c r="Y13" s="256"/>
      <c r="Z13" s="257"/>
      <c r="AA13" s="257"/>
    </row>
    <row r="14" spans="1:34" ht="9.75" customHeight="1">
      <c r="A14" s="4"/>
      <c r="G14" s="256"/>
      <c r="H14" s="256"/>
      <c r="I14" s="256"/>
      <c r="J14" s="256"/>
      <c r="K14" s="257"/>
      <c r="L14" s="256"/>
      <c r="M14" s="256"/>
      <c r="N14" s="256"/>
      <c r="O14" s="256"/>
      <c r="P14" s="257"/>
      <c r="Q14" s="256"/>
      <c r="R14" s="256"/>
      <c r="S14" s="256"/>
      <c r="T14" s="256"/>
      <c r="U14" s="257"/>
      <c r="V14" s="256"/>
      <c r="W14" s="256"/>
      <c r="X14" s="256"/>
      <c r="Y14" s="256"/>
      <c r="Z14" s="257"/>
      <c r="AA14" s="257"/>
    </row>
    <row r="15" spans="1:34">
      <c r="A15" s="292"/>
      <c r="G15" s="293"/>
      <c r="H15" s="293"/>
      <c r="I15" s="293"/>
      <c r="J15" s="293"/>
      <c r="K15" s="293"/>
      <c r="L15" s="293"/>
      <c r="M15" s="293"/>
      <c r="N15" s="293"/>
      <c r="O15" s="293"/>
      <c r="P15" s="294" t="s">
        <v>142</v>
      </c>
      <c r="Q15" s="260"/>
      <c r="R15" s="264">
        <f>+R16+0.02</f>
        <v>0.13377409213104297</v>
      </c>
      <c r="S15" s="264">
        <f t="shared" ref="S15:AA15" si="3">+S16+0.02</f>
        <v>0.12749966095565299</v>
      </c>
      <c r="T15" s="264">
        <f t="shared" si="3"/>
        <v>9.1724137931034483E-2</v>
      </c>
      <c r="U15" s="264">
        <f t="shared" si="3"/>
        <v>0.12667459718452276</v>
      </c>
      <c r="V15" s="264">
        <f t="shared" si="3"/>
        <v>0.13812447066754197</v>
      </c>
      <c r="W15" s="264">
        <f t="shared" si="3"/>
        <v>0.14147507148845131</v>
      </c>
      <c r="X15" s="264">
        <f t="shared" si="3"/>
        <v>0.13285477432705722</v>
      </c>
      <c r="Y15" s="264">
        <f t="shared" si="3"/>
        <v>0.12358045721036023</v>
      </c>
      <c r="Z15" s="264">
        <f t="shared" si="3"/>
        <v>0.13405457277085056</v>
      </c>
      <c r="AA15" s="297">
        <f t="shared" si="3"/>
        <v>0.14499999999999999</v>
      </c>
      <c r="AC15" t="s">
        <v>143</v>
      </c>
      <c r="AH15" s="256"/>
    </row>
    <row r="16" spans="1:34">
      <c r="A16" s="303" t="s">
        <v>144</v>
      </c>
      <c r="C16" s="268">
        <v>1</v>
      </c>
      <c r="F16" s="304">
        <v>2</v>
      </c>
      <c r="G16" s="256"/>
      <c r="H16" s="256"/>
      <c r="I16" s="256"/>
      <c r="J16" s="256"/>
      <c r="N16" s="256"/>
      <c r="O16" s="256"/>
      <c r="P16" s="295" t="s">
        <v>145</v>
      </c>
      <c r="R16" s="300">
        <v>0.11377409213104296</v>
      </c>
      <c r="S16" s="300">
        <v>0.107499660955653</v>
      </c>
      <c r="T16" s="300">
        <v>7.1724137931034479E-2</v>
      </c>
      <c r="U16" s="301">
        <v>0.10667459718452277</v>
      </c>
      <c r="V16" s="300">
        <v>0.11812447066754198</v>
      </c>
      <c r="W16" s="300">
        <v>0.12147507148845131</v>
      </c>
      <c r="X16" s="300">
        <v>0.11285477432705723</v>
      </c>
      <c r="Y16" s="300">
        <v>0.10358045721036023</v>
      </c>
      <c r="Z16" s="301">
        <v>0.11405457277085056</v>
      </c>
      <c r="AA16" s="302">
        <v>0.125</v>
      </c>
      <c r="AH16" s="256"/>
    </row>
    <row r="17" spans="1:34">
      <c r="A17" s="266"/>
      <c r="G17" s="267"/>
      <c r="H17" s="267"/>
      <c r="I17" s="267"/>
      <c r="J17" s="267"/>
      <c r="K17" s="267"/>
      <c r="L17" s="267"/>
      <c r="M17" s="267"/>
      <c r="N17" s="267"/>
      <c r="O17" s="267"/>
      <c r="P17" s="296" t="s">
        <v>146</v>
      </c>
      <c r="Q17" s="263"/>
      <c r="R17" s="265">
        <f>+R16-0.02</f>
        <v>9.3774092131042958E-2</v>
      </c>
      <c r="S17" s="265">
        <f t="shared" ref="S17:AA17" si="4">+S16-0.02</f>
        <v>8.7499660955652994E-2</v>
      </c>
      <c r="T17" s="265">
        <f t="shared" si="4"/>
        <v>5.1724137931034475E-2</v>
      </c>
      <c r="U17" s="265">
        <f t="shared" si="4"/>
        <v>8.6674597184522764E-2</v>
      </c>
      <c r="V17" s="265">
        <f t="shared" si="4"/>
        <v>9.8124470667541971E-2</v>
      </c>
      <c r="W17" s="265">
        <f t="shared" si="4"/>
        <v>0.10147507148845131</v>
      </c>
      <c r="X17" s="265">
        <f t="shared" si="4"/>
        <v>9.285477432705723E-2</v>
      </c>
      <c r="Y17" s="265">
        <f t="shared" si="4"/>
        <v>8.3580457210360226E-2</v>
      </c>
      <c r="Z17" s="265">
        <f t="shared" si="4"/>
        <v>9.4054572770850553E-2</v>
      </c>
      <c r="AA17" s="298">
        <f t="shared" si="4"/>
        <v>0.105</v>
      </c>
      <c r="AH17" s="256"/>
    </row>
    <row r="18" spans="1:34">
      <c r="A18" s="266"/>
      <c r="G18" s="267"/>
      <c r="H18" s="267"/>
      <c r="I18" s="267"/>
      <c r="J18" s="267"/>
      <c r="K18" s="267"/>
      <c r="L18" s="267"/>
      <c r="M18" s="267"/>
      <c r="N18" s="267"/>
      <c r="O18" s="267"/>
      <c r="P18" s="267"/>
      <c r="Q18" s="256"/>
      <c r="R18" s="256"/>
      <c r="S18" s="256"/>
      <c r="T18" s="256"/>
      <c r="U18" s="257"/>
      <c r="V18" s="256"/>
      <c r="W18" s="256"/>
      <c r="X18" s="256"/>
      <c r="Y18" s="256"/>
      <c r="Z18" s="257"/>
      <c r="AA18" s="257"/>
    </row>
    <row r="19" spans="1:34">
      <c r="G19" s="267"/>
      <c r="H19" s="267"/>
      <c r="I19" s="267"/>
      <c r="J19" s="267"/>
      <c r="K19" s="267"/>
      <c r="L19" s="267"/>
      <c r="M19" s="267"/>
      <c r="N19" s="267"/>
      <c r="O19" s="267"/>
      <c r="P19" s="267"/>
      <c r="Q19" s="256"/>
      <c r="R19" s="256"/>
      <c r="S19" s="256"/>
      <c r="T19" s="256"/>
      <c r="U19" s="257"/>
      <c r="V19" s="256"/>
      <c r="W19" s="256"/>
      <c r="X19" s="256"/>
      <c r="Y19" s="256"/>
      <c r="Z19" s="257"/>
      <c r="AA19" s="257"/>
    </row>
    <row r="20" spans="1:34">
      <c r="A20" s="9" t="s">
        <v>147</v>
      </c>
      <c r="B20" s="328">
        <f>+(B8+IS!B19-IS!B24-IS!B30)/IS!B35</f>
        <v>0.63386902318900062</v>
      </c>
      <c r="C20" s="328">
        <f>+(C8+IS!C19-IS!C24-IS!C30)/IS!C35</f>
        <v>0.8767823633787355</v>
      </c>
      <c r="D20" s="328">
        <f>+(D8+IS!D19-IS!D24-IS!D30)/IS!D35</f>
        <v>0.65642203878490102</v>
      </c>
      <c r="E20" s="328">
        <f>+(E8+IS!E19-IS!E24-IS!E30)/IS!E35</f>
        <v>2.5640033596801732</v>
      </c>
      <c r="F20" s="329">
        <f>+(F8+IS!F19-IS!F24-IS!F30)/IS!F35</f>
        <v>4.7293455106700515</v>
      </c>
      <c r="G20" s="328">
        <f>+(G8+IS!G19-IS!G24-IS!G30)/IS!G35</f>
        <v>0.76992403841268231</v>
      </c>
      <c r="H20" s="328">
        <f>+(H8+IS!H19-IS!H24-IS!H30)/IS!H35</f>
        <v>0.57674739071630898</v>
      </c>
      <c r="I20" s="328">
        <f>+(I8+IS!I19-IS!I24-IS!I30)/IS!I35</f>
        <v>0.5497302106469184</v>
      </c>
      <c r="J20" s="328">
        <f>+(J8+IS!J19-IS!J24-IS!J30)/IS!J35</f>
        <v>0.48031224465358607</v>
      </c>
      <c r="K20" s="329">
        <f>+(K8+IS!K19-IS!K24-IS!K30)/IS!K35</f>
        <v>2.3767495913363303</v>
      </c>
      <c r="L20" s="328">
        <f>+(L8+IS!L19-IS!L24-IS!L30)/IS!L35</f>
        <v>1.0238907849829351</v>
      </c>
      <c r="M20" s="328">
        <f>+(M8+IS!M19-IS!M24-IS!M30)/IS!M35</f>
        <v>0.97591508005952576</v>
      </c>
      <c r="N20" s="328">
        <f>+(N8+IS!N19-IS!N24-IS!N30)/IS!N35</f>
        <v>0.93085787451984636</v>
      </c>
      <c r="O20" s="328">
        <f>+(O8+IS!O19-IS!O24-IS!O30)/IS!O35</f>
        <v>0.59201190633380751</v>
      </c>
      <c r="P20" s="329">
        <f>+(P8+IS!P19-IS!P24-IS!P30)/IS!P35</f>
        <v>3.5224247388900265</v>
      </c>
      <c r="Q20" s="328">
        <f>+Q5</f>
        <v>1.33</v>
      </c>
      <c r="R20" s="332">
        <f>+(R8*R10*1000)/$F$12</f>
        <v>1.2790030863600925</v>
      </c>
      <c r="S20" s="328">
        <f t="shared" ref="S20:AA20" si="5">+(S8*S10*1000)/$F$12</f>
        <v>1.2177913517484005</v>
      </c>
      <c r="T20" s="328">
        <f t="shared" si="5"/>
        <v>0.79961855424326178</v>
      </c>
      <c r="U20" s="329">
        <f t="shared" si="5"/>
        <v>4.6102101173332306</v>
      </c>
      <c r="V20" s="328">
        <f t="shared" si="5"/>
        <v>1.5554223931855231</v>
      </c>
      <c r="W20" s="328">
        <f t="shared" si="5"/>
        <v>1.514829348127243</v>
      </c>
      <c r="X20" s="328">
        <f t="shared" si="5"/>
        <v>1.4400865984961244</v>
      </c>
      <c r="Y20" s="328">
        <f t="shared" si="5"/>
        <v>0.98518676022397056</v>
      </c>
      <c r="Z20" s="329">
        <f t="shared" si="5"/>
        <v>5.4955251000328609</v>
      </c>
      <c r="AA20" s="329">
        <f t="shared" si="5"/>
        <v>5.9631579475637269</v>
      </c>
      <c r="AC20" t="s">
        <v>148</v>
      </c>
    </row>
    <row r="21" spans="1:34">
      <c r="A21" s="330" t="s">
        <v>26</v>
      </c>
      <c r="B21" s="10"/>
      <c r="C21" s="10"/>
      <c r="D21" s="10"/>
      <c r="E21" s="10"/>
      <c r="F21" s="10"/>
      <c r="G21" s="10"/>
      <c r="H21" s="10"/>
      <c r="I21" s="10"/>
      <c r="J21" s="10"/>
      <c r="K21" s="331">
        <f>+(K20/F20)-1</f>
        <v>-0.49744640437581533</v>
      </c>
      <c r="L21" s="331"/>
      <c r="M21" s="331"/>
      <c r="N21" s="331"/>
      <c r="O21" s="331"/>
      <c r="P21" s="331">
        <f>+(P20/K20)-1</f>
        <v>0.48203443548697056</v>
      </c>
      <c r="Q21" s="331"/>
      <c r="R21" s="333"/>
      <c r="S21" s="331"/>
      <c r="T21" s="331"/>
      <c r="U21" s="331">
        <f>+(U20/P20)-1</f>
        <v>0.30881720947314917</v>
      </c>
      <c r="V21" s="331"/>
      <c r="W21" s="331"/>
      <c r="X21" s="331"/>
      <c r="Y21" s="331"/>
      <c r="Z21" s="331">
        <f>+(Z20/U20)-1</f>
        <v>0.19203354297693909</v>
      </c>
      <c r="AA21" s="331">
        <f>+(AA20/Z20)-1</f>
        <v>8.5093387623335515E-2</v>
      </c>
    </row>
  </sheetData>
  <mergeCells count="2">
    <mergeCell ref="B2:Q2"/>
    <mergeCell ref="R2:Z2"/>
  </mergeCells>
  <dataValidations count="1">
    <dataValidation type="list" allowBlank="1" showInputMessage="1" showErrorMessage="1" sqref="F16" xr:uid="{897209EA-3CB5-4F0F-97B7-2CE20195E0C3}">
      <formula1>"1,2,3"</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9790F-9EFD-40FB-9A6B-483B35C6D685}">
  <dimension ref="A1:AE123"/>
  <sheetViews>
    <sheetView showGridLines="0" workbookViewId="0">
      <pane ySplit="3" topLeftCell="E104" activePane="bottomLeft" state="frozen"/>
      <selection pane="bottomLeft" activeCell="AB124" sqref="AB124"/>
    </sheetView>
  </sheetViews>
  <sheetFormatPr defaultRowHeight="15"/>
  <cols>
    <col min="1" max="1" width="24.5703125" customWidth="1"/>
    <col min="2" max="10" width="9.7109375" customWidth="1"/>
    <col min="11" max="11" width="11.85546875" customWidth="1"/>
    <col min="12" max="15" width="9.7109375" customWidth="1"/>
    <col min="16" max="16" width="11" customWidth="1"/>
    <col min="17" max="18" width="9.7109375" customWidth="1"/>
    <col min="19" max="19" width="13.140625" customWidth="1"/>
    <col min="20" max="20" width="10.7109375" customWidth="1"/>
    <col min="21" max="21" width="13.28515625" customWidth="1"/>
    <col min="22" max="22" width="9.7109375" customWidth="1"/>
    <col min="23" max="23" width="11.42578125" customWidth="1"/>
    <col min="24" max="24" width="10.7109375" customWidth="1"/>
    <col min="25" max="25" width="12" customWidth="1"/>
    <col min="26" max="26" width="14" customWidth="1"/>
    <col min="27" max="27" width="12.140625" customWidth="1"/>
    <col min="29" max="29" width="61.7109375" customWidth="1"/>
  </cols>
  <sheetData>
    <row r="1" spans="1:31">
      <c r="U1" s="161">
        <v>0.5</v>
      </c>
      <c r="V1" s="161"/>
      <c r="W1" s="161"/>
      <c r="X1" s="161"/>
      <c r="Y1" s="161"/>
      <c r="Z1" s="161">
        <v>1.5</v>
      </c>
      <c r="AA1" s="161">
        <v>2.5</v>
      </c>
    </row>
    <row r="2" spans="1:31">
      <c r="A2" s="124" t="s">
        <v>149</v>
      </c>
      <c r="B2" s="347" t="s">
        <v>122</v>
      </c>
      <c r="C2" s="347"/>
      <c r="D2" s="347"/>
      <c r="E2" s="347"/>
      <c r="F2" s="347"/>
      <c r="G2" s="347"/>
      <c r="H2" s="347"/>
      <c r="I2" s="347"/>
      <c r="J2" s="347"/>
      <c r="K2" s="347"/>
      <c r="L2" s="347"/>
      <c r="M2" s="347"/>
      <c r="N2" s="347"/>
      <c r="O2" s="347"/>
      <c r="P2" s="347"/>
      <c r="Q2" s="347"/>
      <c r="R2" s="347" t="s">
        <v>123</v>
      </c>
      <c r="S2" s="347"/>
      <c r="T2" s="347"/>
      <c r="U2" s="347"/>
      <c r="V2" s="347"/>
      <c r="W2" s="347"/>
      <c r="X2" s="347"/>
      <c r="Y2" s="347"/>
      <c r="Z2" s="347"/>
      <c r="AA2" s="38"/>
    </row>
    <row r="3" spans="1:31">
      <c r="B3" s="80" t="s">
        <v>8</v>
      </c>
      <c r="C3" s="80" t="s">
        <v>9</v>
      </c>
      <c r="D3" s="80" t="s">
        <v>10</v>
      </c>
      <c r="E3" s="80" t="s">
        <v>11</v>
      </c>
      <c r="F3" s="81" t="s">
        <v>12</v>
      </c>
      <c r="G3" s="80" t="s">
        <v>13</v>
      </c>
      <c r="H3" s="80" t="s">
        <v>14</v>
      </c>
      <c r="I3" s="80" t="s">
        <v>15</v>
      </c>
      <c r="J3" s="80" t="s">
        <v>16</v>
      </c>
      <c r="K3" s="81" t="s">
        <v>17</v>
      </c>
      <c r="L3" s="80" t="s">
        <v>18</v>
      </c>
      <c r="M3" s="80" t="s">
        <v>19</v>
      </c>
      <c r="N3" s="80" t="s">
        <v>20</v>
      </c>
      <c r="O3" s="80" t="s">
        <v>21</v>
      </c>
      <c r="P3" s="81" t="s">
        <v>22</v>
      </c>
      <c r="Q3" s="80" t="s">
        <v>124</v>
      </c>
      <c r="R3" s="125" t="s">
        <v>125</v>
      </c>
      <c r="S3" s="80" t="s">
        <v>126</v>
      </c>
      <c r="T3" s="80" t="s">
        <v>127</v>
      </c>
      <c r="U3" s="81" t="s">
        <v>128</v>
      </c>
      <c r="V3" s="80" t="s">
        <v>129</v>
      </c>
      <c r="W3" s="80" t="s">
        <v>130</v>
      </c>
      <c r="X3" s="80" t="s">
        <v>131</v>
      </c>
      <c r="Y3" s="80" t="s">
        <v>132</v>
      </c>
      <c r="Z3" s="81" t="s">
        <v>133</v>
      </c>
      <c r="AA3" s="153" t="s">
        <v>134</v>
      </c>
      <c r="AB3" s="7"/>
      <c r="AC3" s="7" t="s">
        <v>23</v>
      </c>
      <c r="AD3" s="7"/>
      <c r="AE3" s="7"/>
    </row>
    <row r="4" spans="1:31">
      <c r="R4" s="123"/>
      <c r="AC4" t="s">
        <v>150</v>
      </c>
    </row>
    <row r="5" spans="1:31">
      <c r="A5" s="1" t="s">
        <v>151</v>
      </c>
      <c r="B5" s="33">
        <f>+IS!B5</f>
        <v>1434455</v>
      </c>
      <c r="C5" s="33">
        <f>+IS!C5</f>
        <v>1661871</v>
      </c>
      <c r="D5" s="33">
        <f>+IS!D5</f>
        <v>1558476</v>
      </c>
      <c r="E5" s="33">
        <f>+IS!E5</f>
        <v>1655386</v>
      </c>
      <c r="F5" s="86">
        <f>+IS!F5</f>
        <v>6310188</v>
      </c>
      <c r="G5" s="33">
        <f>+IS!G5</f>
        <v>1819594</v>
      </c>
      <c r="H5" s="33">
        <f>+IS!H5</f>
        <v>1867804</v>
      </c>
      <c r="I5" s="33">
        <f>+IS!I5</f>
        <v>1878367</v>
      </c>
      <c r="J5" s="33">
        <f>+IS!J5</f>
        <v>1878785</v>
      </c>
      <c r="K5" s="86">
        <f>+IS!K5</f>
        <v>7444550</v>
      </c>
      <c r="L5" s="33">
        <f>+IS!L5</f>
        <v>2001900</v>
      </c>
      <c r="M5" s="33">
        <f>+IS!M5</f>
        <v>2012500</v>
      </c>
      <c r="N5" s="33">
        <f>+IS!N5</f>
        <v>2025000</v>
      </c>
      <c r="O5" s="33">
        <f>+IS!O5</f>
        <v>1960900</v>
      </c>
      <c r="P5" s="86">
        <f>+IS!P5</f>
        <v>8000300</v>
      </c>
      <c r="Q5" s="33">
        <v>2251587</v>
      </c>
      <c r="R5" s="127">
        <v>2194700</v>
      </c>
      <c r="S5" s="128">
        <v>2212100</v>
      </c>
      <c r="T5" s="128">
        <v>2175000</v>
      </c>
      <c r="U5" s="148">
        <f>+SUM(Q5:T5)</f>
        <v>8833387</v>
      </c>
      <c r="V5" s="141">
        <f>+Q5*(1+V6)</f>
        <v>2554932.0838813125</v>
      </c>
      <c r="W5" s="141">
        <f>+R5*(1+W6)</f>
        <v>2419426.4419753086</v>
      </c>
      <c r="X5" s="141">
        <f>+S5*(1+X6)</f>
        <v>2475748.1609975016</v>
      </c>
      <c r="Y5" s="141">
        <f>+T5*(1+Y6)</f>
        <v>2423237.034861193</v>
      </c>
      <c r="Z5" s="148">
        <f>+SUM(V5:Y5)</f>
        <v>9873343.7217153162</v>
      </c>
      <c r="AA5" s="143">
        <f>+Z5*(1+AA6)</f>
        <v>11058144.968321156</v>
      </c>
      <c r="AC5" s="334" t="s">
        <v>152</v>
      </c>
    </row>
    <row r="6" spans="1:31">
      <c r="A6" s="4" t="s">
        <v>26</v>
      </c>
      <c r="G6" s="49">
        <f>+(G5/B5)-1</f>
        <v>0.2684915176844167</v>
      </c>
      <c r="H6" s="49">
        <f t="shared" ref="H6:R6" si="0">+(H5/C5)-1</f>
        <v>0.12391635692541714</v>
      </c>
      <c r="I6" s="49">
        <f t="shared" si="0"/>
        <v>0.20525885544596134</v>
      </c>
      <c r="J6" s="49">
        <f t="shared" si="0"/>
        <v>0.13495281463054543</v>
      </c>
      <c r="K6" s="49">
        <f t="shared" si="0"/>
        <v>0.17976675179883705</v>
      </c>
      <c r="L6" s="49">
        <f t="shared" si="0"/>
        <v>0.10019048205258985</v>
      </c>
      <c r="M6" s="49">
        <f t="shared" si="0"/>
        <v>7.746851382693265E-2</v>
      </c>
      <c r="N6" s="49">
        <f t="shared" si="0"/>
        <v>7.8064084388194566E-2</v>
      </c>
      <c r="O6" s="49">
        <f t="shared" si="0"/>
        <v>4.3706437937284015E-2</v>
      </c>
      <c r="P6" s="49">
        <f t="shared" si="0"/>
        <v>7.4651926577160577E-2</v>
      </c>
      <c r="Q6" s="126">
        <f t="shared" si="0"/>
        <v>0.12472501123932256</v>
      </c>
      <c r="R6" s="49">
        <f t="shared" si="0"/>
        <v>9.0534161490683163E-2</v>
      </c>
      <c r="S6" s="49">
        <f t="shared" ref="S6" si="1">+(S5/N5)-1</f>
        <v>9.2395061728395067E-2</v>
      </c>
      <c r="T6" s="49">
        <f t="shared" ref="T6" si="2">+(T5/O5)-1</f>
        <v>0.10918455811107153</v>
      </c>
      <c r="U6" s="49">
        <f t="shared" ref="U6" si="3">+(U5/P5)-1</f>
        <v>0.10413197005112318</v>
      </c>
      <c r="V6" s="132">
        <f>+Q6+0.01</f>
        <v>0.13472501123932257</v>
      </c>
      <c r="W6" s="132">
        <f t="shared" ref="W6:Y6" si="4">+S6+0.01</f>
        <v>0.10239506172839506</v>
      </c>
      <c r="X6" s="132">
        <f t="shared" si="4"/>
        <v>0.11918455811107152</v>
      </c>
      <c r="Y6" s="132">
        <f t="shared" si="4"/>
        <v>0.11413197005112317</v>
      </c>
      <c r="Z6" s="49">
        <f t="shared" ref="Z6" si="5">+(Z5/U5)-1</f>
        <v>0.11773023436144214</v>
      </c>
      <c r="AA6" s="132">
        <v>0.12</v>
      </c>
    </row>
    <row r="7" spans="1:31">
      <c r="R7" s="123"/>
    </row>
    <row r="8" spans="1:31">
      <c r="A8" s="1" t="s">
        <v>153</v>
      </c>
      <c r="B8" s="33">
        <f>+IS!B15</f>
        <v>157668</v>
      </c>
      <c r="C8" s="33">
        <f>+IS!C15</f>
        <v>201209</v>
      </c>
      <c r="D8" s="33">
        <f>+IS!D15</f>
        <v>146247</v>
      </c>
      <c r="E8" s="33">
        <f>+IS!E15</f>
        <v>93063</v>
      </c>
      <c r="F8" s="86">
        <f>+IS!F15</f>
        <v>598187</v>
      </c>
      <c r="G8" s="33">
        <f>+IS!G15</f>
        <v>175904</v>
      </c>
      <c r="H8" s="33">
        <f>+IS!H15</f>
        <v>154158</v>
      </c>
      <c r="I8" s="33">
        <f>+IS!I15</f>
        <v>129971</v>
      </c>
      <c r="J8" s="33">
        <f>+IS!J15</f>
        <v>86637</v>
      </c>
      <c r="K8" s="86">
        <f>+IS!K15</f>
        <v>546670</v>
      </c>
      <c r="L8" s="33">
        <f>+IS!L15</f>
        <v>223600</v>
      </c>
      <c r="M8" s="33">
        <f>+IS!M15</f>
        <v>217700</v>
      </c>
      <c r="N8" s="33">
        <f>+IS!N15</f>
        <v>213200</v>
      </c>
      <c r="O8" s="33">
        <f>+IS!O15</f>
        <v>130300</v>
      </c>
      <c r="P8" s="86">
        <f>+IS!P15</f>
        <v>784800</v>
      </c>
      <c r="Q8" s="33">
        <v>298798</v>
      </c>
      <c r="R8" s="127">
        <v>249700</v>
      </c>
      <c r="S8" s="128">
        <v>237800</v>
      </c>
      <c r="T8" s="128">
        <v>156000</v>
      </c>
      <c r="U8" s="148">
        <f>+SUM(Q8:T8)</f>
        <v>942298</v>
      </c>
      <c r="V8" s="128">
        <v>301800</v>
      </c>
      <c r="W8" s="128">
        <v>293900</v>
      </c>
      <c r="X8" s="128">
        <v>279400</v>
      </c>
      <c r="Y8" s="128">
        <v>251000</v>
      </c>
      <c r="Z8" s="148">
        <f>+SUM(V8:Y8)</f>
        <v>1126100</v>
      </c>
      <c r="AA8" s="143">
        <f>+AA9*AA5</f>
        <v>1382268.1210401445</v>
      </c>
      <c r="AC8" t="s">
        <v>154</v>
      </c>
    </row>
    <row r="9" spans="1:31">
      <c r="A9" s="4" t="s">
        <v>155</v>
      </c>
      <c r="B9" s="35">
        <f>+B8/B5</f>
        <v>0.10991491542083927</v>
      </c>
      <c r="C9" s="35">
        <f t="shared" ref="C9:Q9" si="6">+C8/C5</f>
        <v>0.12107377768791922</v>
      </c>
      <c r="D9" s="35">
        <f t="shared" si="6"/>
        <v>9.3839751141499769E-2</v>
      </c>
      <c r="E9" s="35">
        <f t="shared" si="6"/>
        <v>5.6218307995839038E-2</v>
      </c>
      <c r="F9" s="35">
        <f t="shared" si="6"/>
        <v>9.4797017141169171E-2</v>
      </c>
      <c r="G9" s="35">
        <f t="shared" si="6"/>
        <v>9.6672114768459341E-2</v>
      </c>
      <c r="H9" s="35">
        <f t="shared" si="6"/>
        <v>8.2534355853183736E-2</v>
      </c>
      <c r="I9" s="35">
        <f t="shared" si="6"/>
        <v>6.919361338865089E-2</v>
      </c>
      <c r="J9" s="35">
        <f t="shared" si="6"/>
        <v>4.6113312592978975E-2</v>
      </c>
      <c r="K9" s="35">
        <f t="shared" si="6"/>
        <v>7.343224237865284E-2</v>
      </c>
      <c r="L9" s="35">
        <f t="shared" si="6"/>
        <v>0.11169389080373646</v>
      </c>
      <c r="M9" s="35">
        <f t="shared" si="6"/>
        <v>0.10817391304347826</v>
      </c>
      <c r="N9" s="35">
        <f t="shared" si="6"/>
        <v>0.10528395061728395</v>
      </c>
      <c r="O9" s="35">
        <f t="shared" si="6"/>
        <v>6.6449079504309241E-2</v>
      </c>
      <c r="P9" s="35">
        <f t="shared" si="6"/>
        <v>9.8096321387947952E-2</v>
      </c>
      <c r="Q9" s="35">
        <f t="shared" si="6"/>
        <v>0.13270550949174958</v>
      </c>
      <c r="R9" s="130">
        <f t="shared" ref="R9" si="7">+R8/R5</f>
        <v>0.11377409213104296</v>
      </c>
      <c r="S9" s="35">
        <f t="shared" ref="S9" si="8">+S8/S5</f>
        <v>0.107499660955653</v>
      </c>
      <c r="T9" s="35">
        <f t="shared" ref="T9" si="9">+T8/T5</f>
        <v>7.1724137931034479E-2</v>
      </c>
      <c r="U9" s="35">
        <f t="shared" ref="U9" si="10">+U8/U5</f>
        <v>0.10667459718452277</v>
      </c>
      <c r="V9" s="35">
        <f t="shared" ref="V9" si="11">+V8/V5</f>
        <v>0.11812447066754198</v>
      </c>
      <c r="W9" s="35">
        <f t="shared" ref="W9" si="12">+W8/W5</f>
        <v>0.12147507148845131</v>
      </c>
      <c r="X9" s="35">
        <f t="shared" ref="X9" si="13">+X8/X5</f>
        <v>0.11285477432705723</v>
      </c>
      <c r="Y9" s="35">
        <f t="shared" ref="Y9" si="14">+Y8/Y5</f>
        <v>0.10358045721036023</v>
      </c>
      <c r="Z9" s="35">
        <f t="shared" ref="Z9" si="15">+Z8/Z5</f>
        <v>0.11405457277085056</v>
      </c>
      <c r="AA9" s="204">
        <v>0.125</v>
      </c>
    </row>
    <row r="10" spans="1:31">
      <c r="R10" s="123"/>
    </row>
    <row r="11" spans="1:31">
      <c r="A11" s="1" t="s">
        <v>156</v>
      </c>
      <c r="B11" s="33">
        <f>+IS!B24</f>
        <v>28985</v>
      </c>
      <c r="C11" s="33">
        <f>+IS!C24</f>
        <v>41544</v>
      </c>
      <c r="D11" s="33">
        <f>+IS!D24</f>
        <v>21497</v>
      </c>
      <c r="E11" s="33">
        <f>+IS!E24</f>
        <v>-337901</v>
      </c>
      <c r="F11" s="86">
        <f>+IS!F24</f>
        <v>-245875</v>
      </c>
      <c r="G11" s="33">
        <f>+IS!G24</f>
        <v>33992</v>
      </c>
      <c r="H11" s="33">
        <f>+IS!H24</f>
        <v>28739</v>
      </c>
      <c r="I11" s="33">
        <f>+IS!I24</f>
        <v>20498</v>
      </c>
      <c r="J11" s="33">
        <f>+IS!J24</f>
        <v>10676</v>
      </c>
      <c r="K11" s="86">
        <f>+IS!K24</f>
        <v>93905</v>
      </c>
      <c r="L11" s="33">
        <f>+IS!L24</f>
        <v>43200</v>
      </c>
      <c r="M11" s="33">
        <f>+IS!M24</f>
        <v>38900</v>
      </c>
      <c r="N11" s="33">
        <f>+IS!N24</f>
        <v>40200</v>
      </c>
      <c r="O11" s="33">
        <f>+IS!O24</f>
        <v>28600</v>
      </c>
      <c r="P11" s="86">
        <f>+IS!P24</f>
        <v>150900</v>
      </c>
      <c r="Q11" s="33">
        <v>56370</v>
      </c>
      <c r="R11" s="127">
        <v>51200</v>
      </c>
      <c r="S11" s="128">
        <v>48700</v>
      </c>
      <c r="T11" s="128">
        <v>32000</v>
      </c>
      <c r="U11" s="148">
        <f>+SUM(Q11:T11)</f>
        <v>188270</v>
      </c>
      <c r="V11" s="128">
        <v>60400</v>
      </c>
      <c r="W11" s="128">
        <v>58800</v>
      </c>
      <c r="X11" s="128">
        <v>55900</v>
      </c>
      <c r="Y11" s="128">
        <v>38200</v>
      </c>
      <c r="Z11" s="148">
        <f>+SUM(V11:Y11)</f>
        <v>213300</v>
      </c>
      <c r="AA11" s="143">
        <v>233000</v>
      </c>
      <c r="AC11" t="s">
        <v>157</v>
      </c>
    </row>
    <row r="12" spans="1:31">
      <c r="A12" s="4" t="s">
        <v>158</v>
      </c>
      <c r="B12" s="35">
        <f>+IS!B25</f>
        <v>0.20199450848119085</v>
      </c>
      <c r="C12" s="35">
        <f>+IS!C25</f>
        <v>0.20428093053445248</v>
      </c>
      <c r="D12" s="35">
        <f>+IS!D25</f>
        <v>0.15555217875801386</v>
      </c>
      <c r="E12" s="146" t="str">
        <f>+IS!E25</f>
        <v>-</v>
      </c>
      <c r="F12" s="35">
        <f>+IS!F25</f>
        <v>-0.43154362298313143</v>
      </c>
      <c r="G12" s="35">
        <f>+IS!G25</f>
        <v>0.19976727512077011</v>
      </c>
      <c r="H12" s="35">
        <f>+IS!H25</f>
        <v>0.21304086761206531</v>
      </c>
      <c r="I12" s="35">
        <f>+IS!I25</f>
        <v>0.17850424968649853</v>
      </c>
      <c r="J12" s="35">
        <f>+IS!J25</f>
        <v>0.10429040325101595</v>
      </c>
      <c r="K12" s="35">
        <f>+IS!K25</f>
        <v>0.17980611078453712</v>
      </c>
      <c r="L12" s="35">
        <f>+IS!L25</f>
        <v>0.18501070663811564</v>
      </c>
      <c r="M12" s="35">
        <f>+IS!M25</f>
        <v>0.1764172335600907</v>
      </c>
      <c r="N12" s="35">
        <f>+IS!N25</f>
        <v>0.1950509461426492</v>
      </c>
      <c r="O12" s="35">
        <f>+IS!O25</f>
        <v>0.20326936744847193</v>
      </c>
      <c r="P12" s="35">
        <f>+IS!P25</f>
        <v>0.18843656343656343</v>
      </c>
      <c r="Q12" s="35">
        <v>0.18995899999999999</v>
      </c>
      <c r="R12" s="133">
        <v>0.2</v>
      </c>
      <c r="S12" s="134">
        <v>0.2</v>
      </c>
      <c r="T12" s="134">
        <v>0.2</v>
      </c>
      <c r="U12" s="134">
        <v>0.2</v>
      </c>
      <c r="V12" s="131">
        <v>0.2</v>
      </c>
      <c r="W12" s="131">
        <v>0.2</v>
      </c>
      <c r="X12" s="131">
        <v>0.2</v>
      </c>
      <c r="Y12" s="131">
        <v>0.2</v>
      </c>
      <c r="Z12" s="131">
        <v>0.2</v>
      </c>
      <c r="AA12" s="132">
        <v>0.2</v>
      </c>
    </row>
    <row r="13" spans="1:31">
      <c r="A13" s="4"/>
      <c r="B13" s="35"/>
      <c r="C13" s="35"/>
      <c r="D13" s="35"/>
      <c r="E13" s="146"/>
      <c r="F13" s="35"/>
      <c r="G13" s="35"/>
      <c r="H13" s="35"/>
      <c r="I13" s="35"/>
      <c r="J13" s="35"/>
      <c r="K13" s="35"/>
      <c r="L13" s="35"/>
      <c r="M13" s="35"/>
      <c r="N13" s="35"/>
      <c r="O13" s="35"/>
      <c r="P13" s="35"/>
      <c r="Q13" s="35"/>
      <c r="R13" s="133"/>
      <c r="S13" s="134"/>
      <c r="T13" s="134"/>
      <c r="U13" s="134"/>
      <c r="V13" s="131"/>
      <c r="W13" s="131"/>
      <c r="X13" s="131"/>
      <c r="Y13" s="131"/>
      <c r="Z13" s="131"/>
      <c r="AA13" s="132"/>
    </row>
    <row r="14" spans="1:31">
      <c r="A14" s="229" t="s">
        <v>43</v>
      </c>
      <c r="B14" s="230">
        <f>+IS!B27</f>
        <v>114509</v>
      </c>
      <c r="C14" s="230">
        <f>+IS!C27</f>
        <v>161823</v>
      </c>
      <c r="D14" s="230">
        <f>+IS!D27</f>
        <v>116701</v>
      </c>
      <c r="E14" s="230">
        <f>+IS!E27</f>
        <v>422599</v>
      </c>
      <c r="F14" s="231">
        <f>+IS!F27</f>
        <v>815632</v>
      </c>
      <c r="G14" s="230">
        <f>+IS!G27</f>
        <v>136166</v>
      </c>
      <c r="H14" s="230">
        <f>+IS!H27</f>
        <v>106160</v>
      </c>
      <c r="I14" s="230">
        <f>+IS!I27</f>
        <v>94334</v>
      </c>
      <c r="J14" s="230">
        <f>+IS!J27</f>
        <v>92502</v>
      </c>
      <c r="K14" s="231">
        <f>+IS!K27</f>
        <v>429162</v>
      </c>
      <c r="L14" s="230">
        <f>+IS!L27</f>
        <v>190300</v>
      </c>
      <c r="M14" s="230">
        <f>+IS!M27</f>
        <v>181600</v>
      </c>
      <c r="N14" s="230">
        <f>+IS!N27</f>
        <v>165900</v>
      </c>
      <c r="O14" s="230">
        <f>+IS!O27</f>
        <v>112100</v>
      </c>
      <c r="P14" s="231">
        <f>+IS!P27</f>
        <v>649900</v>
      </c>
      <c r="Q14" s="230">
        <v>240378</v>
      </c>
      <c r="R14" s="127">
        <v>198500</v>
      </c>
      <c r="S14" s="128">
        <v>189000</v>
      </c>
      <c r="T14" s="128">
        <v>124100</v>
      </c>
      <c r="U14" s="231">
        <v>715500</v>
      </c>
      <c r="V14" s="128">
        <v>241400</v>
      </c>
      <c r="W14" s="128">
        <v>235100</v>
      </c>
      <c r="X14" s="128">
        <v>223500</v>
      </c>
      <c r="Y14" s="128">
        <v>152900</v>
      </c>
      <c r="Z14" s="231">
        <v>852900</v>
      </c>
      <c r="AA14" s="143">
        <f>+AA15*AA5</f>
        <v>925476.15030394285</v>
      </c>
      <c r="AC14" t="s">
        <v>159</v>
      </c>
    </row>
    <row r="15" spans="1:31">
      <c r="A15" s="4" t="s">
        <v>155</v>
      </c>
      <c r="B15" s="35">
        <f>+B14/B5</f>
        <v>7.9827530316391934E-2</v>
      </c>
      <c r="C15" s="35">
        <f t="shared" ref="C15:Q15" si="16">+C14/C5</f>
        <v>9.7373983901277536E-2</v>
      </c>
      <c r="D15" s="35">
        <f t="shared" si="16"/>
        <v>7.4881486785808707E-2</v>
      </c>
      <c r="E15" s="35">
        <f t="shared" si="16"/>
        <v>0.2552872864697418</v>
      </c>
      <c r="F15" s="35">
        <f t="shared" si="16"/>
        <v>0.12925637080860347</v>
      </c>
      <c r="G15" s="35">
        <f t="shared" si="16"/>
        <v>7.4833177071368662E-2</v>
      </c>
      <c r="H15" s="35">
        <f t="shared" si="16"/>
        <v>5.6836798721921572E-2</v>
      </c>
      <c r="I15" s="35">
        <f t="shared" si="16"/>
        <v>5.0221282635395534E-2</v>
      </c>
      <c r="J15" s="35">
        <f t="shared" si="16"/>
        <v>4.9235010924613513E-2</v>
      </c>
      <c r="K15" s="35">
        <f t="shared" si="16"/>
        <v>5.7647809471358245E-2</v>
      </c>
      <c r="L15" s="35">
        <f t="shared" si="16"/>
        <v>9.505969329137319E-2</v>
      </c>
      <c r="M15" s="35">
        <f t="shared" si="16"/>
        <v>9.02360248447205E-2</v>
      </c>
      <c r="N15" s="35">
        <f t="shared" si="16"/>
        <v>8.192592592592593E-2</v>
      </c>
      <c r="O15" s="35">
        <f t="shared" si="16"/>
        <v>5.7167627110000507E-2</v>
      </c>
      <c r="P15" s="35">
        <f t="shared" si="16"/>
        <v>8.1234453707985946E-2</v>
      </c>
      <c r="Q15" s="35">
        <f t="shared" si="16"/>
        <v>0.10675936572737363</v>
      </c>
      <c r="R15" s="232">
        <f t="shared" ref="R15" si="17">+R14/R5</f>
        <v>9.0445163348065793E-2</v>
      </c>
      <c r="S15" s="35">
        <f t="shared" ref="S15" si="18">+S14/S5</f>
        <v>8.5439175444148099E-2</v>
      </c>
      <c r="T15" s="35">
        <f t="shared" ref="T15" si="19">+T14/T5</f>
        <v>5.7057471264367818E-2</v>
      </c>
      <c r="U15" s="35">
        <f t="shared" ref="U15" si="20">+U14/U5</f>
        <v>8.099950788978226E-2</v>
      </c>
      <c r="V15" s="35">
        <f t="shared" ref="V15" si="21">+V14/V5</f>
        <v>9.4483920540572017E-2</v>
      </c>
      <c r="W15" s="35">
        <f t="shared" ref="W15" si="22">+W14/W5</f>
        <v>9.7171790768747546E-2</v>
      </c>
      <c r="X15" s="35">
        <f t="shared" ref="X15" si="23">+X14/X5</f>
        <v>9.0275741095552225E-2</v>
      </c>
      <c r="Y15" s="35">
        <f t="shared" ref="Y15" si="24">+Y14/Y5</f>
        <v>6.3097417958024218E-2</v>
      </c>
      <c r="Z15" s="35">
        <f t="shared" ref="Z15" si="25">+Z14/Z5</f>
        <v>8.6384108974565707E-2</v>
      </c>
      <c r="AA15" s="233">
        <f>+AVERAGE(U15,Z15)</f>
        <v>8.3691808432173984E-2</v>
      </c>
    </row>
    <row r="16" spans="1:31">
      <c r="A16" s="4"/>
      <c r="B16" s="35"/>
      <c r="C16" s="35"/>
      <c r="D16" s="35"/>
      <c r="E16" s="35"/>
      <c r="F16" s="35"/>
      <c r="G16" s="35"/>
      <c r="H16" s="35"/>
      <c r="I16" s="35"/>
      <c r="J16" s="35"/>
      <c r="K16" s="35"/>
      <c r="L16" s="35"/>
      <c r="M16" s="35"/>
      <c r="N16" s="35"/>
      <c r="O16" s="35"/>
      <c r="P16" s="35"/>
      <c r="Q16" s="35"/>
      <c r="R16" s="133"/>
      <c r="S16" s="134"/>
      <c r="T16" s="134"/>
      <c r="U16" s="134"/>
      <c r="V16" s="131"/>
      <c r="W16" s="131"/>
      <c r="X16" s="131"/>
      <c r="Y16" s="131"/>
      <c r="Z16" s="131"/>
      <c r="AA16" s="131"/>
    </row>
    <row r="17" spans="1:30">
      <c r="A17" s="144" t="s">
        <v>160</v>
      </c>
      <c r="B17" s="129">
        <f>+B8*(1-B12)</f>
        <v>125819.9298367876</v>
      </c>
      <c r="C17" s="129">
        <f t="shared" ref="C17:Q17" si="26">+C8*(1-C12)</f>
        <v>160105.83824809335</v>
      </c>
      <c r="D17" s="129">
        <f t="shared" si="26"/>
        <v>123497.96051317675</v>
      </c>
      <c r="E17" s="147" t="s">
        <v>161</v>
      </c>
      <c r="F17" s="148">
        <f t="shared" si="26"/>
        <v>856330.78520141041</v>
      </c>
      <c r="G17" s="129">
        <f t="shared" si="26"/>
        <v>140764.13723715607</v>
      </c>
      <c r="H17" s="129">
        <f t="shared" si="26"/>
        <v>121316.04593065924</v>
      </c>
      <c r="I17" s="129">
        <f t="shared" si="26"/>
        <v>106770.62416399609</v>
      </c>
      <c r="J17" s="129">
        <f t="shared" si="26"/>
        <v>77601.592333541732</v>
      </c>
      <c r="K17" s="148">
        <f t="shared" si="26"/>
        <v>448375.39341741707</v>
      </c>
      <c r="L17" s="129">
        <f t="shared" si="26"/>
        <v>182231.60599571734</v>
      </c>
      <c r="M17" s="129">
        <f t="shared" si="26"/>
        <v>179293.96825396825</v>
      </c>
      <c r="N17" s="129">
        <f t="shared" si="26"/>
        <v>171615.1382823872</v>
      </c>
      <c r="O17" s="129">
        <f t="shared" si="26"/>
        <v>103814.00142146411</v>
      </c>
      <c r="P17" s="148">
        <f t="shared" si="26"/>
        <v>636914.98501498497</v>
      </c>
      <c r="Q17" s="129">
        <f t="shared" si="26"/>
        <v>242038.630718</v>
      </c>
      <c r="R17" s="145">
        <f>+R8*(1-R12)</f>
        <v>199760</v>
      </c>
      <c r="S17" s="129">
        <f t="shared" ref="S17:Z17" si="27">+S8*(1-S12)</f>
        <v>190240</v>
      </c>
      <c r="T17" s="129">
        <f t="shared" si="27"/>
        <v>124800</v>
      </c>
      <c r="U17" s="148">
        <f t="shared" si="27"/>
        <v>753838.4</v>
      </c>
      <c r="V17" s="129">
        <f t="shared" si="27"/>
        <v>241440</v>
      </c>
      <c r="W17" s="129">
        <f t="shared" si="27"/>
        <v>235120</v>
      </c>
      <c r="X17" s="129">
        <f t="shared" si="27"/>
        <v>223520</v>
      </c>
      <c r="Y17" s="129">
        <f t="shared" si="27"/>
        <v>200800</v>
      </c>
      <c r="Z17" s="148">
        <f t="shared" si="27"/>
        <v>900880</v>
      </c>
      <c r="AA17" s="143">
        <f>+AA8*(1-AA12)</f>
        <v>1105814.4968321156</v>
      </c>
      <c r="AC17" t="s">
        <v>162</v>
      </c>
    </row>
    <row r="18" spans="1:30">
      <c r="A18" s="4" t="s">
        <v>155</v>
      </c>
      <c r="B18" s="35">
        <f>+B17/B5</f>
        <v>8.771270610565518E-2</v>
      </c>
      <c r="C18" s="35">
        <f t="shared" ref="C18:Q18" si="28">+C17/C5</f>
        <v>9.6340713718509649E-2</v>
      </c>
      <c r="D18" s="35">
        <f t="shared" si="28"/>
        <v>7.9242773397329658E-2</v>
      </c>
      <c r="E18" s="35"/>
      <c r="F18" s="35">
        <f t="shared" si="28"/>
        <v>0.13570606536626331</v>
      </c>
      <c r="G18" s="35">
        <f t="shared" si="28"/>
        <v>7.7360189821001873E-2</v>
      </c>
      <c r="H18" s="35">
        <f t="shared" si="28"/>
        <v>6.4951165074418532E-2</v>
      </c>
      <c r="I18" s="35">
        <f t="shared" si="28"/>
        <v>5.6842259347612098E-2</v>
      </c>
      <c r="J18" s="35">
        <f t="shared" si="28"/>
        <v>4.1304136627417047E-2</v>
      </c>
      <c r="K18" s="35">
        <f t="shared" si="28"/>
        <v>6.0228676470359802E-2</v>
      </c>
      <c r="L18" s="35">
        <f t="shared" si="28"/>
        <v>9.1029325138976644E-2</v>
      </c>
      <c r="M18" s="35">
        <f t="shared" si="28"/>
        <v>8.909017056097801E-2</v>
      </c>
      <c r="N18" s="35">
        <f t="shared" si="28"/>
        <v>8.4748216435746759E-2</v>
      </c>
      <c r="O18" s="35">
        <f t="shared" si="28"/>
        <v>5.2942017145935084E-2</v>
      </c>
      <c r="P18" s="35">
        <f t="shared" si="28"/>
        <v>7.9611387699834377E-2</v>
      </c>
      <c r="Q18" s="35">
        <f t="shared" si="28"/>
        <v>0.10749690361420633</v>
      </c>
      <c r="R18" s="130">
        <f>+R17/R5</f>
        <v>9.1019273704834369E-2</v>
      </c>
      <c r="S18" s="35">
        <f t="shared" ref="S18:Z18" si="29">+S17/S5</f>
        <v>8.5999728764522401E-2</v>
      </c>
      <c r="T18" s="35">
        <f t="shared" si="29"/>
        <v>5.7379310344827586E-2</v>
      </c>
      <c r="U18" s="35">
        <f t="shared" si="29"/>
        <v>8.533967774761822E-2</v>
      </c>
      <c r="V18" s="35">
        <f t="shared" si="29"/>
        <v>9.4499576534033583E-2</v>
      </c>
      <c r="W18" s="35">
        <f t="shared" si="29"/>
        <v>9.7180057190761046E-2</v>
      </c>
      <c r="X18" s="35">
        <f t="shared" si="29"/>
        <v>9.0283819461645792E-2</v>
      </c>
      <c r="Y18" s="35">
        <f t="shared" si="29"/>
        <v>8.2864365768288178E-2</v>
      </c>
      <c r="Z18" s="35">
        <f t="shared" si="29"/>
        <v>9.1243658216680443E-2</v>
      </c>
      <c r="AA18" s="205">
        <f>+AA17/AA5</f>
        <v>0.1</v>
      </c>
    </row>
    <row r="19" spans="1:30">
      <c r="R19" s="123"/>
    </row>
    <row r="20" spans="1:30">
      <c r="A20" s="1" t="s">
        <v>51</v>
      </c>
      <c r="B20" s="33">
        <f>+IS!B42</f>
        <v>33008</v>
      </c>
      <c r="C20" s="33">
        <f>+IS!C42</f>
        <v>33641</v>
      </c>
      <c r="D20" s="33">
        <f>+IS!D42</f>
        <v>34009</v>
      </c>
      <c r="E20" s="33">
        <f>+IS!E42</f>
        <v>38942</v>
      </c>
      <c r="F20" s="86">
        <f>+IS!F42</f>
        <v>139600</v>
      </c>
      <c r="G20" s="33">
        <f>+IS!G42</f>
        <v>36516</v>
      </c>
      <c r="H20" s="33">
        <f>+IS!H42</f>
        <v>35516</v>
      </c>
      <c r="I20" s="33">
        <f>+IS!I42</f>
        <v>38606</v>
      </c>
      <c r="J20" s="33">
        <f>+IS!J42</f>
        <v>43078</v>
      </c>
      <c r="K20" s="86">
        <f>+IS!K42</f>
        <v>153716</v>
      </c>
      <c r="L20" s="33">
        <f>+IS!L42</f>
        <v>41424</v>
      </c>
      <c r="M20" s="33">
        <f>+IS!M42</f>
        <v>43971</v>
      </c>
      <c r="N20" s="33">
        <f>+IS!N42</f>
        <v>46140</v>
      </c>
      <c r="O20" s="33">
        <f>+IS!O42</f>
        <v>50390</v>
      </c>
      <c r="P20" s="86">
        <f>+IS!P42</f>
        <v>181925</v>
      </c>
      <c r="Q20" s="33">
        <v>49325</v>
      </c>
      <c r="R20" s="127">
        <v>48000</v>
      </c>
      <c r="S20" s="128">
        <v>48000</v>
      </c>
      <c r="T20" s="128">
        <v>48000</v>
      </c>
      <c r="U20" s="86">
        <f>+SUM(Q20:T20)</f>
        <v>193325</v>
      </c>
      <c r="V20" s="128">
        <v>50000</v>
      </c>
      <c r="W20" s="128">
        <v>50000</v>
      </c>
      <c r="X20" s="128">
        <v>50000</v>
      </c>
      <c r="Y20" s="128">
        <v>50000</v>
      </c>
      <c r="Z20" s="86">
        <f>+SUM(V20:Y20)</f>
        <v>200000</v>
      </c>
      <c r="AA20" s="143">
        <f>+AA5*AA21</f>
        <v>221162.89936642311</v>
      </c>
      <c r="AC20" t="s">
        <v>163</v>
      </c>
      <c r="AD20" t="s">
        <v>164</v>
      </c>
    </row>
    <row r="21" spans="1:30">
      <c r="A21" s="4" t="s">
        <v>155</v>
      </c>
      <c r="B21" s="35">
        <f>+B20/B5</f>
        <v>2.3010829897068923E-2</v>
      </c>
      <c r="C21" s="35">
        <f t="shared" ref="C21:Z21" si="30">+C20/C5</f>
        <v>2.0242846767288197E-2</v>
      </c>
      <c r="D21" s="35">
        <f t="shared" si="30"/>
        <v>2.1821959401363895E-2</v>
      </c>
      <c r="E21" s="35">
        <f t="shared" si="30"/>
        <v>2.3524422702620416E-2</v>
      </c>
      <c r="F21" s="35">
        <f t="shared" si="30"/>
        <v>2.2122954181396814E-2</v>
      </c>
      <c r="G21" s="35">
        <f t="shared" si="30"/>
        <v>2.0068213018948181E-2</v>
      </c>
      <c r="H21" s="35">
        <f t="shared" si="30"/>
        <v>1.9014843099168864E-2</v>
      </c>
      <c r="I21" s="35">
        <f t="shared" si="30"/>
        <v>2.0552959033032416E-2</v>
      </c>
      <c r="J21" s="35">
        <f t="shared" si="30"/>
        <v>2.2928648035831667E-2</v>
      </c>
      <c r="K21" s="35">
        <f t="shared" si="30"/>
        <v>2.0648125138524154E-2</v>
      </c>
      <c r="L21" s="35">
        <f t="shared" si="30"/>
        <v>2.0692342274838904E-2</v>
      </c>
      <c r="M21" s="35">
        <f t="shared" si="30"/>
        <v>2.1848944099378882E-2</v>
      </c>
      <c r="N21" s="35">
        <f t="shared" si="30"/>
        <v>2.2785185185185186E-2</v>
      </c>
      <c r="O21" s="35">
        <f t="shared" si="30"/>
        <v>2.5697383854352593E-2</v>
      </c>
      <c r="P21" s="35">
        <f t="shared" si="30"/>
        <v>2.2739772258540306E-2</v>
      </c>
      <c r="Q21" s="35">
        <f t="shared" si="30"/>
        <v>2.1906770646659444E-2</v>
      </c>
      <c r="R21" s="130">
        <f t="shared" si="30"/>
        <v>2.1870870734041099E-2</v>
      </c>
      <c r="S21" s="35">
        <f t="shared" si="30"/>
        <v>2.1698838208037613E-2</v>
      </c>
      <c r="T21" s="35">
        <f t="shared" si="30"/>
        <v>2.2068965517241378E-2</v>
      </c>
      <c r="U21" s="35">
        <f t="shared" si="30"/>
        <v>2.1885716090555073E-2</v>
      </c>
      <c r="V21" s="35">
        <f t="shared" si="30"/>
        <v>1.9569991826961893E-2</v>
      </c>
      <c r="W21" s="35">
        <f t="shared" si="30"/>
        <v>2.0666055033761704E-2</v>
      </c>
      <c r="X21" s="35">
        <f t="shared" si="30"/>
        <v>2.01959152339043E-2</v>
      </c>
      <c r="Y21" s="35">
        <f t="shared" si="30"/>
        <v>2.0633557213219168E-2</v>
      </c>
      <c r="Z21" s="35">
        <f t="shared" si="30"/>
        <v>2.0256562076343229E-2</v>
      </c>
      <c r="AA21" s="205">
        <v>0.02</v>
      </c>
    </row>
    <row r="22" spans="1:30">
      <c r="R22" s="123"/>
    </row>
    <row r="23" spans="1:30">
      <c r="A23" s="1" t="s">
        <v>120</v>
      </c>
      <c r="B23" s="33">
        <f>+BS!B56</f>
        <v>84237</v>
      </c>
      <c r="C23" s="33">
        <f>+BS!C56</f>
        <v>146219</v>
      </c>
      <c r="D23" s="33">
        <f>+BS!D56</f>
        <v>238712</v>
      </c>
      <c r="E23" s="33">
        <f>+BS!E56</f>
        <v>309674</v>
      </c>
      <c r="F23" s="86">
        <f>+BS!F56</f>
        <v>309674</v>
      </c>
      <c r="G23" s="33">
        <f>+BS!G56</f>
        <v>89398</v>
      </c>
      <c r="H23" s="33">
        <f>+BS!H56</f>
        <v>163511</v>
      </c>
      <c r="I23" s="33">
        <f>+BS!I56</f>
        <v>263631</v>
      </c>
      <c r="J23" s="33">
        <f>+BS!J56</f>
        <v>358992</v>
      </c>
      <c r="K23" s="86">
        <f>+BS!K56</f>
        <v>358992</v>
      </c>
      <c r="L23" s="33">
        <f>+BS!L56</f>
        <v>71213</v>
      </c>
      <c r="M23" s="33">
        <f>+BS!M56</f>
        <v>147425</v>
      </c>
      <c r="N23" s="33">
        <f>+BS!N56</f>
        <v>238712</v>
      </c>
      <c r="O23" s="33">
        <f>+BS!O56</f>
        <v>323722</v>
      </c>
      <c r="P23" s="86">
        <f>+BS!P56</f>
        <v>323722</v>
      </c>
      <c r="Q23" s="33">
        <v>57087</v>
      </c>
      <c r="R23" s="137">
        <f>+R24*R5</f>
        <v>176450.03813776677</v>
      </c>
      <c r="S23" s="138">
        <f>+S24*S5</f>
        <v>285619.31295106083</v>
      </c>
      <c r="T23" s="138">
        <v>350000</v>
      </c>
      <c r="U23" s="86">
        <v>350000</v>
      </c>
      <c r="V23" s="138">
        <f>+V5*V24</f>
        <v>77831.947203017102</v>
      </c>
      <c r="W23" s="138">
        <f>+W5*W24</f>
        <v>185875.95408981186</v>
      </c>
      <c r="X23" s="138">
        <f>+X5*X24</f>
        <v>305754.01536496432</v>
      </c>
      <c r="Y23" s="138">
        <v>355000</v>
      </c>
      <c r="Z23" s="86">
        <v>355000</v>
      </c>
      <c r="AA23" s="143">
        <v>370000</v>
      </c>
      <c r="AC23" t="s">
        <v>165</v>
      </c>
    </row>
    <row r="24" spans="1:30">
      <c r="A24" s="4" t="s">
        <v>155</v>
      </c>
      <c r="B24" s="35">
        <f>+B23/B5</f>
        <v>5.8724045020582732E-2</v>
      </c>
      <c r="C24" s="35">
        <f t="shared" ref="C24:Q24" si="31">+C23/C5</f>
        <v>8.7984566792488714E-2</v>
      </c>
      <c r="D24" s="35">
        <f t="shared" si="31"/>
        <v>0.1531701482730565</v>
      </c>
      <c r="E24" s="35">
        <f t="shared" si="31"/>
        <v>0.18707056843539815</v>
      </c>
      <c r="F24" s="35">
        <f t="shared" si="31"/>
        <v>4.9075241498351553E-2</v>
      </c>
      <c r="G24" s="35">
        <f t="shared" si="31"/>
        <v>4.913074015412229E-2</v>
      </c>
      <c r="H24" s="35">
        <f t="shared" si="31"/>
        <v>8.7541840578561778E-2</v>
      </c>
      <c r="I24" s="35">
        <f t="shared" si="31"/>
        <v>0.14035116673152798</v>
      </c>
      <c r="J24" s="35">
        <f t="shared" si="31"/>
        <v>0.19107667987555788</v>
      </c>
      <c r="K24" s="35">
        <f t="shared" si="31"/>
        <v>4.8222122223640113E-2</v>
      </c>
      <c r="L24" s="35">
        <f t="shared" si="31"/>
        <v>3.55727059293671E-2</v>
      </c>
      <c r="M24" s="35">
        <f t="shared" si="31"/>
        <v>7.3254658385093166E-2</v>
      </c>
      <c r="N24" s="35">
        <f t="shared" si="31"/>
        <v>0.11788246913580247</v>
      </c>
      <c r="O24" s="35">
        <f t="shared" si="31"/>
        <v>0.16508847977969299</v>
      </c>
      <c r="P24" s="35">
        <f t="shared" si="31"/>
        <v>4.0463732610027121E-2</v>
      </c>
      <c r="Q24" s="35">
        <f t="shared" si="31"/>
        <v>2.5354116896215868E-2</v>
      </c>
      <c r="R24" s="135">
        <f>+AVERAGE(H24,M24)</f>
        <v>8.0398249481827472E-2</v>
      </c>
      <c r="S24" s="136">
        <f>+AVERAGE(I24,N24)</f>
        <v>0.12911681793366522</v>
      </c>
      <c r="T24" s="136">
        <f>+T23/T5</f>
        <v>0.16091954022988506</v>
      </c>
      <c r="U24" s="34">
        <f>+U23/U5</f>
        <v>3.9622400784659381E-2</v>
      </c>
      <c r="V24" s="136">
        <f>+AVERAGE(L24,Q24)</f>
        <v>3.0463411412791484E-2</v>
      </c>
      <c r="W24" s="136">
        <f>+AVERAGE(M24,R24)</f>
        <v>7.6826453933460326E-2</v>
      </c>
      <c r="X24" s="136">
        <f>+AVERAGE(N24,S24)</f>
        <v>0.12349964353473385</v>
      </c>
      <c r="Y24" s="136">
        <f>+Y23/Y5</f>
        <v>0.14649825621385609</v>
      </c>
      <c r="Z24" s="34">
        <f>+Z23/Z5</f>
        <v>3.5955397685509233E-2</v>
      </c>
      <c r="AA24" s="34">
        <f>+AA23/AA5</f>
        <v>3.3459499858245506E-2</v>
      </c>
    </row>
    <row r="25" spans="1:30">
      <c r="R25" s="123"/>
      <c r="S25" s="139"/>
    </row>
    <row r="26" spans="1:30">
      <c r="A26" s="1" t="s">
        <v>118</v>
      </c>
      <c r="G26" s="33">
        <f>+BS!G54</f>
        <v>-577723</v>
      </c>
      <c r="H26" s="33">
        <f>+BS!H54</f>
        <v>-515779</v>
      </c>
      <c r="I26" s="33">
        <f>+BS!I54</f>
        <v>-601806</v>
      </c>
      <c r="J26" s="33">
        <f>+BS!J54</f>
        <v>-341232</v>
      </c>
      <c r="K26" s="86">
        <f>+BS!K54</f>
        <v>-341232</v>
      </c>
      <c r="L26" s="33">
        <f>+BS!L54</f>
        <v>-39322</v>
      </c>
      <c r="M26" s="33">
        <f>+BS!M54</f>
        <v>-108295</v>
      </c>
      <c r="N26" s="33">
        <f>+BS!N54</f>
        <v>296947</v>
      </c>
      <c r="O26" s="33">
        <f>+BS!O54</f>
        <v>314854</v>
      </c>
      <c r="P26" s="86">
        <f>+BS!P54</f>
        <v>314854</v>
      </c>
      <c r="Q26" s="33">
        <v>8821</v>
      </c>
      <c r="R26" s="140">
        <f>+R27*R5</f>
        <v>-118099.39701863355</v>
      </c>
      <c r="S26" s="141">
        <f>+S27*S5</f>
        <v>88484</v>
      </c>
      <c r="T26" s="141">
        <f>+T27*T5</f>
        <v>130500</v>
      </c>
      <c r="U26" s="143">
        <f>+T26</f>
        <v>130500</v>
      </c>
      <c r="V26" s="141">
        <f>+V27*V5</f>
        <v>-50184.844099296148</v>
      </c>
      <c r="W26" s="141">
        <f t="shared" ref="W26:Y26" si="32">+W27*W5</f>
        <v>48388.528839506173</v>
      </c>
      <c r="X26" s="141">
        <f t="shared" si="32"/>
        <v>99029.926439900068</v>
      </c>
      <c r="Y26" s="141">
        <f t="shared" si="32"/>
        <v>145394.22209167157</v>
      </c>
      <c r="Z26" s="143">
        <f>+Y26</f>
        <v>145394.22209167157</v>
      </c>
      <c r="AA26" s="143">
        <f>+AA27*AA5</f>
        <v>163104.48989847029</v>
      </c>
      <c r="AC26" t="s">
        <v>166</v>
      </c>
    </row>
    <row r="27" spans="1:30">
      <c r="A27" s="4" t="s">
        <v>155</v>
      </c>
      <c r="G27" s="35">
        <f>+G26/G5</f>
        <v>-0.31750104693684417</v>
      </c>
      <c r="H27" s="35">
        <f>+H26/H5</f>
        <v>-0.27614192923882808</v>
      </c>
      <c r="I27" s="35">
        <f>+I26/I5</f>
        <v>-0.32038786882435649</v>
      </c>
      <c r="J27" s="35">
        <f>+J26/J5</f>
        <v>-0.18162376216544202</v>
      </c>
      <c r="K27" s="35">
        <f>+K26/K5</f>
        <v>-4.5836484408056898E-2</v>
      </c>
      <c r="L27" s="35">
        <f>+L26/L5</f>
        <v>-1.9642339777211647E-2</v>
      </c>
      <c r="M27" s="35">
        <f>+M26/M5</f>
        <v>-5.3811180124223604E-2</v>
      </c>
      <c r="N27" s="35">
        <f>+N26/N5</f>
        <v>0.14664049382716049</v>
      </c>
      <c r="O27" s="35">
        <f>+O26/O5</f>
        <v>0.16056606660207048</v>
      </c>
      <c r="P27" s="35">
        <f>+P26/P5</f>
        <v>3.9355274177218354E-2</v>
      </c>
      <c r="Q27" s="35">
        <f>+Q26/Q5</f>
        <v>3.9176811733235267E-3</v>
      </c>
      <c r="R27" s="142">
        <f>+M27</f>
        <v>-5.3811180124223604E-2</v>
      </c>
      <c r="S27" s="132">
        <f>0.04</f>
        <v>0.04</v>
      </c>
      <c r="T27" s="132">
        <f>0.06</f>
        <v>0.06</v>
      </c>
      <c r="U27" s="139">
        <f>+U26/U5</f>
        <v>1.4773495149708714E-2</v>
      </c>
      <c r="V27" s="132">
        <f>+L27</f>
        <v>-1.9642339777211647E-2</v>
      </c>
      <c r="W27" s="132">
        <f>0.02</f>
        <v>0.02</v>
      </c>
      <c r="X27" s="132">
        <f>0.04</f>
        <v>0.04</v>
      </c>
      <c r="Y27" s="132">
        <f>0.06</f>
        <v>0.06</v>
      </c>
      <c r="Z27" s="134">
        <f>+Z26/Z5</f>
        <v>1.4725935426707897E-2</v>
      </c>
      <c r="AA27" s="134">
        <f>+AVERAGE(Z27,U27)</f>
        <v>1.4749715288208304E-2</v>
      </c>
    </row>
    <row r="28" spans="1:30">
      <c r="R28" s="123"/>
    </row>
    <row r="29" spans="1:30">
      <c r="R29" s="123"/>
    </row>
    <row r="30" spans="1:30" s="14" customFormat="1">
      <c r="A30" s="149" t="s">
        <v>167</v>
      </c>
      <c r="B30" s="150"/>
      <c r="C30" s="150"/>
      <c r="D30" s="150"/>
      <c r="E30" s="150"/>
      <c r="F30" s="150"/>
      <c r="G30" s="78"/>
      <c r="H30" s="78"/>
      <c r="I30" s="78"/>
      <c r="J30" s="78"/>
      <c r="K30" s="152">
        <f>+K17+K20-K23-K26</f>
        <v>584331.39341741707</v>
      </c>
      <c r="L30" s="150"/>
      <c r="M30" s="150"/>
      <c r="N30" s="150"/>
      <c r="O30" s="150"/>
      <c r="P30" s="152">
        <f>+P17+P20-P23-P26</f>
        <v>180263.98501498497</v>
      </c>
      <c r="Q30" s="151"/>
      <c r="R30" s="150"/>
      <c r="S30" s="150"/>
      <c r="T30" s="150"/>
      <c r="U30" s="152">
        <f>+U17+U20-U23-U26</f>
        <v>466663.4</v>
      </c>
      <c r="V30" s="150"/>
      <c r="W30" s="150"/>
      <c r="X30" s="150"/>
      <c r="Y30" s="150"/>
      <c r="Z30" s="154">
        <f>+Z17+Z20-Z23-Z26</f>
        <v>600485.77790832845</v>
      </c>
      <c r="AA30" s="154">
        <f>+AA17+AA20-AA23-AA26</f>
        <v>793872.90630006837</v>
      </c>
      <c r="AC30" s="14" t="s">
        <v>168</v>
      </c>
    </row>
    <row r="31" spans="1:30" s="14" customFormat="1">
      <c r="A31" s="14" t="s">
        <v>169</v>
      </c>
      <c r="G31" s="67"/>
      <c r="H31" s="67"/>
      <c r="I31" s="67"/>
      <c r="J31" s="67"/>
      <c r="K31" s="162"/>
      <c r="P31" s="162"/>
      <c r="R31" s="164"/>
      <c r="U31" s="165">
        <f>1/((1+WACC!$B$22)^'FCF &amp; DCF'!U1)</f>
        <v>0.95214517300551382</v>
      </c>
      <c r="Z31" s="165">
        <f>1/((1+WACC!$B$22)^'FCF &amp; DCF'!Z1)</f>
        <v>0.86319618082060268</v>
      </c>
      <c r="AA31" s="165">
        <f>1/((1+WACC!$B$22)^'FCF &amp; DCF'!AA1)</f>
        <v>0.78255676519504835</v>
      </c>
      <c r="AC31" s="14" t="s">
        <v>170</v>
      </c>
    </row>
    <row r="32" spans="1:30" s="14" customFormat="1" ht="11.25" customHeight="1">
      <c r="G32" s="67"/>
      <c r="H32" s="67"/>
      <c r="I32" s="67"/>
      <c r="J32" s="67"/>
      <c r="K32" s="162"/>
      <c r="P32" s="162"/>
      <c r="R32" s="164"/>
      <c r="U32" s="162"/>
      <c r="Z32" s="162"/>
      <c r="AA32" s="162"/>
    </row>
    <row r="33" spans="1:29">
      <c r="A33" s="8" t="s">
        <v>171</v>
      </c>
      <c r="B33" s="155"/>
      <c r="C33" s="155"/>
      <c r="D33" s="155"/>
      <c r="E33" s="155"/>
      <c r="F33" s="155"/>
      <c r="G33" s="155"/>
      <c r="H33" s="155"/>
      <c r="I33" s="155"/>
      <c r="J33" s="155"/>
      <c r="K33" s="155"/>
      <c r="L33" s="155"/>
      <c r="M33" s="155"/>
      <c r="N33" s="155"/>
      <c r="O33" s="155"/>
      <c r="P33" s="155"/>
      <c r="Q33" s="155"/>
      <c r="R33" s="163"/>
      <c r="S33" s="155"/>
      <c r="T33" s="155"/>
      <c r="U33" s="166">
        <f>+U30*U31</f>
        <v>444331.3037283413</v>
      </c>
      <c r="V33" s="166"/>
      <c r="W33" s="166"/>
      <c r="X33" s="166"/>
      <c r="Y33" s="166"/>
      <c r="Z33" s="166">
        <f>+Z30*Z31</f>
        <v>518337.03012755775</v>
      </c>
      <c r="AA33" s="166">
        <f>+AA30*AA31</f>
        <v>621250.6135301732</v>
      </c>
      <c r="AC33" t="s">
        <v>172</v>
      </c>
    </row>
    <row r="34" spans="1:29">
      <c r="R34" s="123"/>
    </row>
    <row r="35" spans="1:29">
      <c r="R35" s="123"/>
    </row>
    <row r="36" spans="1:29">
      <c r="A36" s="9" t="s">
        <v>173</v>
      </c>
      <c r="B36" s="10"/>
      <c r="C36" s="10"/>
      <c r="D36" s="10"/>
      <c r="E36" s="10"/>
      <c r="F36" s="10"/>
      <c r="G36" s="10"/>
      <c r="H36" s="10"/>
      <c r="I36" s="10"/>
      <c r="J36" s="10"/>
      <c r="K36" s="10"/>
      <c r="L36" s="10"/>
      <c r="M36" s="10"/>
      <c r="N36" s="10"/>
      <c r="O36" s="10"/>
      <c r="P36" s="10"/>
      <c r="Q36" s="10"/>
      <c r="R36" s="167" t="s">
        <v>174</v>
      </c>
      <c r="S36" s="10"/>
      <c r="T36" s="10"/>
      <c r="U36" s="10"/>
      <c r="V36" s="10"/>
      <c r="W36" s="10"/>
      <c r="X36" s="10"/>
      <c r="Y36" s="10"/>
      <c r="Z36" s="10"/>
      <c r="AA36" s="10"/>
    </row>
    <row r="37" spans="1:29">
      <c r="R37" s="123"/>
    </row>
    <row r="38" spans="1:29">
      <c r="R38" s="168" t="s">
        <v>175</v>
      </c>
      <c r="S38" s="169"/>
      <c r="T38" s="169"/>
      <c r="U38" s="169"/>
      <c r="V38" s="169"/>
      <c r="W38" s="169"/>
      <c r="X38" s="169"/>
      <c r="Y38" s="169"/>
      <c r="Z38" s="169"/>
      <c r="AA38" s="169"/>
      <c r="AC38" t="s">
        <v>176</v>
      </c>
    </row>
    <row r="39" spans="1:29">
      <c r="R39" s="193"/>
      <c r="S39" s="14"/>
      <c r="T39" s="14"/>
      <c r="U39" s="14"/>
      <c r="V39" s="14"/>
      <c r="W39" s="14"/>
      <c r="X39" s="14"/>
      <c r="Y39" s="14"/>
      <c r="Z39" s="14"/>
      <c r="AA39" s="14"/>
    </row>
    <row r="40" spans="1:29">
      <c r="R40" s="199" t="s">
        <v>177</v>
      </c>
      <c r="S40" s="200"/>
      <c r="T40" s="200"/>
      <c r="U40" s="201">
        <v>0.04</v>
      </c>
      <c r="V40" s="14"/>
      <c r="W40" s="210" t="s">
        <v>178</v>
      </c>
      <c r="X40" s="211"/>
      <c r="Y40" s="211"/>
      <c r="Z40" s="212">
        <v>153256000</v>
      </c>
      <c r="AA40" s="14"/>
    </row>
    <row r="41" spans="1:29">
      <c r="R41" s="208"/>
      <c r="S41" s="14"/>
      <c r="T41" s="14"/>
      <c r="U41" s="207"/>
      <c r="V41" s="14"/>
      <c r="W41" s="199" t="s">
        <v>179</v>
      </c>
      <c r="X41" s="200"/>
      <c r="Y41" s="200"/>
      <c r="Z41" s="217">
        <v>67.78</v>
      </c>
      <c r="AA41" s="14"/>
    </row>
    <row r="42" spans="1:29">
      <c r="R42" s="208"/>
      <c r="S42" s="14"/>
      <c r="T42" s="14"/>
      <c r="U42" s="207"/>
      <c r="V42" s="14"/>
      <c r="W42" s="75"/>
      <c r="X42" s="14"/>
      <c r="Y42" s="14"/>
      <c r="Z42" s="209"/>
      <c r="AA42" s="14"/>
    </row>
    <row r="43" spans="1:29">
      <c r="R43" s="123"/>
    </row>
    <row r="44" spans="1:29">
      <c r="R44" s="194" t="s">
        <v>180</v>
      </c>
      <c r="S44" s="183"/>
      <c r="T44" s="183"/>
      <c r="U44" s="195" t="s">
        <v>181</v>
      </c>
      <c r="V44" s="196"/>
      <c r="W44" s="195"/>
      <c r="X44" s="195"/>
      <c r="Y44" s="197"/>
      <c r="Z44" s="183"/>
      <c r="AA44" s="183"/>
      <c r="AC44" s="1" t="s">
        <v>23</v>
      </c>
    </row>
    <row r="45" spans="1:29">
      <c r="R45" s="173"/>
      <c r="S45" s="172"/>
      <c r="T45" s="172"/>
      <c r="U45" s="172"/>
      <c r="V45" s="172"/>
      <c r="W45" s="172"/>
      <c r="X45" s="172"/>
      <c r="Y45" s="172"/>
      <c r="Z45" s="172"/>
      <c r="AA45" s="172"/>
    </row>
    <row r="46" spans="1:29">
      <c r="R46" s="187" t="s">
        <v>151</v>
      </c>
      <c r="S46" s="177"/>
      <c r="T46" s="177"/>
      <c r="U46" s="189">
        <f>+P5*(1+U6-0.03)</f>
        <v>8593378</v>
      </c>
      <c r="V46" s="177"/>
      <c r="W46" s="177"/>
      <c r="X46" s="177"/>
      <c r="Y46" s="177"/>
      <c r="Z46" s="189">
        <f>+U5*(1+Z6-0.02)</f>
        <v>9696675.981715316</v>
      </c>
      <c r="AA46" s="189">
        <f>+Z5*(1+AA6-0.02)</f>
        <v>10860678.093886849</v>
      </c>
      <c r="AC46" t="s">
        <v>182</v>
      </c>
    </row>
    <row r="47" spans="1:29">
      <c r="R47" s="174" t="s">
        <v>153</v>
      </c>
      <c r="S47" s="172"/>
      <c r="T47" s="172"/>
      <c r="U47" s="190">
        <f>+U46*0.0767</f>
        <v>659112.09260000009</v>
      </c>
      <c r="V47" s="172"/>
      <c r="W47" s="172"/>
      <c r="X47" s="172"/>
      <c r="Y47" s="172"/>
      <c r="Z47" s="190">
        <f>+Z46*0.08</f>
        <v>775734.07853722526</v>
      </c>
      <c r="AA47" s="190">
        <f>+AA46*0.08</f>
        <v>868854.24751094787</v>
      </c>
      <c r="AC47" t="s">
        <v>183</v>
      </c>
    </row>
    <row r="48" spans="1:29">
      <c r="R48" s="188" t="s">
        <v>184</v>
      </c>
      <c r="S48" s="179"/>
      <c r="T48" s="179"/>
      <c r="U48" s="191">
        <f>+WACC!B22+0.005</f>
        <v>0.10804609098287643</v>
      </c>
      <c r="V48" s="179"/>
      <c r="W48" s="179"/>
      <c r="X48" s="179"/>
      <c r="Y48" s="179"/>
      <c r="Z48" s="191">
        <f>+WACC!B22+0.005</f>
        <v>0.10804609098287643</v>
      </c>
      <c r="AA48" s="191">
        <f>+Z48</f>
        <v>0.10804609098287643</v>
      </c>
      <c r="AC48" t="s">
        <v>185</v>
      </c>
    </row>
    <row r="49" spans="18:29">
      <c r="R49" s="174"/>
      <c r="S49" s="172"/>
      <c r="T49" s="172"/>
      <c r="U49" s="218"/>
      <c r="V49" s="172"/>
      <c r="W49" s="172"/>
      <c r="X49" s="172"/>
      <c r="Y49" s="172"/>
      <c r="Z49" s="218"/>
      <c r="AA49" s="218"/>
    </row>
    <row r="50" spans="18:29">
      <c r="R50" s="174"/>
      <c r="S50" s="172"/>
      <c r="T50" s="172"/>
      <c r="U50" s="218"/>
      <c r="V50" s="172"/>
      <c r="W50" s="172"/>
      <c r="X50" s="172"/>
      <c r="Y50" s="172"/>
      <c r="Z50" s="218"/>
      <c r="AA50" s="218"/>
    </row>
    <row r="51" spans="18:29">
      <c r="R51" s="181" t="s">
        <v>186</v>
      </c>
      <c r="S51" s="16"/>
      <c r="T51" s="16"/>
      <c r="U51" s="178">
        <f>+(U47*(1-U12))+U20-U23-U26</f>
        <v>240114.67408000014</v>
      </c>
      <c r="V51" s="16"/>
      <c r="W51" s="16"/>
      <c r="X51" s="16"/>
      <c r="Y51" s="16"/>
      <c r="Z51" s="178">
        <f>+(Z47*(1-Z12))+Z20-Z23-Z26</f>
        <v>320193.04073810868</v>
      </c>
      <c r="AA51" s="178">
        <f>+(AA47*(1-AA12))+AA20-AA23-AA26</f>
        <v>383141.80747671117</v>
      </c>
    </row>
    <row r="52" spans="18:29">
      <c r="R52" s="173" t="s">
        <v>169</v>
      </c>
      <c r="S52" s="172"/>
      <c r="T52" s="172"/>
      <c r="U52" s="219">
        <f>1/((1+U48)^'FCF &amp; DCF'!U1)</f>
        <v>0.94999449141969095</v>
      </c>
      <c r="V52" s="172"/>
      <c r="W52" s="172"/>
      <c r="X52" s="172"/>
      <c r="Y52" s="172"/>
      <c r="Z52" s="219">
        <f>1/((1+Z48)^'FCF &amp; DCF'!Z1)</f>
        <v>0.85736008560529442</v>
      </c>
      <c r="AA52" s="219">
        <f>1/((1+AA48)^'FCF &amp; DCF'!AA1)</f>
        <v>0.77375850389471212</v>
      </c>
    </row>
    <row r="53" spans="18:29">
      <c r="R53" s="181" t="s">
        <v>171</v>
      </c>
      <c r="S53" s="16"/>
      <c r="T53" s="16"/>
      <c r="U53" s="192">
        <f>+U52*U51</f>
        <v>228107.61768503458</v>
      </c>
      <c r="V53" s="16"/>
      <c r="W53" s="16"/>
      <c r="X53" s="16"/>
      <c r="Y53" s="16"/>
      <c r="Z53" s="192">
        <f>+Z52*Z51</f>
        <v>274520.73281744437</v>
      </c>
      <c r="AA53" s="192">
        <f>+AA52*AA51</f>
        <v>296459.23173269589</v>
      </c>
    </row>
    <row r="54" spans="18:29">
      <c r="R54" s="174"/>
      <c r="S54" s="172"/>
      <c r="T54" s="172"/>
      <c r="U54" s="218"/>
      <c r="V54" s="172"/>
      <c r="W54" s="172"/>
      <c r="X54" s="172"/>
      <c r="Y54" s="172"/>
      <c r="Z54" s="218"/>
      <c r="AA54" s="218"/>
    </row>
    <row r="55" spans="18:29">
      <c r="R55" s="174" t="s">
        <v>187</v>
      </c>
      <c r="S55" s="172"/>
      <c r="T55" s="198">
        <f>+(AA53*(1+U40))/(U48-U40)</f>
        <v>4531011.2094402425</v>
      </c>
      <c r="U55" s="218"/>
      <c r="V55" s="172"/>
      <c r="W55" s="171" t="s">
        <v>188</v>
      </c>
      <c r="X55" s="172"/>
      <c r="Y55" s="198">
        <f>+SUM(U53,Z53,AA53,T56)</f>
        <v>4304996.036781827</v>
      </c>
      <c r="Z55" s="175"/>
      <c r="AA55" s="218"/>
    </row>
    <row r="56" spans="18:29">
      <c r="R56" s="174" t="s">
        <v>189</v>
      </c>
      <c r="S56" s="172"/>
      <c r="T56" s="198">
        <f>+T55/(1+U48)^AA1</f>
        <v>3505908.4545466523</v>
      </c>
      <c r="U56" s="218"/>
      <c r="V56" s="172"/>
      <c r="W56" s="172" t="s">
        <v>190</v>
      </c>
      <c r="X56" s="172"/>
      <c r="Y56" s="85">
        <f>BS!P6</f>
        <v>1189910</v>
      </c>
      <c r="Z56" s="175"/>
      <c r="AA56" s="218"/>
    </row>
    <row r="57" spans="18:29">
      <c r="R57" s="174"/>
      <c r="S57" s="172"/>
      <c r="T57" s="172"/>
      <c r="U57" s="218"/>
      <c r="V57" s="172"/>
      <c r="W57" s="172" t="s">
        <v>191</v>
      </c>
      <c r="X57" s="172"/>
      <c r="Y57" s="85">
        <f>-WACC!B13</f>
        <v>-301409</v>
      </c>
      <c r="Z57" s="175"/>
      <c r="AA57" s="218"/>
    </row>
    <row r="58" spans="18:29">
      <c r="R58" s="174"/>
      <c r="S58" s="172"/>
      <c r="T58" s="172"/>
      <c r="U58" s="218"/>
      <c r="V58" s="172"/>
      <c r="W58" s="171" t="s">
        <v>192</v>
      </c>
      <c r="X58" s="172"/>
      <c r="Y58" s="203">
        <f>+Y55+Y56+Y57</f>
        <v>5193497.036781827</v>
      </c>
      <c r="Z58" s="172"/>
      <c r="AA58" s="218"/>
    </row>
    <row r="59" spans="18:29">
      <c r="R59" s="174"/>
      <c r="S59" s="172"/>
      <c r="T59" s="172"/>
      <c r="U59" s="218"/>
      <c r="V59" s="172"/>
      <c r="W59" s="171"/>
      <c r="X59" s="172"/>
      <c r="Y59" s="172"/>
      <c r="Z59" s="172"/>
      <c r="AA59" s="218"/>
    </row>
    <row r="60" spans="18:29">
      <c r="R60" s="174"/>
      <c r="S60" s="172"/>
      <c r="T60" s="172"/>
      <c r="U60" s="218"/>
      <c r="V60" s="172"/>
      <c r="W60" s="181" t="s">
        <v>193</v>
      </c>
      <c r="X60" s="16"/>
      <c r="Y60" s="223">
        <f>+(Y58*1000)/Z40</f>
        <v>33.887724048532043</v>
      </c>
      <c r="Z60" s="172"/>
      <c r="AA60" s="218"/>
    </row>
    <row r="61" spans="18:29">
      <c r="R61" s="174"/>
      <c r="S61" s="172"/>
      <c r="T61" s="172"/>
      <c r="U61" s="218"/>
      <c r="V61" s="172"/>
      <c r="W61" s="171"/>
      <c r="X61" s="172"/>
      <c r="Y61" s="213"/>
      <c r="Z61" s="172"/>
      <c r="AA61" s="218"/>
    </row>
    <row r="62" spans="18:29">
      <c r="R62" s="174"/>
      <c r="S62" s="171" t="s">
        <v>194</v>
      </c>
      <c r="T62" s="222" t="str">
        <f>+IF(Y62&gt;0,"BUY","SELL")</f>
        <v>SELL</v>
      </c>
      <c r="U62" s="218"/>
      <c r="V62" s="172"/>
      <c r="W62" s="181" t="s">
        <v>195</v>
      </c>
      <c r="X62" s="202"/>
      <c r="Y62" s="214">
        <f>+Y60-Z41</f>
        <v>-33.892275951467958</v>
      </c>
      <c r="Z62" s="221">
        <f>+(Y60/Z41)-1</f>
        <v>-0.50003357851088759</v>
      </c>
      <c r="AA62" s="218"/>
      <c r="AC62" t="s">
        <v>196</v>
      </c>
    </row>
    <row r="63" spans="18:29">
      <c r="R63" s="174"/>
      <c r="S63" s="171" t="s">
        <v>197</v>
      </c>
      <c r="T63" s="224">
        <v>0.25</v>
      </c>
      <c r="U63" s="218"/>
      <c r="V63" s="172"/>
      <c r="W63" s="215" t="s">
        <v>198</v>
      </c>
      <c r="X63" s="172"/>
      <c r="Y63" s="216"/>
      <c r="Z63" s="172"/>
      <c r="AA63" s="218"/>
    </row>
    <row r="64" spans="18:29">
      <c r="R64" s="173"/>
      <c r="S64" s="172"/>
      <c r="T64" s="172"/>
      <c r="U64" s="172"/>
      <c r="V64" s="172"/>
      <c r="W64" s="172"/>
      <c r="X64" s="172"/>
      <c r="Y64" s="172"/>
      <c r="Z64" s="172"/>
      <c r="AA64" s="172"/>
    </row>
    <row r="65" spans="18:29">
      <c r="R65" s="170"/>
      <c r="U65" s="14"/>
      <c r="V65" s="14"/>
      <c r="W65" s="14"/>
      <c r="X65" s="14"/>
      <c r="Y65" s="14"/>
      <c r="Z65" s="14"/>
      <c r="AA65" s="14"/>
    </row>
    <row r="66" spans="18:29">
      <c r="R66" s="170"/>
    </row>
    <row r="67" spans="18:29">
      <c r="R67" s="182" t="s">
        <v>145</v>
      </c>
      <c r="S67" s="183"/>
      <c r="T67" s="183"/>
      <c r="U67" s="184" t="s">
        <v>199</v>
      </c>
      <c r="V67" s="183"/>
      <c r="W67" s="183"/>
      <c r="X67" s="183"/>
      <c r="Y67" s="183"/>
      <c r="Z67" s="183"/>
      <c r="AA67" s="183"/>
      <c r="AC67" s="1" t="s">
        <v>23</v>
      </c>
    </row>
    <row r="68" spans="18:29">
      <c r="R68" s="173"/>
      <c r="S68" s="172"/>
      <c r="T68" s="172"/>
      <c r="U68" s="172"/>
      <c r="V68" s="172"/>
      <c r="W68" s="172"/>
      <c r="X68" s="172"/>
      <c r="Y68" s="172"/>
      <c r="Z68" s="172"/>
      <c r="AA68" s="172"/>
    </row>
    <row r="69" spans="18:29">
      <c r="R69" s="187" t="s">
        <v>151</v>
      </c>
      <c r="S69" s="177"/>
      <c r="T69" s="177"/>
      <c r="U69" s="178">
        <f>+U5</f>
        <v>8833387</v>
      </c>
      <c r="V69" s="177"/>
      <c r="W69" s="177"/>
      <c r="X69" s="177"/>
      <c r="Y69" s="177"/>
      <c r="Z69" s="178">
        <f>+Z5</f>
        <v>9873343.7217153162</v>
      </c>
      <c r="AA69" s="178">
        <f>+AA5</f>
        <v>11058144.968321156</v>
      </c>
      <c r="AC69" t="s">
        <v>200</v>
      </c>
    </row>
    <row r="70" spans="18:29">
      <c r="R70" s="174" t="s">
        <v>153</v>
      </c>
      <c r="S70" s="172"/>
      <c r="T70" s="172"/>
      <c r="U70" s="85">
        <f>+U8</f>
        <v>942298</v>
      </c>
      <c r="V70" s="172"/>
      <c r="W70" s="172"/>
      <c r="X70" s="172"/>
      <c r="Y70" s="172"/>
      <c r="Z70" s="85">
        <f>+Z8</f>
        <v>1126100</v>
      </c>
      <c r="AA70" s="85">
        <f>+AA8</f>
        <v>1382268.1210401445</v>
      </c>
    </row>
    <row r="71" spans="18:29">
      <c r="R71" s="188" t="s">
        <v>184</v>
      </c>
      <c r="S71" s="179"/>
      <c r="T71" s="179"/>
      <c r="U71" s="180">
        <f>+WACC!B22</f>
        <v>0.10304609098287643</v>
      </c>
      <c r="V71" s="179"/>
      <c r="W71" s="179"/>
      <c r="X71" s="179"/>
      <c r="Y71" s="179"/>
      <c r="Z71" s="180">
        <f>+U71</f>
        <v>0.10304609098287643</v>
      </c>
      <c r="AA71" s="180">
        <f>+Z71</f>
        <v>0.10304609098287643</v>
      </c>
    </row>
    <row r="72" spans="18:29">
      <c r="R72" s="173"/>
      <c r="S72" s="172"/>
      <c r="T72" s="172"/>
      <c r="U72" s="175"/>
      <c r="V72" s="172"/>
      <c r="W72" s="172"/>
      <c r="X72" s="172"/>
      <c r="Y72" s="172"/>
      <c r="Z72" s="175"/>
      <c r="AA72" s="175"/>
    </row>
    <row r="73" spans="18:29">
      <c r="R73" s="173"/>
      <c r="S73" s="172"/>
      <c r="T73" s="172"/>
      <c r="U73" s="175"/>
      <c r="V73" s="172"/>
      <c r="W73" s="172"/>
      <c r="X73" s="172"/>
      <c r="Y73" s="172"/>
      <c r="Z73" s="175"/>
      <c r="AA73" s="175"/>
    </row>
    <row r="74" spans="18:29">
      <c r="R74" s="181" t="s">
        <v>186</v>
      </c>
      <c r="S74" s="16"/>
      <c r="T74" s="16"/>
      <c r="U74" s="178">
        <f>+U30</f>
        <v>466663.4</v>
      </c>
      <c r="V74" s="16"/>
      <c r="W74" s="16"/>
      <c r="X74" s="16"/>
      <c r="Y74" s="16"/>
      <c r="Z74" s="185">
        <f>+Z30</f>
        <v>600485.77790832845</v>
      </c>
      <c r="AA74" s="185">
        <f>+AA30</f>
        <v>793872.90630006837</v>
      </c>
    </row>
    <row r="75" spans="18:29">
      <c r="R75" s="173" t="s">
        <v>169</v>
      </c>
      <c r="S75" s="172"/>
      <c r="T75" s="172"/>
      <c r="U75" s="186">
        <f>+U31</f>
        <v>0.95214517300551382</v>
      </c>
      <c r="V75" s="172"/>
      <c r="W75" s="172"/>
      <c r="X75" s="172"/>
      <c r="Y75" s="172"/>
      <c r="Z75" s="176">
        <f>+Z31</f>
        <v>0.86319618082060268</v>
      </c>
      <c r="AA75" s="176">
        <f>+AA31</f>
        <v>0.78255676519504835</v>
      </c>
    </row>
    <row r="76" spans="18:29">
      <c r="R76" s="181" t="s">
        <v>171</v>
      </c>
      <c r="S76" s="16"/>
      <c r="T76" s="16"/>
      <c r="U76" s="192">
        <f>+U33</f>
        <v>444331.3037283413</v>
      </c>
      <c r="V76" s="16"/>
      <c r="W76" s="16"/>
      <c r="X76" s="16"/>
      <c r="Y76" s="16"/>
      <c r="Z76" s="185">
        <f>+Z33</f>
        <v>518337.03012755775</v>
      </c>
      <c r="AA76" s="185">
        <f>+AA33</f>
        <v>621250.6135301732</v>
      </c>
    </row>
    <row r="77" spans="18:29">
      <c r="R77" s="173"/>
      <c r="S77" s="172"/>
      <c r="T77" s="172"/>
      <c r="U77" s="175"/>
      <c r="V77" s="172"/>
      <c r="W77" s="172"/>
      <c r="X77" s="172"/>
      <c r="Y77" s="172"/>
      <c r="Z77" s="175"/>
      <c r="AA77" s="175"/>
    </row>
    <row r="78" spans="18:29">
      <c r="R78" s="174" t="s">
        <v>187</v>
      </c>
      <c r="S78" s="172"/>
      <c r="T78" s="198">
        <f>+(AA76*(1+U40))/(U71-U40)</f>
        <v>10248068.167253444</v>
      </c>
      <c r="U78" s="175"/>
      <c r="V78" s="172"/>
      <c r="W78" s="171" t="s">
        <v>188</v>
      </c>
      <c r="X78" s="172"/>
      <c r="Y78" s="198">
        <f>+SUM(U76,Z76,AA76,T79)</f>
        <v>9603614.0218502749</v>
      </c>
      <c r="Z78" s="175"/>
      <c r="AA78" s="175"/>
    </row>
    <row r="79" spans="18:29">
      <c r="R79" s="174" t="s">
        <v>189</v>
      </c>
      <c r="S79" s="172"/>
      <c r="T79" s="198">
        <f>+T78/(1+U71)^AA1</f>
        <v>8019695.0744642029</v>
      </c>
      <c r="U79" s="175"/>
      <c r="V79" s="172"/>
      <c r="W79" s="172" t="s">
        <v>190</v>
      </c>
      <c r="X79" s="172"/>
      <c r="Y79" s="85">
        <f>+BS!P6</f>
        <v>1189910</v>
      </c>
      <c r="Z79" s="175"/>
      <c r="AA79" s="175"/>
    </row>
    <row r="80" spans="18:29">
      <c r="R80" s="173"/>
      <c r="S80" s="172"/>
      <c r="T80" s="172"/>
      <c r="U80" s="175"/>
      <c r="V80" s="172"/>
      <c r="W80" s="172" t="s">
        <v>191</v>
      </c>
      <c r="X80" s="172"/>
      <c r="Y80" s="85">
        <f>-WACC!B13</f>
        <v>-301409</v>
      </c>
      <c r="Z80" s="175"/>
      <c r="AA80" s="175"/>
    </row>
    <row r="81" spans="18:29">
      <c r="R81" s="173"/>
      <c r="S81" s="172"/>
      <c r="T81" s="172"/>
      <c r="U81" s="172"/>
      <c r="V81" s="172"/>
      <c r="W81" s="171" t="s">
        <v>192</v>
      </c>
      <c r="X81" s="172"/>
      <c r="Y81" s="203">
        <f>+Y78+Y79+Y80</f>
        <v>10492115.021850275</v>
      </c>
      <c r="Z81" s="172"/>
      <c r="AA81" s="172"/>
    </row>
    <row r="82" spans="18:29">
      <c r="R82" s="173"/>
      <c r="S82" s="172"/>
      <c r="T82" s="172"/>
      <c r="U82" s="172"/>
      <c r="V82" s="172"/>
      <c r="W82" s="171"/>
      <c r="X82" s="172"/>
      <c r="Y82" s="172"/>
      <c r="Z82" s="172"/>
      <c r="AA82" s="172"/>
    </row>
    <row r="83" spans="18:29">
      <c r="R83" s="173"/>
      <c r="S83" s="172"/>
      <c r="T83" s="172"/>
      <c r="U83" s="172"/>
      <c r="V83" s="172"/>
      <c r="W83" s="181" t="s">
        <v>193</v>
      </c>
      <c r="X83" s="16"/>
      <c r="Y83" s="223">
        <f>+(Y81*1000)/Z40</f>
        <v>68.461365439854063</v>
      </c>
      <c r="Z83" s="172"/>
      <c r="AA83" s="172"/>
    </row>
    <row r="84" spans="18:29">
      <c r="R84" s="173"/>
      <c r="S84" s="172"/>
      <c r="T84" s="172"/>
      <c r="U84" s="172"/>
      <c r="V84" s="172"/>
      <c r="W84" s="171"/>
      <c r="X84" s="172"/>
      <c r="Y84" s="213"/>
      <c r="Z84" s="172"/>
      <c r="AA84" s="172"/>
    </row>
    <row r="85" spans="18:29">
      <c r="R85" s="173"/>
      <c r="S85" s="171" t="s">
        <v>194</v>
      </c>
      <c r="T85" s="222" t="str">
        <f>+IF(Y85&gt;0,"BUY","SELL")</f>
        <v>BUY</v>
      </c>
      <c r="U85" s="172"/>
      <c r="V85" s="172"/>
      <c r="W85" s="181" t="s">
        <v>195</v>
      </c>
      <c r="X85" s="202"/>
      <c r="Y85" s="214">
        <f>+Y83-Z41</f>
        <v>0.68136543985406206</v>
      </c>
      <c r="Z85" s="220">
        <f>+(Y83/Z41)-1</f>
        <v>1.005260312561318E-2</v>
      </c>
      <c r="AA85" s="172"/>
    </row>
    <row r="86" spans="18:29">
      <c r="R86" s="173"/>
      <c r="S86" s="171" t="s">
        <v>197</v>
      </c>
      <c r="T86" s="224">
        <v>0.35</v>
      </c>
      <c r="U86" s="172"/>
      <c r="V86" s="172"/>
      <c r="W86" s="215" t="s">
        <v>198</v>
      </c>
      <c r="X86" s="172"/>
      <c r="Y86" s="216"/>
      <c r="Z86" s="172"/>
      <c r="AA86" s="172"/>
    </row>
    <row r="87" spans="18:29">
      <c r="R87" s="173"/>
      <c r="S87" s="172"/>
      <c r="T87" s="172"/>
      <c r="U87" s="172"/>
      <c r="V87" s="172"/>
      <c r="W87" s="171"/>
      <c r="X87" s="172"/>
      <c r="Y87" s="172"/>
      <c r="Z87" s="172"/>
      <c r="AA87" s="172"/>
    </row>
    <row r="88" spans="18:29">
      <c r="R88" s="170"/>
    </row>
    <row r="89" spans="18:29">
      <c r="R89" s="170"/>
    </row>
    <row r="90" spans="18:29">
      <c r="R90" s="182" t="s">
        <v>201</v>
      </c>
      <c r="S90" s="183"/>
      <c r="T90" s="183"/>
      <c r="U90" s="195" t="s">
        <v>202</v>
      </c>
      <c r="V90" s="183"/>
      <c r="W90" s="183"/>
      <c r="X90" s="183"/>
      <c r="Y90" s="183"/>
      <c r="Z90" s="183"/>
      <c r="AA90" s="183"/>
      <c r="AC90" s="1" t="s">
        <v>23</v>
      </c>
    </row>
    <row r="91" spans="18:29">
      <c r="R91" s="173"/>
      <c r="S91" s="172"/>
      <c r="T91" s="172"/>
      <c r="U91" s="172"/>
      <c r="V91" s="172"/>
      <c r="W91" s="172"/>
      <c r="X91" s="172"/>
      <c r="Y91" s="172"/>
      <c r="Z91" s="172"/>
      <c r="AA91" s="172"/>
    </row>
    <row r="92" spans="18:29">
      <c r="R92" s="187" t="s">
        <v>151</v>
      </c>
      <c r="S92" s="177"/>
      <c r="T92" s="177"/>
      <c r="U92" s="189">
        <f>+P5*(1+U6+0.03)</f>
        <v>9073396.0000000019</v>
      </c>
      <c r="V92" s="178"/>
      <c r="W92" s="178"/>
      <c r="X92" s="178"/>
      <c r="Y92" s="178"/>
      <c r="Z92" s="189">
        <f>+U5*(1+Z6+0.03)</f>
        <v>10138345.331715317</v>
      </c>
      <c r="AA92" s="189">
        <f>+Z5*(1+AA6+0.03)</f>
        <v>11354345.279972615</v>
      </c>
      <c r="AC92" t="s">
        <v>203</v>
      </c>
    </row>
    <row r="93" spans="18:29">
      <c r="R93" s="174" t="s">
        <v>153</v>
      </c>
      <c r="S93" s="172"/>
      <c r="T93" s="172"/>
      <c r="U93" s="190">
        <f>+U92*(U9+0.03)</f>
        <v>1240102.7433956603</v>
      </c>
      <c r="V93" s="85"/>
      <c r="W93" s="85"/>
      <c r="X93" s="85"/>
      <c r="Y93" s="85"/>
      <c r="Z93" s="190">
        <f>+Z92*(Z9+0.03)</f>
        <v>1460475.0053635971</v>
      </c>
      <c r="AA93" s="190">
        <f>+AA92*(AA9+0.03)</f>
        <v>1759923.5183957552</v>
      </c>
      <c r="AC93" t="s">
        <v>204</v>
      </c>
    </row>
    <row r="94" spans="18:29">
      <c r="R94" s="188" t="s">
        <v>184</v>
      </c>
      <c r="S94" s="179"/>
      <c r="T94" s="179"/>
      <c r="U94" s="191">
        <f>+WACC!B22-0.005</f>
        <v>9.8046090982876422E-2</v>
      </c>
      <c r="V94" s="179"/>
      <c r="W94" s="179"/>
      <c r="X94" s="179"/>
      <c r="Y94" s="179"/>
      <c r="Z94" s="191">
        <f>+U94</f>
        <v>9.8046090982876422E-2</v>
      </c>
      <c r="AA94" s="191">
        <f>+Z94</f>
        <v>9.8046090982876422E-2</v>
      </c>
      <c r="AC94" t="s">
        <v>205</v>
      </c>
    </row>
    <row r="95" spans="18:29">
      <c r="R95" s="174"/>
      <c r="S95" s="172"/>
      <c r="T95" s="172"/>
      <c r="U95" s="218"/>
      <c r="V95" s="172"/>
      <c r="W95" s="172"/>
      <c r="X95" s="172"/>
      <c r="Y95" s="172"/>
      <c r="Z95" s="218"/>
      <c r="AA95" s="218"/>
    </row>
    <row r="96" spans="18:29">
      <c r="R96" s="174"/>
      <c r="S96" s="172"/>
      <c r="T96" s="172"/>
      <c r="U96" s="218"/>
      <c r="V96" s="172"/>
      <c r="W96" s="172"/>
      <c r="X96" s="172"/>
      <c r="Y96" s="172"/>
      <c r="Z96" s="218"/>
      <c r="AA96" s="218"/>
    </row>
    <row r="97" spans="18:29">
      <c r="R97" s="181" t="s">
        <v>186</v>
      </c>
      <c r="S97" s="16"/>
      <c r="T97" s="16"/>
      <c r="U97" s="178">
        <f>+(U93*(1-U12))+U20-U23-U26</f>
        <v>704907.19471652829</v>
      </c>
      <c r="V97" s="16"/>
      <c r="W97" s="16"/>
      <c r="X97" s="16"/>
      <c r="Y97" s="16"/>
      <c r="Z97" s="178">
        <f>+(Z93*(1-Z12))+Z20-Z23-Z26</f>
        <v>867985.78219920606</v>
      </c>
      <c r="AA97" s="178">
        <f>+(AA93*(1-AA12))+AA20-AA23-AA26</f>
        <v>1095997.2241845571</v>
      </c>
    </row>
    <row r="98" spans="18:29">
      <c r="R98" s="173" t="s">
        <v>169</v>
      </c>
      <c r="S98" s="172"/>
      <c r="T98" s="172"/>
      <c r="U98" s="219">
        <f>1/((1+U94)^U1)</f>
        <v>0.95431052775052272</v>
      </c>
      <c r="V98" s="172"/>
      <c r="W98" s="172"/>
      <c r="X98" s="172"/>
      <c r="Y98" s="172"/>
      <c r="Z98" s="219">
        <f>1/((1+Z94)^Z1)</f>
        <v>0.86909878882798619</v>
      </c>
      <c r="AA98" s="219">
        <f>1/((1+AA94)^AA1)</f>
        <v>0.79149572678688174</v>
      </c>
    </row>
    <row r="99" spans="18:29">
      <c r="R99" s="181" t="s">
        <v>171</v>
      </c>
      <c r="S99" s="16"/>
      <c r="T99" s="16"/>
      <c r="U99" s="192">
        <f>+U98*U97</f>
        <v>672700.35700507055</v>
      </c>
      <c r="V99" s="16"/>
      <c r="W99" s="16"/>
      <c r="X99" s="16"/>
      <c r="Y99" s="16"/>
      <c r="Z99" s="192">
        <f>+Z98*Z97</f>
        <v>754365.39202924224</v>
      </c>
      <c r="AA99" s="192">
        <f>+AA98*AA97</f>
        <v>867477.11951236101</v>
      </c>
    </row>
    <row r="100" spans="18:29">
      <c r="R100" s="174"/>
      <c r="S100" s="172"/>
      <c r="T100" s="172"/>
      <c r="U100" s="218"/>
      <c r="V100" s="172"/>
      <c r="W100" s="172"/>
      <c r="X100" s="172"/>
      <c r="Y100" s="172"/>
      <c r="Z100" s="218"/>
      <c r="AA100" s="218"/>
    </row>
    <row r="101" spans="18:29">
      <c r="R101" s="174" t="s">
        <v>187</v>
      </c>
      <c r="S101" s="172"/>
      <c r="T101" s="198">
        <f>+(AA99*(1+U40))/(U94-U40)</f>
        <v>15542411.022285672</v>
      </c>
      <c r="U101" s="218"/>
      <c r="V101" s="172"/>
      <c r="W101" s="171" t="s">
        <v>188</v>
      </c>
      <c r="X101" s="172"/>
      <c r="Y101" s="198">
        <f>+SUM(U99,Z99,AA99,T102)</f>
        <v>14596294.776651112</v>
      </c>
      <c r="Z101" s="175"/>
      <c r="AA101" s="218"/>
    </row>
    <row r="102" spans="18:29">
      <c r="R102" s="174" t="s">
        <v>189</v>
      </c>
      <c r="S102" s="172"/>
      <c r="T102" s="198">
        <f>+T101/(1+U94)^AA1</f>
        <v>12301751.908104438</v>
      </c>
      <c r="U102" s="218"/>
      <c r="V102" s="172"/>
      <c r="W102" s="172" t="s">
        <v>190</v>
      </c>
      <c r="X102" s="172"/>
      <c r="Y102" s="85">
        <f>+BS!P6</f>
        <v>1189910</v>
      </c>
      <c r="Z102" s="175"/>
      <c r="AA102" s="218"/>
    </row>
    <row r="103" spans="18:29">
      <c r="R103" s="174"/>
      <c r="S103" s="172"/>
      <c r="T103" s="172"/>
      <c r="U103" s="218"/>
      <c r="V103" s="172"/>
      <c r="W103" s="172" t="s">
        <v>191</v>
      </c>
      <c r="X103" s="172"/>
      <c r="Y103" s="85">
        <f>-WACC!B13</f>
        <v>-301409</v>
      </c>
      <c r="Z103" s="175"/>
      <c r="AA103" s="218"/>
    </row>
    <row r="104" spans="18:29">
      <c r="R104" s="174"/>
      <c r="S104" s="172"/>
      <c r="T104" s="172"/>
      <c r="U104" s="218"/>
      <c r="V104" s="172"/>
      <c r="W104" s="171" t="s">
        <v>192</v>
      </c>
      <c r="X104" s="172"/>
      <c r="Y104" s="203">
        <f>+Y101+Y102+Y103</f>
        <v>15484795.776651112</v>
      </c>
      <c r="Z104" s="172"/>
      <c r="AA104" s="218"/>
    </row>
    <row r="105" spans="18:29">
      <c r="R105" s="174"/>
      <c r="S105" s="172"/>
      <c r="T105" s="172"/>
      <c r="U105" s="218"/>
      <c r="V105" s="172"/>
      <c r="W105" s="171"/>
      <c r="X105" s="172"/>
      <c r="Y105" s="172"/>
      <c r="Z105" s="172"/>
      <c r="AA105" s="218"/>
    </row>
    <row r="106" spans="18:29">
      <c r="R106" s="174"/>
      <c r="S106" s="172"/>
      <c r="T106" s="172"/>
      <c r="U106" s="218"/>
      <c r="V106" s="172"/>
      <c r="W106" s="181" t="s">
        <v>193</v>
      </c>
      <c r="X106" s="16"/>
      <c r="Y106" s="223">
        <f>+(Y104*1000)/Z40</f>
        <v>101.03875722093171</v>
      </c>
      <c r="Z106" s="172"/>
      <c r="AA106" s="218"/>
    </row>
    <row r="107" spans="18:29">
      <c r="R107" s="174"/>
      <c r="S107" s="172"/>
      <c r="T107" s="172"/>
      <c r="U107" s="218"/>
      <c r="V107" s="172"/>
      <c r="W107" s="171"/>
      <c r="X107" s="172"/>
      <c r="Y107" s="213"/>
      <c r="Z107" s="172"/>
      <c r="AA107" s="218"/>
    </row>
    <row r="108" spans="18:29">
      <c r="R108" s="174"/>
      <c r="S108" s="171" t="s">
        <v>194</v>
      </c>
      <c r="T108" s="222" t="str">
        <f>+IF(Y108&gt;0,"BUY","SELL")</f>
        <v>BUY</v>
      </c>
      <c r="U108" s="218"/>
      <c r="V108" s="172"/>
      <c r="W108" s="181" t="s">
        <v>195</v>
      </c>
      <c r="X108" s="202"/>
      <c r="Y108" s="214">
        <f>+Y106-Z87</f>
        <v>101.03875722093171</v>
      </c>
      <c r="Z108" s="220">
        <f>+(Y106/Z41)-1</f>
        <v>0.4906868872961303</v>
      </c>
      <c r="AA108" s="218"/>
      <c r="AC108" t="s">
        <v>206</v>
      </c>
    </row>
    <row r="109" spans="18:29">
      <c r="R109" s="174"/>
      <c r="S109" s="171" t="s">
        <v>197</v>
      </c>
      <c r="T109" s="224">
        <v>0.4</v>
      </c>
      <c r="U109" s="218"/>
      <c r="V109" s="172"/>
      <c r="W109" s="215" t="s">
        <v>198</v>
      </c>
      <c r="X109" s="172"/>
      <c r="Y109" s="216"/>
      <c r="Z109" s="172"/>
      <c r="AA109" s="218"/>
    </row>
    <row r="110" spans="18:29">
      <c r="R110" s="174"/>
      <c r="S110" s="172"/>
      <c r="T110" s="172"/>
      <c r="U110" s="218"/>
      <c r="V110" s="172"/>
      <c r="W110" s="172"/>
      <c r="X110" s="172"/>
      <c r="Y110" s="172"/>
      <c r="Z110" s="218"/>
      <c r="AA110" s="218"/>
    </row>
    <row r="111" spans="18:29">
      <c r="R111" s="170"/>
    </row>
    <row r="112" spans="18:29">
      <c r="R112" s="170"/>
    </row>
    <row r="113" spans="18:29">
      <c r="R113" s="170"/>
    </row>
    <row r="114" spans="18:29">
      <c r="R114" s="225" t="s">
        <v>207</v>
      </c>
      <c r="S114" s="226"/>
      <c r="T114" s="226"/>
      <c r="U114" s="227"/>
      <c r="V114" s="228">
        <f>+(Y106*T109)+(T86*Y83)+(T63*Y60)</f>
        <v>72.848911804454616</v>
      </c>
      <c r="AC114" t="s">
        <v>208</v>
      </c>
    </row>
    <row r="115" spans="18:29" ht="8.25" customHeight="1">
      <c r="R115" s="170"/>
    </row>
    <row r="116" spans="18:29">
      <c r="R116" s="181" t="s">
        <v>195</v>
      </c>
      <c r="S116" s="202"/>
      <c r="T116" s="214">
        <f>+V114-Z41</f>
        <v>5.0689118044546149</v>
      </c>
      <c r="U116" s="220">
        <f>+(V114/Z41)-1</f>
        <v>7.4784771384694748E-2</v>
      </c>
    </row>
    <row r="117" spans="18:29">
      <c r="R117" s="170"/>
    </row>
    <row r="118" spans="18:29">
      <c r="R118" s="170"/>
    </row>
    <row r="119" spans="18:29">
      <c r="R119" s="170"/>
    </row>
    <row r="120" spans="18:29">
      <c r="R120" s="170"/>
    </row>
    <row r="121" spans="18:29">
      <c r="R121" s="170"/>
    </row>
    <row r="122" spans="18:29">
      <c r="R122" s="170"/>
    </row>
    <row r="123" spans="18:29">
      <c r="R123" s="170"/>
    </row>
  </sheetData>
  <mergeCells count="2">
    <mergeCell ref="B2:Q2"/>
    <mergeCell ref="R2:Z2"/>
  </mergeCells>
  <conditionalFormatting sqref="T85">
    <cfRule type="containsText" dxfId="2" priority="3" operator="containsText" text="BUY">
      <formula>NOT(ISERROR(SEARCH("BUY",T85)))</formula>
    </cfRule>
  </conditionalFormatting>
  <conditionalFormatting sqref="T108">
    <cfRule type="containsText" dxfId="1" priority="2" operator="containsText" text="BUY">
      <formula>NOT(ISERROR(SEARCH("BUY",T108)))</formula>
    </cfRule>
  </conditionalFormatting>
  <conditionalFormatting sqref="T62">
    <cfRule type="containsText" dxfId="0" priority="1" operator="containsText" text="SELL">
      <formula>NOT(ISERROR(SEARCH("SELL",T62)))</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4D07-8216-4860-9F5A-69949BBF6B48}">
  <dimension ref="A2:K22"/>
  <sheetViews>
    <sheetView showGridLines="0" workbookViewId="0">
      <selection activeCell="M13" sqref="M13"/>
    </sheetView>
  </sheetViews>
  <sheetFormatPr defaultRowHeight="15"/>
  <cols>
    <col min="1" max="1" width="24.85546875" customWidth="1"/>
    <col min="2" max="2" width="13.42578125" customWidth="1"/>
  </cols>
  <sheetData>
    <row r="2" spans="1:11">
      <c r="A2" s="9" t="s">
        <v>209</v>
      </c>
      <c r="B2" s="10" t="s">
        <v>210</v>
      </c>
      <c r="C2" s="10" t="s">
        <v>211</v>
      </c>
      <c r="D2" s="10"/>
      <c r="E2" s="10"/>
      <c r="F2" s="10"/>
      <c r="G2" s="10"/>
      <c r="H2" s="10"/>
      <c r="K2" s="1" t="s">
        <v>23</v>
      </c>
    </row>
    <row r="4" spans="1:11">
      <c r="A4" t="s">
        <v>212</v>
      </c>
      <c r="B4" s="33">
        <v>10340000</v>
      </c>
      <c r="K4" t="s">
        <v>213</v>
      </c>
    </row>
    <row r="5" spans="1:11">
      <c r="A5" t="s">
        <v>214</v>
      </c>
      <c r="B5" s="139">
        <f>+B4/B20</f>
        <v>0.97167583728808848</v>
      </c>
    </row>
    <row r="6" spans="1:11" ht="8.25" customHeight="1"/>
    <row r="7" spans="1:11">
      <c r="A7" t="s">
        <v>215</v>
      </c>
      <c r="B7" s="139">
        <v>4.4999999999999998E-2</v>
      </c>
    </row>
    <row r="8" spans="1:11">
      <c r="A8" t="s">
        <v>216</v>
      </c>
      <c r="B8" s="158">
        <v>1.29</v>
      </c>
    </row>
    <row r="9" spans="1:11">
      <c r="A9" t="s">
        <v>217</v>
      </c>
      <c r="B9" s="139">
        <v>4.5999999999999999E-2</v>
      </c>
    </row>
    <row r="10" spans="1:11" ht="8.25" customHeight="1"/>
    <row r="11" spans="1:11">
      <c r="A11" s="8" t="s">
        <v>218</v>
      </c>
      <c r="B11" s="159">
        <f>+B7+B8*B9</f>
        <v>0.10434</v>
      </c>
      <c r="C11" s="155"/>
      <c r="D11" s="155"/>
      <c r="E11" s="155"/>
      <c r="F11" s="155"/>
      <c r="G11" s="155"/>
      <c r="H11" s="155"/>
    </row>
    <row r="12" spans="1:11" ht="6.75" customHeight="1"/>
    <row r="13" spans="1:11">
      <c r="A13" t="s">
        <v>219</v>
      </c>
      <c r="B13" s="33">
        <f>+BS!P34+BS!P27+BS!P26</f>
        <v>301409</v>
      </c>
    </row>
    <row r="14" spans="1:11">
      <c r="A14" t="s">
        <v>220</v>
      </c>
      <c r="B14" s="139">
        <f>+B13/B20</f>
        <v>2.8324162711911554E-2</v>
      </c>
    </row>
    <row r="15" spans="1:11">
      <c r="A15" t="s">
        <v>221</v>
      </c>
      <c r="B15" s="33">
        <v>22100</v>
      </c>
    </row>
    <row r="16" spans="1:11">
      <c r="A16" t="s">
        <v>222</v>
      </c>
      <c r="B16" s="206">
        <v>0.2</v>
      </c>
    </row>
    <row r="17" spans="1:8" ht="6.75" customHeight="1"/>
    <row r="18" spans="1:8">
      <c r="A18" s="8" t="s">
        <v>223</v>
      </c>
      <c r="B18" s="159">
        <f>+(B15/B13)*(1-B16)</f>
        <v>5.8657837025437198E-2</v>
      </c>
      <c r="C18" s="155"/>
      <c r="D18" s="155"/>
      <c r="E18" s="155"/>
      <c r="F18" s="155"/>
      <c r="G18" s="155"/>
      <c r="H18" s="155"/>
    </row>
    <row r="20" spans="1:8">
      <c r="A20" t="s">
        <v>224</v>
      </c>
      <c r="B20" s="33">
        <f>+B13+B4</f>
        <v>10641409</v>
      </c>
    </row>
    <row r="22" spans="1:8">
      <c r="A22" s="156" t="s">
        <v>184</v>
      </c>
      <c r="B22" s="160">
        <f>+(B18*B14)+(B11*B5)</f>
        <v>0.10304609098287643</v>
      </c>
      <c r="C22" s="157"/>
      <c r="D22" s="157"/>
      <c r="E22" s="157"/>
      <c r="F22" s="157"/>
      <c r="G22" s="157"/>
      <c r="H22" s="1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9155-AB28-4990-B45A-367A33C31665}">
  <dimension ref="B3:L40"/>
  <sheetViews>
    <sheetView showGridLines="0" topLeftCell="A22" workbookViewId="0">
      <selection activeCell="I35" sqref="I35"/>
    </sheetView>
  </sheetViews>
  <sheetFormatPr defaultRowHeight="15"/>
  <cols>
    <col min="2" max="2" width="22.5703125" customWidth="1"/>
    <col min="3" max="6" width="14.7109375" customWidth="1"/>
    <col min="8" max="8" width="16.140625" customWidth="1"/>
    <col min="9" max="10" width="13.5703125" customWidth="1"/>
    <col min="11" max="11" width="15.140625" customWidth="1"/>
    <col min="12" max="12" width="14.5703125" customWidth="1"/>
  </cols>
  <sheetData>
    <row r="3" spans="2:12">
      <c r="B3" s="97" t="s">
        <v>115</v>
      </c>
      <c r="C3" s="113" t="s">
        <v>12</v>
      </c>
      <c r="D3" s="113" t="s">
        <v>17</v>
      </c>
      <c r="E3" s="113" t="s">
        <v>22</v>
      </c>
      <c r="F3" s="114" t="s">
        <v>225</v>
      </c>
      <c r="I3" s="1" t="s">
        <v>23</v>
      </c>
      <c r="L3" s="75"/>
    </row>
    <row r="4" spans="2:12" ht="10.5" customHeight="1">
      <c r="B4" s="98"/>
      <c r="C4" s="105"/>
      <c r="D4" s="105"/>
      <c r="E4" s="105"/>
      <c r="F4" s="106"/>
      <c r="L4" s="103"/>
    </row>
    <row r="5" spans="2:12">
      <c r="B5" s="99" t="s">
        <v>226</v>
      </c>
      <c r="F5" s="107"/>
      <c r="I5" t="s">
        <v>227</v>
      </c>
      <c r="L5" s="103"/>
    </row>
    <row r="6" spans="2:12">
      <c r="B6" s="100" t="s">
        <v>228</v>
      </c>
      <c r="C6" s="102">
        <f>+IS!F31/BS!F43</f>
        <v>0.22750068725485864</v>
      </c>
      <c r="D6" s="102">
        <f>+IS!K31/BS!K43</f>
        <v>0.10448998708118906</v>
      </c>
      <c r="E6" s="102">
        <f>+IS!P31/BS!P43</f>
        <v>0.13579337115378587</v>
      </c>
      <c r="F6" s="108">
        <f>+AVERAGE(C6:E6)</f>
        <v>0.15592801516327784</v>
      </c>
      <c r="I6" t="s">
        <v>229</v>
      </c>
      <c r="L6" s="238"/>
    </row>
    <row r="7" spans="2:12">
      <c r="B7" s="100" t="s">
        <v>230</v>
      </c>
      <c r="C7" s="102">
        <f>+IS!F31/((BS!B22+BS!E22)/2)</f>
        <v>0.11886064795542078</v>
      </c>
      <c r="D7" s="102">
        <f>+IS!K31/((BS!G22+BS!J22)/2)</f>
        <v>5.5515914347308723E-2</v>
      </c>
      <c r="E7" s="102">
        <f>+IS!P31/((BS!L22+BS!O22)/2)</f>
        <v>7.4809026590373709E-2</v>
      </c>
      <c r="F7" s="108">
        <f t="shared" ref="F7:F25" si="0">+AVERAGE(C7:E7)</f>
        <v>8.3061862964367739E-2</v>
      </c>
      <c r="I7" t="s">
        <v>231</v>
      </c>
      <c r="L7" s="238"/>
    </row>
    <row r="8" spans="2:12">
      <c r="B8" s="119" t="s">
        <v>232</v>
      </c>
      <c r="C8" s="117">
        <v>0.21</v>
      </c>
      <c r="D8" s="117">
        <v>0.11</v>
      </c>
      <c r="E8" s="117">
        <v>0.128</v>
      </c>
      <c r="F8" s="118">
        <f t="shared" si="0"/>
        <v>0.14933333333333335</v>
      </c>
      <c r="L8" s="238"/>
    </row>
    <row r="9" spans="2:12">
      <c r="B9" s="119" t="s">
        <v>233</v>
      </c>
      <c r="C9" s="122">
        <f>+C10/BS!F55</f>
        <v>0.23031346173228076</v>
      </c>
      <c r="D9" s="122">
        <f>+D10/BS!K55</f>
        <v>0.10560801153211789</v>
      </c>
      <c r="E9" s="122">
        <f>+E10/BS!P55</f>
        <v>0.15163757947809831</v>
      </c>
      <c r="F9" s="118">
        <f>+AVERAGE(C9:E9)</f>
        <v>0.16251968424749899</v>
      </c>
      <c r="I9" t="s">
        <v>234</v>
      </c>
      <c r="L9" s="238"/>
    </row>
    <row r="10" spans="2:12">
      <c r="B10" s="120" t="s">
        <v>160</v>
      </c>
      <c r="C10" s="121">
        <f>++IS!F15*(1-IS!F25)</f>
        <v>856330.78520141041</v>
      </c>
      <c r="D10" s="121">
        <f>+IS!K15*(1-IS!K25)</f>
        <v>448375.39341741707</v>
      </c>
      <c r="E10" s="121">
        <f>+IS!P15*(1-IS!P25)</f>
        <v>636914.98501498497</v>
      </c>
      <c r="F10" s="108"/>
      <c r="L10" s="238"/>
    </row>
    <row r="11" spans="2:12" ht="15" customHeight="1">
      <c r="B11" s="99"/>
      <c r="C11" s="103"/>
      <c r="D11" s="103"/>
      <c r="E11" s="102"/>
      <c r="F11" s="108"/>
      <c r="L11" s="238"/>
    </row>
    <row r="12" spans="2:12">
      <c r="B12" s="99" t="s">
        <v>235</v>
      </c>
      <c r="C12" s="103"/>
      <c r="D12" s="103"/>
      <c r="E12" s="102"/>
      <c r="F12" s="108"/>
      <c r="I12" t="s">
        <v>236</v>
      </c>
      <c r="L12" s="238"/>
    </row>
    <row r="13" spans="2:12">
      <c r="B13" s="100" t="s">
        <v>237</v>
      </c>
      <c r="C13" s="104">
        <f>+IS!F5/((BS!B22+BS!E22)/2)</f>
        <v>1.0115037085494203</v>
      </c>
      <c r="D13" s="104">
        <f>+IS!K5/((BS!G22+BS!J22)/2)</f>
        <v>1.1079355977413416</v>
      </c>
      <c r="E13" s="104">
        <f>+IS!P5/((BS!L22+BS!O22)/2)</f>
        <v>1.0965457226657507</v>
      </c>
      <c r="F13" s="109">
        <f t="shared" si="0"/>
        <v>1.0719950096521709</v>
      </c>
      <c r="I13" s="336" t="s">
        <v>238</v>
      </c>
      <c r="J13" s="104"/>
      <c r="K13" s="104"/>
      <c r="L13" s="239"/>
    </row>
    <row r="14" spans="2:12">
      <c r="B14" s="100" t="s">
        <v>239</v>
      </c>
      <c r="C14" s="104">
        <f>+IS!F8/((BS!B9+BS!E9)/2)</f>
        <v>2.510067833240297</v>
      </c>
      <c r="D14" s="104">
        <f>+IS!K8/((BS!G9+BS!J9)/2)</f>
        <v>2.4049934981449286</v>
      </c>
      <c r="E14" s="104">
        <f>+IS!P8/((BS!L9+BS!O9)/2)</f>
        <v>2.5418343431354158</v>
      </c>
      <c r="F14" s="109">
        <f t="shared" si="0"/>
        <v>2.4856318915068805</v>
      </c>
      <c r="I14" t="s">
        <v>240</v>
      </c>
    </row>
    <row r="15" spans="2:12" ht="9.9499999999999993" customHeight="1">
      <c r="B15" s="99"/>
      <c r="C15" s="103"/>
      <c r="D15" s="103"/>
      <c r="E15" s="102"/>
      <c r="F15" s="108"/>
    </row>
    <row r="16" spans="2:12">
      <c r="B16" s="99" t="s">
        <v>241</v>
      </c>
      <c r="C16" s="103"/>
      <c r="D16" s="103"/>
      <c r="E16" s="102"/>
      <c r="F16" s="108"/>
      <c r="I16" t="s">
        <v>242</v>
      </c>
    </row>
    <row r="17" spans="2:9">
      <c r="B17" s="100" t="s">
        <v>243</v>
      </c>
      <c r="C17" s="104">
        <f>+BS!F40/BS!F43</f>
        <v>0.90484711033876752</v>
      </c>
      <c r="D17" s="104">
        <f>+BS!K40/BS!K43</f>
        <v>0.84647371363713264</v>
      </c>
      <c r="E17" s="104">
        <f>+BS!P40/BS!P43</f>
        <v>0.78304085594109685</v>
      </c>
      <c r="F17" s="109">
        <f t="shared" si="0"/>
        <v>0.84478722663899897</v>
      </c>
      <c r="I17" t="s">
        <v>244</v>
      </c>
    </row>
    <row r="18" spans="2:9">
      <c r="B18" s="100" t="s">
        <v>245</v>
      </c>
      <c r="C18" s="104">
        <f>+BS!F22/BS!F43</f>
        <v>1.9915909459081336</v>
      </c>
      <c r="D18" s="104">
        <f>+BS!K22/BS!K43</f>
        <v>1.9309552301016137</v>
      </c>
      <c r="E18" s="104">
        <f>+BS!P22/BS!P43</f>
        <v>1.8777578519071032</v>
      </c>
      <c r="F18" s="109">
        <f t="shared" si="0"/>
        <v>1.9334346759722836</v>
      </c>
    </row>
    <row r="19" spans="2:9">
      <c r="B19" s="100" t="s">
        <v>246</v>
      </c>
      <c r="C19" s="104">
        <f>+(BS!F26+BS!F27+BS!F34)/(BS!F45+BS!F26+BS!F27+BS!F34)</f>
        <v>8.7959638270825161E-2</v>
      </c>
      <c r="D19" s="104">
        <f>+(BS!K26+BS!K27+BS!K34)/(BS!K26+BS!K27+BS!K34+BS!K45)</f>
        <v>8.0578395129014199E-2</v>
      </c>
      <c r="E19" s="104">
        <f>+(BS!P26+BS!P27+BS!P34)/(BS!P26+BS!P27+BS!P34+BS!P45)</f>
        <v>6.4109782277854216E-2</v>
      </c>
      <c r="F19" s="109">
        <f t="shared" si="0"/>
        <v>7.7549271892564525E-2</v>
      </c>
    </row>
    <row r="20" spans="2:9">
      <c r="B20" s="100" t="s">
        <v>247</v>
      </c>
      <c r="C20" s="104">
        <f>+(BS!F26+BS!F27+BS!F34)/IS!F44</f>
        <v>0.4630157484477227</v>
      </c>
      <c r="D20" s="104">
        <f>+(BS!K26+BS!K27+BS!K34)/IS!K44</f>
        <v>0.48445714220444153</v>
      </c>
      <c r="E20" s="104">
        <f>+(BS!P26+BS!P27+BS!P34)/IS!P44</f>
        <v>0.31178359926556154</v>
      </c>
      <c r="F20" s="109">
        <f>+AVERAGE(C20:E20)</f>
        <v>0.41975216330590853</v>
      </c>
    </row>
    <row r="21" spans="2:9" ht="9.9499999999999993" customHeight="1">
      <c r="B21" s="99"/>
      <c r="C21" s="103"/>
      <c r="D21" s="103"/>
      <c r="E21" s="102"/>
      <c r="F21" s="108"/>
    </row>
    <row r="22" spans="2:9">
      <c r="B22" s="99" t="s">
        <v>248</v>
      </c>
      <c r="C22" s="103"/>
      <c r="D22" s="103"/>
      <c r="E22" s="102"/>
      <c r="F22" s="108"/>
      <c r="I22" t="s">
        <v>249</v>
      </c>
    </row>
    <row r="23" spans="2:9">
      <c r="B23" s="100" t="s">
        <v>250</v>
      </c>
      <c r="C23" s="104">
        <f>+BS!F11/BS!F31</f>
        <v>2.3327905300425713</v>
      </c>
      <c r="D23" s="104">
        <f>+BS!K11/BS!K31</f>
        <v>2.2604975698060805</v>
      </c>
      <c r="E23" s="104">
        <f>+BS!P11/BS!P31</f>
        <v>2.3798437803869907</v>
      </c>
      <c r="F23" s="109">
        <f t="shared" si="0"/>
        <v>2.3243772934118807</v>
      </c>
      <c r="I23" t="s">
        <v>251</v>
      </c>
    </row>
    <row r="24" spans="2:9">
      <c r="B24" s="100" t="s">
        <v>252</v>
      </c>
      <c r="C24" s="104">
        <f>+(BS!F6+BS!F7+BS!F8)/BS!F31</f>
        <v>1.1813228166925156</v>
      </c>
      <c r="D24" s="104">
        <f>+(BS!K6+BS!K7+BS!K8)/BS!K31</f>
        <v>1.0242907801418439</v>
      </c>
      <c r="E24" s="104">
        <f>+(BS!P6+BS!P7+BS!P8)/BS!P31</f>
        <v>1.3276547730793615</v>
      </c>
      <c r="F24" s="109">
        <f t="shared" si="0"/>
        <v>1.1777561233045735</v>
      </c>
      <c r="I24" t="s">
        <v>253</v>
      </c>
    </row>
    <row r="25" spans="2:9">
      <c r="B25" s="100" t="s">
        <v>254</v>
      </c>
      <c r="C25" s="103"/>
      <c r="D25" s="104">
        <f>+'FCF &amp; DCF'!K30/(BS!K34+BS!K27+BS!K26)</f>
        <v>1.7221318552738878</v>
      </c>
      <c r="E25" s="104">
        <f>+'FCF &amp; DCF'!P30/(BS!P34+BS!P27+BS!P26)</f>
        <v>0.59807100987357698</v>
      </c>
      <c r="F25" s="109">
        <f t="shared" si="0"/>
        <v>1.1601014325737324</v>
      </c>
      <c r="I25" t="s">
        <v>255</v>
      </c>
    </row>
    <row r="26" spans="2:9" ht="9.9499999999999993" customHeight="1" thickBot="1">
      <c r="B26" s="101"/>
      <c r="C26" s="110"/>
      <c r="D26" s="110"/>
      <c r="E26" s="111"/>
      <c r="F26" s="112"/>
    </row>
    <row r="27" spans="2:9">
      <c r="C27" s="103"/>
      <c r="D27" s="103"/>
      <c r="E27" s="103"/>
      <c r="F27" s="7"/>
    </row>
    <row r="28" spans="2:9">
      <c r="C28" s="103"/>
      <c r="D28" s="103"/>
      <c r="E28" s="103"/>
      <c r="F28" s="7"/>
    </row>
    <row r="29" spans="2:9">
      <c r="F29" s="7"/>
    </row>
    <row r="30" spans="2:9">
      <c r="B30" s="348" t="s">
        <v>256</v>
      </c>
      <c r="C30" s="349"/>
      <c r="D30" s="349"/>
      <c r="E30" s="350"/>
      <c r="I30" t="s">
        <v>257</v>
      </c>
    </row>
    <row r="31" spans="2:9">
      <c r="B31" s="235"/>
      <c r="C31" s="237"/>
      <c r="D31" s="237"/>
      <c r="E31" s="250"/>
    </row>
    <row r="32" spans="2:9">
      <c r="B32" s="234"/>
      <c r="E32" s="236"/>
    </row>
    <row r="33" spans="2:5">
      <c r="B33" s="234" t="s">
        <v>258</v>
      </c>
      <c r="C33" s="102"/>
      <c r="D33" s="251">
        <v>10.33</v>
      </c>
      <c r="E33" s="245"/>
    </row>
    <row r="34" spans="2:5">
      <c r="B34" s="234" t="s">
        <v>259</v>
      </c>
      <c r="C34" s="102"/>
      <c r="D34" s="251">
        <v>12.4</v>
      </c>
      <c r="E34" s="245"/>
    </row>
    <row r="35" spans="2:5">
      <c r="B35" s="234" t="s">
        <v>260</v>
      </c>
      <c r="C35" s="102"/>
      <c r="D35" s="251">
        <v>1.25</v>
      </c>
      <c r="E35" s="245"/>
    </row>
    <row r="36" spans="2:5">
      <c r="B36" s="234" t="s">
        <v>261</v>
      </c>
      <c r="C36" s="240"/>
      <c r="D36" s="251">
        <v>17.84</v>
      </c>
      <c r="E36" s="246"/>
    </row>
    <row r="37" spans="2:5">
      <c r="B37" s="234" t="s">
        <v>262</v>
      </c>
      <c r="C37" s="241"/>
      <c r="D37" s="251">
        <v>14.07</v>
      </c>
      <c r="E37" s="247"/>
    </row>
    <row r="38" spans="2:5">
      <c r="B38" s="234" t="s">
        <v>263</v>
      </c>
      <c r="C38" s="242"/>
      <c r="D38" s="251">
        <v>1.26</v>
      </c>
      <c r="E38" s="248"/>
    </row>
    <row r="39" spans="2:5">
      <c r="B39" s="234" t="s">
        <v>264</v>
      </c>
      <c r="C39" s="103"/>
      <c r="D39" s="251">
        <v>2.4900000000000002</v>
      </c>
      <c r="E39" s="245"/>
    </row>
    <row r="40" spans="2:5">
      <c r="B40" s="243"/>
      <c r="C40" s="244"/>
      <c r="D40" s="244"/>
      <c r="E40" s="249"/>
    </row>
  </sheetData>
  <mergeCells count="1">
    <mergeCell ref="B30:E3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2CB1-E849-43AB-8AE7-54B0F9ACB872}">
  <dimension ref="B2:O20"/>
  <sheetViews>
    <sheetView showGridLines="0" topLeftCell="A4" workbookViewId="0">
      <selection activeCell="M5" sqref="M5"/>
    </sheetView>
  </sheetViews>
  <sheetFormatPr defaultRowHeight="15"/>
  <cols>
    <col min="2" max="2" width="24.5703125" customWidth="1"/>
    <col min="3" max="15" width="17.7109375" customWidth="1"/>
  </cols>
  <sheetData>
    <row r="2" spans="2:15" ht="19.5" customHeight="1">
      <c r="E2" s="352" t="s">
        <v>265</v>
      </c>
      <c r="F2" s="352"/>
      <c r="G2" s="352"/>
      <c r="H2" s="352"/>
      <c r="I2" s="351" t="s">
        <v>266</v>
      </c>
      <c r="J2" s="351"/>
      <c r="K2" s="351"/>
      <c r="M2" s="1" t="s">
        <v>23</v>
      </c>
    </row>
    <row r="3" spans="2:15" ht="21" customHeight="1">
      <c r="B3" s="259" t="s">
        <v>267</v>
      </c>
      <c r="C3" s="259" t="s">
        <v>268</v>
      </c>
      <c r="D3" s="259" t="s">
        <v>269</v>
      </c>
      <c r="E3" s="259" t="s">
        <v>31</v>
      </c>
      <c r="F3" s="259" t="s">
        <v>35</v>
      </c>
      <c r="G3" s="259" t="s">
        <v>270</v>
      </c>
      <c r="H3" s="259" t="s">
        <v>271</v>
      </c>
      <c r="I3" s="259" t="s">
        <v>258</v>
      </c>
      <c r="J3" s="259" t="s">
        <v>259</v>
      </c>
      <c r="K3" s="259" t="s">
        <v>261</v>
      </c>
      <c r="L3" s="103"/>
      <c r="M3" s="334" t="s">
        <v>272</v>
      </c>
      <c r="N3" s="103"/>
      <c r="O3" s="103"/>
    </row>
    <row r="4" spans="2:15" ht="21.75" customHeight="1">
      <c r="B4" s="271" t="s">
        <v>1</v>
      </c>
      <c r="C4" s="269" t="s">
        <v>273</v>
      </c>
      <c r="D4" s="270">
        <f>+WACC!B4</f>
        <v>10340000</v>
      </c>
      <c r="E4" s="273">
        <f>+IS!P12</f>
        <v>0.51903053635488672</v>
      </c>
      <c r="F4" s="273">
        <f>+IS!P17</f>
        <v>9.8096321387947952E-2</v>
      </c>
      <c r="G4" s="273">
        <f>+IS!P28</f>
        <v>8.1234453707985946E-2</v>
      </c>
      <c r="H4" s="273">
        <f>+'Financial Metrics'!E9</f>
        <v>0.15163757947809831</v>
      </c>
      <c r="I4" s="274">
        <f>+'Financial Metrics'!D33</f>
        <v>10.33</v>
      </c>
      <c r="J4" s="274">
        <f>+'Financial Metrics'!D34</f>
        <v>12.4</v>
      </c>
      <c r="K4" s="274">
        <f>+'Financial Metrics'!D36</f>
        <v>17.84</v>
      </c>
    </row>
    <row r="5" spans="2:15" ht="21.75" customHeight="1">
      <c r="B5" s="261" t="s">
        <v>274</v>
      </c>
      <c r="C5" s="261" t="s">
        <v>273</v>
      </c>
      <c r="D5" s="276">
        <v>137400000</v>
      </c>
      <c r="E5" s="278">
        <v>0.44</v>
      </c>
      <c r="F5" s="278">
        <v>0.12</v>
      </c>
      <c r="G5" s="278">
        <v>0.1</v>
      </c>
      <c r="H5" s="278">
        <v>0.2</v>
      </c>
      <c r="I5" s="275">
        <v>20.2</v>
      </c>
      <c r="J5" s="275">
        <v>23.1</v>
      </c>
      <c r="K5" s="275">
        <v>26.8</v>
      </c>
      <c r="M5" t="s">
        <v>275</v>
      </c>
    </row>
    <row r="6" spans="2:15" ht="21.75" customHeight="1">
      <c r="B6" s="262" t="s">
        <v>276</v>
      </c>
      <c r="C6" s="262" t="s">
        <v>273</v>
      </c>
      <c r="D6" s="277">
        <v>22100000</v>
      </c>
      <c r="E6" s="281">
        <v>0.54</v>
      </c>
      <c r="F6" s="279">
        <v>0.22</v>
      </c>
      <c r="G6" s="279">
        <v>0.18</v>
      </c>
      <c r="H6" s="281">
        <v>0.56000000000000005</v>
      </c>
      <c r="I6" s="280">
        <v>21.4</v>
      </c>
      <c r="J6" s="280">
        <v>22.7</v>
      </c>
      <c r="K6" s="280">
        <v>30.1</v>
      </c>
    </row>
    <row r="7" spans="2:15" ht="21.75" customHeight="1">
      <c r="B7" s="261" t="s">
        <v>277</v>
      </c>
      <c r="C7" s="261" t="s">
        <v>278</v>
      </c>
      <c r="D7" s="276">
        <v>9700000</v>
      </c>
      <c r="E7" s="278">
        <v>0.6</v>
      </c>
      <c r="F7" s="278">
        <v>0.1</v>
      </c>
      <c r="G7" s="278">
        <v>0.04</v>
      </c>
      <c r="H7" s="278">
        <v>0.22</v>
      </c>
      <c r="I7" s="275">
        <v>34.799999999999997</v>
      </c>
      <c r="J7" s="275">
        <v>47.3</v>
      </c>
      <c r="K7" s="275">
        <v>111.4</v>
      </c>
    </row>
    <row r="8" spans="2:15" ht="21.75" customHeight="1">
      <c r="B8" s="262" t="s">
        <v>279</v>
      </c>
      <c r="C8" s="262" t="s">
        <v>273</v>
      </c>
      <c r="D8" s="277">
        <v>8700000</v>
      </c>
      <c r="E8" s="279">
        <v>0.56000000000000005</v>
      </c>
      <c r="F8" s="279">
        <v>0.26</v>
      </c>
      <c r="G8" s="279">
        <v>0.2</v>
      </c>
      <c r="H8" s="279">
        <v>0.22</v>
      </c>
      <c r="I8" s="280">
        <v>9.1999999999999993</v>
      </c>
      <c r="J8" s="280">
        <v>9.6</v>
      </c>
      <c r="K8" s="280">
        <v>10.9</v>
      </c>
    </row>
    <row r="9" spans="2:15" ht="21.75" customHeight="1">
      <c r="B9" s="261" t="s">
        <v>280</v>
      </c>
      <c r="C9" s="261" t="s">
        <v>281</v>
      </c>
      <c r="D9" s="276">
        <v>8500000</v>
      </c>
      <c r="E9" s="278">
        <v>0.62</v>
      </c>
      <c r="F9" s="289">
        <v>0.2</v>
      </c>
      <c r="G9" s="278">
        <v>0.05</v>
      </c>
      <c r="H9" s="278">
        <v>0.03</v>
      </c>
      <c r="I9" s="275">
        <v>25.7</v>
      </c>
      <c r="J9" s="275">
        <v>32.9</v>
      </c>
      <c r="K9" s="275">
        <v>110.1</v>
      </c>
    </row>
    <row r="10" spans="2:15" ht="21.75" customHeight="1">
      <c r="B10" s="262" t="s">
        <v>282</v>
      </c>
      <c r="C10" s="262" t="s">
        <v>283</v>
      </c>
      <c r="D10" s="277">
        <v>10150000</v>
      </c>
      <c r="E10" s="279">
        <v>0.52</v>
      </c>
      <c r="F10" s="279">
        <v>0.1</v>
      </c>
      <c r="G10" s="279">
        <v>0.06</v>
      </c>
      <c r="H10" s="279">
        <v>0.12</v>
      </c>
      <c r="I10" s="280">
        <v>22.3</v>
      </c>
      <c r="J10" s="280">
        <v>29.3</v>
      </c>
      <c r="K10" s="280">
        <v>45.5</v>
      </c>
    </row>
    <row r="11" spans="2:15" ht="21.75" customHeight="1">
      <c r="B11" s="261" t="s">
        <v>284</v>
      </c>
      <c r="C11" s="261" t="s">
        <v>285</v>
      </c>
      <c r="D11" s="276">
        <v>40200000</v>
      </c>
      <c r="E11" s="278">
        <v>0.49</v>
      </c>
      <c r="F11" s="278">
        <v>0.03</v>
      </c>
      <c r="G11" s="278">
        <v>0.01</v>
      </c>
      <c r="H11" s="278">
        <v>0.02</v>
      </c>
      <c r="I11" s="275">
        <v>16.59</v>
      </c>
      <c r="J11" s="275">
        <v>29.11</v>
      </c>
      <c r="K11" s="275" t="s">
        <v>286</v>
      </c>
    </row>
    <row r="12" spans="2:15" ht="21.75" customHeight="1">
      <c r="B12" s="262" t="s">
        <v>287</v>
      </c>
      <c r="C12" s="262" t="s">
        <v>273</v>
      </c>
      <c r="D12" s="277">
        <v>2920000</v>
      </c>
      <c r="E12" s="279">
        <v>0.46</v>
      </c>
      <c r="F12" s="279">
        <v>0.05</v>
      </c>
      <c r="G12" s="279">
        <v>7.0000000000000007E-2</v>
      </c>
      <c r="H12" s="279">
        <v>0.11</v>
      </c>
      <c r="I12" s="280">
        <v>6.1</v>
      </c>
      <c r="J12" s="280">
        <v>9.1999999999999993</v>
      </c>
      <c r="K12" s="280">
        <v>7.3</v>
      </c>
    </row>
    <row r="13" spans="2:15" ht="21.75" customHeight="1">
      <c r="B13" s="261" t="s">
        <v>288</v>
      </c>
      <c r="C13" s="261" t="s">
        <v>273</v>
      </c>
      <c r="D13" s="276">
        <v>3080000</v>
      </c>
      <c r="E13" s="289">
        <v>0.42</v>
      </c>
      <c r="F13" s="278">
        <v>0.111</v>
      </c>
      <c r="G13" s="278">
        <v>9.2200000000000004E-2</v>
      </c>
      <c r="H13" s="278">
        <v>0.21</v>
      </c>
      <c r="I13" s="275">
        <v>11.64</v>
      </c>
      <c r="J13" s="275">
        <v>12.02</v>
      </c>
      <c r="K13" s="275">
        <v>17.100000000000001</v>
      </c>
    </row>
    <row r="14" spans="2:15" ht="21.75" customHeight="1">
      <c r="B14" s="262" t="s">
        <v>289</v>
      </c>
      <c r="C14" s="262" t="s">
        <v>273</v>
      </c>
      <c r="D14" s="277">
        <v>1720000</v>
      </c>
      <c r="E14" s="279">
        <v>0.3201</v>
      </c>
      <c r="F14" s="279">
        <v>7.9100000000000004E-2</v>
      </c>
      <c r="G14" s="279">
        <v>5.3999999999999999E-2</v>
      </c>
      <c r="H14" s="279">
        <v>2.9000000000000001E-2</v>
      </c>
      <c r="I14" s="280">
        <v>11.48</v>
      </c>
      <c r="J14" s="280">
        <v>6.91</v>
      </c>
      <c r="K14" s="280">
        <v>10.6</v>
      </c>
    </row>
    <row r="15" spans="2:15" ht="21.75" customHeight="1">
      <c r="B15" s="272" t="s">
        <v>290</v>
      </c>
      <c r="C15" s="272" t="s">
        <v>285</v>
      </c>
      <c r="D15" s="286">
        <v>7600000</v>
      </c>
      <c r="E15" s="287">
        <v>0.46</v>
      </c>
      <c r="F15" s="287">
        <v>7.0000000000000007E-2</v>
      </c>
      <c r="G15" s="287">
        <v>0.04</v>
      </c>
      <c r="H15" s="287">
        <v>0.1</v>
      </c>
      <c r="I15" s="288">
        <v>8.4</v>
      </c>
      <c r="J15" s="288">
        <v>13.3</v>
      </c>
      <c r="K15" s="288">
        <v>25.2</v>
      </c>
    </row>
    <row r="16" spans="2:15" ht="13.5" customHeight="1">
      <c r="B16" s="272"/>
      <c r="C16" s="272"/>
      <c r="D16" s="272"/>
      <c r="E16" s="272"/>
      <c r="F16" s="272"/>
      <c r="G16" s="272"/>
      <c r="H16" s="272"/>
      <c r="I16" s="272"/>
      <c r="J16" s="272"/>
      <c r="K16" s="272"/>
    </row>
    <row r="17" spans="2:11" ht="18" customHeight="1">
      <c r="B17" s="282" t="s">
        <v>291</v>
      </c>
      <c r="C17" s="283"/>
      <c r="D17" s="290">
        <f>+AVERAGE(D5:D15)</f>
        <v>22915454.545454547</v>
      </c>
      <c r="E17" s="306">
        <f t="shared" ref="E17:K17" si="0">+AVERAGE(E5:E15)</f>
        <v>0.49364545454545455</v>
      </c>
      <c r="F17" s="306">
        <f t="shared" si="0"/>
        <v>0.12182727272727271</v>
      </c>
      <c r="G17" s="306">
        <f t="shared" si="0"/>
        <v>8.1472727272727308E-2</v>
      </c>
      <c r="H17" s="306">
        <f t="shared" si="0"/>
        <v>0.16536363636363638</v>
      </c>
      <c r="I17" s="307">
        <f t="shared" si="0"/>
        <v>17.073636363636364</v>
      </c>
      <c r="J17" s="307">
        <f t="shared" si="0"/>
        <v>21.403636363636362</v>
      </c>
      <c r="K17" s="307">
        <f t="shared" si="0"/>
        <v>39.500000000000007</v>
      </c>
    </row>
    <row r="18" spans="2:11" ht="18" customHeight="1">
      <c r="B18" s="284" t="s">
        <v>292</v>
      </c>
      <c r="C18" s="285"/>
      <c r="D18" s="291">
        <f>+MEDIAN(D5:D15)</f>
        <v>8700000</v>
      </c>
      <c r="E18" s="308">
        <f t="shared" ref="E18:K18" si="1">+MEDIAN(E5:E15)</f>
        <v>0.49</v>
      </c>
      <c r="F18" s="308">
        <f t="shared" si="1"/>
        <v>0.1</v>
      </c>
      <c r="G18" s="308">
        <f t="shared" si="1"/>
        <v>0.06</v>
      </c>
      <c r="H18" s="308">
        <f t="shared" si="1"/>
        <v>0.12</v>
      </c>
      <c r="I18" s="309">
        <f t="shared" si="1"/>
        <v>16.59</v>
      </c>
      <c r="J18" s="309">
        <f t="shared" si="1"/>
        <v>22.7</v>
      </c>
      <c r="K18" s="309">
        <f t="shared" si="1"/>
        <v>26</v>
      </c>
    </row>
    <row r="20" spans="2:11">
      <c r="B20" s="335" t="s">
        <v>293</v>
      </c>
      <c r="C20" s="335"/>
      <c r="D20" s="335"/>
    </row>
  </sheetData>
  <mergeCells count="2">
    <mergeCell ref="I2:K2"/>
    <mergeCell ref="E2:H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E317-BB01-4355-8235-E29B4F922442}">
  <dimension ref="A1"/>
  <sheetViews>
    <sheetView showGridLines="0" workbookViewId="0">
      <selection activeCell="G19" sqref="G19"/>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Edoardo Alberto Donolato</dc:creator>
  <cp:keywords/>
  <dc:description/>
  <cp:lastModifiedBy/>
  <cp:revision/>
  <dcterms:created xsi:type="dcterms:W3CDTF">2024-05-09T14:10:45Z</dcterms:created>
  <dcterms:modified xsi:type="dcterms:W3CDTF">2024-05-14T17:51:46Z</dcterms:modified>
  <cp:category/>
  <cp:contentStatus/>
</cp:coreProperties>
</file>