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ABB_RobotStudio_Magistrale\file_EXCEL\"/>
    </mc:Choice>
  </mc:AlternateContent>
  <xr:revisionPtr revIDLastSave="0" documentId="8_{7256104F-4129-437B-AF26-D89103919D00}" xr6:coauthVersionLast="47" xr6:coauthVersionMax="47" xr10:uidLastSave="{00000000-0000-0000-0000-000000000000}"/>
  <bookViews>
    <workbookView xWindow="-108" yWindow="-108" windowWidth="23256" windowHeight="12720" activeTab="6" xr2:uid="{5ADAECA6-CE37-4ADA-96DE-537DE00B574E}"/>
  </bookViews>
  <sheets>
    <sheet name="Dati" sheetId="1" r:id="rId1"/>
    <sheet name="Pezzi" sheetId="5" r:id="rId2"/>
    <sheet name="Assunzioni" sheetId="4" r:id="rId3"/>
    <sheet name="Analisi di fattibilità" sheetId="2" r:id="rId4"/>
    <sheet name="Verifica" sheetId="9" r:id="rId5"/>
    <sheet name="d_fasi_operatori" sheetId="8" r:id="rId6"/>
    <sheet name="d_fasi_robot_singolo_gripper" sheetId="6" r:id="rId7"/>
    <sheet name="d_fasi_robot_doppio_gripper" sheetId="7" r:id="rId8"/>
  </sheets>
  <definedNames>
    <definedName name="D_tot_op">'Analisi di fattibilità'!#REF!</definedName>
    <definedName name="Eff_M1">Dati!$B$20</definedName>
    <definedName name="Eff_M2">Dati!$B$36</definedName>
    <definedName name="Eff_op">Assunzioni!$B$3</definedName>
    <definedName name="Eff_Q">Dati!$B$28</definedName>
    <definedName name="Eff_r">Assunzioni!$B$2</definedName>
    <definedName name="Eff_tot_op">'Analisi di fattibilità'!#REF!</definedName>
    <definedName name="giorni_anno">Dati!$B$4</definedName>
    <definedName name="guasti">Dati!$B$41</definedName>
    <definedName name="manutenzione">Dati!$B$42</definedName>
    <definedName name="massa_X1">Dati!$B$11</definedName>
    <definedName name="massa_X2">Dati!$B$12</definedName>
    <definedName name="OEE_op">'Analisi di fattibilità'!#REF!</definedName>
    <definedName name="ore_turno">Dati!$B$3</definedName>
    <definedName name="pausa_turno">Dati!$B$6</definedName>
    <definedName name="pezzi_turno">Dati!$B$5</definedName>
    <definedName name="pezzi_X1">Dati!$B$9</definedName>
    <definedName name="pezzi_X2">Dati!$B$10</definedName>
    <definedName name="Pmix_X1">Dati!$B$7</definedName>
    <definedName name="Pmix_X2">Dati!$B$8</definedName>
    <definedName name="ppm_M1">Dati!$B$29</definedName>
    <definedName name="ppm_M1_r">Assunzioni!$B$4:$B$4</definedName>
    <definedName name="ppm_M2">Dati!$B$38</definedName>
    <definedName name="ppm_M2_r">Assunzioni!$B$5:$B$5</definedName>
    <definedName name="Q_r">'Analisi di fattibilità'!$E$5</definedName>
    <definedName name="Q_tot_op">'Analisi di fattibilità'!#REF!</definedName>
    <definedName name="ramp_up_buffer">'Analisi di fattibilità'!$Q$28</definedName>
    <definedName name="ramp_up_cella">'Analisi di fattibilità'!$G$153</definedName>
    <definedName name="Ta_r">'Analisi di fattibilità'!$E$16:$E$16</definedName>
    <definedName name="Tc_op">'Analisi di fattibilità'!$H$76:$H$76</definedName>
    <definedName name="Tc_r">'Analisi di fattibilità'!$G$152:$G$152</definedName>
    <definedName name="Tc1_M1">Dati!$B$15</definedName>
    <definedName name="Tc1_Q">Dati!$B$24</definedName>
    <definedName name="Tc2_M1">Dati!$B$16</definedName>
    <definedName name="Tc2_M2">Dati!$B$32</definedName>
    <definedName name="Tccas_M1">Dati!$B$21</definedName>
    <definedName name="Tm_M1">Dati!$B$17</definedName>
    <definedName name="Tm_M2">Dati!$B$33</definedName>
    <definedName name="Tm_Q">Dati!$B$25</definedName>
    <definedName name="Tpos_M2">Dati!$B$37</definedName>
    <definedName name="Tsc1_M1">Dati!$B$18</definedName>
    <definedName name="Tsc1_M2">Dati!$B$34</definedName>
    <definedName name="Tsc1_Q">Dati!$B$26</definedName>
    <definedName name="Tsc2_M1">Dati!$B$19</definedName>
    <definedName name="Tsc2_M2">Dati!$B$35</definedName>
    <definedName name="Tsc2_Q">Dati!$B$27</definedName>
    <definedName name="TT_adj_op">'Analisi di fattibilità'!$B$9:$B$9</definedName>
    <definedName name="TT_op">'Analisi di fattibilità'!$B$4:$B$4</definedName>
    <definedName name="TT_rob_base">'Analisi di fattibilità'!$E$4</definedName>
    <definedName name="TT_rob_inc_prod">'Analisi di fattibilità'!$E$11</definedName>
    <definedName name="turni">Dati!$B$2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8" i="2" l="1" a="1"/>
  <c r="H78" i="2"/>
  <c r="E6" i="2"/>
  <c r="E7" i="2"/>
  <c r="E8" i="2"/>
  <c r="E18" i="2" a="1"/>
  <c r="E18" i="2"/>
  <c r="C19" i="9"/>
  <c r="B19" i="9"/>
  <c r="G18" i="9"/>
  <c r="G21" i="9"/>
  <c r="G20" i="9"/>
  <c r="G19" i="9"/>
  <c r="I29" i="9"/>
  <c r="I28" i="9"/>
  <c r="I27" i="9"/>
  <c r="I26" i="9"/>
  <c r="I25" i="9"/>
  <c r="I24" i="9"/>
  <c r="H21" i="9"/>
  <c r="H20" i="9"/>
  <c r="H19" i="9"/>
  <c r="B7" i="2"/>
  <c r="C12" i="9"/>
  <c r="H18" i="9" s="1"/>
  <c r="B12" i="9"/>
  <c r="I5" i="2"/>
  <c r="E5" i="2" a="1"/>
  <c r="E5" i="2"/>
  <c r="E13" i="2" a="1"/>
  <c r="E13" i="2"/>
  <c r="G151" i="2"/>
  <c r="G139" i="2"/>
  <c r="U9" i="2"/>
  <c r="Q22" i="2"/>
  <c r="Q18" i="2"/>
  <c r="Q19" i="2"/>
  <c r="Q17" i="2"/>
  <c r="Q13" i="2"/>
  <c r="Q12" i="2"/>
  <c r="M7" i="2"/>
  <c r="M6" i="2"/>
  <c r="I9" i="2"/>
  <c r="B5" i="2"/>
  <c r="B6" i="2"/>
  <c r="E11" i="2"/>
  <c r="B7" i="5"/>
  <c r="E9" i="5"/>
  <c r="H22" i="5"/>
  <c r="H21" i="5"/>
  <c r="H20" i="5"/>
  <c r="B10" i="5"/>
  <c r="E11" i="5"/>
  <c r="E16" i="5"/>
  <c r="E21" i="5"/>
  <c r="E27" i="5"/>
  <c r="E22" i="5"/>
  <c r="E26" i="5"/>
  <c r="E20" i="5"/>
  <c r="E25" i="5"/>
  <c r="G25" i="5"/>
  <c r="E15" i="5"/>
  <c r="E10" i="5"/>
  <c r="E14" i="5"/>
  <c r="B22" i="5"/>
  <c r="E19" i="5"/>
  <c r="B11" i="5"/>
  <c r="E8" i="5"/>
  <c r="B21" i="5"/>
  <c r="B5" i="5"/>
  <c r="H75" i="2"/>
  <c r="H60" i="2"/>
  <c r="B5" i="4"/>
  <c r="C5" i="4"/>
  <c r="B4" i="4"/>
  <c r="C4" i="4"/>
  <c r="B4" i="2"/>
  <c r="E4" i="2" a="1"/>
  <c r="E4" i="2"/>
  <c r="G14" i="5"/>
  <c r="E12" i="5"/>
  <c r="E18" i="5"/>
  <c r="E7" i="5"/>
  <c r="E13" i="5"/>
  <c r="E23" i="5"/>
  <c r="E24" i="5"/>
  <c r="M8" i="2"/>
  <c r="B8" i="2"/>
  <c r="B9" i="2"/>
  <c r="H76" i="2"/>
  <c r="G152" i="2"/>
  <c r="Q14" i="2"/>
  <c r="B14" i="2" a="1"/>
  <c r="B14" i="2"/>
  <c r="B13" i="2" a="1"/>
  <c r="B13" i="2"/>
  <c r="B10" i="2" a="1"/>
  <c r="B10" i="2"/>
  <c r="B11" i="2"/>
  <c r="B12" i="2" a="1"/>
  <c r="B12" i="2"/>
  <c r="H77" i="2"/>
  <c r="Q20" i="2" a="1"/>
  <c r="Q20" i="2"/>
  <c r="G153" i="2"/>
  <c r="U4" i="2" a="1"/>
  <c r="U4" i="2"/>
  <c r="U5" i="2"/>
  <c r="U10" i="2"/>
  <c r="E17" i="2" a="1"/>
  <c r="E17" i="2"/>
  <c r="E15" i="2" a="1"/>
  <c r="E15" i="2"/>
  <c r="E14" i="2" a="1"/>
  <c r="E14" i="2"/>
  <c r="E9" i="2" l="1"/>
  <c r="E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tc={EDF747C9-4543-4656-85C9-267D94C40F14}</author>
  </authors>
  <commentList>
    <comment ref="A2" authorId="0" shapeId="0" xr:uid="{EDF747C9-4543-4656-85C9-267D94C40F14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@francesco campregher Dovrebbe essere disponibilità del robot
Rispondi:
vero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<sst xmlns="http://schemas.openxmlformats.org/spreadsheetml/2006/main" count="463" uniqueCount="210">
  <si>
    <t>Dati</t>
  </si>
  <si>
    <t>Turni</t>
  </si>
  <si>
    <t>Ore turno</t>
  </si>
  <si>
    <t>ore</t>
  </si>
  <si>
    <t>Giorni lavorativi anno</t>
  </si>
  <si>
    <t>gg</t>
  </si>
  <si>
    <t>Domanda</t>
  </si>
  <si>
    <t>pz/turno</t>
  </si>
  <si>
    <t>Pausa operatori</t>
  </si>
  <si>
    <t>min/turno</t>
  </si>
  <si>
    <t>considerare il fattore di affaticamento</t>
  </si>
  <si>
    <t>Mix codixe X1</t>
  </si>
  <si>
    <t>vedi allegato</t>
  </si>
  <si>
    <t>Mix codixe X2</t>
  </si>
  <si>
    <t>Codice X1</t>
  </si>
  <si>
    <t>pezzi</t>
  </si>
  <si>
    <t>Codice X2</t>
  </si>
  <si>
    <t>Peso codice X1</t>
  </si>
  <si>
    <t>kg</t>
  </si>
  <si>
    <t>Peso codice X2</t>
  </si>
  <si>
    <t>Stazione 1</t>
  </si>
  <si>
    <t>Tempo di carico (presa dal 
cassone e avvicinamento 
alla macchina)</t>
  </si>
  <si>
    <t>s</t>
  </si>
  <si>
    <t>da verificare tramite simulazione SW</t>
  </si>
  <si>
    <t xml:space="preserve">Tempo di carico (fissaggio) </t>
  </si>
  <si>
    <t>tempo macchina</t>
  </si>
  <si>
    <t>Tempo di scarico 
(disimpegno pezzo)</t>
  </si>
  <si>
    <t>Tempo di scarico (presa dalla macchina 1 e avvicinamento al banco qualità)</t>
  </si>
  <si>
    <t>Efficienza macchina</t>
  </si>
  <si>
    <t>e.g. microfermate, rallentamenti</t>
  </si>
  <si>
    <t>Cambio cassone</t>
  </si>
  <si>
    <t>Svolto generalmente in tempo mascherato</t>
  </si>
  <si>
    <t>Banco Controllo qualità</t>
  </si>
  <si>
    <t>ppm macchina 1</t>
  </si>
  <si>
    <t>Di cui il 25% dovuti ad errori degli operatori</t>
  </si>
  <si>
    <t>Stazione 2</t>
  </si>
  <si>
    <t>Tempo di scarico (presa dalla macchina 2 ed inserimento in cassetta)</t>
  </si>
  <si>
    <t>Posizionamento 
vassoio/chiusura scatola</t>
  </si>
  <si>
    <t>ppm macchina 2</t>
  </si>
  <si>
    <t>Di cui il 5% dovuti ad errori degli operatori</t>
  </si>
  <si>
    <t>Vincoli concordati con il committente</t>
  </si>
  <si>
    <t>guasti</t>
  </si>
  <si>
    <t>h/anno</t>
  </si>
  <si>
    <t>Manutenzione</t>
  </si>
  <si>
    <t>Cassone</t>
  </si>
  <si>
    <t>H</t>
  </si>
  <si>
    <t>mm</t>
  </si>
  <si>
    <t>L</t>
  </si>
  <si>
    <t>I</t>
  </si>
  <si>
    <t>vol</t>
  </si>
  <si>
    <t>mm^3</t>
  </si>
  <si>
    <t>Pezzo X1</t>
  </si>
  <si>
    <t>Vassoio</t>
  </si>
  <si>
    <t>d1</t>
  </si>
  <si>
    <t>volume massimo</t>
  </si>
  <si>
    <t>d2</t>
  </si>
  <si>
    <t>quantità</t>
  </si>
  <si>
    <t>d3</t>
  </si>
  <si>
    <t>aggiunta</t>
  </si>
  <si>
    <t>volume effettivo</t>
  </si>
  <si>
    <t>margine di incremento</t>
  </si>
  <si>
    <t>n° scatole H</t>
  </si>
  <si>
    <t>scatole effettive</t>
  </si>
  <si>
    <t>n° scatole I</t>
  </si>
  <si>
    <t>n° scatole L</t>
  </si>
  <si>
    <t>Pezzo X2</t>
  </si>
  <si>
    <t>Disponibilità robot</t>
  </si>
  <si>
    <t>Efficienza operatore</t>
  </si>
  <si>
    <t>ppm macchina 1 robot</t>
  </si>
  <si>
    <t>ppm macchina 2 robot</t>
  </si>
  <si>
    <t>incremento domanda futura</t>
  </si>
  <si>
    <t>Tempo scansione laser scanner</t>
  </si>
  <si>
    <t>Tempo prima computazione traiettoria</t>
  </si>
  <si>
    <t>Tempo calcolo traiettorie successive</t>
  </si>
  <si>
    <t>Tempo di set up</t>
  </si>
  <si>
    <t>nulli poiché mascherati durante il carico scarico</t>
  </si>
  <si>
    <t>Velocità spostamento senza pezzo</t>
  </si>
  <si>
    <t>Velocità spostamento pezzo</t>
  </si>
  <si>
    <t>Velocità avvicinamento</t>
  </si>
  <si>
    <t>Indici operatori</t>
  </si>
  <si>
    <t>Indici robot</t>
  </si>
  <si>
    <t>Analisi forza gripper</t>
  </si>
  <si>
    <t>rampa</t>
  </si>
  <si>
    <t>Rulli cassette</t>
  </si>
  <si>
    <t>Cassetta scarto qualità</t>
  </si>
  <si>
    <t>takt time</t>
  </si>
  <si>
    <t>s/pz</t>
  </si>
  <si>
    <t>chele</t>
  </si>
  <si>
    <t>Coefficiente di attrito teflon acciaio</t>
  </si>
  <si>
    <t>larghezza vassoio</t>
  </si>
  <si>
    <t>scarti</t>
  </si>
  <si>
    <t>Qualità</t>
  </si>
  <si>
    <t>coefficiente di attrito</t>
  </si>
  <si>
    <t>angolo</t>
  </si>
  <si>
    <t>°</t>
  </si>
  <si>
    <t>lunghezza vassoio</t>
  </si>
  <si>
    <t>volume minimo scatola</t>
  </si>
  <si>
    <t>Disponibilità</t>
  </si>
  <si>
    <t>forza di gravità</t>
  </si>
  <si>
    <t>m/s^1</t>
  </si>
  <si>
    <t>Forza attrito</t>
  </si>
  <si>
    <t>N</t>
  </si>
  <si>
    <t>altezza vassoio</t>
  </si>
  <si>
    <t>altezza</t>
  </si>
  <si>
    <t>Efficienza</t>
  </si>
  <si>
    <t>accelerazione massima</t>
  </si>
  <si>
    <t>m/s^2</t>
  </si>
  <si>
    <t>forza di discesa</t>
  </si>
  <si>
    <t>altezza conveyor</t>
  </si>
  <si>
    <t>larghezza</t>
  </si>
  <si>
    <t>OEE</t>
  </si>
  <si>
    <t>fattore di sicurezza</t>
  </si>
  <si>
    <t>larghezza conveyor</t>
  </si>
  <si>
    <t>lunghezza</t>
  </si>
  <si>
    <t>takt time adj</t>
  </si>
  <si>
    <t>Forza per chela</t>
  </si>
  <si>
    <t>lunghezza conveyor</t>
  </si>
  <si>
    <t>volume scatola</t>
  </si>
  <si>
    <t>Rp</t>
  </si>
  <si>
    <t>pz/h</t>
  </si>
  <si>
    <t>Cp</t>
  </si>
  <si>
    <t>takt time + 10% produzione</t>
  </si>
  <si>
    <t>Acciaio gomma asciutto</t>
  </si>
  <si>
    <t>http://carmnap.it/CoefficientiAttritoCinematico.htm</t>
  </si>
  <si>
    <t>Utilizzazione 1</t>
  </si>
  <si>
    <t>takt time adj + 10% prod</t>
  </si>
  <si>
    <t>Acciaio gomma bagnato</t>
  </si>
  <si>
    <t>Utilizzazione 2</t>
  </si>
  <si>
    <t>Utilizzazione Q</t>
  </si>
  <si>
    <t>Peso minimo vassoio</t>
  </si>
  <si>
    <t>Tempo attivo robot</t>
  </si>
  <si>
    <t>altezza massima</t>
  </si>
  <si>
    <t>Saturazione robot</t>
  </si>
  <si>
    <t>angolo scivolo massimo</t>
  </si>
  <si>
    <t>CP</t>
  </si>
  <si>
    <t>lunghezza totale</t>
  </si>
  <si>
    <t>pezzi buffer</t>
  </si>
  <si>
    <t>pz</t>
  </si>
  <si>
    <t>Tempo di scarica</t>
  </si>
  <si>
    <t>tempo (s)</t>
  </si>
  <si>
    <t>OP1</t>
  </si>
  <si>
    <t>M1</t>
  </si>
  <si>
    <t>BQ</t>
  </si>
  <si>
    <t>OP2</t>
  </si>
  <si>
    <t>M2</t>
  </si>
  <si>
    <t>*** Legenda</t>
  </si>
  <si>
    <t>Tempo carico buffer</t>
  </si>
  <si>
    <t>min</t>
  </si>
  <si>
    <t>Riga singola: termine scarico macchina - inizio carico banco qualità</t>
  </si>
  <si>
    <t>Tempo indisponibilità annua</t>
  </si>
  <si>
    <t>Riga doppia: termine manipolazione pezzo - inizio sequenza movimentazione nuovo pezzo</t>
  </si>
  <si>
    <t>T1</t>
  </si>
  <si>
    <t>T2</t>
  </si>
  <si>
    <t>Tempo ciclo operatori</t>
  </si>
  <si>
    <t>Tempo ramp up</t>
  </si>
  <si>
    <t>tempo spostamento nastro1  -&gt; macchina1  5s</t>
  </si>
  <si>
    <t>m1 -&gt; fissaggio 5s</t>
  </si>
  <si>
    <t>tempo spostamento macchina 1 -&gt; controllo qualità 5s</t>
  </si>
  <si>
    <t>bq -&gt; fissaggio 5s</t>
  </si>
  <si>
    <t>tempo spostamento controllo qualità -&gt; macchina 5s</t>
  </si>
  <si>
    <t>m2 -&gt; fissaggio 5s</t>
  </si>
  <si>
    <t>tempo spostamento  macchina2 -&gt; nastro scarico 5s</t>
  </si>
  <si>
    <t>ROBOT</t>
  </si>
  <si>
    <t>sn1</t>
  </si>
  <si>
    <t>f</t>
  </si>
  <si>
    <t>fissaggio1</t>
  </si>
  <si>
    <t>fissaggio 2</t>
  </si>
  <si>
    <t>s1-q</t>
  </si>
  <si>
    <t>spostamento</t>
  </si>
  <si>
    <t>Tc_robot</t>
  </si>
  <si>
    <t>T_ramp_up</t>
  </si>
  <si>
    <t>Robot 2</t>
  </si>
  <si>
    <t>X1</t>
  </si>
  <si>
    <t>X2</t>
  </si>
  <si>
    <t>CNC1</t>
  </si>
  <si>
    <t>spostamento X1 R1</t>
  </si>
  <si>
    <t>CNC1 cambio</t>
  </si>
  <si>
    <t>vassoio</t>
  </si>
  <si>
    <t>banco qualità</t>
  </si>
  <si>
    <t>ramp up</t>
  </si>
  <si>
    <t>banco qualità cambio</t>
  </si>
  <si>
    <t>attivo</t>
  </si>
  <si>
    <t>CNC2</t>
  </si>
  <si>
    <t>CNC2 cambio</t>
  </si>
  <si>
    <t>scarico</t>
  </si>
  <si>
    <t>ritorno</t>
  </si>
  <si>
    <t>fissaggio</t>
  </si>
  <si>
    <t>Tempi</t>
  </si>
  <si>
    <t>ipotesi</t>
  </si>
  <si>
    <t>realtà</t>
  </si>
  <si>
    <t>Ta</t>
  </si>
  <si>
    <t>Tc</t>
  </si>
  <si>
    <t>Saturazione robot 2</t>
  </si>
  <si>
    <t>CNC 1</t>
  </si>
  <si>
    <t>Utilizzazione CNC 1</t>
  </si>
  <si>
    <t>Utilizzazione CNC 2</t>
  </si>
  <si>
    <t>Utilizzazione Banco Qualità</t>
  </si>
  <si>
    <t>lavorazione</t>
  </si>
  <si>
    <t>disimpegno</t>
  </si>
  <si>
    <t>udm</t>
  </si>
  <si>
    <t>Ciclo</t>
  </si>
  <si>
    <t>CNC 2</t>
  </si>
  <si>
    <t>carico</t>
  </si>
  <si>
    <t>CQ</t>
  </si>
  <si>
    <t>Banco qualità</t>
  </si>
  <si>
    <t>t (s)</t>
  </si>
  <si>
    <t>t(s)</t>
  </si>
  <si>
    <t>Tspos</t>
  </si>
  <si>
    <t>Robot 1</t>
  </si>
  <si>
    <t>Tempo ciclo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</si>
</sst>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0.000"/>
  </numFmts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87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6DCE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/>
      <top/>
      <bottom style="medium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righ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righ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righ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9" fontId="0" fillId="3" borderId="8" xfId="1" applyFont="1" applyFill="1" applyBorder="1" applyAlignment="1">
      <alignment horizontal="right" vertical="center"/>
    </xf>
    <xf numFmtId="9" fontId="0" fillId="4" borderId="8" xfId="1" applyFont="1" applyFill="1" applyBorder="1" applyAlignment="1">
      <alignment horizontal="right" vertical="center"/>
    </xf>
    <xf numFmtId="9" fontId="0" fillId="0" borderId="0" xfId="1" applyFont="1"/>
    <xf numFmtId="10" fontId="0" fillId="0" borderId="0" xfId="1" applyNumberFormat="1" applyFont="1"/>
    <xf numFmtId="0" fontId="0" fillId="10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10" borderId="12" xfId="0" applyFill="1" applyBorder="1"/>
    <xf numFmtId="0" fontId="0" fillId="2" borderId="13" xfId="0" applyFill="1" applyBorder="1"/>
    <xf numFmtId="0" fontId="0" fillId="10" borderId="13" xfId="0" applyFill="1" applyBorder="1"/>
    <xf numFmtId="0" fontId="0" fillId="2" borderId="14" xfId="0" applyFill="1" applyBorder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3" borderId="8" xfId="0" applyFill="1" applyBorder="1" applyAlignment="1">
      <alignment horizontal="right" vertical="center" wrapText="1"/>
    </xf>
    <xf numFmtId="0" fontId="0" fillId="0" borderId="5" xfId="0" applyBorder="1"/>
    <xf numFmtId="0" fontId="0" fillId="2" borderId="5" xfId="0" applyFill="1" applyBorder="1"/>
    <xf numFmtId="0" fontId="0" fillId="5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9" fontId="0" fillId="0" borderId="0" xfId="0" applyNumberForma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0" fillId="3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15" xfId="0" applyBorder="1"/>
    <xf numFmtId="0" fontId="0" fillId="0" borderId="30" xfId="0" applyBorder="1"/>
    <xf numFmtId="10" fontId="0" fillId="0" borderId="0" xfId="1" applyNumberFormat="1" applyFont="1" applyBorder="1"/>
    <xf numFmtId="43" fontId="0" fillId="0" borderId="0" xfId="2" applyFont="1" applyBorder="1"/>
    <xf numFmtId="43" fontId="0" fillId="0" borderId="0" xfId="2" applyFont="1" applyBorder="1" applyAlignment="1">
      <alignment horizontal="right"/>
    </xf>
    <xf numFmtId="9" fontId="0" fillId="0" borderId="0" xfId="1" applyFont="1" applyBorder="1"/>
    <xf numFmtId="0" fontId="0" fillId="0" borderId="4" xfId="0" applyBorder="1"/>
    <xf numFmtId="9" fontId="0" fillId="0" borderId="5" xfId="1" applyFont="1" applyBorder="1"/>
    <xf numFmtId="0" fontId="0" fillId="0" borderId="6" xfId="0" applyBorder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14" borderId="2" xfId="0" applyFill="1" applyBorder="1"/>
    <xf numFmtId="0" fontId="0" fillId="0" borderId="3" xfId="0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0" fontId="0" fillId="14" borderId="15" xfId="0" applyFill="1" applyBorder="1"/>
    <xf numFmtId="0" fontId="0" fillId="0" borderId="15" xfId="0" applyBorder="1" applyAlignment="1">
      <alignment horizontal="center"/>
    </xf>
    <xf numFmtId="0" fontId="0" fillId="18" borderId="15" xfId="0" applyFill="1" applyBorder="1"/>
    <xf numFmtId="0" fontId="0" fillId="5" borderId="15" xfId="0" applyFill="1" applyBorder="1"/>
    <xf numFmtId="0" fontId="0" fillId="0" borderId="32" xfId="0" applyBorder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3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2" xfId="0" applyFont="1" applyBorder="1"/>
    <xf numFmtId="0" fontId="0" fillId="0" borderId="3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3" fillId="0" borderId="30" xfId="3" applyBorder="1" applyAlignment="1">
      <alignment horizontal="center" vertical="center"/>
    </xf>
    <xf numFmtId="0" fontId="3" fillId="0" borderId="6" xfId="3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4">
    <cellStyle name="Collegamento ipertestuale" xfId="3" builtinId="8"/>
    <cellStyle name="Migliaia" xfId="2" builtinId="3"/>
    <cellStyle name="Normale" xfId="0" builtinId="0"/>
    <cellStyle name="Percentuale" xfId="1" builtinId="5"/>
  </cellStyles>
  <dxfs count="28">
    <dxf>
      <fill>
        <patternFill>
          <fgColor theme="3" tint="0.39991454817346722"/>
          <bgColor theme="0" tint="-0.24994659260841701"/>
        </patternFill>
      </fill>
    </dxf>
    <dxf>
      <fill>
        <patternFill>
          <fgColor theme="0"/>
          <bgColor theme="3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fgColor theme="3" tint="0.39991454817346722"/>
          <bgColor theme="0" tint="-0.24994659260841701"/>
        </patternFill>
      </fill>
    </dxf>
    <dxf>
      <fill>
        <patternFill>
          <fgColor theme="0"/>
          <bgColor theme="3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CC99FF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fgColor theme="3" tint="0.39991454817346722"/>
          <bgColor theme="0" tint="-0.24994659260841701"/>
        </patternFill>
      </fill>
    </dxf>
    <dxf>
      <fill>
        <patternFill>
          <fgColor theme="0"/>
          <bgColor theme="3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F87E1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campregher" id="{AD81A1D6-C6DC-4CC8-851C-556E9ECF9BE7}" userId="f.campregher@studenti.unibs.it" providerId="PeoplePicker"/>
  <person displayName="francesco campregher" id="{439CB65D-F1E2-C041-956E-374F42D51DEA}" userId="S::f.campregher@studenti.unibs.it::fc668bd0-f9d5-42a9-901f-c3c2b68e5150" providerId="AD"/>
  <person displayName="giovanni angelo alghisi" id="{0C33CCAD-5741-4624-A03B-9ED49445003F}" userId="S::g.alghisi002@studenti.unibs.it::b78807e6-7bad-4419-8732-d6c6cdf7f658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12-02T10:17:46.85" personId="{0C33CCAD-5741-4624-A03B-9ED49445003F}" id="{EDF747C9-4543-4656-85C9-267D94C40F14}">
    <text>@francesco campregher Dovrebbe essere disponibilità del robot</text>
    <mentions>
      <mention mentionpersonId="{AD81A1D6-C6DC-4CC8-851C-556E9ECF9BE7}" mentionId="{E8953FB6-BFB1-46B1-8684-F16C9AE4CE66}" startIndex="0" length="21"/>
    </mentions>
  </threadedComment>
  <threadedComment ref="A2" dT="2022-12-03T09:46:48.76" personId="{439CB65D-F1E2-C041-956E-374F42D51DEA}" id="{7008FED8-9F4D-DF41-8D8D-DE9F62A048B4}" parentId="{EDF747C9-4543-4656-85C9-267D94C40F14}">
    <text xml:space="preserve">vero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rmnap.it/CoefficientiAttritoCinematico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B501-E694-4B86-B470-FBFFA917FA65}">
  <dimension ref="A1:D43"/>
  <sheetViews>
    <sheetView workbookViewId="0">
      <selection activeCell="D43" sqref="D43"/>
    </sheetView>
  </sheetViews>
  <sheetFormatPr defaultColWidth="0" defaultRowHeight="21" zeroHeight="1" x14ac:dyDescent="0.4"/>
  <cols>
    <col min="1" max="1" width="22.0703125" style="2" bestFit="1" customWidth="1"/>
    <col min="2" max="2" width="9.28515625" style="3" customWidth="1"/>
    <col min="3" max="3" width="9.28515625" style="4" customWidth="1"/>
    <col min="4" max="4" width="34.7109375" style="4" bestFit="1" customWidth="1"/>
    <col min="5" max="16384" width="9.28515625" style="2" hidden="1"/>
  </cols>
  <sheetData>
    <row r="1" spans="1:4" ht="21.6" thickBot="1" x14ac:dyDescent="0.45">
      <c r="A1" s="156" t="s">
        <v>0</v>
      </c>
      <c r="B1" s="157"/>
      <c r="C1" s="157"/>
      <c r="D1" s="158"/>
    </row>
    <row r="2" spans="1:4" s="6" customFormat="1" ht="21.6" thickBot="1" x14ac:dyDescent="0.45">
      <c r="A2" s="20" t="s">
        <v>1</v>
      </c>
      <c r="B2" s="16">
        <v>2</v>
      </c>
      <c r="C2" s="17"/>
      <c r="D2" s="18"/>
    </row>
    <row r="3" spans="1:4" s="5" customFormat="1" ht="21.6" thickBot="1" x14ac:dyDescent="0.45">
      <c r="A3" s="11" t="s">
        <v>2</v>
      </c>
      <c r="B3" s="12">
        <v>8</v>
      </c>
      <c r="C3" s="13" t="s">
        <v>3</v>
      </c>
      <c r="D3" s="14"/>
    </row>
    <row r="4" spans="1:4" s="6" customFormat="1" ht="21.6" thickBot="1" x14ac:dyDescent="0.45">
      <c r="A4" s="20" t="s">
        <v>4</v>
      </c>
      <c r="B4" s="16">
        <v>220</v>
      </c>
      <c r="C4" s="17" t="s">
        <v>5</v>
      </c>
      <c r="D4" s="18"/>
    </row>
    <row r="5" spans="1:4" s="5" customFormat="1" ht="21.6" thickBot="1" x14ac:dyDescent="0.45">
      <c r="A5" s="11" t="s">
        <v>6</v>
      </c>
      <c r="B5" s="12">
        <v>300</v>
      </c>
      <c r="C5" s="13" t="s">
        <v>7</v>
      </c>
      <c r="D5" s="14"/>
    </row>
    <row r="6" spans="1:4" s="6" customFormat="1" ht="21.6" thickBot="1" x14ac:dyDescent="0.45">
      <c r="A6" s="20" t="s">
        <v>8</v>
      </c>
      <c r="B6" s="16">
        <v>20</v>
      </c>
      <c r="C6" s="17" t="s">
        <v>9</v>
      </c>
      <c r="D6" s="18" t="s">
        <v>10</v>
      </c>
    </row>
    <row r="7" spans="1:4" s="5" customFormat="1" ht="21.6" thickBot="1" x14ac:dyDescent="0.45">
      <c r="A7" s="11" t="s">
        <v>11</v>
      </c>
      <c r="B7" s="28">
        <v>0.2</v>
      </c>
      <c r="C7" s="13"/>
      <c r="D7" s="14" t="s">
        <v>12</v>
      </c>
    </row>
    <row r="8" spans="1:4" s="6" customFormat="1" ht="21.6" thickBot="1" x14ac:dyDescent="0.45">
      <c r="A8" s="20" t="s">
        <v>13</v>
      </c>
      <c r="B8" s="29">
        <v>0.8</v>
      </c>
      <c r="C8" s="17"/>
      <c r="D8" s="18" t="s">
        <v>12</v>
      </c>
    </row>
    <row r="9" spans="1:4" s="5" customFormat="1" ht="21.6" thickBot="1" x14ac:dyDescent="0.45">
      <c r="A9" s="11" t="s">
        <v>14</v>
      </c>
      <c r="B9" s="12">
        <v>250</v>
      </c>
      <c r="C9" s="13" t="s">
        <v>15</v>
      </c>
      <c r="D9" s="14" t="s">
        <v>12</v>
      </c>
    </row>
    <row r="10" spans="1:4" s="6" customFormat="1" ht="21.6" thickBot="1" x14ac:dyDescent="0.45">
      <c r="A10" s="20" t="s">
        <v>16</v>
      </c>
      <c r="B10" s="16">
        <v>1000</v>
      </c>
      <c r="C10" s="17" t="s">
        <v>15</v>
      </c>
      <c r="D10" s="18" t="s">
        <v>12</v>
      </c>
    </row>
    <row r="11" spans="1:4" s="5" customFormat="1" ht="21.6" thickBot="1" x14ac:dyDescent="0.45">
      <c r="A11" s="11" t="s">
        <v>17</v>
      </c>
      <c r="B11" s="12">
        <v>4</v>
      </c>
      <c r="C11" s="13" t="s">
        <v>18</v>
      </c>
      <c r="D11" s="14" t="s">
        <v>12</v>
      </c>
    </row>
    <row r="12" spans="1:4" s="6" customFormat="1" ht="21.6" thickBot="1" x14ac:dyDescent="0.45">
      <c r="A12" s="20" t="s">
        <v>19</v>
      </c>
      <c r="B12" s="16">
        <v>0.8</v>
      </c>
      <c r="C12" s="17" t="s">
        <v>18</v>
      </c>
      <c r="D12" s="18" t="s">
        <v>12</v>
      </c>
    </row>
    <row r="13" spans="1:4" ht="21.6" thickBot="1" x14ac:dyDescent="0.45">
      <c r="A13" s="21"/>
      <c r="B13" s="22"/>
      <c r="C13" s="23"/>
      <c r="D13" s="23"/>
    </row>
    <row r="14" spans="1:4" ht="21.6" thickBot="1" x14ac:dyDescent="0.45">
      <c r="A14" s="156" t="s">
        <v>20</v>
      </c>
      <c r="B14" s="157"/>
      <c r="C14" s="157"/>
      <c r="D14" s="158"/>
    </row>
    <row r="15" spans="1:4" s="6" customFormat="1" ht="63.6" thickBot="1" x14ac:dyDescent="0.45">
      <c r="A15" s="15" t="s">
        <v>21</v>
      </c>
      <c r="B15" s="16">
        <v>10</v>
      </c>
      <c r="C15" s="17" t="s">
        <v>22</v>
      </c>
      <c r="D15" s="18" t="s">
        <v>23</v>
      </c>
    </row>
    <row r="16" spans="1:4" s="5" customFormat="1" ht="21.6" thickBot="1" x14ac:dyDescent="0.45">
      <c r="A16" s="11" t="s">
        <v>24</v>
      </c>
      <c r="B16" s="12">
        <v>5</v>
      </c>
      <c r="C16" s="13" t="s">
        <v>22</v>
      </c>
      <c r="D16" s="14"/>
    </row>
    <row r="17" spans="1:4" s="6" customFormat="1" ht="21.6" thickBot="1" x14ac:dyDescent="0.45">
      <c r="A17" s="20" t="s">
        <v>25</v>
      </c>
      <c r="B17" s="16">
        <v>40</v>
      </c>
      <c r="C17" s="17" t="s">
        <v>22</v>
      </c>
      <c r="D17" s="18"/>
    </row>
    <row r="18" spans="1:4" s="5" customFormat="1" ht="42.6" thickBot="1" x14ac:dyDescent="0.45">
      <c r="A18" s="19" t="s">
        <v>26</v>
      </c>
      <c r="B18" s="12">
        <v>5</v>
      </c>
      <c r="C18" s="13" t="s">
        <v>22</v>
      </c>
      <c r="D18" s="14"/>
    </row>
    <row r="19" spans="1:4" s="6" customFormat="1" ht="84.6" thickBot="1" x14ac:dyDescent="0.45">
      <c r="A19" s="15" t="s">
        <v>27</v>
      </c>
      <c r="B19" s="16">
        <v>10</v>
      </c>
      <c r="C19" s="17" t="s">
        <v>22</v>
      </c>
      <c r="D19" s="18"/>
    </row>
    <row r="20" spans="1:4" s="5" customFormat="1" ht="21.6" thickBot="1" x14ac:dyDescent="0.45">
      <c r="A20" s="11" t="s">
        <v>28</v>
      </c>
      <c r="B20" s="12">
        <v>0.96</v>
      </c>
      <c r="C20" s="13"/>
      <c r="D20" s="14" t="s">
        <v>29</v>
      </c>
    </row>
    <row r="21" spans="1:4" s="6" customFormat="1" ht="21.6" thickBot="1" x14ac:dyDescent="0.45">
      <c r="A21" s="20" t="s">
        <v>30</v>
      </c>
      <c r="B21" s="16">
        <v>20</v>
      </c>
      <c r="C21" s="17" t="s">
        <v>22</v>
      </c>
      <c r="D21" s="18" t="s">
        <v>31</v>
      </c>
    </row>
    <row r="22" spans="1:4" ht="21.6" thickBot="1" x14ac:dyDescent="0.45">
      <c r="A22" s="21"/>
      <c r="B22" s="22"/>
      <c r="C22" s="23"/>
      <c r="D22" s="23"/>
    </row>
    <row r="23" spans="1:4" ht="21.6" thickBot="1" x14ac:dyDescent="0.45">
      <c r="A23" s="156" t="s">
        <v>32</v>
      </c>
      <c r="B23" s="157"/>
      <c r="C23" s="157"/>
      <c r="D23" s="158"/>
    </row>
    <row r="24" spans="1:4" s="6" customFormat="1" ht="21.6" thickBot="1" x14ac:dyDescent="0.45">
      <c r="A24" s="20" t="s">
        <v>24</v>
      </c>
      <c r="B24" s="16">
        <v>5</v>
      </c>
      <c r="C24" s="17" t="s">
        <v>22</v>
      </c>
      <c r="D24" s="18"/>
    </row>
    <row r="25" spans="1:4" s="5" customFormat="1" ht="21.6" thickBot="1" x14ac:dyDescent="0.45">
      <c r="A25" s="11" t="s">
        <v>25</v>
      </c>
      <c r="B25" s="12">
        <v>38</v>
      </c>
      <c r="C25" s="13" t="s">
        <v>22</v>
      </c>
      <c r="D25" s="14"/>
    </row>
    <row r="26" spans="1:4" s="6" customFormat="1" ht="42.6" thickBot="1" x14ac:dyDescent="0.45">
      <c r="A26" s="15" t="s">
        <v>26</v>
      </c>
      <c r="B26" s="16">
        <v>5</v>
      </c>
      <c r="C26" s="17" t="s">
        <v>22</v>
      </c>
      <c r="D26" s="18"/>
    </row>
    <row r="27" spans="1:4" s="5" customFormat="1" ht="84.6" thickBot="1" x14ac:dyDescent="0.45">
      <c r="A27" s="19" t="s">
        <v>27</v>
      </c>
      <c r="B27" s="12">
        <v>10</v>
      </c>
      <c r="C27" s="13" t="s">
        <v>22</v>
      </c>
      <c r="D27" s="14"/>
    </row>
    <row r="28" spans="1:4" s="6" customFormat="1" ht="21.6" thickBot="1" x14ac:dyDescent="0.45">
      <c r="A28" s="20" t="s">
        <v>28</v>
      </c>
      <c r="B28" s="16">
        <v>0.999</v>
      </c>
      <c r="C28" s="17"/>
      <c r="D28" s="18" t="s">
        <v>29</v>
      </c>
    </row>
    <row r="29" spans="1:4" s="5" customFormat="1" ht="21.6" thickBot="1" x14ac:dyDescent="0.45">
      <c r="A29" s="11" t="s">
        <v>33</v>
      </c>
      <c r="B29" s="12">
        <v>20000</v>
      </c>
      <c r="C29" s="13" t="s">
        <v>15</v>
      </c>
      <c r="D29" s="14" t="s">
        <v>34</v>
      </c>
    </row>
    <row r="30" spans="1:4" ht="21.6" thickBot="1" x14ac:dyDescent="0.45">
      <c r="A30" s="21"/>
      <c r="B30" s="22"/>
      <c r="C30" s="23"/>
      <c r="D30" s="23"/>
    </row>
    <row r="31" spans="1:4" x14ac:dyDescent="0.4">
      <c r="A31" s="159" t="s">
        <v>35</v>
      </c>
      <c r="B31" s="160"/>
      <c r="C31" s="160"/>
      <c r="D31" s="161"/>
    </row>
    <row r="32" spans="1:4" s="6" customFormat="1" ht="21.6" thickBot="1" x14ac:dyDescent="0.45">
      <c r="A32" s="10" t="s">
        <v>24</v>
      </c>
      <c r="B32" s="7">
        <v>5</v>
      </c>
      <c r="C32" s="8" t="s">
        <v>22</v>
      </c>
      <c r="D32" s="9"/>
    </row>
    <row r="33" spans="1:4" s="5" customFormat="1" ht="21.6" thickBot="1" x14ac:dyDescent="0.45">
      <c r="A33" s="11" t="s">
        <v>25</v>
      </c>
      <c r="B33" s="12">
        <v>40</v>
      </c>
      <c r="C33" s="13" t="s">
        <v>22</v>
      </c>
      <c r="D33" s="14"/>
    </row>
    <row r="34" spans="1:4" s="6" customFormat="1" ht="42.6" thickBot="1" x14ac:dyDescent="0.45">
      <c r="A34" s="15" t="s">
        <v>26</v>
      </c>
      <c r="B34" s="16">
        <v>5</v>
      </c>
      <c r="C34" s="17" t="s">
        <v>22</v>
      </c>
      <c r="D34" s="18"/>
    </row>
    <row r="35" spans="1:4" s="5" customFormat="1" ht="63.6" thickBot="1" x14ac:dyDescent="0.45">
      <c r="A35" s="43" t="s">
        <v>36</v>
      </c>
      <c r="B35" s="12">
        <v>10</v>
      </c>
      <c r="C35" s="13" t="s">
        <v>22</v>
      </c>
      <c r="D35" s="14"/>
    </row>
    <row r="36" spans="1:4" s="6" customFormat="1" ht="21.6" thickBot="1" x14ac:dyDescent="0.45">
      <c r="A36" s="20" t="s">
        <v>28</v>
      </c>
      <c r="B36" s="16">
        <v>0.95</v>
      </c>
      <c r="C36" s="17"/>
      <c r="D36" s="18" t="s">
        <v>29</v>
      </c>
    </row>
    <row r="37" spans="1:4" s="5" customFormat="1" ht="42.6" thickBot="1" x14ac:dyDescent="0.45">
      <c r="A37" s="19" t="s">
        <v>37</v>
      </c>
      <c r="B37" s="12">
        <v>10</v>
      </c>
      <c r="C37" s="13" t="s">
        <v>22</v>
      </c>
      <c r="D37" s="14" t="s">
        <v>31</v>
      </c>
    </row>
    <row r="38" spans="1:4" s="6" customFormat="1" ht="21.6" thickBot="1" x14ac:dyDescent="0.45">
      <c r="A38" s="15" t="s">
        <v>38</v>
      </c>
      <c r="B38" s="16">
        <v>1000</v>
      </c>
      <c r="C38" s="17" t="s">
        <v>15</v>
      </c>
      <c r="D38" s="18" t="s">
        <v>39</v>
      </c>
    </row>
    <row r="39" spans="1:4" ht="21.6" thickBot="1" x14ac:dyDescent="0.45">
      <c r="A39" s="21"/>
      <c r="B39" s="22"/>
      <c r="C39" s="23"/>
      <c r="D39" s="23"/>
    </row>
    <row r="40" spans="1:4" ht="21.6" thickBot="1" x14ac:dyDescent="0.45">
      <c r="A40" s="162" t="s">
        <v>40</v>
      </c>
      <c r="B40" s="163"/>
      <c r="C40" s="163"/>
      <c r="D40" s="164"/>
    </row>
    <row r="41" spans="1:4" ht="21.6" thickBot="1" x14ac:dyDescent="0.45">
      <c r="A41" s="24" t="s">
        <v>41</v>
      </c>
      <c r="B41" s="25">
        <v>30</v>
      </c>
      <c r="C41" s="26" t="s">
        <v>42</v>
      </c>
      <c r="D41" s="27"/>
    </row>
    <row r="42" spans="1:4" ht="21.6" thickBot="1" x14ac:dyDescent="0.45">
      <c r="A42" s="20" t="s">
        <v>43</v>
      </c>
      <c r="B42" s="16">
        <v>50</v>
      </c>
      <c r="C42" s="17" t="s">
        <v>42</v>
      </c>
      <c r="D42" s="18"/>
    </row>
    <row r="43" spans="1:4" ht="31.95" customHeight="1" x14ac:dyDescent="0.4">
      <c r="A43" s="21"/>
      <c r="B43" s="22"/>
      <c r="C43" s="23"/>
      <c r="D43" s="23"/>
    </row>
  </sheetData>
  <mergeCells count="5">
    <mergeCell ref="A1:D1"/>
    <mergeCell ref="A14:D14"/>
    <mergeCell ref="A23:D23"/>
    <mergeCell ref="A31:D31"/>
    <mergeCell ref="A40:D4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AEDD-823E-4252-A0CD-0DD60615E31B}">
  <sheetPr>
    <pageSetUpPr fitToPage="1"/>
  </sheetPr>
  <dimension ref="A1:J28"/>
  <sheetViews>
    <sheetView topLeftCell="D1" workbookViewId="0">
      <selection activeCell="D29" sqref="A29:XFD1048576"/>
    </sheetView>
  </sheetViews>
  <sheetFormatPr defaultColWidth="0" defaultRowHeight="21" zeroHeight="1" x14ac:dyDescent="0.4"/>
  <cols>
    <col min="1" max="3" width="8.7109375" customWidth="1"/>
    <col min="4" max="4" width="18.7109375" bestFit="1" customWidth="1"/>
    <col min="5" max="5" width="11.92578125" bestFit="1" customWidth="1"/>
    <col min="6" max="6" width="13.640625" bestFit="1" customWidth="1"/>
    <col min="7" max="10" width="8.7109375" customWidth="1"/>
    <col min="11" max="16384" width="8.7109375" hidden="1"/>
  </cols>
  <sheetData>
    <row r="1" spans="1:9" x14ac:dyDescent="0.4">
      <c r="A1" s="166" t="s">
        <v>44</v>
      </c>
      <c r="B1" s="166"/>
      <c r="C1" s="166"/>
    </row>
    <row r="2" spans="1:9" x14ac:dyDescent="0.4">
      <c r="A2" t="s">
        <v>45</v>
      </c>
      <c r="B2">
        <v>900</v>
      </c>
      <c r="C2" t="s">
        <v>46</v>
      </c>
    </row>
    <row r="3" spans="1:9" x14ac:dyDescent="0.4">
      <c r="A3" t="s">
        <v>47</v>
      </c>
      <c r="B3">
        <v>650</v>
      </c>
      <c r="C3" t="s">
        <v>46</v>
      </c>
    </row>
    <row r="4" spans="1:9" x14ac:dyDescent="0.4">
      <c r="A4" t="s">
        <v>48</v>
      </c>
      <c r="B4">
        <v>1130</v>
      </c>
      <c r="C4" t="s">
        <v>46</v>
      </c>
    </row>
    <row r="5" spans="1:9" x14ac:dyDescent="0.4">
      <c r="A5" t="s">
        <v>49</v>
      </c>
      <c r="B5">
        <f>PRODUCT(B2:B4)</f>
        <v>661050000</v>
      </c>
      <c r="C5" t="s">
        <v>50</v>
      </c>
    </row>
    <row r="6" spans="1:9" x14ac:dyDescent="0.4">
      <c r="A6" s="167" t="s">
        <v>51</v>
      </c>
      <c r="B6" s="167"/>
      <c r="C6" s="167"/>
      <c r="D6" s="167" t="s">
        <v>52</v>
      </c>
      <c r="E6" s="167"/>
      <c r="F6" s="167"/>
      <c r="G6" s="167"/>
      <c r="H6" s="167"/>
      <c r="I6" s="167"/>
    </row>
    <row r="7" spans="1:9" x14ac:dyDescent="0.4">
      <c r="A7" t="s">
        <v>53</v>
      </c>
      <c r="B7">
        <f>153</f>
        <v>153</v>
      </c>
      <c r="C7" t="s">
        <v>46</v>
      </c>
      <c r="D7" t="s">
        <v>54</v>
      </c>
      <c r="E7">
        <f>B5/E8</f>
        <v>15739285.714285715</v>
      </c>
      <c r="F7" t="s">
        <v>50</v>
      </c>
    </row>
    <row r="8" spans="1:9" x14ac:dyDescent="0.4">
      <c r="A8" t="s">
        <v>55</v>
      </c>
      <c r="B8">
        <v>153</v>
      </c>
      <c r="C8" t="s">
        <v>46</v>
      </c>
      <c r="D8" t="s">
        <v>56</v>
      </c>
      <c r="E8">
        <f>ROUNDUP(B11/6,0)</f>
        <v>42</v>
      </c>
    </row>
    <row r="9" spans="1:9" x14ac:dyDescent="0.4">
      <c r="A9" t="s">
        <v>57</v>
      </c>
      <c r="B9">
        <v>120</v>
      </c>
      <c r="C9" t="s">
        <v>46</v>
      </c>
      <c r="D9" t="s">
        <v>53</v>
      </c>
      <c r="E9">
        <f>B7*3+H9</f>
        <v>459</v>
      </c>
      <c r="F9" t="s">
        <v>46</v>
      </c>
      <c r="G9" t="s">
        <v>58</v>
      </c>
      <c r="H9">
        <v>0</v>
      </c>
      <c r="I9" t="s">
        <v>46</v>
      </c>
    </row>
    <row r="10" spans="1:9" x14ac:dyDescent="0.4">
      <c r="A10" t="s">
        <v>49</v>
      </c>
      <c r="B10">
        <f>PRODUCT(B7:B9)</f>
        <v>2809080</v>
      </c>
      <c r="C10" t="s">
        <v>50</v>
      </c>
      <c r="D10" t="s">
        <v>55</v>
      </c>
      <c r="E10">
        <f>B8*2+H10</f>
        <v>306</v>
      </c>
      <c r="F10" t="s">
        <v>46</v>
      </c>
      <c r="G10" t="s">
        <v>58</v>
      </c>
      <c r="H10">
        <v>0</v>
      </c>
      <c r="I10" t="s">
        <v>46</v>
      </c>
    </row>
    <row r="11" spans="1:9" x14ac:dyDescent="0.4">
      <c r="A11" t="s">
        <v>56</v>
      </c>
      <c r="B11">
        <f>Dati!B9</f>
        <v>250</v>
      </c>
      <c r="D11" t="s">
        <v>57</v>
      </c>
      <c r="E11">
        <f>B9+H11</f>
        <v>120</v>
      </c>
      <c r="F11" t="s">
        <v>46</v>
      </c>
      <c r="G11" t="s">
        <v>58</v>
      </c>
      <c r="H11">
        <v>0</v>
      </c>
      <c r="I11" t="s">
        <v>46</v>
      </c>
    </row>
    <row r="12" spans="1:9" x14ac:dyDescent="0.4">
      <c r="D12" t="s">
        <v>59</v>
      </c>
      <c r="E12">
        <f>PRODUCT(E9:E11)</f>
        <v>16854480</v>
      </c>
    </row>
    <row r="13" spans="1:9" x14ac:dyDescent="0.4">
      <c r="D13" t="s">
        <v>60</v>
      </c>
      <c r="E13" s="40">
        <f>E7/E12-1</f>
        <v>-6.6166045212565749E-2</v>
      </c>
    </row>
    <row r="14" spans="1:9" x14ac:dyDescent="0.4">
      <c r="D14" t="s">
        <v>61</v>
      </c>
      <c r="E14">
        <f>ROUNDDOWN(B2/E10,0)</f>
        <v>2</v>
      </c>
      <c r="F14" s="165" t="s">
        <v>62</v>
      </c>
      <c r="G14" s="165">
        <f>E14*E15*E16</f>
        <v>20</v>
      </c>
    </row>
    <row r="15" spans="1:9" x14ac:dyDescent="0.4">
      <c r="D15" t="s">
        <v>63</v>
      </c>
      <c r="E15">
        <f>ROUNDDOWN(B4/E9,0)</f>
        <v>2</v>
      </c>
      <c r="F15" s="165"/>
      <c r="G15" s="165"/>
    </row>
    <row r="16" spans="1:9" x14ac:dyDescent="0.4">
      <c r="D16" t="s">
        <v>64</v>
      </c>
      <c r="E16">
        <f>ROUNDDOWN(B3/E11,0)</f>
        <v>5</v>
      </c>
      <c r="F16" s="165"/>
      <c r="G16" s="165"/>
    </row>
    <row r="17" spans="1:9" x14ac:dyDescent="0.4">
      <c r="A17" s="168" t="s">
        <v>65</v>
      </c>
      <c r="B17" s="168"/>
      <c r="C17" s="168"/>
      <c r="D17" s="168" t="s">
        <v>52</v>
      </c>
      <c r="E17" s="168"/>
      <c r="F17" s="168"/>
      <c r="G17" s="168"/>
      <c r="H17" s="168"/>
      <c r="I17" s="168"/>
    </row>
    <row r="18" spans="1:9" x14ac:dyDescent="0.4">
      <c r="A18" t="s">
        <v>53</v>
      </c>
      <c r="B18">
        <v>76</v>
      </c>
      <c r="C18" t="s">
        <v>46</v>
      </c>
      <c r="D18" t="s">
        <v>54</v>
      </c>
      <c r="E18">
        <f>B5/E19</f>
        <v>3958383.233532934</v>
      </c>
      <c r="F18" t="s">
        <v>50</v>
      </c>
    </row>
    <row r="19" spans="1:9" x14ac:dyDescent="0.4">
      <c r="A19" t="s">
        <v>55</v>
      </c>
      <c r="B19">
        <v>138</v>
      </c>
      <c r="C19" t="s">
        <v>46</v>
      </c>
      <c r="D19" t="s">
        <v>56</v>
      </c>
      <c r="E19">
        <f>ROUNDUP(B22/6,0)</f>
        <v>167</v>
      </c>
    </row>
    <row r="20" spans="1:9" x14ac:dyDescent="0.4">
      <c r="A20" t="s">
        <v>57</v>
      </c>
      <c r="B20">
        <v>44</v>
      </c>
      <c r="C20" t="s">
        <v>46</v>
      </c>
      <c r="D20" t="s">
        <v>53</v>
      </c>
      <c r="E20">
        <f>B18*2+H20</f>
        <v>156</v>
      </c>
      <c r="F20" t="s">
        <v>46</v>
      </c>
      <c r="G20" t="s">
        <v>58</v>
      </c>
      <c r="H20">
        <f>1*4</f>
        <v>4</v>
      </c>
      <c r="I20" t="s">
        <v>46</v>
      </c>
    </row>
    <row r="21" spans="1:9" x14ac:dyDescent="0.4">
      <c r="A21" t="s">
        <v>49</v>
      </c>
      <c r="B21">
        <f>PRODUCT(B18:B20)</f>
        <v>461472</v>
      </c>
      <c r="C21" t="s">
        <v>50</v>
      </c>
      <c r="D21" t="s">
        <v>55</v>
      </c>
      <c r="E21">
        <f>B19+H21</f>
        <v>140</v>
      </c>
      <c r="F21" t="s">
        <v>46</v>
      </c>
      <c r="G21" t="s">
        <v>58</v>
      </c>
      <c r="H21">
        <f>1*2</f>
        <v>2</v>
      </c>
      <c r="I21" t="s">
        <v>46</v>
      </c>
    </row>
    <row r="22" spans="1:9" x14ac:dyDescent="0.4">
      <c r="A22" t="s">
        <v>56</v>
      </c>
      <c r="B22">
        <f>Dati!B10</f>
        <v>1000</v>
      </c>
      <c r="D22" t="s">
        <v>57</v>
      </c>
      <c r="E22">
        <f>B20*3+H22</f>
        <v>137</v>
      </c>
      <c r="F22" t="s">
        <v>46</v>
      </c>
      <c r="G22" t="s">
        <v>58</v>
      </c>
      <c r="H22">
        <f>1*5</f>
        <v>5</v>
      </c>
      <c r="I22" t="s">
        <v>46</v>
      </c>
    </row>
    <row r="23" spans="1:9" x14ac:dyDescent="0.4">
      <c r="D23" t="s">
        <v>59</v>
      </c>
      <c r="E23">
        <f>PRODUCT(E20:E22)</f>
        <v>2992080</v>
      </c>
    </row>
    <row r="24" spans="1:9" x14ac:dyDescent="0.4">
      <c r="D24" t="s">
        <v>60</v>
      </c>
      <c r="E24" s="40">
        <f>E18/E23-1</f>
        <v>0.32295367554775734</v>
      </c>
    </row>
    <row r="25" spans="1:9" x14ac:dyDescent="0.4">
      <c r="D25" t="s">
        <v>61</v>
      </c>
      <c r="E25">
        <f>ROUNDDOWN(B2/E20,0)</f>
        <v>5</v>
      </c>
      <c r="F25" s="165" t="s">
        <v>62</v>
      </c>
      <c r="G25" s="165">
        <f>E25*E26*E27</f>
        <v>160</v>
      </c>
    </row>
    <row r="26" spans="1:9" x14ac:dyDescent="0.4">
      <c r="D26" t="s">
        <v>63</v>
      </c>
      <c r="E26">
        <f>ROUNDDOWN(B4/E22,0)</f>
        <v>8</v>
      </c>
      <c r="F26" s="165"/>
      <c r="G26" s="165"/>
    </row>
    <row r="27" spans="1:9" x14ac:dyDescent="0.4">
      <c r="D27" t="s">
        <v>64</v>
      </c>
      <c r="E27">
        <f>ROUNDDOWN(B3/E21,0)</f>
        <v>4</v>
      </c>
      <c r="F27" s="165"/>
      <c r="G27" s="165"/>
    </row>
    <row r="28" spans="1:9" x14ac:dyDescent="0.4"/>
  </sheetData>
  <mergeCells count="9">
    <mergeCell ref="F25:F27"/>
    <mergeCell ref="G25:G27"/>
    <mergeCell ref="A1:C1"/>
    <mergeCell ref="A6:C6"/>
    <mergeCell ref="A17:C17"/>
    <mergeCell ref="D6:I6"/>
    <mergeCell ref="D17:I17"/>
    <mergeCell ref="F14:F16"/>
    <mergeCell ref="G14:G16"/>
  </mergeCells>
  <conditionalFormatting sqref="E12">
    <cfRule type="cellIs" dxfId="27" priority="1" operator="greaterThan">
      <formula>$E$7</formula>
    </cfRule>
  </conditionalFormatting>
  <conditionalFormatting sqref="E23">
    <cfRule type="cellIs" dxfId="26" priority="2" operator="greaterThan">
      <formula>$E$18</formula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386B-0948-440B-AE39-2A59A1DA971A}">
  <dimension ref="A1:F17"/>
  <sheetViews>
    <sheetView workbookViewId="0">
      <selection activeCell="G1" sqref="G1:I1048576"/>
    </sheetView>
  </sheetViews>
  <sheetFormatPr defaultColWidth="0" defaultRowHeight="21" zeroHeight="1" x14ac:dyDescent="0.4"/>
  <cols>
    <col min="1" max="1" width="31.35546875" bestFit="1" customWidth="1"/>
    <col min="2" max="6" width="8.7109375" customWidth="1"/>
    <col min="7" max="9" width="8.7109375" hidden="1" customWidth="1"/>
    <col min="10" max="16384" width="8.7109375" hidden="1"/>
  </cols>
  <sheetData>
    <row r="1" spans="1:3" x14ac:dyDescent="0.4"/>
    <row r="2" spans="1:3" x14ac:dyDescent="0.4">
      <c r="A2" t="s">
        <v>66</v>
      </c>
      <c r="B2" s="31">
        <v>0.99990000000000001</v>
      </c>
    </row>
    <row r="3" spans="1:3" x14ac:dyDescent="0.4">
      <c r="A3" t="s">
        <v>67</v>
      </c>
      <c r="B3" s="30">
        <v>0.96</v>
      </c>
    </row>
    <row r="4" spans="1:3" x14ac:dyDescent="0.4">
      <c r="A4" t="s">
        <v>68</v>
      </c>
      <c r="B4">
        <f>ppm_M1*0.75</f>
        <v>15000</v>
      </c>
      <c r="C4" s="30">
        <f>B4/1000000</f>
        <v>1.4999999999999999E-2</v>
      </c>
    </row>
    <row r="5" spans="1:3" x14ac:dyDescent="0.4">
      <c r="A5" t="s">
        <v>69</v>
      </c>
      <c r="B5">
        <f>ppm_M2*0.75</f>
        <v>750</v>
      </c>
      <c r="C5" s="30">
        <f>B5/1000000</f>
        <v>7.5000000000000002E-4</v>
      </c>
    </row>
    <row r="6" spans="1:3" x14ac:dyDescent="0.4">
      <c r="A6" t="s">
        <v>70</v>
      </c>
      <c r="B6" s="39">
        <v>0.1</v>
      </c>
    </row>
    <row r="7" spans="1:3" x14ac:dyDescent="0.4"/>
    <row r="8" spans="1:3" x14ac:dyDescent="0.4"/>
    <row r="9" spans="1:3" x14ac:dyDescent="0.4">
      <c r="A9" t="s">
        <v>71</v>
      </c>
      <c r="B9">
        <v>4</v>
      </c>
      <c r="C9" t="s">
        <v>22</v>
      </c>
    </row>
    <row r="10" spans="1:3" x14ac:dyDescent="0.4">
      <c r="A10" t="s">
        <v>72</v>
      </c>
      <c r="B10">
        <v>3</v>
      </c>
      <c r="C10" t="s">
        <v>22</v>
      </c>
    </row>
    <row r="11" spans="1:3" x14ac:dyDescent="0.4">
      <c r="A11" t="s">
        <v>73</v>
      </c>
      <c r="B11">
        <v>1</v>
      </c>
      <c r="C11" t="s">
        <v>22</v>
      </c>
    </row>
    <row r="12" spans="1:3" x14ac:dyDescent="0.4"/>
    <row r="13" spans="1:3" x14ac:dyDescent="0.4">
      <c r="A13" t="s">
        <v>74</v>
      </c>
      <c r="B13" t="s">
        <v>75</v>
      </c>
    </row>
    <row r="14" spans="1:3" x14ac:dyDescent="0.4">
      <c r="A14" t="s">
        <v>76</v>
      </c>
      <c r="B14">
        <v>7000</v>
      </c>
    </row>
    <row r="15" spans="1:3" x14ac:dyDescent="0.4">
      <c r="A15" t="s">
        <v>77</v>
      </c>
      <c r="B15">
        <v>4000</v>
      </c>
    </row>
    <row r="16" spans="1:3" x14ac:dyDescent="0.4">
      <c r="A16" t="s">
        <v>78</v>
      </c>
      <c r="B16">
        <v>500</v>
      </c>
    </row>
    <row r="17" x14ac:dyDescent="0.4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8B7-6454-4E5D-9F50-D810CD699701}">
  <dimension ref="A2:V170"/>
  <sheetViews>
    <sheetView topLeftCell="A49" zoomScale="60" zoomScaleNormal="60" workbookViewId="0">
      <selection activeCell="H78" sqref="H78"/>
    </sheetView>
  </sheetViews>
  <sheetFormatPr defaultRowHeight="21" x14ac:dyDescent="0.4"/>
  <cols>
    <col min="1" max="1" width="14.640625" bestFit="1" customWidth="1"/>
    <col min="2" max="2" width="15.7109375" bestFit="1" customWidth="1"/>
    <col min="3" max="3" width="8.7109375" bestFit="1" customWidth="1"/>
    <col min="4" max="4" width="23.2109375" bestFit="1" customWidth="1"/>
    <col min="6" max="6" width="10.42578125" bestFit="1" customWidth="1"/>
    <col min="7" max="7" width="18" bestFit="1" customWidth="1"/>
    <col min="8" max="8" width="25" customWidth="1"/>
    <col min="9" max="9" width="6.7109375" bestFit="1" customWidth="1"/>
    <col min="10" max="10" width="45.28515625" bestFit="1" customWidth="1"/>
    <col min="12" max="12" width="28.640625" bestFit="1" customWidth="1"/>
    <col min="14" max="14" width="2.2109375" bestFit="1" customWidth="1"/>
    <col min="16" max="16" width="28.2109375" bestFit="1" customWidth="1"/>
    <col min="17" max="17" width="11.7109375" bestFit="1" customWidth="1"/>
    <col min="18" max="18" width="5.78515625" bestFit="1" customWidth="1"/>
    <col min="20" max="20" width="19.28515625" bestFit="1" customWidth="1"/>
  </cols>
  <sheetData>
    <row r="2" spans="1:22" ht="21.6" thickBot="1" x14ac:dyDescent="0.45"/>
    <row r="3" spans="1:22" x14ac:dyDescent="0.4">
      <c r="A3" s="181" t="s">
        <v>79</v>
      </c>
      <c r="B3" s="182"/>
      <c r="C3" s="182"/>
      <c r="D3" s="178" t="s">
        <v>80</v>
      </c>
      <c r="E3" s="179"/>
      <c r="F3" s="180"/>
      <c r="H3" s="183" t="s">
        <v>81</v>
      </c>
      <c r="I3" s="184"/>
      <c r="J3" s="185"/>
      <c r="L3" s="191" t="s">
        <v>82</v>
      </c>
      <c r="M3" s="192"/>
      <c r="N3" s="193"/>
      <c r="P3" s="188" t="s">
        <v>83</v>
      </c>
      <c r="Q3" s="189"/>
      <c r="R3" s="190"/>
      <c r="T3" s="175" t="s">
        <v>84</v>
      </c>
      <c r="U3" s="176"/>
      <c r="V3" s="177"/>
    </row>
    <row r="4" spans="1:22" x14ac:dyDescent="0.4">
      <c r="A4" s="107" t="s">
        <v>85</v>
      </c>
      <c r="B4">
        <f>ore_turno/pezzi_turno*3600</f>
        <v>96</v>
      </c>
      <c r="C4" t="s">
        <v>86</v>
      </c>
      <c r="D4" s="107" t="s">
        <v>85</v>
      </c>
      <c r="E4" cm="1">
        <f t="array" ref="E4">TT_op</f>
        <v>96</v>
      </c>
      <c r="F4" s="108" t="s">
        <v>86</v>
      </c>
      <c r="H4" s="107" t="s">
        <v>87</v>
      </c>
      <c r="I4">
        <v>2</v>
      </c>
      <c r="J4" s="108"/>
      <c r="L4" s="107" t="s">
        <v>88</v>
      </c>
      <c r="M4">
        <v>0.04</v>
      </c>
      <c r="N4" s="108"/>
      <c r="P4" s="107" t="s">
        <v>89</v>
      </c>
      <c r="Q4">
        <v>473</v>
      </c>
      <c r="R4" s="108" t="s">
        <v>46</v>
      </c>
      <c r="T4" s="107" t="s">
        <v>90</v>
      </c>
      <c r="U4" cm="1">
        <f t="array" ref="U4">_xlfn.CEILING.MATH(8*3600/Tc_r*(1-Q_r))</f>
        <v>8</v>
      </c>
      <c r="V4" s="108" t="s">
        <v>7</v>
      </c>
    </row>
    <row r="5" spans="1:22" x14ac:dyDescent="0.4">
      <c r="A5" s="107" t="s">
        <v>91</v>
      </c>
      <c r="B5" s="109">
        <f>(1-ppm_M1/1000000)*(1-ppm_M2/1000000)</f>
        <v>0.97902</v>
      </c>
      <c r="D5" s="107" t="s">
        <v>91</v>
      </c>
      <c r="E5" s="116" cm="1">
        <f t="array" ref="E5">(1-ppm_M1_r/1000000)*(1-ppm_M2_r/1000000)</f>
        <v>0.98426124999999998</v>
      </c>
      <c r="F5" s="108"/>
      <c r="H5" s="107" t="s">
        <v>92</v>
      </c>
      <c r="I5">
        <f>I11</f>
        <v>0.32</v>
      </c>
      <c r="J5" s="108"/>
      <c r="L5" s="107" t="s">
        <v>93</v>
      </c>
      <c r="M5">
        <v>9.090245716246713</v>
      </c>
      <c r="N5" s="108" t="s">
        <v>94</v>
      </c>
      <c r="P5" s="107" t="s">
        <v>95</v>
      </c>
      <c r="Q5">
        <v>180</v>
      </c>
      <c r="R5" s="108" t="s">
        <v>46</v>
      </c>
      <c r="T5" s="107" t="s">
        <v>96</v>
      </c>
      <c r="U5">
        <f>MAX(Pezzi!B10,Pezzi!B21)*U4-1.3</f>
        <v>22472638.699999999</v>
      </c>
      <c r="V5" s="108" t="s">
        <v>50</v>
      </c>
    </row>
    <row r="6" spans="1:22" x14ac:dyDescent="0.4">
      <c r="A6" s="107" t="s">
        <v>97</v>
      </c>
      <c r="B6" s="109">
        <f>(giorni_anno*turni*ore_turno-(manutenzione+guasti))/(giorni_anno*turni*ore_turno)</f>
        <v>0.97727272727272729</v>
      </c>
      <c r="D6" s="107" t="s">
        <v>97</v>
      </c>
      <c r="E6" s="109">
        <f>(giorni_anno*turni*ore_turno-(manutenzione+guasti))/(giorni_anno*turni*ore_turno)*Eff_r*Eff_r</f>
        <v>0.97707728250000003</v>
      </c>
      <c r="F6" s="108"/>
      <c r="H6" s="107" t="s">
        <v>98</v>
      </c>
      <c r="I6">
        <v>9.81</v>
      </c>
      <c r="J6" s="108" t="s">
        <v>99</v>
      </c>
      <c r="L6" s="107" t="s">
        <v>100</v>
      </c>
      <c r="M6">
        <f>MIN(Dati!B11:B12)*I6*COS(M5/180*PI())*M4</f>
        <v>0.30997739018255394</v>
      </c>
      <c r="N6" s="108" t="s">
        <v>101</v>
      </c>
      <c r="P6" s="107" t="s">
        <v>102</v>
      </c>
      <c r="Q6">
        <v>150</v>
      </c>
      <c r="R6" s="108" t="s">
        <v>46</v>
      </c>
      <c r="T6" s="107" t="s">
        <v>103</v>
      </c>
      <c r="U6">
        <v>230</v>
      </c>
      <c r="V6" s="108" t="s">
        <v>46</v>
      </c>
    </row>
    <row r="7" spans="1:22" x14ac:dyDescent="0.4">
      <c r="A7" s="107" t="s">
        <v>104</v>
      </c>
      <c r="B7" s="109">
        <f>Eff_M1*Eff_M2*Eff_Q*Eff_op*(turni*giorni_anno*8*B6-turni*giorni_anno*pausa_turno/60)/(turni*giorni_anno*8*B6)</f>
        <v>0.83735343627906955</v>
      </c>
      <c r="D7" s="107" t="s">
        <v>104</v>
      </c>
      <c r="E7" s="109">
        <f>Eff_M1*Eff_M2*Eff_Q</f>
        <v>0.9110879999999999</v>
      </c>
      <c r="F7" s="108"/>
      <c r="H7" s="107" t="s">
        <v>105</v>
      </c>
      <c r="I7" s="117">
        <v>35</v>
      </c>
      <c r="J7" s="108" t="s">
        <v>106</v>
      </c>
      <c r="L7" s="107" t="s">
        <v>107</v>
      </c>
      <c r="M7">
        <f>MIN(Dati!B11:B12)*I6*SIN(M5/180*PI())</f>
        <v>1.2399052321681561</v>
      </c>
      <c r="N7" s="108" t="s">
        <v>101</v>
      </c>
      <c r="P7" s="107" t="s">
        <v>108</v>
      </c>
      <c r="Q7">
        <v>660</v>
      </c>
      <c r="R7" s="108" t="s">
        <v>46</v>
      </c>
      <c r="T7" s="107" t="s">
        <v>109</v>
      </c>
      <c r="U7">
        <v>345</v>
      </c>
      <c r="V7" s="108" t="s">
        <v>46</v>
      </c>
    </row>
    <row r="8" spans="1:22" ht="21.6" thickBot="1" x14ac:dyDescent="0.45">
      <c r="A8" s="107" t="s">
        <v>110</v>
      </c>
      <c r="B8" s="109">
        <f>B5*B6*B7</f>
        <v>0.80115426661352707</v>
      </c>
      <c r="D8" s="107" t="s">
        <v>110</v>
      </c>
      <c r="E8" s="109">
        <f>E5*E6*E7</f>
        <v>0.87619269859872129</v>
      </c>
      <c r="F8" s="108"/>
      <c r="H8" s="107" t="s">
        <v>111</v>
      </c>
      <c r="I8">
        <v>2</v>
      </c>
      <c r="J8" s="108"/>
      <c r="L8" s="113" t="s">
        <v>111</v>
      </c>
      <c r="M8" s="44">
        <f>M7/M6</f>
        <v>3.9999860358781101</v>
      </c>
      <c r="N8" s="115"/>
      <c r="P8" s="107" t="s">
        <v>112</v>
      </c>
      <c r="Q8">
        <v>600</v>
      </c>
      <c r="R8" s="108" t="s">
        <v>46</v>
      </c>
      <c r="T8" s="107" t="s">
        <v>113</v>
      </c>
      <c r="U8">
        <v>263</v>
      </c>
      <c r="V8" s="108" t="s">
        <v>46</v>
      </c>
    </row>
    <row r="9" spans="1:22" x14ac:dyDescent="0.4">
      <c r="A9" s="107" t="s">
        <v>114</v>
      </c>
      <c r="B9" s="110">
        <f>B4*B8</f>
        <v>76.910809594898595</v>
      </c>
      <c r="C9" t="s">
        <v>86</v>
      </c>
      <c r="D9" s="107" t="s">
        <v>114</v>
      </c>
      <c r="E9" s="110">
        <f>TT_rob_base*$E$8</f>
        <v>84.114499065477247</v>
      </c>
      <c r="F9" s="108" t="s">
        <v>86</v>
      </c>
      <c r="H9" s="107" t="s">
        <v>115</v>
      </c>
      <c r="I9" s="117">
        <f>MAX(Dati!B11:B12)*(I6+I7)/(I5*I4)*I8</f>
        <v>560.125</v>
      </c>
      <c r="J9" s="108" t="s">
        <v>101</v>
      </c>
      <c r="P9" s="107" t="s">
        <v>116</v>
      </c>
      <c r="Q9">
        <v>5000</v>
      </c>
      <c r="R9" s="108" t="s">
        <v>46</v>
      </c>
      <c r="T9" s="107" t="s">
        <v>117</v>
      </c>
      <c r="U9">
        <f>PRODUCT(U6:U8)</f>
        <v>20869050</v>
      </c>
      <c r="V9" s="108" t="s">
        <v>50</v>
      </c>
    </row>
    <row r="10" spans="1:22" ht="21.6" thickBot="1" x14ac:dyDescent="0.45">
      <c r="A10" s="107" t="s">
        <v>118</v>
      </c>
      <c r="B10" s="110" cm="1">
        <f t="array" ref="B10">1/Tc_op*3600</f>
        <v>48</v>
      </c>
      <c r="C10" t="s">
        <v>119</v>
      </c>
      <c r="D10" s="107"/>
      <c r="F10" s="108"/>
      <c r="H10" s="107"/>
      <c r="J10" s="108"/>
      <c r="P10" s="107" t="s">
        <v>88</v>
      </c>
      <c r="Q10" s="118">
        <v>2E-3</v>
      </c>
      <c r="R10" s="108"/>
      <c r="T10" s="113" t="s">
        <v>111</v>
      </c>
      <c r="U10" s="44">
        <f>U9/U5</f>
        <v>0.9286426164097944</v>
      </c>
      <c r="V10" s="115"/>
    </row>
    <row r="11" spans="1:22" x14ac:dyDescent="0.4">
      <c r="A11" s="107" t="s">
        <v>120</v>
      </c>
      <c r="B11" s="111">
        <f>1*B10</f>
        <v>48</v>
      </c>
      <c r="C11" t="s">
        <v>119</v>
      </c>
      <c r="D11" s="107" t="s">
        <v>121</v>
      </c>
      <c r="E11" s="117">
        <f>ore_turno/pezzi_turno*3600/(1+Assunzioni!B6)</f>
        <v>87.272727272727266</v>
      </c>
      <c r="F11" s="108" t="s">
        <v>86</v>
      </c>
      <c r="H11" s="107" t="s">
        <v>122</v>
      </c>
      <c r="I11">
        <v>0.32</v>
      </c>
      <c r="J11" s="186" t="s">
        <v>123</v>
      </c>
      <c r="P11" s="107" t="s">
        <v>93</v>
      </c>
      <c r="Q11">
        <v>0.229182201505022</v>
      </c>
      <c r="R11" s="108" t="s">
        <v>94</v>
      </c>
    </row>
    <row r="12" spans="1:22" ht="21.6" thickBot="1" x14ac:dyDescent="0.45">
      <c r="A12" s="107" t="s">
        <v>124</v>
      </c>
      <c r="B12" s="112" cm="1">
        <f t="array" ref="B12">Tm_M1/Tc_op</f>
        <v>0.53333333333333333</v>
      </c>
      <c r="D12" s="107" t="s">
        <v>125</v>
      </c>
      <c r="E12" s="110">
        <f>TT_rob_inc_prod*$E$8</f>
        <v>76.467726423161125</v>
      </c>
      <c r="F12" s="108" t="s">
        <v>86</v>
      </c>
      <c r="H12" s="113" t="s">
        <v>126</v>
      </c>
      <c r="I12" s="44">
        <v>0.15</v>
      </c>
      <c r="J12" s="187"/>
      <c r="P12" s="107" t="s">
        <v>100</v>
      </c>
      <c r="Q12">
        <f>Q15*I6*COS(Q11/180*PI())*Q10</f>
        <v>21.326769386072129</v>
      </c>
      <c r="R12" s="108" t="s">
        <v>101</v>
      </c>
    </row>
    <row r="13" spans="1:22" x14ac:dyDescent="0.4">
      <c r="A13" s="107" t="s">
        <v>127</v>
      </c>
      <c r="B13" s="112" cm="1">
        <f t="array" ref="B13">Tm_M2/Tc_op</f>
        <v>0.53333333333333333</v>
      </c>
      <c r="D13" s="107" t="s">
        <v>124</v>
      </c>
      <c r="E13" s="112" cm="1">
        <f t="array" ref="E13">Tm_M1/Tc_r</f>
        <v>0.66666666666666663</v>
      </c>
      <c r="F13" s="108"/>
      <c r="P13" s="107" t="s">
        <v>107</v>
      </c>
      <c r="Q13">
        <f>Q15*I6*SIN(Q11/180*PI())</f>
        <v>42.653595676717174</v>
      </c>
      <c r="R13" s="108" t="s">
        <v>101</v>
      </c>
    </row>
    <row r="14" spans="1:22" ht="21.6" thickBot="1" x14ac:dyDescent="0.45">
      <c r="A14" s="113" t="s">
        <v>128</v>
      </c>
      <c r="B14" s="114" cm="1">
        <f t="array" ref="B14">Tm_Q/Tc_op</f>
        <v>0.50666666666666671</v>
      </c>
      <c r="C14" s="44"/>
      <c r="D14" s="107" t="s">
        <v>127</v>
      </c>
      <c r="E14" s="112" cm="1">
        <f t="array" ref="E14">Tm_M2/Tc_r</f>
        <v>0.66666666666666663</v>
      </c>
      <c r="F14" s="108"/>
      <c r="P14" s="107" t="s">
        <v>111</v>
      </c>
      <c r="Q14">
        <f>Q13/Q12</f>
        <v>2.0000026682228276</v>
      </c>
      <c r="R14" s="108"/>
    </row>
    <row r="15" spans="1:22" x14ac:dyDescent="0.4">
      <c r="D15" s="107" t="s">
        <v>128</v>
      </c>
      <c r="E15" s="112" cm="1">
        <f t="array" ref="E15">Tm_Q/Tc_r</f>
        <v>0.6333333333333333</v>
      </c>
      <c r="F15" s="108"/>
      <c r="P15" s="107" t="s">
        <v>129</v>
      </c>
      <c r="Q15" s="119">
        <v>1087</v>
      </c>
      <c r="R15" s="108" t="s">
        <v>18</v>
      </c>
    </row>
    <row r="16" spans="1:22" x14ac:dyDescent="0.4">
      <c r="D16" s="107" t="s">
        <v>130</v>
      </c>
      <c r="E16">
        <v>60</v>
      </c>
      <c r="F16" s="108" t="s">
        <v>22</v>
      </c>
      <c r="P16" s="107" t="s">
        <v>131</v>
      </c>
      <c r="Q16">
        <v>1200</v>
      </c>
      <c r="R16" s="108" t="s">
        <v>46</v>
      </c>
    </row>
    <row r="17" spans="1:18" x14ac:dyDescent="0.4">
      <c r="D17" s="107" t="s">
        <v>132</v>
      </c>
      <c r="E17" s="39" cm="1">
        <f t="array" ref="E17">Ta_r/Tc_r</f>
        <v>1</v>
      </c>
      <c r="F17" s="108"/>
      <c r="P17" s="107" t="s">
        <v>133</v>
      </c>
      <c r="Q17">
        <f>ATAN2(Q9,Q16-Q7-Q6*1.2*2-Q9*SIN(Q11/180*PI()))/PI()*180</f>
        <v>1.8328410320737663</v>
      </c>
      <c r="R17" s="108" t="s">
        <v>94</v>
      </c>
    </row>
    <row r="18" spans="1:18" ht="21.6" thickBot="1" x14ac:dyDescent="0.45">
      <c r="D18" s="113" t="s">
        <v>134</v>
      </c>
      <c r="E18" s="44" cm="1">
        <f t="array" ref="E18">3600/Tc_r</f>
        <v>60</v>
      </c>
      <c r="F18" s="115" t="s">
        <v>119</v>
      </c>
      <c r="P18" s="107" t="s">
        <v>135</v>
      </c>
      <c r="Q18">
        <f>2500+Q9+500</f>
        <v>8000</v>
      </c>
      <c r="R18" s="108"/>
    </row>
    <row r="19" spans="1:18" x14ac:dyDescent="0.4">
      <c r="P19" s="107" t="s">
        <v>136</v>
      </c>
      <c r="Q19">
        <f>_xlfn.FLOOR.MATH(Q18/Q5)*3</f>
        <v>132</v>
      </c>
      <c r="R19" s="108" t="s">
        <v>137</v>
      </c>
    </row>
    <row r="20" spans="1:18" ht="21.6" thickBot="1" x14ac:dyDescent="0.45">
      <c r="P20" s="107" t="s">
        <v>138</v>
      </c>
      <c r="Q20" cm="1">
        <f t="array" ref="Q20">Q19*Tc_r/3600</f>
        <v>2.2000000000000002</v>
      </c>
      <c r="R20" s="108" t="s">
        <v>3</v>
      </c>
    </row>
    <row r="21" spans="1:18" x14ac:dyDescent="0.4">
      <c r="A21" s="123" t="s">
        <v>139</v>
      </c>
      <c r="B21" s="124" t="s">
        <v>140</v>
      </c>
      <c r="C21" s="124" t="s">
        <v>141</v>
      </c>
      <c r="D21" s="124" t="s">
        <v>142</v>
      </c>
      <c r="E21" s="124" t="s">
        <v>143</v>
      </c>
      <c r="F21" s="124" t="s">
        <v>144</v>
      </c>
      <c r="G21" s="124"/>
      <c r="H21" s="125" t="s">
        <v>145</v>
      </c>
      <c r="I21" s="124"/>
      <c r="J21" s="126"/>
      <c r="P21" s="107" t="s">
        <v>146</v>
      </c>
      <c r="Q21">
        <v>20</v>
      </c>
      <c r="R21" s="108" t="s">
        <v>147</v>
      </c>
    </row>
    <row r="22" spans="1:18" ht="21" customHeight="1" thickBot="1" x14ac:dyDescent="0.45">
      <c r="A22" s="107">
        <v>0</v>
      </c>
      <c r="H22" t="s">
        <v>148</v>
      </c>
      <c r="J22" s="108"/>
      <c r="P22" s="120" t="s">
        <v>149</v>
      </c>
      <c r="Q22" s="121">
        <f>Q21*4</f>
        <v>80</v>
      </c>
      <c r="R22" s="122" t="s">
        <v>147</v>
      </c>
    </row>
    <row r="23" spans="1:18" x14ac:dyDescent="0.4">
      <c r="A23" s="107">
        <v>5</v>
      </c>
      <c r="B23" s="127">
        <v>1</v>
      </c>
      <c r="H23" t="s">
        <v>150</v>
      </c>
      <c r="J23" s="108"/>
      <c r="P23" s="1"/>
      <c r="Q23" s="1"/>
      <c r="R23" s="1"/>
    </row>
    <row r="24" spans="1:18" x14ac:dyDescent="0.4">
      <c r="A24" s="107">
        <v>10</v>
      </c>
      <c r="B24" s="127">
        <v>1</v>
      </c>
      <c r="J24" s="108"/>
      <c r="P24" s="1"/>
      <c r="Q24" s="1"/>
      <c r="R24" s="1"/>
    </row>
    <row r="25" spans="1:18" x14ac:dyDescent="0.4">
      <c r="A25" s="107">
        <v>15</v>
      </c>
      <c r="B25" s="127">
        <v>1</v>
      </c>
      <c r="J25" s="108"/>
      <c r="P25" s="1"/>
      <c r="Q25" s="1"/>
      <c r="R25" s="1"/>
    </row>
    <row r="26" spans="1:18" x14ac:dyDescent="0.4">
      <c r="A26" s="107">
        <v>20</v>
      </c>
      <c r="C26" s="128">
        <v>1</v>
      </c>
      <c r="J26" s="108"/>
      <c r="P26" s="1"/>
      <c r="Q26" s="1"/>
      <c r="R26" s="1"/>
    </row>
    <row r="27" spans="1:18" x14ac:dyDescent="0.4">
      <c r="A27" s="107">
        <v>25</v>
      </c>
      <c r="C27" s="128">
        <v>1</v>
      </c>
      <c r="J27" s="108"/>
      <c r="P27" s="1"/>
      <c r="Q27" s="1"/>
      <c r="R27" s="1"/>
    </row>
    <row r="28" spans="1:18" x14ac:dyDescent="0.4">
      <c r="A28" s="107">
        <v>30</v>
      </c>
      <c r="C28" s="128">
        <v>1</v>
      </c>
      <c r="J28" s="108"/>
    </row>
    <row r="29" spans="1:18" ht="21" customHeight="1" x14ac:dyDescent="0.4">
      <c r="A29" s="107">
        <v>35</v>
      </c>
      <c r="C29" s="128">
        <v>1</v>
      </c>
      <c r="J29" s="108"/>
      <c r="P29" s="1"/>
      <c r="Q29" s="1"/>
      <c r="R29" s="1"/>
    </row>
    <row r="30" spans="1:18" x14ac:dyDescent="0.4">
      <c r="A30" s="107">
        <v>40</v>
      </c>
      <c r="C30" s="128">
        <v>1</v>
      </c>
      <c r="J30" s="108"/>
      <c r="P30" s="1"/>
      <c r="Q30" s="1"/>
      <c r="R30" s="1"/>
    </row>
    <row r="31" spans="1:18" x14ac:dyDescent="0.4">
      <c r="A31" s="107">
        <v>45</v>
      </c>
      <c r="C31" s="128">
        <v>1</v>
      </c>
      <c r="J31" s="108"/>
      <c r="P31" s="1"/>
      <c r="Q31" s="1"/>
      <c r="R31" s="1"/>
    </row>
    <row r="32" spans="1:18" x14ac:dyDescent="0.4">
      <c r="A32" s="107">
        <v>50</v>
      </c>
      <c r="C32" s="128">
        <v>1</v>
      </c>
      <c r="J32" s="108"/>
      <c r="P32" s="1"/>
      <c r="Q32" s="1"/>
      <c r="R32" s="1"/>
    </row>
    <row r="33" spans="1:10" x14ac:dyDescent="0.4">
      <c r="A33" s="107">
        <v>55</v>
      </c>
      <c r="C33" s="128">
        <v>1</v>
      </c>
      <c r="J33" s="108"/>
    </row>
    <row r="34" spans="1:10" x14ac:dyDescent="0.4">
      <c r="A34" s="107">
        <v>60</v>
      </c>
      <c r="B34" s="127">
        <v>1</v>
      </c>
      <c r="J34" s="108"/>
    </row>
    <row r="35" spans="1:10" x14ac:dyDescent="0.4">
      <c r="A35" s="107">
        <v>65</v>
      </c>
      <c r="B35" s="127">
        <v>1</v>
      </c>
      <c r="J35" s="108"/>
    </row>
    <row r="36" spans="1:10" x14ac:dyDescent="0.4">
      <c r="A36" s="107">
        <v>70</v>
      </c>
      <c r="B36" s="32">
        <v>1</v>
      </c>
      <c r="J36" s="108"/>
    </row>
    <row r="37" spans="1:10" ht="21.6" thickBot="1" x14ac:dyDescent="0.45">
      <c r="A37" s="107">
        <v>75</v>
      </c>
      <c r="B37" s="35">
        <v>1</v>
      </c>
      <c r="J37" s="108"/>
    </row>
    <row r="38" spans="1:10" ht="21.6" thickTop="1" x14ac:dyDescent="0.4">
      <c r="A38" s="107">
        <v>80</v>
      </c>
      <c r="B38" s="127">
        <v>2</v>
      </c>
      <c r="D38" s="129">
        <v>1</v>
      </c>
      <c r="J38" s="108"/>
    </row>
    <row r="39" spans="1:10" x14ac:dyDescent="0.4">
      <c r="A39" s="107">
        <v>85</v>
      </c>
      <c r="B39" s="127">
        <v>2</v>
      </c>
      <c r="D39" s="129">
        <v>1</v>
      </c>
      <c r="J39" s="108"/>
    </row>
    <row r="40" spans="1:10" x14ac:dyDescent="0.4">
      <c r="A40" s="107">
        <v>90</v>
      </c>
      <c r="B40" s="127">
        <v>2</v>
      </c>
      <c r="D40" s="129">
        <v>1</v>
      </c>
      <c r="J40" s="108"/>
    </row>
    <row r="41" spans="1:10" x14ac:dyDescent="0.4">
      <c r="A41" s="107">
        <v>95</v>
      </c>
      <c r="C41" s="128">
        <v>2</v>
      </c>
      <c r="D41" s="129">
        <v>1</v>
      </c>
      <c r="J41" s="108"/>
    </row>
    <row r="42" spans="1:10" x14ac:dyDescent="0.4">
      <c r="A42" s="107">
        <v>100</v>
      </c>
      <c r="C42" s="128">
        <v>2</v>
      </c>
      <c r="D42" s="129">
        <v>1</v>
      </c>
      <c r="J42" s="108"/>
    </row>
    <row r="43" spans="1:10" x14ac:dyDescent="0.4">
      <c r="A43" s="107">
        <v>105</v>
      </c>
      <c r="C43" s="128">
        <v>2</v>
      </c>
      <c r="D43" s="129">
        <v>1</v>
      </c>
      <c r="J43" s="108"/>
    </row>
    <row r="44" spans="1:10" x14ac:dyDescent="0.4">
      <c r="A44" s="107">
        <v>110</v>
      </c>
      <c r="C44" s="128">
        <v>2</v>
      </c>
      <c r="D44" s="129">
        <v>1</v>
      </c>
      <c r="J44" s="108"/>
    </row>
    <row r="45" spans="1:10" x14ac:dyDescent="0.4">
      <c r="A45" s="107">
        <v>115</v>
      </c>
      <c r="C45" s="128">
        <v>2</v>
      </c>
      <c r="D45" s="129">
        <v>1</v>
      </c>
      <c r="J45" s="108"/>
    </row>
    <row r="46" spans="1:10" x14ac:dyDescent="0.4">
      <c r="A46" s="107">
        <v>120</v>
      </c>
      <c r="C46" s="128">
        <v>2</v>
      </c>
      <c r="E46" s="130">
        <v>1</v>
      </c>
      <c r="J46" s="108"/>
    </row>
    <row r="47" spans="1:10" x14ac:dyDescent="0.4">
      <c r="A47" s="107">
        <v>125</v>
      </c>
      <c r="C47" s="128">
        <v>2</v>
      </c>
      <c r="E47" s="130">
        <v>1</v>
      </c>
      <c r="J47" s="108"/>
    </row>
    <row r="48" spans="1:10" x14ac:dyDescent="0.4">
      <c r="A48" s="107">
        <v>130</v>
      </c>
      <c r="C48" s="128">
        <v>2</v>
      </c>
      <c r="E48" s="130">
        <v>1</v>
      </c>
      <c r="J48" s="108"/>
    </row>
    <row r="49" spans="1:10" x14ac:dyDescent="0.4">
      <c r="A49" s="107">
        <v>135</v>
      </c>
      <c r="B49" s="127">
        <v>2</v>
      </c>
      <c r="E49" s="34">
        <v>1</v>
      </c>
      <c r="J49" s="108"/>
    </row>
    <row r="50" spans="1:10" x14ac:dyDescent="0.4">
      <c r="A50" s="107">
        <v>140</v>
      </c>
      <c r="B50" s="127">
        <v>2</v>
      </c>
      <c r="F50" s="131">
        <v>1</v>
      </c>
      <c r="J50" s="108"/>
    </row>
    <row r="51" spans="1:10" x14ac:dyDescent="0.4">
      <c r="A51" s="107">
        <v>145</v>
      </c>
      <c r="B51" s="32">
        <v>2</v>
      </c>
      <c r="F51" s="131">
        <v>1</v>
      </c>
      <c r="J51" s="108"/>
    </row>
    <row r="52" spans="1:10" ht="21.6" thickBot="1" x14ac:dyDescent="0.45">
      <c r="A52" s="107">
        <v>150</v>
      </c>
      <c r="B52" s="35">
        <v>2</v>
      </c>
      <c r="F52" s="131">
        <v>1</v>
      </c>
      <c r="J52" s="108"/>
    </row>
    <row r="53" spans="1:10" ht="21.6" thickTop="1" x14ac:dyDescent="0.4">
      <c r="A53" s="107">
        <v>155</v>
      </c>
      <c r="B53" s="127">
        <v>3</v>
      </c>
      <c r="D53" s="129">
        <v>2</v>
      </c>
      <c r="F53" s="131">
        <v>1</v>
      </c>
      <c r="J53" s="108"/>
    </row>
    <row r="54" spans="1:10" x14ac:dyDescent="0.4">
      <c r="A54" s="107">
        <v>160</v>
      </c>
      <c r="B54" s="127">
        <v>3</v>
      </c>
      <c r="D54" s="129">
        <v>2</v>
      </c>
      <c r="F54" s="131">
        <v>1</v>
      </c>
      <c r="J54" s="108"/>
    </row>
    <row r="55" spans="1:10" x14ac:dyDescent="0.4">
      <c r="A55" s="107">
        <v>165</v>
      </c>
      <c r="B55" s="127">
        <v>3</v>
      </c>
      <c r="D55" s="129">
        <v>2</v>
      </c>
      <c r="F55" s="131">
        <v>1</v>
      </c>
      <c r="J55" s="108"/>
    </row>
    <row r="56" spans="1:10" x14ac:dyDescent="0.4">
      <c r="A56" s="107">
        <v>170</v>
      </c>
      <c r="C56" s="128">
        <v>3</v>
      </c>
      <c r="D56" s="129">
        <v>2</v>
      </c>
      <c r="F56" s="131">
        <v>1</v>
      </c>
      <c r="J56" s="108"/>
    </row>
    <row r="57" spans="1:10" x14ac:dyDescent="0.4">
      <c r="A57" s="107">
        <v>175</v>
      </c>
      <c r="C57" s="128">
        <v>3</v>
      </c>
      <c r="D57" s="129">
        <v>2</v>
      </c>
      <c r="F57" s="131">
        <v>1</v>
      </c>
      <c r="J57" s="108"/>
    </row>
    <row r="58" spans="1:10" x14ac:dyDescent="0.4">
      <c r="A58" s="107">
        <v>180</v>
      </c>
      <c r="C58" s="128">
        <v>3</v>
      </c>
      <c r="D58" s="129">
        <v>2</v>
      </c>
      <c r="E58" s="130">
        <v>1</v>
      </c>
      <c r="J58" s="108"/>
    </row>
    <row r="59" spans="1:10" x14ac:dyDescent="0.4">
      <c r="A59" s="107">
        <v>185</v>
      </c>
      <c r="C59" s="128">
        <v>3</v>
      </c>
      <c r="D59" s="129">
        <v>2</v>
      </c>
      <c r="E59" s="130">
        <v>1</v>
      </c>
      <c r="J59" s="108"/>
    </row>
    <row r="60" spans="1:10" ht="21.6" thickBot="1" x14ac:dyDescent="0.45">
      <c r="A60" s="132">
        <v>190</v>
      </c>
      <c r="C60" s="128">
        <v>3</v>
      </c>
      <c r="D60" s="129">
        <v>2</v>
      </c>
      <c r="E60" s="36">
        <v>1</v>
      </c>
      <c r="G60" t="s">
        <v>151</v>
      </c>
      <c r="H60">
        <f>A60</f>
        <v>190</v>
      </c>
      <c r="I60" t="s">
        <v>22</v>
      </c>
      <c r="J60" s="108"/>
    </row>
    <row r="61" spans="1:10" ht="21.6" thickTop="1" x14ac:dyDescent="0.4">
      <c r="A61" s="107">
        <v>195</v>
      </c>
      <c r="C61" s="128">
        <v>3</v>
      </c>
      <c r="E61" s="130">
        <v>2</v>
      </c>
      <c r="J61" s="108"/>
    </row>
    <row r="62" spans="1:10" x14ac:dyDescent="0.4">
      <c r="A62" s="107">
        <v>200</v>
      </c>
      <c r="C62" s="128">
        <v>3</v>
      </c>
      <c r="E62" s="130">
        <v>2</v>
      </c>
      <c r="J62" s="108"/>
    </row>
    <row r="63" spans="1:10" x14ac:dyDescent="0.4">
      <c r="A63" s="107">
        <v>205</v>
      </c>
      <c r="C63" s="128">
        <v>3</v>
      </c>
      <c r="E63" s="33">
        <v>2</v>
      </c>
      <c r="J63" s="108"/>
    </row>
    <row r="64" spans="1:10" x14ac:dyDescent="0.4">
      <c r="A64" s="107">
        <v>210</v>
      </c>
      <c r="B64" s="127">
        <v>3</v>
      </c>
      <c r="E64" s="130">
        <v>2</v>
      </c>
      <c r="J64" s="108"/>
    </row>
    <row r="65" spans="1:10" x14ac:dyDescent="0.4">
      <c r="A65" s="107">
        <v>215</v>
      </c>
      <c r="B65" s="127">
        <v>3</v>
      </c>
      <c r="F65" s="131">
        <v>2</v>
      </c>
      <c r="J65" s="108"/>
    </row>
    <row r="66" spans="1:10" x14ac:dyDescent="0.4">
      <c r="A66" s="107">
        <v>220</v>
      </c>
      <c r="B66" s="32">
        <v>3</v>
      </c>
      <c r="F66" s="131">
        <v>2</v>
      </c>
      <c r="J66" s="108"/>
    </row>
    <row r="67" spans="1:10" ht="21.6" thickBot="1" x14ac:dyDescent="0.45">
      <c r="A67" s="107">
        <v>225</v>
      </c>
      <c r="B67" s="37">
        <v>3</v>
      </c>
      <c r="F67" s="131">
        <v>2</v>
      </c>
      <c r="J67" s="108"/>
    </row>
    <row r="68" spans="1:10" ht="21.6" thickTop="1" x14ac:dyDescent="0.4">
      <c r="A68" s="107">
        <v>230</v>
      </c>
      <c r="B68" s="127">
        <v>4</v>
      </c>
      <c r="D68" s="129">
        <v>2</v>
      </c>
      <c r="F68" s="131">
        <v>2</v>
      </c>
      <c r="J68" s="108"/>
    </row>
    <row r="69" spans="1:10" x14ac:dyDescent="0.4">
      <c r="A69" s="107">
        <v>235</v>
      </c>
      <c r="B69" s="127">
        <v>4</v>
      </c>
      <c r="D69" s="129">
        <v>2</v>
      </c>
      <c r="F69" s="131">
        <v>2</v>
      </c>
      <c r="J69" s="108"/>
    </row>
    <row r="70" spans="1:10" x14ac:dyDescent="0.4">
      <c r="A70" s="107">
        <v>240</v>
      </c>
      <c r="B70" s="127">
        <v>4</v>
      </c>
      <c r="D70" s="129">
        <v>2</v>
      </c>
      <c r="F70" s="131">
        <v>2</v>
      </c>
      <c r="J70" s="108"/>
    </row>
    <row r="71" spans="1:10" x14ac:dyDescent="0.4">
      <c r="A71" s="107">
        <v>245</v>
      </c>
      <c r="C71" s="128">
        <v>4</v>
      </c>
      <c r="D71" s="129">
        <v>2</v>
      </c>
      <c r="F71" s="131">
        <v>2</v>
      </c>
      <c r="J71" s="108"/>
    </row>
    <row r="72" spans="1:10" x14ac:dyDescent="0.4">
      <c r="A72" s="107">
        <v>250</v>
      </c>
      <c r="C72" s="128">
        <v>4</v>
      </c>
      <c r="D72" s="129">
        <v>2</v>
      </c>
      <c r="F72" s="131">
        <v>2</v>
      </c>
      <c r="J72" s="108"/>
    </row>
    <row r="73" spans="1:10" x14ac:dyDescent="0.4">
      <c r="A73" s="107">
        <v>255</v>
      </c>
      <c r="C73" s="128">
        <v>4</v>
      </c>
      <c r="D73" s="129">
        <v>2</v>
      </c>
      <c r="E73" s="130">
        <v>2</v>
      </c>
      <c r="J73" s="108"/>
    </row>
    <row r="74" spans="1:10" x14ac:dyDescent="0.4">
      <c r="A74" s="107">
        <v>260</v>
      </c>
      <c r="C74" s="128">
        <v>4</v>
      </c>
      <c r="D74" s="129">
        <v>2</v>
      </c>
      <c r="E74" s="130">
        <v>2</v>
      </c>
      <c r="J74" s="108"/>
    </row>
    <row r="75" spans="1:10" ht="21.6" thickBot="1" x14ac:dyDescent="0.45">
      <c r="A75" s="132">
        <v>265</v>
      </c>
      <c r="C75" s="128">
        <v>4</v>
      </c>
      <c r="D75" s="129">
        <v>2</v>
      </c>
      <c r="E75" s="36">
        <v>2</v>
      </c>
      <c r="G75" t="s">
        <v>152</v>
      </c>
      <c r="H75">
        <f>A75</f>
        <v>265</v>
      </c>
      <c r="I75" t="s">
        <v>22</v>
      </c>
      <c r="J75" s="108"/>
    </row>
    <row r="76" spans="1:10" ht="21.6" thickTop="1" x14ac:dyDescent="0.4">
      <c r="A76" s="107">
        <v>270</v>
      </c>
      <c r="C76" s="128">
        <v>4</v>
      </c>
      <c r="E76" s="130">
        <v>3</v>
      </c>
      <c r="G76" t="s">
        <v>153</v>
      </c>
      <c r="H76">
        <f>H75-H60</f>
        <v>75</v>
      </c>
      <c r="I76" t="s">
        <v>22</v>
      </c>
      <c r="J76" s="108"/>
    </row>
    <row r="77" spans="1:10" x14ac:dyDescent="0.4">
      <c r="A77" s="107">
        <v>275</v>
      </c>
      <c r="C77" s="128">
        <v>4</v>
      </c>
      <c r="E77" s="130">
        <v>3</v>
      </c>
      <c r="G77" t="s">
        <v>154</v>
      </c>
      <c r="H77">
        <f>H75-H76</f>
        <v>190</v>
      </c>
      <c r="I77" t="s">
        <v>22</v>
      </c>
      <c r="J77" s="108"/>
    </row>
    <row r="78" spans="1:10" x14ac:dyDescent="0.4">
      <c r="A78" s="107">
        <v>280</v>
      </c>
      <c r="C78" s="128">
        <v>4</v>
      </c>
      <c r="E78" s="33">
        <v>3</v>
      </c>
      <c r="G78" t="s">
        <v>209</v>
      </c>
      <c r="H78" s="117" cm="1">
        <f t="array" ref="H78">Tc_op/B8</f>
        <v>93.614929265776027</v>
      </c>
      <c r="J78" s="108"/>
    </row>
    <row r="79" spans="1:10" x14ac:dyDescent="0.4">
      <c r="A79" s="107">
        <v>285</v>
      </c>
      <c r="B79" s="127">
        <v>4</v>
      </c>
      <c r="E79" s="130">
        <v>3</v>
      </c>
      <c r="J79" s="108"/>
    </row>
    <row r="80" spans="1:10" x14ac:dyDescent="0.4">
      <c r="A80" s="107">
        <v>290</v>
      </c>
      <c r="B80" s="127">
        <v>4</v>
      </c>
      <c r="F80" s="131">
        <v>3</v>
      </c>
      <c r="J80" s="108"/>
    </row>
    <row r="81" spans="1:12" x14ac:dyDescent="0.4">
      <c r="A81" s="107">
        <v>295</v>
      </c>
      <c r="B81" s="32">
        <v>4</v>
      </c>
      <c r="F81" s="131">
        <v>3</v>
      </c>
      <c r="J81" s="108"/>
    </row>
    <row r="82" spans="1:12" ht="21.6" thickBot="1" x14ac:dyDescent="0.45">
      <c r="A82" s="107">
        <v>300</v>
      </c>
      <c r="B82" s="37">
        <v>4</v>
      </c>
      <c r="F82" s="131">
        <v>3</v>
      </c>
      <c r="J82" s="108"/>
    </row>
    <row r="83" spans="1:12" ht="21.6" thickTop="1" x14ac:dyDescent="0.4">
      <c r="A83" s="107">
        <v>305</v>
      </c>
      <c r="B83" s="127">
        <v>5</v>
      </c>
      <c r="D83" s="129">
        <v>2</v>
      </c>
      <c r="F83" s="131">
        <v>3</v>
      </c>
      <c r="J83" s="108"/>
    </row>
    <row r="84" spans="1:12" x14ac:dyDescent="0.4">
      <c r="A84" s="107">
        <v>310</v>
      </c>
      <c r="B84" s="127">
        <v>5</v>
      </c>
      <c r="D84" s="129">
        <v>2</v>
      </c>
      <c r="F84" s="131">
        <v>3</v>
      </c>
      <c r="J84" s="108"/>
    </row>
    <row r="85" spans="1:12" x14ac:dyDescent="0.4">
      <c r="A85" s="107">
        <v>315</v>
      </c>
      <c r="B85" s="127">
        <v>5</v>
      </c>
      <c r="D85" s="129">
        <v>2</v>
      </c>
      <c r="F85" s="131">
        <v>3</v>
      </c>
      <c r="J85" s="108"/>
    </row>
    <row r="86" spans="1:12" x14ac:dyDescent="0.4">
      <c r="A86" s="107">
        <v>320</v>
      </c>
      <c r="C86" s="128">
        <v>5</v>
      </c>
      <c r="D86" s="129">
        <v>2</v>
      </c>
      <c r="F86" s="131">
        <v>3</v>
      </c>
      <c r="J86" s="108"/>
    </row>
    <row r="87" spans="1:12" x14ac:dyDescent="0.4">
      <c r="A87" s="107">
        <v>325</v>
      </c>
      <c r="C87" s="128">
        <v>5</v>
      </c>
      <c r="D87" s="129">
        <v>2</v>
      </c>
      <c r="F87" s="131">
        <v>3</v>
      </c>
      <c r="J87" s="108"/>
    </row>
    <row r="88" spans="1:12" x14ac:dyDescent="0.4">
      <c r="A88" s="107">
        <v>330</v>
      </c>
      <c r="C88" s="128">
        <v>5</v>
      </c>
      <c r="D88" s="129">
        <v>2</v>
      </c>
      <c r="E88" s="130">
        <v>3</v>
      </c>
      <c r="J88" s="108"/>
    </row>
    <row r="89" spans="1:12" x14ac:dyDescent="0.4">
      <c r="A89" s="107">
        <v>335</v>
      </c>
      <c r="C89" s="128">
        <v>5</v>
      </c>
      <c r="D89" s="129">
        <v>2</v>
      </c>
      <c r="E89" s="130">
        <v>3</v>
      </c>
      <c r="J89" s="108"/>
    </row>
    <row r="90" spans="1:12" ht="21.6" thickBot="1" x14ac:dyDescent="0.45">
      <c r="A90" s="107">
        <v>340</v>
      </c>
      <c r="C90" s="128">
        <v>5</v>
      </c>
      <c r="D90" s="129">
        <v>2</v>
      </c>
      <c r="E90" s="36">
        <v>3</v>
      </c>
      <c r="J90" s="108"/>
    </row>
    <row r="91" spans="1:12" ht="21.6" thickTop="1" x14ac:dyDescent="0.4">
      <c r="A91" s="107">
        <v>345</v>
      </c>
      <c r="C91" s="128">
        <v>5</v>
      </c>
      <c r="E91" s="38">
        <v>4</v>
      </c>
      <c r="J91" s="108"/>
    </row>
    <row r="92" spans="1:12" x14ac:dyDescent="0.4">
      <c r="A92" s="107">
        <v>350</v>
      </c>
      <c r="C92" s="128">
        <v>5</v>
      </c>
      <c r="E92" s="130">
        <v>4</v>
      </c>
      <c r="J92" s="108"/>
    </row>
    <row r="93" spans="1:12" x14ac:dyDescent="0.4">
      <c r="A93" s="107">
        <v>355</v>
      </c>
      <c r="C93" s="128">
        <v>5</v>
      </c>
      <c r="E93" s="33">
        <v>4</v>
      </c>
      <c r="J93" s="108"/>
    </row>
    <row r="94" spans="1:12" s="44" customFormat="1" ht="21.6" thickBot="1" x14ac:dyDescent="0.45">
      <c r="A94" s="113">
        <v>360</v>
      </c>
      <c r="E94" s="45">
        <v>4</v>
      </c>
      <c r="J94" s="115"/>
    </row>
    <row r="95" spans="1:12" x14ac:dyDescent="0.4">
      <c r="A95" s="174" t="s">
        <v>155</v>
      </c>
      <c r="B95" s="171"/>
      <c r="C95" s="171"/>
      <c r="D95" s="171"/>
      <c r="E95" s="171"/>
      <c r="F95" s="171"/>
      <c r="G95" s="171"/>
      <c r="H95" s="171"/>
      <c r="I95" s="124"/>
      <c r="J95" s="171" t="s">
        <v>156</v>
      </c>
      <c r="K95" s="171"/>
      <c r="L95" s="172"/>
    </row>
    <row r="96" spans="1:12" x14ac:dyDescent="0.4">
      <c r="A96" s="169" t="s">
        <v>157</v>
      </c>
      <c r="B96" s="170"/>
      <c r="C96" s="170"/>
      <c r="D96" s="170"/>
      <c r="E96" s="170"/>
      <c r="F96" s="170"/>
      <c r="G96" s="170"/>
      <c r="H96" s="170"/>
      <c r="J96" s="170" t="s">
        <v>158</v>
      </c>
      <c r="K96" s="170"/>
      <c r="L96" s="173"/>
    </row>
    <row r="97" spans="1:12" x14ac:dyDescent="0.4">
      <c r="A97" s="169" t="s">
        <v>159</v>
      </c>
      <c r="B97" s="170"/>
      <c r="C97" s="170"/>
      <c r="D97" s="170"/>
      <c r="E97" s="170"/>
      <c r="F97" s="170"/>
      <c r="G97" s="170"/>
      <c r="H97" s="170"/>
      <c r="J97" s="170" t="s">
        <v>160</v>
      </c>
      <c r="K97" s="170"/>
      <c r="L97" s="173"/>
    </row>
    <row r="98" spans="1:12" x14ac:dyDescent="0.4">
      <c r="A98" s="169" t="s">
        <v>161</v>
      </c>
      <c r="B98" s="170"/>
      <c r="C98" s="170"/>
      <c r="D98" s="170"/>
      <c r="E98" s="170"/>
      <c r="F98" s="170"/>
      <c r="G98" s="170"/>
      <c r="H98" s="170"/>
      <c r="L98" s="136"/>
    </row>
    <row r="99" spans="1:12" x14ac:dyDescent="0.4">
      <c r="A99" s="107" t="s">
        <v>139</v>
      </c>
      <c r="B99" t="s">
        <v>162</v>
      </c>
      <c r="C99" t="s">
        <v>141</v>
      </c>
      <c r="D99" t="s">
        <v>142</v>
      </c>
      <c r="E99" t="s">
        <v>144</v>
      </c>
      <c r="L99" s="136"/>
    </row>
    <row r="100" spans="1:12" x14ac:dyDescent="0.4">
      <c r="A100" s="107">
        <v>0</v>
      </c>
      <c r="L100" s="136"/>
    </row>
    <row r="101" spans="1:12" x14ac:dyDescent="0.4">
      <c r="A101" s="107">
        <v>5</v>
      </c>
      <c r="B101" s="127">
        <v>1</v>
      </c>
      <c r="G101" t="s">
        <v>163</v>
      </c>
      <c r="L101" s="136"/>
    </row>
    <row r="102" spans="1:12" x14ac:dyDescent="0.4">
      <c r="A102" s="107">
        <v>10</v>
      </c>
      <c r="B102" s="127">
        <v>1</v>
      </c>
      <c r="G102" t="s">
        <v>164</v>
      </c>
      <c r="L102" s="136"/>
    </row>
    <row r="103" spans="1:12" x14ac:dyDescent="0.4">
      <c r="A103" s="107">
        <v>15</v>
      </c>
      <c r="C103" s="128">
        <v>1</v>
      </c>
      <c r="L103" s="136"/>
    </row>
    <row r="104" spans="1:12" x14ac:dyDescent="0.4">
      <c r="A104" s="107">
        <v>20</v>
      </c>
      <c r="C104" s="128">
        <v>1</v>
      </c>
      <c r="G104" t="s">
        <v>163</v>
      </c>
      <c r="L104" s="136"/>
    </row>
    <row r="105" spans="1:12" x14ac:dyDescent="0.4">
      <c r="A105" s="107">
        <v>25</v>
      </c>
      <c r="C105" s="128">
        <v>1</v>
      </c>
      <c r="L105" s="136"/>
    </row>
    <row r="106" spans="1:12" x14ac:dyDescent="0.4">
      <c r="A106" s="107">
        <v>30</v>
      </c>
      <c r="C106" s="128">
        <v>1</v>
      </c>
      <c r="L106" s="136"/>
    </row>
    <row r="107" spans="1:12" x14ac:dyDescent="0.4">
      <c r="A107" s="107">
        <v>35</v>
      </c>
      <c r="C107" s="128">
        <v>1</v>
      </c>
      <c r="L107" s="108"/>
    </row>
    <row r="108" spans="1:12" x14ac:dyDescent="0.4">
      <c r="A108" s="107">
        <v>40</v>
      </c>
      <c r="C108" s="128">
        <v>1</v>
      </c>
      <c r="L108" s="108"/>
    </row>
    <row r="109" spans="1:12" x14ac:dyDescent="0.4">
      <c r="A109" s="107">
        <v>45</v>
      </c>
      <c r="C109" s="128">
        <v>1</v>
      </c>
      <c r="L109" s="108"/>
    </row>
    <row r="110" spans="1:12" x14ac:dyDescent="0.4">
      <c r="A110" s="107">
        <v>50</v>
      </c>
      <c r="B110" s="127">
        <v>2</v>
      </c>
      <c r="C110" s="128">
        <v>1</v>
      </c>
      <c r="L110" s="108"/>
    </row>
    <row r="111" spans="1:12" x14ac:dyDescent="0.4">
      <c r="A111" s="107">
        <v>55</v>
      </c>
      <c r="B111" s="127">
        <v>1</v>
      </c>
      <c r="G111" t="s">
        <v>165</v>
      </c>
      <c r="L111" s="108"/>
    </row>
    <row r="112" spans="1:12" x14ac:dyDescent="0.4">
      <c r="A112" s="107">
        <v>60</v>
      </c>
      <c r="B112" s="127">
        <v>2</v>
      </c>
      <c r="G112" t="s">
        <v>166</v>
      </c>
      <c r="L112" s="108"/>
    </row>
    <row r="113" spans="1:12" ht="21.6" thickBot="1" x14ac:dyDescent="0.45">
      <c r="A113" s="107">
        <v>65</v>
      </c>
      <c r="B113" s="35">
        <v>1</v>
      </c>
      <c r="C113" s="128">
        <v>2</v>
      </c>
      <c r="G113" t="s">
        <v>167</v>
      </c>
      <c r="L113" s="108"/>
    </row>
    <row r="114" spans="1:12" ht="22.2" thickTop="1" thickBot="1" x14ac:dyDescent="0.45">
      <c r="A114" s="107">
        <v>70</v>
      </c>
      <c r="B114" s="35">
        <v>1</v>
      </c>
      <c r="C114" s="128">
        <v>2</v>
      </c>
      <c r="G114" t="s">
        <v>165</v>
      </c>
      <c r="L114" s="108"/>
    </row>
    <row r="115" spans="1:12" ht="21.6" thickTop="1" x14ac:dyDescent="0.4">
      <c r="A115" s="107">
        <v>75</v>
      </c>
      <c r="C115" s="128">
        <v>2</v>
      </c>
      <c r="D115" s="129">
        <v>1</v>
      </c>
      <c r="L115" s="108"/>
    </row>
    <row r="116" spans="1:12" x14ac:dyDescent="0.4">
      <c r="A116" s="107">
        <v>80</v>
      </c>
      <c r="C116" s="128">
        <v>2</v>
      </c>
      <c r="D116" s="129">
        <v>1</v>
      </c>
      <c r="L116" s="108"/>
    </row>
    <row r="117" spans="1:12" x14ac:dyDescent="0.4">
      <c r="A117" s="107">
        <v>85</v>
      </c>
      <c r="C117" s="128">
        <v>2</v>
      </c>
      <c r="D117" s="129">
        <v>1</v>
      </c>
      <c r="L117" s="108"/>
    </row>
    <row r="118" spans="1:12" x14ac:dyDescent="0.4">
      <c r="A118" s="107">
        <v>90</v>
      </c>
      <c r="C118" s="128">
        <v>2</v>
      </c>
      <c r="D118" s="129">
        <v>1</v>
      </c>
      <c r="L118" s="108"/>
    </row>
    <row r="119" spans="1:12" x14ac:dyDescent="0.4">
      <c r="A119" s="107">
        <v>95</v>
      </c>
      <c r="C119" s="128">
        <v>2</v>
      </c>
      <c r="D119" s="129">
        <v>1</v>
      </c>
      <c r="L119" s="108"/>
    </row>
    <row r="120" spans="1:12" x14ac:dyDescent="0.4">
      <c r="A120" s="107">
        <v>100</v>
      </c>
      <c r="B120" s="127">
        <v>3</v>
      </c>
      <c r="C120" s="128">
        <v>2</v>
      </c>
      <c r="D120" s="129">
        <v>1</v>
      </c>
      <c r="L120" s="108"/>
    </row>
    <row r="121" spans="1:12" x14ac:dyDescent="0.4">
      <c r="A121" s="107">
        <v>105</v>
      </c>
      <c r="B121" s="127">
        <v>2</v>
      </c>
      <c r="D121" s="129">
        <v>1</v>
      </c>
      <c r="L121" s="108"/>
    </row>
    <row r="122" spans="1:12" x14ac:dyDescent="0.4">
      <c r="A122" s="107">
        <v>110</v>
      </c>
      <c r="B122" s="127">
        <v>3</v>
      </c>
      <c r="D122" s="129">
        <v>1</v>
      </c>
      <c r="L122" s="108"/>
    </row>
    <row r="123" spans="1:12" x14ac:dyDescent="0.4">
      <c r="A123" s="107">
        <v>115</v>
      </c>
      <c r="B123" s="127">
        <v>2</v>
      </c>
      <c r="C123" s="128">
        <v>3</v>
      </c>
      <c r="L123" s="108"/>
    </row>
    <row r="124" spans="1:12" x14ac:dyDescent="0.4">
      <c r="A124" s="107">
        <v>120</v>
      </c>
      <c r="B124" s="127">
        <v>1</v>
      </c>
      <c r="C124" s="128">
        <v>3</v>
      </c>
      <c r="L124" s="108"/>
    </row>
    <row r="125" spans="1:12" x14ac:dyDescent="0.4">
      <c r="A125" s="107">
        <v>125</v>
      </c>
      <c r="B125" s="127">
        <v>2</v>
      </c>
      <c r="C125" s="128">
        <v>3</v>
      </c>
      <c r="D125" s="129">
        <v>2</v>
      </c>
      <c r="L125" s="108"/>
    </row>
    <row r="126" spans="1:12" x14ac:dyDescent="0.4">
      <c r="A126" s="107">
        <v>130</v>
      </c>
      <c r="B126" s="127">
        <v>1</v>
      </c>
      <c r="C126" s="128">
        <v>3</v>
      </c>
      <c r="D126" s="129">
        <v>2</v>
      </c>
      <c r="L126" s="108"/>
    </row>
    <row r="127" spans="1:12" x14ac:dyDescent="0.4">
      <c r="A127" s="107">
        <v>135</v>
      </c>
      <c r="B127" s="127">
        <v>1</v>
      </c>
      <c r="C127" s="128">
        <v>3</v>
      </c>
      <c r="D127" s="129">
        <v>2</v>
      </c>
      <c r="L127" s="108"/>
    </row>
    <row r="128" spans="1:12" x14ac:dyDescent="0.4">
      <c r="A128" s="107">
        <v>140</v>
      </c>
      <c r="C128" s="128">
        <v>3</v>
      </c>
      <c r="D128" s="129">
        <v>2</v>
      </c>
      <c r="E128" s="131">
        <v>1</v>
      </c>
      <c r="L128" s="108"/>
    </row>
    <row r="129" spans="1:12" x14ac:dyDescent="0.4">
      <c r="A129" s="107">
        <v>145</v>
      </c>
      <c r="C129" s="128">
        <v>3</v>
      </c>
      <c r="D129" s="129">
        <v>2</v>
      </c>
      <c r="E129" s="131">
        <v>1</v>
      </c>
      <c r="L129" s="108"/>
    </row>
    <row r="130" spans="1:12" x14ac:dyDescent="0.4">
      <c r="A130" s="107">
        <v>150</v>
      </c>
      <c r="B130" s="131">
        <v>4</v>
      </c>
      <c r="C130" s="128">
        <v>3</v>
      </c>
      <c r="D130" s="129">
        <v>2</v>
      </c>
      <c r="E130" s="131">
        <v>1</v>
      </c>
      <c r="L130" s="108"/>
    </row>
    <row r="131" spans="1:12" x14ac:dyDescent="0.4">
      <c r="A131" s="107">
        <v>155</v>
      </c>
      <c r="B131" s="127">
        <v>3</v>
      </c>
      <c r="D131" s="129">
        <v>2</v>
      </c>
      <c r="E131" s="131">
        <v>1</v>
      </c>
      <c r="L131" s="108"/>
    </row>
    <row r="132" spans="1:12" x14ac:dyDescent="0.4">
      <c r="A132" s="107">
        <v>160</v>
      </c>
      <c r="B132" s="127">
        <v>4</v>
      </c>
      <c r="D132" s="129">
        <v>2</v>
      </c>
      <c r="E132" s="131">
        <v>1</v>
      </c>
      <c r="L132" s="108"/>
    </row>
    <row r="133" spans="1:12" x14ac:dyDescent="0.4">
      <c r="A133" s="134">
        <v>165</v>
      </c>
      <c r="B133" s="127">
        <v>3</v>
      </c>
      <c r="C133" s="128">
        <v>4</v>
      </c>
      <c r="E133" s="131">
        <v>1</v>
      </c>
      <c r="L133" s="108"/>
    </row>
    <row r="134" spans="1:12" x14ac:dyDescent="0.4">
      <c r="A134" s="135">
        <v>170</v>
      </c>
      <c r="B134" s="127">
        <v>2</v>
      </c>
      <c r="C134" s="128">
        <v>4</v>
      </c>
      <c r="E134" s="131">
        <v>1</v>
      </c>
      <c r="L134" s="108"/>
    </row>
    <row r="135" spans="1:12" x14ac:dyDescent="0.4">
      <c r="A135" s="107">
        <v>175</v>
      </c>
      <c r="B135" s="127">
        <v>3</v>
      </c>
      <c r="C135" s="128">
        <v>4</v>
      </c>
      <c r="D135" s="129">
        <v>3</v>
      </c>
      <c r="E135" s="131">
        <v>1</v>
      </c>
      <c r="L135" s="108"/>
    </row>
    <row r="136" spans="1:12" x14ac:dyDescent="0.4">
      <c r="A136" s="107">
        <v>180</v>
      </c>
      <c r="B136" s="127">
        <v>2</v>
      </c>
      <c r="C136" s="128">
        <v>4</v>
      </c>
      <c r="D136" s="129">
        <v>3</v>
      </c>
      <c r="L136" s="108"/>
    </row>
    <row r="137" spans="1:12" x14ac:dyDescent="0.4">
      <c r="A137" s="107">
        <v>185</v>
      </c>
      <c r="B137" s="127">
        <v>1</v>
      </c>
      <c r="C137" s="128">
        <v>4</v>
      </c>
      <c r="D137" s="129">
        <v>3</v>
      </c>
      <c r="L137" s="108"/>
    </row>
    <row r="138" spans="1:12" x14ac:dyDescent="0.4">
      <c r="A138" s="134">
        <v>190</v>
      </c>
      <c r="B138" s="127">
        <v>2</v>
      </c>
      <c r="C138" s="128">
        <v>4</v>
      </c>
      <c r="D138" s="129">
        <v>3</v>
      </c>
      <c r="L138" s="108"/>
    </row>
    <row r="139" spans="1:12" x14ac:dyDescent="0.4">
      <c r="A139" s="132">
        <v>195</v>
      </c>
      <c r="B139" s="127">
        <v>1</v>
      </c>
      <c r="C139" s="128">
        <v>4</v>
      </c>
      <c r="D139" s="129">
        <v>3</v>
      </c>
      <c r="E139" s="131">
        <v>2</v>
      </c>
      <c r="F139" t="s">
        <v>151</v>
      </c>
      <c r="G139">
        <f>A139</f>
        <v>195</v>
      </c>
      <c r="H139" t="s">
        <v>22</v>
      </c>
      <c r="L139" s="108"/>
    </row>
    <row r="140" spans="1:12" x14ac:dyDescent="0.4">
      <c r="A140" s="107">
        <v>200</v>
      </c>
      <c r="B140" s="131" t="s">
        <v>168</v>
      </c>
      <c r="C140" s="128">
        <v>4</v>
      </c>
      <c r="D140" s="129">
        <v>3</v>
      </c>
      <c r="E140" s="131">
        <v>2</v>
      </c>
      <c r="L140" s="108"/>
    </row>
    <row r="141" spans="1:12" x14ac:dyDescent="0.4">
      <c r="A141" s="107">
        <v>205</v>
      </c>
      <c r="B141" s="131" t="s">
        <v>168</v>
      </c>
      <c r="D141" s="129">
        <v>3</v>
      </c>
      <c r="E141" s="131">
        <v>2</v>
      </c>
      <c r="L141" s="108"/>
    </row>
    <row r="142" spans="1:12" x14ac:dyDescent="0.4">
      <c r="A142" s="107">
        <v>210</v>
      </c>
      <c r="B142" s="127">
        <v>5</v>
      </c>
      <c r="D142" s="129">
        <v>3</v>
      </c>
      <c r="E142" s="131">
        <v>2</v>
      </c>
      <c r="L142" s="108"/>
    </row>
    <row r="143" spans="1:12" x14ac:dyDescent="0.4">
      <c r="A143" s="107">
        <v>215</v>
      </c>
      <c r="B143" s="127">
        <v>4</v>
      </c>
      <c r="E143" s="131">
        <v>2</v>
      </c>
      <c r="L143" s="108"/>
    </row>
    <row r="144" spans="1:12" x14ac:dyDescent="0.4">
      <c r="A144" s="107">
        <v>220</v>
      </c>
      <c r="B144" s="127">
        <v>5</v>
      </c>
      <c r="E144" s="131">
        <v>2</v>
      </c>
      <c r="L144" s="108"/>
    </row>
    <row r="145" spans="1:12" x14ac:dyDescent="0.4">
      <c r="A145" s="107">
        <v>225</v>
      </c>
      <c r="B145" s="127">
        <v>4</v>
      </c>
      <c r="C145" s="128">
        <v>5</v>
      </c>
      <c r="E145" s="131">
        <v>2</v>
      </c>
      <c r="L145" s="108"/>
    </row>
    <row r="146" spans="1:12" x14ac:dyDescent="0.4">
      <c r="A146" s="134">
        <v>230</v>
      </c>
      <c r="B146" s="127">
        <v>3</v>
      </c>
      <c r="C146" s="128">
        <v>5</v>
      </c>
      <c r="E146" s="131">
        <v>2</v>
      </c>
      <c r="L146" s="108"/>
    </row>
    <row r="147" spans="1:12" x14ac:dyDescent="0.4">
      <c r="A147" s="107">
        <v>235</v>
      </c>
      <c r="B147" s="127">
        <v>4</v>
      </c>
      <c r="C147" s="128">
        <v>5</v>
      </c>
      <c r="D147" s="129">
        <v>4</v>
      </c>
      <c r="L147" s="108"/>
    </row>
    <row r="148" spans="1:12" x14ac:dyDescent="0.4">
      <c r="A148" s="134">
        <v>240</v>
      </c>
      <c r="B148" s="127">
        <v>3</v>
      </c>
      <c r="C148" s="128">
        <v>5</v>
      </c>
      <c r="D148" s="129">
        <v>4</v>
      </c>
      <c r="L148" s="108"/>
    </row>
    <row r="149" spans="1:12" x14ac:dyDescent="0.4">
      <c r="A149" s="135">
        <v>245</v>
      </c>
      <c r="B149" s="127">
        <v>2</v>
      </c>
      <c r="C149" s="128">
        <v>5</v>
      </c>
      <c r="D149" s="129">
        <v>4</v>
      </c>
      <c r="L149" s="108"/>
    </row>
    <row r="150" spans="1:12" x14ac:dyDescent="0.4">
      <c r="A150" s="135">
        <v>250</v>
      </c>
      <c r="B150" s="127">
        <v>3</v>
      </c>
      <c r="C150" s="128">
        <v>5</v>
      </c>
      <c r="D150" s="129">
        <v>4</v>
      </c>
      <c r="L150" s="108"/>
    </row>
    <row r="151" spans="1:12" x14ac:dyDescent="0.4">
      <c r="A151" s="132">
        <v>255</v>
      </c>
      <c r="B151" s="127">
        <v>2</v>
      </c>
      <c r="C151" s="128">
        <v>5</v>
      </c>
      <c r="D151" s="129">
        <v>4</v>
      </c>
      <c r="E151" s="131">
        <v>3</v>
      </c>
      <c r="F151" t="s">
        <v>152</v>
      </c>
      <c r="G151">
        <f>A151</f>
        <v>255</v>
      </c>
      <c r="H151" t="s">
        <v>22</v>
      </c>
      <c r="L151" s="108"/>
    </row>
    <row r="152" spans="1:12" x14ac:dyDescent="0.4">
      <c r="A152" s="107">
        <v>260</v>
      </c>
      <c r="B152" s="131" t="s">
        <v>168</v>
      </c>
      <c r="C152" s="128">
        <v>5</v>
      </c>
      <c r="D152" s="129">
        <v>4</v>
      </c>
      <c r="E152" s="131">
        <v>3</v>
      </c>
      <c r="F152" t="s">
        <v>169</v>
      </c>
      <c r="G152">
        <f>G151-G139</f>
        <v>60</v>
      </c>
      <c r="H152" t="s">
        <v>22</v>
      </c>
      <c r="L152" s="108"/>
    </row>
    <row r="153" spans="1:12" x14ac:dyDescent="0.4">
      <c r="A153" s="134">
        <v>265</v>
      </c>
      <c r="B153" s="131" t="s">
        <v>168</v>
      </c>
      <c r="D153" s="129">
        <v>4</v>
      </c>
      <c r="E153" s="131">
        <v>3</v>
      </c>
      <c r="F153" t="s">
        <v>170</v>
      </c>
      <c r="G153">
        <f>G151-G152</f>
        <v>195</v>
      </c>
      <c r="H153" t="s">
        <v>22</v>
      </c>
      <c r="L153" s="108"/>
    </row>
    <row r="154" spans="1:12" x14ac:dyDescent="0.4">
      <c r="A154" s="107">
        <v>270</v>
      </c>
      <c r="B154" s="127">
        <v>6</v>
      </c>
      <c r="D154" s="129">
        <v>4</v>
      </c>
      <c r="E154" s="131">
        <v>3</v>
      </c>
      <c r="L154" s="108"/>
    </row>
    <row r="155" spans="1:12" x14ac:dyDescent="0.4">
      <c r="A155" s="107">
        <v>275</v>
      </c>
      <c r="B155" s="127">
        <v>5</v>
      </c>
      <c r="E155" s="131">
        <v>3</v>
      </c>
      <c r="L155" s="108"/>
    </row>
    <row r="156" spans="1:12" x14ac:dyDescent="0.4">
      <c r="A156" s="107">
        <v>280</v>
      </c>
      <c r="B156" s="127">
        <v>6</v>
      </c>
      <c r="E156" s="131">
        <v>3</v>
      </c>
      <c r="L156" s="108"/>
    </row>
    <row r="157" spans="1:12" x14ac:dyDescent="0.4">
      <c r="A157" s="107">
        <v>285</v>
      </c>
      <c r="B157" s="127">
        <v>5</v>
      </c>
      <c r="C157">
        <v>6</v>
      </c>
      <c r="E157" s="131">
        <v>3</v>
      </c>
      <c r="L157" s="108"/>
    </row>
    <row r="158" spans="1:12" x14ac:dyDescent="0.4">
      <c r="A158" s="107">
        <v>290</v>
      </c>
      <c r="B158" s="127">
        <v>4</v>
      </c>
      <c r="C158">
        <v>6</v>
      </c>
      <c r="E158" s="131">
        <v>3</v>
      </c>
      <c r="L158" s="108"/>
    </row>
    <row r="159" spans="1:12" x14ac:dyDescent="0.4">
      <c r="A159" s="107">
        <v>295</v>
      </c>
      <c r="B159" s="127">
        <v>5</v>
      </c>
      <c r="C159">
        <v>6</v>
      </c>
      <c r="D159">
        <v>5</v>
      </c>
      <c r="L159" s="108"/>
    </row>
    <row r="160" spans="1:12" x14ac:dyDescent="0.4">
      <c r="A160" s="107">
        <v>300</v>
      </c>
      <c r="B160" s="127">
        <v>4</v>
      </c>
      <c r="C160">
        <v>6</v>
      </c>
      <c r="D160">
        <v>5</v>
      </c>
      <c r="L160" s="108"/>
    </row>
    <row r="161" spans="1:12" x14ac:dyDescent="0.4">
      <c r="A161" s="107">
        <v>305</v>
      </c>
      <c r="B161" s="127">
        <v>3</v>
      </c>
      <c r="C161">
        <v>6</v>
      </c>
      <c r="D161">
        <v>5</v>
      </c>
      <c r="L161" s="108"/>
    </row>
    <row r="162" spans="1:12" x14ac:dyDescent="0.4">
      <c r="A162" s="107">
        <v>310</v>
      </c>
      <c r="B162" s="127">
        <v>4</v>
      </c>
      <c r="C162">
        <v>6</v>
      </c>
      <c r="D162">
        <v>5</v>
      </c>
      <c r="L162" s="108"/>
    </row>
    <row r="163" spans="1:12" x14ac:dyDescent="0.4">
      <c r="A163" s="107">
        <v>315</v>
      </c>
      <c r="B163" s="127">
        <v>3</v>
      </c>
      <c r="C163">
        <v>6</v>
      </c>
      <c r="D163">
        <v>5</v>
      </c>
      <c r="E163">
        <v>4</v>
      </c>
      <c r="L163" s="108"/>
    </row>
    <row r="164" spans="1:12" x14ac:dyDescent="0.4">
      <c r="A164" s="107">
        <v>320</v>
      </c>
      <c r="B164" s="131" t="s">
        <v>168</v>
      </c>
      <c r="C164">
        <v>6</v>
      </c>
      <c r="D164">
        <v>5</v>
      </c>
      <c r="E164">
        <v>4</v>
      </c>
      <c r="L164" s="108"/>
    </row>
    <row r="165" spans="1:12" x14ac:dyDescent="0.4">
      <c r="A165" s="107">
        <v>325</v>
      </c>
      <c r="B165" s="131" t="s">
        <v>168</v>
      </c>
      <c r="D165">
        <v>5</v>
      </c>
      <c r="E165">
        <v>4</v>
      </c>
      <c r="L165" s="108"/>
    </row>
    <row r="166" spans="1:12" x14ac:dyDescent="0.4">
      <c r="A166" s="107">
        <v>330</v>
      </c>
      <c r="D166">
        <v>5</v>
      </c>
      <c r="E166">
        <v>4</v>
      </c>
      <c r="L166" s="108"/>
    </row>
    <row r="167" spans="1:12" x14ac:dyDescent="0.4">
      <c r="A167" s="107">
        <v>335</v>
      </c>
      <c r="E167">
        <v>4</v>
      </c>
      <c r="L167" s="108"/>
    </row>
    <row r="168" spans="1:12" x14ac:dyDescent="0.4">
      <c r="A168" s="107">
        <v>340</v>
      </c>
      <c r="E168">
        <v>4</v>
      </c>
      <c r="L168" s="108"/>
    </row>
    <row r="169" spans="1:12" x14ac:dyDescent="0.4">
      <c r="A169" s="107">
        <v>345</v>
      </c>
      <c r="E169">
        <v>4</v>
      </c>
      <c r="L169" s="108"/>
    </row>
    <row r="170" spans="1:12" ht="21.6" thickBot="1" x14ac:dyDescent="0.45">
      <c r="A170" s="113">
        <v>350</v>
      </c>
      <c r="B170" s="44"/>
      <c r="C170" s="44"/>
      <c r="D170" s="44"/>
      <c r="E170" s="44">
        <v>4</v>
      </c>
      <c r="F170" s="44"/>
      <c r="G170" s="44"/>
      <c r="H170" s="44"/>
      <c r="I170" s="44"/>
      <c r="J170" s="44"/>
      <c r="K170" s="44"/>
      <c r="L170" s="115"/>
    </row>
  </sheetData>
  <mergeCells count="14">
    <mergeCell ref="T3:V3"/>
    <mergeCell ref="D3:F3"/>
    <mergeCell ref="A3:C3"/>
    <mergeCell ref="H3:J3"/>
    <mergeCell ref="J11:J12"/>
    <mergeCell ref="P3:R3"/>
    <mergeCell ref="L3:N3"/>
    <mergeCell ref="A98:H98"/>
    <mergeCell ref="J95:L95"/>
    <mergeCell ref="J96:L96"/>
    <mergeCell ref="J97:L97"/>
    <mergeCell ref="A96:H96"/>
    <mergeCell ref="A95:H95"/>
    <mergeCell ref="A97:H97"/>
  </mergeCells>
  <conditionalFormatting sqref="U9">
    <cfRule type="cellIs" dxfId="25" priority="20" operator="lessThan">
      <formula>$U$5</formula>
    </cfRule>
    <cfRule type="cellIs" dxfId="24" priority="21" operator="greaterThan">
      <formula>$U$5</formula>
    </cfRule>
  </conditionalFormatting>
  <conditionalFormatting sqref="B142:E151 C141:E141 B100:E102 B130:E140 C128:E129 B154:E159 C152:E153 B152 B160:C164 C103:E104 B105:E114 C115:E116 B117:E127">
    <cfRule type="cellIs" dxfId="23" priority="8" operator="equal">
      <formula>5</formula>
    </cfRule>
    <cfRule type="cellIs" dxfId="22" priority="11" operator="equal">
      <formula>3</formula>
    </cfRule>
    <cfRule type="cellIs" dxfId="21" priority="12" operator="equal">
      <formula>2</formula>
    </cfRule>
    <cfRule type="cellIs" dxfId="20" priority="13" operator="equal">
      <formula>1</formula>
    </cfRule>
  </conditionalFormatting>
  <conditionalFormatting sqref="B142:E151 C141:E141 B100:E102 B130:E140 C128:E129 B154:E158 C152:E153 B152 B161:C164 C103:E104 B105:E114 C115:E116 B117:E127">
    <cfRule type="cellIs" dxfId="19" priority="4" operator="equal">
      <formula>4</formula>
    </cfRule>
  </conditionalFormatting>
  <conditionalFormatting sqref="H152">
    <cfRule type="cellIs" dxfId="18" priority="5" operator="equal">
      <formula>4</formula>
    </cfRule>
  </conditionalFormatting>
  <conditionalFormatting sqref="B100:E170">
    <cfRule type="cellIs" dxfId="17" priority="1" operator="equal">
      <formula>5</formula>
    </cfRule>
    <cfRule type="cellIs" dxfId="16" priority="2" operator="equal">
      <formula>4</formula>
    </cfRule>
    <cfRule type="cellIs" dxfId="15" priority="3" operator="equal">
      <formula>6</formula>
    </cfRule>
  </conditionalFormatting>
  <hyperlinks>
    <hyperlink ref="J11:J12" r:id="rId1" display="http://carmnap.it/CoefficientiAttritoCinematico.htm" xr:uid="{88989BC9-8D44-4B4C-8D56-F03493589AA8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056B-2F11-49CC-9A91-71F7DF87B44B}">
  <dimension ref="A1:R46"/>
  <sheetViews>
    <sheetView zoomScale="80" zoomScaleNormal="80" zoomScaleSheetLayoutView="100" workbookViewId="0">
      <selection activeCell="L1" sqref="L1:XFD1048576"/>
    </sheetView>
  </sheetViews>
  <sheetFormatPr defaultColWidth="0" defaultRowHeight="21" zeroHeight="1" x14ac:dyDescent="0.4"/>
  <cols>
    <col min="1" max="1" width="19" customWidth="1"/>
    <col min="2" max="2" width="8.5703125" customWidth="1"/>
    <col min="3" max="3" width="7.35546875" bestFit="1" customWidth="1"/>
    <col min="4" max="4" width="1.78515625" bestFit="1" customWidth="1"/>
    <col min="5" max="5" width="3.5703125" customWidth="1"/>
    <col min="6" max="6" width="23.0703125" bestFit="1" customWidth="1"/>
    <col min="7" max="7" width="8.7109375" customWidth="1"/>
    <col min="8" max="8" width="7.2109375" bestFit="1" customWidth="1"/>
    <col min="9" max="9" width="6.0703125" bestFit="1" customWidth="1"/>
    <col min="10" max="10" width="4.640625" bestFit="1" customWidth="1"/>
    <col min="11" max="11" width="8.7109375" customWidth="1"/>
    <col min="12" max="12" width="22.640625" hidden="1" customWidth="1"/>
    <col min="13" max="18" width="0" hidden="1" customWidth="1"/>
    <col min="19" max="16384" width="8.7109375" hidden="1"/>
  </cols>
  <sheetData>
    <row r="1" spans="1:11" x14ac:dyDescent="0.4">
      <c r="A1" s="198" t="s">
        <v>171</v>
      </c>
      <c r="B1" s="199"/>
      <c r="C1" s="199"/>
      <c r="D1" s="200"/>
      <c r="E1" s="88"/>
    </row>
    <row r="2" spans="1:11" x14ac:dyDescent="0.4">
      <c r="A2" s="133"/>
      <c r="B2" s="87" t="s">
        <v>172</v>
      </c>
      <c r="C2" s="87" t="s">
        <v>173</v>
      </c>
      <c r="D2" s="153"/>
    </row>
    <row r="3" spans="1:11" x14ac:dyDescent="0.4">
      <c r="A3" s="142" t="s">
        <v>174</v>
      </c>
      <c r="B3" s="41">
        <v>1.8</v>
      </c>
      <c r="C3" s="41">
        <v>1.56</v>
      </c>
      <c r="D3" s="153" t="s">
        <v>22</v>
      </c>
    </row>
    <row r="4" spans="1:11" x14ac:dyDescent="0.4">
      <c r="A4" s="142" t="s">
        <v>176</v>
      </c>
      <c r="B4" s="41">
        <v>0.83</v>
      </c>
      <c r="C4" s="41">
        <v>0.67</v>
      </c>
      <c r="D4" s="153" t="s">
        <v>22</v>
      </c>
    </row>
    <row r="5" spans="1:11" x14ac:dyDescent="0.4">
      <c r="A5" s="142" t="s">
        <v>178</v>
      </c>
      <c r="B5" s="41">
        <v>2</v>
      </c>
      <c r="C5" s="41">
        <v>1.86</v>
      </c>
      <c r="D5" s="153" t="s">
        <v>22</v>
      </c>
      <c r="F5" s="87" t="s">
        <v>179</v>
      </c>
      <c r="G5" s="41">
        <v>210.2</v>
      </c>
      <c r="H5" s="41">
        <v>211.66</v>
      </c>
      <c r="I5" t="s">
        <v>22</v>
      </c>
    </row>
    <row r="6" spans="1:11" x14ac:dyDescent="0.4">
      <c r="A6" s="142" t="s">
        <v>180</v>
      </c>
      <c r="B6" s="41">
        <v>0.67</v>
      </c>
      <c r="C6" s="41">
        <v>0.6</v>
      </c>
      <c r="D6" s="153" t="s">
        <v>22</v>
      </c>
    </row>
    <row r="7" spans="1:11" x14ac:dyDescent="0.4">
      <c r="A7" s="142" t="s">
        <v>182</v>
      </c>
      <c r="B7" s="41">
        <v>2</v>
      </c>
      <c r="C7" s="41">
        <v>2.0299999999999998</v>
      </c>
      <c r="D7" s="153" t="s">
        <v>22</v>
      </c>
      <c r="F7" s="88"/>
      <c r="G7" s="40"/>
      <c r="H7" s="39"/>
      <c r="K7" s="39"/>
    </row>
    <row r="8" spans="1:11" x14ac:dyDescent="0.4">
      <c r="A8" s="142" t="s">
        <v>183</v>
      </c>
      <c r="B8" s="41">
        <v>0.8</v>
      </c>
      <c r="C8" s="41">
        <v>0.83</v>
      </c>
      <c r="D8" s="153" t="s">
        <v>22</v>
      </c>
    </row>
    <row r="9" spans="1:11" x14ac:dyDescent="0.4">
      <c r="A9" s="142" t="s">
        <v>184</v>
      </c>
      <c r="B9" s="41">
        <v>2.83</v>
      </c>
      <c r="C9" s="41">
        <v>2.87</v>
      </c>
      <c r="D9" s="153" t="s">
        <v>22</v>
      </c>
    </row>
    <row r="10" spans="1:11" x14ac:dyDescent="0.4">
      <c r="A10" s="142" t="s">
        <v>185</v>
      </c>
      <c r="B10" s="41">
        <v>3</v>
      </c>
      <c r="C10" s="41">
        <v>3.56</v>
      </c>
      <c r="D10" s="153" t="s">
        <v>22</v>
      </c>
    </row>
    <row r="11" spans="1:11" x14ac:dyDescent="0.4">
      <c r="A11" s="142" t="s">
        <v>186</v>
      </c>
      <c r="B11" s="41">
        <v>30</v>
      </c>
      <c r="C11" s="41">
        <v>30</v>
      </c>
      <c r="D11" s="153" t="s">
        <v>22</v>
      </c>
    </row>
    <row r="12" spans="1:11" x14ac:dyDescent="0.4">
      <c r="A12" s="142" t="s">
        <v>190</v>
      </c>
      <c r="B12" s="41">
        <f>SUM(B3:B11)</f>
        <v>43.93</v>
      </c>
      <c r="C12" s="41">
        <f>SUM(C3:C11)</f>
        <v>43.98</v>
      </c>
      <c r="D12" s="153" t="s">
        <v>22</v>
      </c>
    </row>
    <row r="13" spans="1:11" ht="21.6" thickBot="1" x14ac:dyDescent="0.45">
      <c r="A13" s="149" t="s">
        <v>191</v>
      </c>
      <c r="B13" s="154">
        <v>53.83</v>
      </c>
      <c r="C13" s="154">
        <v>54.37</v>
      </c>
      <c r="D13" s="155" t="s">
        <v>22</v>
      </c>
      <c r="F13" s="88"/>
    </row>
    <row r="14" spans="1:11" ht="21.6" thickBot="1" x14ac:dyDescent="0.45">
      <c r="D14" s="41"/>
      <c r="F14" s="197"/>
      <c r="G14" s="197"/>
      <c r="H14" s="197"/>
      <c r="I14" s="197"/>
    </row>
    <row r="15" spans="1:11" x14ac:dyDescent="0.4">
      <c r="A15" s="198" t="s">
        <v>208</v>
      </c>
      <c r="B15" s="199"/>
      <c r="C15" s="199"/>
      <c r="D15" s="200"/>
    </row>
    <row r="16" spans="1:11" ht="21.6" thickBot="1" x14ac:dyDescent="0.45">
      <c r="A16" s="142"/>
      <c r="B16" s="87" t="s">
        <v>172</v>
      </c>
      <c r="C16" s="87" t="s">
        <v>173</v>
      </c>
      <c r="D16" s="108"/>
    </row>
    <row r="17" spans="1:10" x14ac:dyDescent="0.4">
      <c r="A17" s="142" t="s">
        <v>175</v>
      </c>
      <c r="B17" s="41">
        <v>4.57</v>
      </c>
      <c r="C17" s="41">
        <v>4.4400000000000004</v>
      </c>
      <c r="D17" s="108" t="s">
        <v>22</v>
      </c>
      <c r="F17" s="123"/>
      <c r="G17" s="140" t="s">
        <v>188</v>
      </c>
      <c r="H17" s="141" t="s">
        <v>189</v>
      </c>
    </row>
    <row r="18" spans="1:10" x14ac:dyDescent="0.4">
      <c r="A18" s="142" t="s">
        <v>177</v>
      </c>
      <c r="B18" s="41">
        <v>4.17</v>
      </c>
      <c r="C18" s="41">
        <v>3.23</v>
      </c>
      <c r="D18" s="108" t="s">
        <v>22</v>
      </c>
      <c r="F18" s="142" t="s">
        <v>192</v>
      </c>
      <c r="G18" s="89">
        <f>'Analisi di fattibilità'!E17</f>
        <v>1</v>
      </c>
      <c r="H18" s="145">
        <f>C12/C13</f>
        <v>0.80890196799705716</v>
      </c>
    </row>
    <row r="19" spans="1:10" ht="21.6" thickBot="1" x14ac:dyDescent="0.45">
      <c r="A19" s="139" t="s">
        <v>181</v>
      </c>
      <c r="B19" s="44">
        <f>B17+B18/3+5</f>
        <v>10.96</v>
      </c>
      <c r="C19" s="44">
        <f>C17+C18/3+5</f>
        <v>10.516666666666667</v>
      </c>
      <c r="D19" s="115" t="s">
        <v>22</v>
      </c>
      <c r="F19" s="142" t="s">
        <v>194</v>
      </c>
      <c r="G19" s="146">
        <f>'Analisi di fattibilità'!E13</f>
        <v>0.66666666666666663</v>
      </c>
      <c r="H19" s="147">
        <f>Tm_M1/C13</f>
        <v>0.73569983446753728</v>
      </c>
    </row>
    <row r="20" spans="1:10" ht="21.6" thickBot="1" x14ac:dyDescent="0.45">
      <c r="F20" s="142" t="s">
        <v>195</v>
      </c>
      <c r="G20" s="148">
        <f>'Analisi di fattibilità'!E14</f>
        <v>0.66666666666666663</v>
      </c>
      <c r="H20" s="147">
        <f>Tm_M2/C13</f>
        <v>0.73569983446753728</v>
      </c>
    </row>
    <row r="21" spans="1:10" ht="21.6" thickBot="1" x14ac:dyDescent="0.45">
      <c r="A21" s="137" t="s">
        <v>193</v>
      </c>
      <c r="B21" s="152" t="s">
        <v>188</v>
      </c>
      <c r="C21" s="152" t="s">
        <v>189</v>
      </c>
      <c r="D21" s="126"/>
      <c r="F21" s="149" t="s">
        <v>196</v>
      </c>
      <c r="G21" s="150">
        <f>'Analisi di fattibilità'!E15</f>
        <v>0.6333333333333333</v>
      </c>
      <c r="H21" s="151">
        <f>Tm_Q/C13</f>
        <v>0.69891484274416038</v>
      </c>
    </row>
    <row r="22" spans="1:10" ht="21.6" thickBot="1" x14ac:dyDescent="0.45">
      <c r="A22" s="138" t="s">
        <v>186</v>
      </c>
      <c r="B22">
        <v>5</v>
      </c>
      <c r="C22">
        <v>5</v>
      </c>
      <c r="D22" s="108" t="s">
        <v>22</v>
      </c>
    </row>
    <row r="23" spans="1:10" x14ac:dyDescent="0.4">
      <c r="A23" s="138" t="s">
        <v>197</v>
      </c>
      <c r="B23">
        <v>40</v>
      </c>
      <c r="C23">
        <v>40</v>
      </c>
      <c r="D23" s="108" t="s">
        <v>22</v>
      </c>
      <c r="F23" s="198" t="s">
        <v>187</v>
      </c>
      <c r="G23" s="199"/>
      <c r="H23" s="140" t="s">
        <v>188</v>
      </c>
      <c r="I23" s="140" t="s">
        <v>189</v>
      </c>
      <c r="J23" s="141" t="s">
        <v>199</v>
      </c>
    </row>
    <row r="24" spans="1:10" ht="21.6" thickBot="1" x14ac:dyDescent="0.45">
      <c r="A24" s="139" t="s">
        <v>198</v>
      </c>
      <c r="B24" s="44">
        <v>5</v>
      </c>
      <c r="C24" s="44">
        <v>5</v>
      </c>
      <c r="D24" s="115" t="s">
        <v>22</v>
      </c>
      <c r="F24" s="196" t="s">
        <v>200</v>
      </c>
      <c r="G24" s="197"/>
      <c r="H24">
        <v>60</v>
      </c>
      <c r="I24">
        <f>C13</f>
        <v>54.37</v>
      </c>
      <c r="J24" s="108" t="s">
        <v>22</v>
      </c>
    </row>
    <row r="25" spans="1:10" ht="21.6" thickBot="1" x14ac:dyDescent="0.45">
      <c r="F25" s="194" t="s">
        <v>193</v>
      </c>
      <c r="G25" s="143" t="s">
        <v>202</v>
      </c>
      <c r="H25">
        <v>5</v>
      </c>
      <c r="I25">
        <f>C3+C4</f>
        <v>2.23</v>
      </c>
      <c r="J25" s="108" t="s">
        <v>22</v>
      </c>
    </row>
    <row r="26" spans="1:10" x14ac:dyDescent="0.4">
      <c r="A26" s="137" t="s">
        <v>201</v>
      </c>
      <c r="B26" s="140"/>
      <c r="C26" s="140"/>
      <c r="D26" s="141"/>
      <c r="F26" s="194"/>
      <c r="G26" s="143" t="s">
        <v>184</v>
      </c>
      <c r="H26">
        <v>5</v>
      </c>
      <c r="I26">
        <f>C5+C6</f>
        <v>2.46</v>
      </c>
      <c r="J26" s="108" t="s">
        <v>22</v>
      </c>
    </row>
    <row r="27" spans="1:10" x14ac:dyDescent="0.4">
      <c r="A27" s="138" t="s">
        <v>187</v>
      </c>
      <c r="B27" s="88" t="s">
        <v>188</v>
      </c>
      <c r="C27" s="88" t="s">
        <v>189</v>
      </c>
      <c r="D27" s="108"/>
      <c r="F27" s="133" t="s">
        <v>201</v>
      </c>
      <c r="G27" s="143" t="s">
        <v>184</v>
      </c>
      <c r="H27">
        <v>5</v>
      </c>
      <c r="I27">
        <f>C7+C8</f>
        <v>2.86</v>
      </c>
      <c r="J27" s="108" t="s">
        <v>22</v>
      </c>
    </row>
    <row r="28" spans="1:10" x14ac:dyDescent="0.4">
      <c r="A28" s="138" t="s">
        <v>186</v>
      </c>
      <c r="B28">
        <v>5</v>
      </c>
      <c r="C28">
        <v>5</v>
      </c>
      <c r="D28" s="108" t="s">
        <v>22</v>
      </c>
      <c r="F28" s="194" t="s">
        <v>203</v>
      </c>
      <c r="G28" s="143" t="s">
        <v>184</v>
      </c>
      <c r="H28">
        <v>5</v>
      </c>
      <c r="I28">
        <f>C9</f>
        <v>2.87</v>
      </c>
      <c r="J28" s="108" t="s">
        <v>22</v>
      </c>
    </row>
    <row r="29" spans="1:10" ht="21.6" thickBot="1" x14ac:dyDescent="0.45">
      <c r="A29" s="138" t="s">
        <v>197</v>
      </c>
      <c r="B29">
        <v>38</v>
      </c>
      <c r="C29">
        <v>38</v>
      </c>
      <c r="D29" s="108" t="s">
        <v>22</v>
      </c>
      <c r="F29" s="195"/>
      <c r="G29" s="144" t="s">
        <v>185</v>
      </c>
      <c r="H29" s="44">
        <v>10</v>
      </c>
      <c r="I29" s="44">
        <f>C10</f>
        <v>3.56</v>
      </c>
      <c r="J29" s="115" t="s">
        <v>22</v>
      </c>
    </row>
    <row r="30" spans="1:10" x14ac:dyDescent="0.4">
      <c r="A30" s="138" t="s">
        <v>198</v>
      </c>
      <c r="B30">
        <v>5</v>
      </c>
      <c r="C30">
        <v>5</v>
      </c>
      <c r="D30" s="108" t="s">
        <v>22</v>
      </c>
    </row>
    <row r="31" spans="1:10" ht="21.6" thickBot="1" x14ac:dyDescent="0.45">
      <c r="A31" s="139" t="s">
        <v>184</v>
      </c>
      <c r="B31" s="44">
        <v>5</v>
      </c>
      <c r="C31" s="44"/>
      <c r="D31" s="115" t="s">
        <v>22</v>
      </c>
    </row>
    <row r="32" spans="1:10" ht="21.6" thickBot="1" x14ac:dyDescent="0.45"/>
    <row r="33" spans="1:4" x14ac:dyDescent="0.4">
      <c r="A33" s="137" t="s">
        <v>204</v>
      </c>
      <c r="B33" s="140"/>
      <c r="C33" s="140"/>
      <c r="D33" s="141"/>
    </row>
    <row r="34" spans="1:4" x14ac:dyDescent="0.4">
      <c r="A34" s="138" t="s">
        <v>187</v>
      </c>
      <c r="B34" s="88" t="s">
        <v>188</v>
      </c>
      <c r="C34" s="88" t="s">
        <v>189</v>
      </c>
      <c r="D34" s="108"/>
    </row>
    <row r="35" spans="1:4" x14ac:dyDescent="0.4">
      <c r="A35" s="138" t="s">
        <v>186</v>
      </c>
      <c r="B35">
        <v>5</v>
      </c>
      <c r="C35">
        <v>5</v>
      </c>
      <c r="D35" s="108" t="s">
        <v>22</v>
      </c>
    </row>
    <row r="36" spans="1:4" x14ac:dyDescent="0.4">
      <c r="A36" s="138" t="s">
        <v>197</v>
      </c>
      <c r="B36">
        <v>40</v>
      </c>
      <c r="C36">
        <v>40</v>
      </c>
      <c r="D36" s="108" t="s">
        <v>22</v>
      </c>
    </row>
    <row r="37" spans="1:4" x14ac:dyDescent="0.4">
      <c r="A37" s="138" t="s">
        <v>198</v>
      </c>
      <c r="B37">
        <v>5</v>
      </c>
      <c r="C37">
        <v>5</v>
      </c>
      <c r="D37" s="108" t="s">
        <v>22</v>
      </c>
    </row>
    <row r="38" spans="1:4" x14ac:dyDescent="0.4">
      <c r="A38" s="138" t="s">
        <v>184</v>
      </c>
      <c r="B38">
        <v>5</v>
      </c>
      <c r="D38" s="108" t="s">
        <v>22</v>
      </c>
    </row>
    <row r="39" spans="1:4" ht="21.6" thickBot="1" x14ac:dyDescent="0.45">
      <c r="A39" s="139" t="s">
        <v>185</v>
      </c>
      <c r="B39" s="44">
        <v>10</v>
      </c>
      <c r="C39" s="44"/>
      <c r="D39" s="115" t="s">
        <v>22</v>
      </c>
    </row>
    <row r="40" spans="1:4" x14ac:dyDescent="0.4"/>
    <row r="46" spans="1:4" hidden="1" x14ac:dyDescent="0.4">
      <c r="B46" s="89"/>
    </row>
  </sheetData>
  <mergeCells count="7">
    <mergeCell ref="F28:F29"/>
    <mergeCell ref="F25:F26"/>
    <mergeCell ref="F24:G24"/>
    <mergeCell ref="F23:G23"/>
    <mergeCell ref="A1:D1"/>
    <mergeCell ref="A15:D15"/>
    <mergeCell ref="F14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56B8-3FF5-4841-B158-FE35806A48A6}">
  <sheetPr>
    <pageSetUpPr fitToPage="1"/>
  </sheetPr>
  <dimension ref="A1:AM47"/>
  <sheetViews>
    <sheetView zoomScale="70" zoomScaleNormal="70" workbookViewId="0"/>
  </sheetViews>
  <sheetFormatPr defaultColWidth="0" defaultRowHeight="21" zeroHeight="1" x14ac:dyDescent="0.4"/>
  <cols>
    <col min="1" max="1" width="8.640625" style="42" customWidth="1"/>
    <col min="2" max="7" width="5.640625" customWidth="1"/>
    <col min="8" max="8" width="8.5703125" customWidth="1"/>
    <col min="9" max="14" width="5.640625" customWidth="1"/>
    <col min="15" max="15" width="8.7109375" style="42" customWidth="1"/>
    <col min="16" max="18" width="0" style="42" hidden="1" customWidth="1"/>
    <col min="19" max="39" width="0" hidden="1" customWidth="1"/>
    <col min="40" max="16384" width="8.7109375" hidden="1"/>
  </cols>
  <sheetData>
    <row r="1" spans="2:39" s="42" customFormat="1" ht="21.6" thickBot="1" x14ac:dyDescent="0.45"/>
    <row r="2" spans="2:39" ht="21.6" thickBot="1" x14ac:dyDescent="0.45">
      <c r="B2" s="102" t="s">
        <v>205</v>
      </c>
      <c r="C2" s="102" t="s">
        <v>140</v>
      </c>
      <c r="D2" s="102" t="s">
        <v>141</v>
      </c>
      <c r="E2" s="102" t="s">
        <v>142</v>
      </c>
      <c r="F2" s="102" t="s">
        <v>143</v>
      </c>
      <c r="G2" s="11" t="s">
        <v>144</v>
      </c>
      <c r="H2" s="86"/>
      <c r="I2" s="102" t="s">
        <v>206</v>
      </c>
      <c r="J2" s="102" t="s">
        <v>140</v>
      </c>
      <c r="K2" s="102" t="s">
        <v>141</v>
      </c>
      <c r="L2" s="102" t="s">
        <v>142</v>
      </c>
      <c r="M2" s="102" t="s">
        <v>143</v>
      </c>
      <c r="N2" s="102" t="s">
        <v>144</v>
      </c>
    </row>
    <row r="3" spans="2:39" ht="21.6" thickBot="1" x14ac:dyDescent="0.45">
      <c r="B3" s="90">
        <v>0</v>
      </c>
      <c r="C3" s="90"/>
      <c r="D3" s="90"/>
      <c r="E3" s="90"/>
      <c r="F3" s="90"/>
      <c r="G3" s="90"/>
      <c r="H3" s="46"/>
      <c r="I3" s="91">
        <v>180</v>
      </c>
      <c r="J3" s="91"/>
      <c r="K3" s="92">
        <v>3</v>
      </c>
      <c r="L3" s="93">
        <v>2</v>
      </c>
      <c r="M3" s="94">
        <v>1</v>
      </c>
      <c r="N3" s="90"/>
    </row>
    <row r="4" spans="2:39" ht="21.6" thickBot="1" x14ac:dyDescent="0.45">
      <c r="B4" s="95">
        <v>5</v>
      </c>
      <c r="C4" s="96">
        <v>1</v>
      </c>
      <c r="D4" s="95"/>
      <c r="E4" s="95"/>
      <c r="F4" s="95"/>
      <c r="G4" s="95"/>
      <c r="H4" s="46"/>
      <c r="I4" s="95">
        <v>185</v>
      </c>
      <c r="J4" s="95"/>
      <c r="K4" s="97">
        <v>3</v>
      </c>
      <c r="L4" s="98">
        <v>2</v>
      </c>
      <c r="M4" s="99">
        <v>1</v>
      </c>
      <c r="N4" s="95"/>
    </row>
    <row r="5" spans="2:39" ht="21.6" thickBot="1" x14ac:dyDescent="0.45">
      <c r="B5" s="95">
        <v>10</v>
      </c>
      <c r="C5" s="96">
        <v>1</v>
      </c>
      <c r="D5" s="95"/>
      <c r="E5" s="95"/>
      <c r="F5" s="95"/>
      <c r="G5" s="95"/>
      <c r="H5" s="46"/>
      <c r="I5" s="100">
        <v>190</v>
      </c>
      <c r="J5" s="95"/>
      <c r="K5" s="97">
        <v>3</v>
      </c>
      <c r="L5" s="98">
        <v>2</v>
      </c>
      <c r="M5" s="99">
        <v>1</v>
      </c>
      <c r="N5" s="95"/>
    </row>
    <row r="6" spans="2:39" ht="21.6" thickBot="1" x14ac:dyDescent="0.45">
      <c r="B6" s="95">
        <v>15</v>
      </c>
      <c r="C6" s="96">
        <v>1</v>
      </c>
      <c r="D6" s="95"/>
      <c r="E6" s="95"/>
      <c r="F6" s="95"/>
      <c r="G6" s="95"/>
      <c r="H6" s="46"/>
      <c r="I6" s="95">
        <v>195</v>
      </c>
      <c r="J6" s="95"/>
      <c r="K6" s="97">
        <v>3</v>
      </c>
      <c r="L6" s="95"/>
      <c r="M6" s="99">
        <v>2</v>
      </c>
      <c r="N6" s="95"/>
      <c r="T6" s="56"/>
      <c r="U6" s="56"/>
      <c r="V6" s="56"/>
      <c r="W6" s="56"/>
      <c r="X6" s="56"/>
      <c r="Y6" s="57"/>
      <c r="AA6" s="56"/>
      <c r="AB6" s="56"/>
      <c r="AC6" s="56"/>
      <c r="AD6" s="56"/>
      <c r="AE6" s="56"/>
      <c r="AF6" s="57"/>
      <c r="AH6" s="56"/>
      <c r="AI6" s="56"/>
      <c r="AJ6" s="56"/>
      <c r="AK6" s="56"/>
      <c r="AL6" s="56"/>
      <c r="AM6" s="57"/>
    </row>
    <row r="7" spans="2:39" ht="21.6" thickBot="1" x14ac:dyDescent="0.45">
      <c r="B7" s="95">
        <v>20</v>
      </c>
      <c r="C7" s="95"/>
      <c r="D7" s="97">
        <v>1</v>
      </c>
      <c r="E7" s="95"/>
      <c r="F7" s="95"/>
      <c r="G7" s="95"/>
      <c r="H7" s="46"/>
      <c r="I7" s="95">
        <v>200</v>
      </c>
      <c r="J7" s="95"/>
      <c r="K7" s="97">
        <v>3</v>
      </c>
      <c r="L7" s="95"/>
      <c r="M7" s="99">
        <v>2</v>
      </c>
      <c r="N7" s="95"/>
      <c r="T7" s="58"/>
      <c r="U7" s="58"/>
      <c r="V7" s="58"/>
      <c r="W7" s="58"/>
      <c r="X7" s="58"/>
      <c r="Y7" s="58"/>
      <c r="AA7" s="47"/>
      <c r="AB7" s="47"/>
      <c r="AC7" s="49"/>
      <c r="AD7" s="47"/>
      <c r="AE7" s="59"/>
      <c r="AF7" s="47"/>
      <c r="AH7" s="47"/>
      <c r="AI7" s="47"/>
      <c r="AJ7" s="49"/>
      <c r="AK7" s="50"/>
      <c r="AL7" s="47"/>
      <c r="AM7" s="51"/>
    </row>
    <row r="8" spans="2:39" ht="21.6" thickBot="1" x14ac:dyDescent="0.45">
      <c r="B8" s="95">
        <v>25</v>
      </c>
      <c r="C8" s="95"/>
      <c r="D8" s="97">
        <v>1</v>
      </c>
      <c r="E8" s="95"/>
      <c r="F8" s="95"/>
      <c r="G8" s="95"/>
      <c r="H8" s="46"/>
      <c r="I8" s="95">
        <v>205</v>
      </c>
      <c r="J8" s="95"/>
      <c r="K8" s="97">
        <v>3</v>
      </c>
      <c r="L8" s="95"/>
      <c r="M8" s="99">
        <v>2</v>
      </c>
      <c r="N8" s="95"/>
      <c r="T8" s="47"/>
      <c r="U8" s="48"/>
      <c r="V8" s="47"/>
      <c r="W8" s="47"/>
      <c r="X8" s="47"/>
      <c r="Y8" s="47"/>
      <c r="AA8" s="47"/>
      <c r="AB8" s="47"/>
      <c r="AC8" s="49"/>
      <c r="AD8" s="47"/>
      <c r="AE8" s="59"/>
      <c r="AF8" s="47"/>
      <c r="AH8" s="47"/>
      <c r="AI8" s="47"/>
      <c r="AJ8" s="49"/>
      <c r="AK8" s="50"/>
      <c r="AL8" s="59"/>
      <c r="AM8" s="47"/>
    </row>
    <row r="9" spans="2:39" ht="21.6" thickBot="1" x14ac:dyDescent="0.45">
      <c r="B9" s="95">
        <v>30</v>
      </c>
      <c r="C9" s="95"/>
      <c r="D9" s="97">
        <v>1</v>
      </c>
      <c r="E9" s="95"/>
      <c r="F9" s="95"/>
      <c r="G9" s="95"/>
      <c r="H9" s="46"/>
      <c r="I9" s="95">
        <v>210</v>
      </c>
      <c r="J9" s="96">
        <v>3</v>
      </c>
      <c r="K9" s="95"/>
      <c r="L9" s="95"/>
      <c r="M9" s="99">
        <v>2</v>
      </c>
      <c r="N9" s="95"/>
      <c r="T9" s="47"/>
      <c r="U9" s="48"/>
      <c r="V9" s="47"/>
      <c r="W9" s="47"/>
      <c r="X9" s="47"/>
      <c r="Y9" s="47"/>
      <c r="AA9" s="47"/>
      <c r="AB9" s="48"/>
      <c r="AC9" s="47"/>
      <c r="AD9" s="47"/>
      <c r="AE9" s="59"/>
      <c r="AF9" s="47"/>
      <c r="AH9" s="47"/>
      <c r="AI9" s="47"/>
      <c r="AJ9" s="49"/>
      <c r="AK9" s="50"/>
      <c r="AL9" s="59"/>
      <c r="AM9" s="47"/>
    </row>
    <row r="10" spans="2:39" ht="21.6" thickBot="1" x14ac:dyDescent="0.45">
      <c r="B10" s="95">
        <v>35</v>
      </c>
      <c r="C10" s="95"/>
      <c r="D10" s="97">
        <v>1</v>
      </c>
      <c r="E10" s="95"/>
      <c r="F10" s="95"/>
      <c r="G10" s="95"/>
      <c r="H10" s="46"/>
      <c r="I10" s="95">
        <v>215</v>
      </c>
      <c r="J10" s="96">
        <v>3</v>
      </c>
      <c r="K10" s="95"/>
      <c r="L10" s="95"/>
      <c r="M10" s="95"/>
      <c r="N10" s="101">
        <v>2</v>
      </c>
      <c r="T10" s="47"/>
      <c r="U10" s="48"/>
      <c r="V10" s="47"/>
      <c r="W10" s="47"/>
      <c r="X10" s="47"/>
      <c r="Y10" s="47"/>
      <c r="AA10" s="47"/>
      <c r="AB10" s="48"/>
      <c r="AC10" s="47"/>
      <c r="AD10" s="47"/>
      <c r="AE10" s="47"/>
      <c r="AF10" s="51"/>
      <c r="AH10" s="52"/>
      <c r="AI10" s="47"/>
      <c r="AJ10" s="49"/>
      <c r="AK10" s="50"/>
      <c r="AL10" s="59"/>
      <c r="AM10" s="47"/>
    </row>
    <row r="11" spans="2:39" ht="21.6" thickBot="1" x14ac:dyDescent="0.45">
      <c r="B11" s="95">
        <v>40</v>
      </c>
      <c r="C11" s="95"/>
      <c r="D11" s="97">
        <v>1</v>
      </c>
      <c r="E11" s="95"/>
      <c r="F11" s="95"/>
      <c r="G11" s="95"/>
      <c r="H11" s="46"/>
      <c r="I11" s="95">
        <v>220</v>
      </c>
      <c r="J11" s="96">
        <v>3</v>
      </c>
      <c r="K11" s="95"/>
      <c r="L11" s="95"/>
      <c r="M11" s="95"/>
      <c r="N11" s="101">
        <v>2</v>
      </c>
      <c r="T11" s="47"/>
      <c r="U11" s="47"/>
      <c r="V11" s="49"/>
      <c r="W11" s="47"/>
      <c r="X11" s="47"/>
      <c r="Y11" s="47"/>
      <c r="AA11" s="47"/>
      <c r="AB11" s="48"/>
      <c r="AC11" s="47"/>
      <c r="AD11" s="47"/>
      <c r="AE11" s="47"/>
      <c r="AF11" s="51"/>
      <c r="AH11" s="47"/>
      <c r="AI11" s="47"/>
      <c r="AJ11" s="49"/>
      <c r="AK11" s="47"/>
      <c r="AL11" s="59"/>
      <c r="AM11" s="47"/>
    </row>
    <row r="12" spans="2:39" ht="21.6" thickBot="1" x14ac:dyDescent="0.45">
      <c r="B12" s="95">
        <v>45</v>
      </c>
      <c r="C12" s="95"/>
      <c r="D12" s="97">
        <v>1</v>
      </c>
      <c r="E12" s="95"/>
      <c r="F12" s="95"/>
      <c r="G12" s="95"/>
      <c r="H12" s="46"/>
      <c r="I12" s="95">
        <v>225</v>
      </c>
      <c r="J12" s="96">
        <v>3</v>
      </c>
      <c r="K12" s="95"/>
      <c r="L12" s="95"/>
      <c r="M12" s="95"/>
      <c r="N12" s="101">
        <v>2</v>
      </c>
      <c r="T12" s="47"/>
      <c r="U12" s="47"/>
      <c r="V12" s="49"/>
      <c r="W12" s="47"/>
      <c r="X12" s="47"/>
      <c r="Y12" s="47"/>
      <c r="AA12" s="47"/>
      <c r="AB12" s="48"/>
      <c r="AC12" s="47"/>
      <c r="AD12" s="47"/>
      <c r="AE12" s="47"/>
      <c r="AF12" s="51"/>
      <c r="AH12" s="47"/>
      <c r="AI12" s="47"/>
      <c r="AJ12" s="49"/>
      <c r="AK12" s="47"/>
      <c r="AL12" s="59"/>
      <c r="AM12" s="47"/>
    </row>
    <row r="13" spans="2:39" ht="21.6" thickBot="1" x14ac:dyDescent="0.45">
      <c r="B13" s="95">
        <v>50</v>
      </c>
      <c r="C13" s="95"/>
      <c r="D13" s="97">
        <v>1</v>
      </c>
      <c r="E13" s="95"/>
      <c r="F13" s="95"/>
      <c r="G13" s="95"/>
      <c r="H13" s="46"/>
      <c r="I13" s="95">
        <v>230</v>
      </c>
      <c r="J13" s="96">
        <v>4</v>
      </c>
      <c r="K13" s="95"/>
      <c r="L13" s="98">
        <v>3</v>
      </c>
      <c r="M13" s="95"/>
      <c r="N13" s="101">
        <v>2</v>
      </c>
      <c r="T13" s="47"/>
      <c r="U13" s="47"/>
      <c r="V13" s="49"/>
      <c r="W13" s="47"/>
      <c r="X13" s="47"/>
      <c r="Y13" s="47"/>
      <c r="AA13" s="47"/>
      <c r="AB13" s="48"/>
      <c r="AC13" s="47"/>
      <c r="AD13" s="50"/>
      <c r="AE13" s="47"/>
      <c r="AF13" s="51"/>
      <c r="AH13" s="47"/>
      <c r="AI13" s="47"/>
      <c r="AJ13" s="49"/>
      <c r="AK13" s="47"/>
      <c r="AL13" s="59"/>
      <c r="AM13" s="47"/>
    </row>
    <row r="14" spans="2:39" ht="21.6" thickBot="1" x14ac:dyDescent="0.45">
      <c r="B14" s="95">
        <v>55</v>
      </c>
      <c r="C14" s="95"/>
      <c r="D14" s="97">
        <v>1</v>
      </c>
      <c r="E14" s="95"/>
      <c r="F14" s="95"/>
      <c r="G14" s="95"/>
      <c r="H14" s="46"/>
      <c r="I14" s="95">
        <v>235</v>
      </c>
      <c r="J14" s="96">
        <v>4</v>
      </c>
      <c r="K14" s="95"/>
      <c r="L14" s="98">
        <v>3</v>
      </c>
      <c r="M14" s="95"/>
      <c r="N14" s="101">
        <v>2</v>
      </c>
      <c r="T14" s="47"/>
      <c r="U14" s="47"/>
      <c r="V14" s="49"/>
      <c r="W14" s="47"/>
      <c r="X14" s="47"/>
      <c r="Y14" s="47"/>
      <c r="AA14" s="47"/>
      <c r="AB14" s="48"/>
      <c r="AC14" s="47"/>
      <c r="AD14" s="50"/>
      <c r="AE14" s="47"/>
      <c r="AF14" s="51"/>
      <c r="AH14" s="47"/>
      <c r="AI14" s="48"/>
      <c r="AJ14" s="47"/>
      <c r="AK14" s="47"/>
      <c r="AL14" s="59"/>
      <c r="AM14" s="47"/>
    </row>
    <row r="15" spans="2:39" ht="21.6" thickBot="1" x14ac:dyDescent="0.45">
      <c r="B15" s="95">
        <v>60</v>
      </c>
      <c r="C15" s="96">
        <v>1</v>
      </c>
      <c r="D15" s="95"/>
      <c r="E15" s="95"/>
      <c r="F15" s="95"/>
      <c r="G15" s="95"/>
      <c r="H15" s="46"/>
      <c r="I15" s="95">
        <v>240</v>
      </c>
      <c r="J15" s="96">
        <v>4</v>
      </c>
      <c r="K15" s="95"/>
      <c r="L15" s="98">
        <v>3</v>
      </c>
      <c r="M15" s="95"/>
      <c r="N15" s="101">
        <v>2</v>
      </c>
      <c r="T15" s="47"/>
      <c r="U15" s="47"/>
      <c r="V15" s="49"/>
      <c r="W15" s="47"/>
      <c r="X15" s="47"/>
      <c r="Y15" s="47"/>
      <c r="AA15" s="47"/>
      <c r="AB15" s="48"/>
      <c r="AC15" s="47"/>
      <c r="AD15" s="50"/>
      <c r="AE15" s="47"/>
      <c r="AF15" s="51"/>
      <c r="AH15" s="47"/>
      <c r="AI15" s="48"/>
      <c r="AJ15" s="47"/>
      <c r="AK15" s="47"/>
      <c r="AL15" s="47"/>
      <c r="AM15" s="51"/>
    </row>
    <row r="16" spans="2:39" ht="21.6" thickBot="1" x14ac:dyDescent="0.45">
      <c r="B16" s="95">
        <v>65</v>
      </c>
      <c r="C16" s="96">
        <v>1</v>
      </c>
      <c r="D16" s="95"/>
      <c r="E16" s="95"/>
      <c r="F16" s="95"/>
      <c r="G16" s="95"/>
      <c r="H16" s="46"/>
      <c r="I16" s="95">
        <v>245</v>
      </c>
      <c r="J16" s="95"/>
      <c r="K16" s="97">
        <v>4</v>
      </c>
      <c r="L16" s="98">
        <v>3</v>
      </c>
      <c r="M16" s="95"/>
      <c r="N16" s="101">
        <v>2</v>
      </c>
      <c r="T16" s="47"/>
      <c r="U16" s="47"/>
      <c r="V16" s="49"/>
      <c r="W16" s="47"/>
      <c r="X16" s="47"/>
      <c r="Y16" s="47"/>
      <c r="AA16" s="47"/>
      <c r="AB16" s="47"/>
      <c r="AC16" s="49"/>
      <c r="AD16" s="50"/>
      <c r="AE16" s="47"/>
      <c r="AF16" s="51"/>
      <c r="AH16" s="47"/>
      <c r="AI16" s="48"/>
      <c r="AJ16" s="47"/>
      <c r="AK16" s="47"/>
      <c r="AL16" s="47"/>
      <c r="AM16" s="51"/>
    </row>
    <row r="17" spans="2:39" ht="21.6" thickBot="1" x14ac:dyDescent="0.45">
      <c r="B17" s="95">
        <v>70</v>
      </c>
      <c r="C17" s="96">
        <v>1</v>
      </c>
      <c r="D17" s="95"/>
      <c r="E17" s="95"/>
      <c r="F17" s="95"/>
      <c r="G17" s="95"/>
      <c r="H17" s="46"/>
      <c r="I17" s="95">
        <v>250</v>
      </c>
      <c r="J17" s="95"/>
      <c r="K17" s="97">
        <v>4</v>
      </c>
      <c r="L17" s="98">
        <v>3</v>
      </c>
      <c r="M17" s="95"/>
      <c r="N17" s="101">
        <v>2</v>
      </c>
      <c r="T17" s="47"/>
      <c r="U17" s="47"/>
      <c r="V17" s="49"/>
      <c r="W17" s="47"/>
      <c r="X17" s="47"/>
      <c r="Y17" s="47"/>
      <c r="AA17" s="47"/>
      <c r="AB17" s="47"/>
      <c r="AC17" s="49"/>
      <c r="AD17" s="50"/>
      <c r="AE17" s="47"/>
      <c r="AF17" s="51"/>
      <c r="AH17" s="47"/>
      <c r="AI17" s="48"/>
      <c r="AJ17" s="47"/>
      <c r="AK17" s="47"/>
      <c r="AL17" s="47"/>
      <c r="AM17" s="51"/>
    </row>
    <row r="18" spans="2:39" ht="21.6" thickBot="1" x14ac:dyDescent="0.45">
      <c r="B18" s="95">
        <v>75</v>
      </c>
      <c r="C18" s="96">
        <v>1</v>
      </c>
      <c r="D18" s="95"/>
      <c r="E18" s="95"/>
      <c r="F18" s="95"/>
      <c r="G18" s="95"/>
      <c r="H18" s="46"/>
      <c r="I18" s="95">
        <v>255</v>
      </c>
      <c r="J18" s="95"/>
      <c r="K18" s="97">
        <v>4</v>
      </c>
      <c r="L18" s="98">
        <v>3</v>
      </c>
      <c r="M18" s="99">
        <v>2</v>
      </c>
      <c r="N18" s="95"/>
      <c r="T18" s="47"/>
      <c r="U18" s="47"/>
      <c r="V18" s="49"/>
      <c r="W18" s="47"/>
      <c r="X18" s="47"/>
      <c r="Y18" s="47"/>
      <c r="AA18" s="53"/>
      <c r="AB18" s="53"/>
      <c r="AC18" s="54"/>
      <c r="AD18" s="55"/>
      <c r="AE18" s="60"/>
      <c r="AF18" s="53"/>
      <c r="AH18" s="47"/>
      <c r="AI18" s="48"/>
      <c r="AJ18" s="47"/>
      <c r="AK18" s="50"/>
      <c r="AL18" s="47"/>
      <c r="AM18" s="51"/>
    </row>
    <row r="19" spans="2:39" ht="21.6" thickBot="1" x14ac:dyDescent="0.45">
      <c r="B19" s="95">
        <v>80</v>
      </c>
      <c r="C19" s="96">
        <v>2</v>
      </c>
      <c r="D19" s="95"/>
      <c r="E19" s="98">
        <v>1</v>
      </c>
      <c r="F19" s="95"/>
      <c r="G19" s="95"/>
      <c r="H19" s="46"/>
      <c r="I19" s="95">
        <v>260</v>
      </c>
      <c r="J19" s="95"/>
      <c r="K19" s="97">
        <v>4</v>
      </c>
      <c r="L19" s="98">
        <v>3</v>
      </c>
      <c r="M19" s="99">
        <v>2</v>
      </c>
      <c r="N19" s="95"/>
      <c r="T19" s="47"/>
      <c r="U19" s="48"/>
      <c r="V19" s="47"/>
      <c r="W19" s="47"/>
      <c r="X19" s="47"/>
      <c r="Y19" s="47"/>
      <c r="AA19" s="58"/>
      <c r="AB19" s="58"/>
      <c r="AC19" s="61"/>
      <c r="AD19" s="62"/>
      <c r="AE19" s="63"/>
      <c r="AF19" s="58"/>
      <c r="AH19" s="47"/>
      <c r="AI19" s="48"/>
      <c r="AJ19" s="47"/>
      <c r="AK19" s="50"/>
      <c r="AL19" s="47"/>
      <c r="AM19" s="51"/>
    </row>
    <row r="20" spans="2:39" ht="21.6" thickBot="1" x14ac:dyDescent="0.45">
      <c r="B20" s="95">
        <v>85</v>
      </c>
      <c r="C20" s="96">
        <v>2</v>
      </c>
      <c r="D20" s="95"/>
      <c r="E20" s="98">
        <v>1</v>
      </c>
      <c r="F20" s="95"/>
      <c r="G20" s="95"/>
      <c r="H20" s="46"/>
      <c r="I20" s="100">
        <v>265</v>
      </c>
      <c r="J20" s="95"/>
      <c r="K20" s="97">
        <v>4</v>
      </c>
      <c r="L20" s="98">
        <v>3</v>
      </c>
      <c r="M20" s="99">
        <v>2</v>
      </c>
      <c r="N20" s="95"/>
      <c r="T20" s="47"/>
      <c r="U20" s="48"/>
      <c r="V20" s="47"/>
      <c r="W20" s="47"/>
      <c r="X20" s="47"/>
      <c r="Y20" s="47"/>
      <c r="AA20" s="52"/>
      <c r="AB20" s="47"/>
      <c r="AC20" s="49"/>
      <c r="AD20" s="50"/>
      <c r="AE20" s="59"/>
      <c r="AF20" s="47"/>
      <c r="AH20" s="47"/>
      <c r="AI20" s="48"/>
      <c r="AJ20" s="47"/>
      <c r="AK20" s="50"/>
      <c r="AL20" s="47"/>
      <c r="AM20" s="51"/>
    </row>
    <row r="21" spans="2:39" ht="21.6" thickBot="1" x14ac:dyDescent="0.45">
      <c r="B21" s="95">
        <v>90</v>
      </c>
      <c r="C21" s="96">
        <v>2</v>
      </c>
      <c r="D21" s="95"/>
      <c r="E21" s="98">
        <v>1</v>
      </c>
      <c r="F21" s="95"/>
      <c r="G21" s="95"/>
      <c r="H21" s="46"/>
      <c r="I21" s="95">
        <v>270</v>
      </c>
      <c r="J21" s="95"/>
      <c r="K21" s="97">
        <v>4</v>
      </c>
      <c r="L21" s="95"/>
      <c r="M21" s="99">
        <v>3</v>
      </c>
      <c r="N21" s="95"/>
      <c r="T21" s="47"/>
      <c r="U21" s="48"/>
      <c r="V21" s="47"/>
      <c r="W21" s="47"/>
      <c r="X21" s="47"/>
      <c r="Y21" s="47"/>
      <c r="AA21" s="47"/>
      <c r="AB21" s="47"/>
      <c r="AC21" s="49"/>
      <c r="AD21" s="47"/>
      <c r="AE21" s="59"/>
      <c r="AF21" s="47"/>
      <c r="AH21" s="47"/>
      <c r="AI21" s="47"/>
      <c r="AJ21" s="49"/>
      <c r="AK21" s="50"/>
      <c r="AL21" s="47"/>
      <c r="AM21" s="51"/>
    </row>
    <row r="22" spans="2:39" ht="21.6" thickBot="1" x14ac:dyDescent="0.45">
      <c r="B22" s="95">
        <v>95</v>
      </c>
      <c r="C22" s="95"/>
      <c r="D22" s="97">
        <v>2</v>
      </c>
      <c r="E22" s="98">
        <v>1</v>
      </c>
      <c r="F22" s="95"/>
      <c r="G22" s="95"/>
      <c r="H22" s="46"/>
      <c r="I22" s="95">
        <v>275</v>
      </c>
      <c r="J22" s="95"/>
      <c r="K22" s="97">
        <v>4</v>
      </c>
      <c r="L22" s="95"/>
      <c r="M22" s="99">
        <v>3</v>
      </c>
      <c r="N22" s="95"/>
      <c r="T22" s="47"/>
      <c r="U22" s="48"/>
      <c r="V22" s="47"/>
      <c r="W22" s="47"/>
      <c r="X22" s="47"/>
      <c r="Y22" s="47"/>
      <c r="AA22" s="47"/>
      <c r="AB22" s="47"/>
      <c r="AC22" s="49"/>
      <c r="AD22" s="47"/>
      <c r="AE22" s="59"/>
      <c r="AF22" s="47"/>
      <c r="AH22" s="47"/>
      <c r="AI22" s="47"/>
      <c r="AJ22" s="49"/>
      <c r="AK22" s="50"/>
      <c r="AL22" s="47"/>
      <c r="AM22" s="51"/>
    </row>
    <row r="23" spans="2:39" ht="21.6" thickBot="1" x14ac:dyDescent="0.45">
      <c r="B23" s="95">
        <v>100</v>
      </c>
      <c r="C23" s="95"/>
      <c r="D23" s="97">
        <v>2</v>
      </c>
      <c r="E23" s="98">
        <v>1</v>
      </c>
      <c r="F23" s="95"/>
      <c r="G23" s="95"/>
      <c r="H23" s="46"/>
      <c r="I23" s="95">
        <v>280</v>
      </c>
      <c r="J23" s="95"/>
      <c r="K23" s="97">
        <v>4</v>
      </c>
      <c r="L23" s="95"/>
      <c r="M23" s="99">
        <v>3</v>
      </c>
      <c r="N23" s="95"/>
      <c r="T23" s="47"/>
      <c r="U23" s="48"/>
      <c r="V23" s="47"/>
      <c r="W23" s="50"/>
      <c r="X23" s="47"/>
      <c r="Y23" s="47"/>
      <c r="AA23" s="47"/>
      <c r="AB23" s="47"/>
      <c r="AC23" s="49"/>
      <c r="AD23" s="47"/>
      <c r="AE23" s="59"/>
      <c r="AF23" s="47"/>
      <c r="AH23" s="47"/>
      <c r="AI23" s="47"/>
      <c r="AJ23" s="49"/>
      <c r="AK23" s="50"/>
      <c r="AL23" s="59"/>
      <c r="AM23" s="47"/>
    </row>
    <row r="24" spans="2:39" ht="21.6" thickBot="1" x14ac:dyDescent="0.45">
      <c r="B24" s="95">
        <v>105</v>
      </c>
      <c r="C24" s="95"/>
      <c r="D24" s="97">
        <v>2</v>
      </c>
      <c r="E24" s="98">
        <v>1</v>
      </c>
      <c r="F24" s="95"/>
      <c r="G24" s="95"/>
      <c r="H24" s="46"/>
      <c r="I24" s="95">
        <v>285</v>
      </c>
      <c r="J24" s="96">
        <v>4</v>
      </c>
      <c r="K24" s="95"/>
      <c r="L24" s="95"/>
      <c r="M24" s="99">
        <v>3</v>
      </c>
      <c r="N24" s="95"/>
      <c r="T24" s="47"/>
      <c r="U24" s="48"/>
      <c r="V24" s="47"/>
      <c r="W24" s="50"/>
      <c r="X24" s="47"/>
      <c r="Y24" s="47"/>
      <c r="AA24" s="47"/>
      <c r="AB24" s="48"/>
      <c r="AC24" s="47"/>
      <c r="AD24" s="47"/>
      <c r="AE24" s="59"/>
      <c r="AF24" s="47"/>
      <c r="AH24" s="47"/>
      <c r="AI24" s="47"/>
      <c r="AJ24" s="49"/>
      <c r="AK24" s="50"/>
      <c r="AL24" s="59"/>
      <c r="AM24" s="47"/>
    </row>
    <row r="25" spans="2:39" ht="21.6" thickBot="1" x14ac:dyDescent="0.45">
      <c r="B25" s="95">
        <v>110</v>
      </c>
      <c r="C25" s="95"/>
      <c r="D25" s="97">
        <v>2</v>
      </c>
      <c r="E25" s="98">
        <v>1</v>
      </c>
      <c r="F25" s="95"/>
      <c r="G25" s="95"/>
      <c r="H25" s="46"/>
      <c r="I25" s="95">
        <v>290</v>
      </c>
      <c r="J25" s="96">
        <v>4</v>
      </c>
      <c r="K25" s="95"/>
      <c r="L25" s="95"/>
      <c r="M25" s="95"/>
      <c r="N25" s="101">
        <v>3</v>
      </c>
      <c r="T25" s="47"/>
      <c r="U25" s="48"/>
      <c r="V25" s="47"/>
      <c r="W25" s="50"/>
      <c r="X25" s="47"/>
      <c r="Y25" s="47"/>
      <c r="AA25" s="47"/>
      <c r="AB25" s="48"/>
      <c r="AC25" s="47"/>
      <c r="AD25" s="47"/>
      <c r="AE25" s="47"/>
      <c r="AF25" s="51"/>
      <c r="AH25" s="47"/>
      <c r="AI25" s="47"/>
      <c r="AJ25" s="49"/>
      <c r="AK25" s="50"/>
      <c r="AL25" s="59"/>
      <c r="AM25" s="47"/>
    </row>
    <row r="26" spans="2:39" ht="21.6" thickBot="1" x14ac:dyDescent="0.45">
      <c r="B26" s="95">
        <v>115</v>
      </c>
      <c r="C26" s="95"/>
      <c r="D26" s="97">
        <v>2</v>
      </c>
      <c r="E26" s="98">
        <v>1</v>
      </c>
      <c r="F26" s="95"/>
      <c r="G26" s="95"/>
      <c r="H26" s="46"/>
      <c r="I26" s="95">
        <v>295</v>
      </c>
      <c r="J26" s="96">
        <v>4</v>
      </c>
      <c r="K26" s="95"/>
      <c r="L26" s="95"/>
      <c r="M26" s="95"/>
      <c r="N26" s="101">
        <v>3</v>
      </c>
      <c r="T26" s="47"/>
      <c r="U26" s="47"/>
      <c r="V26" s="49"/>
      <c r="W26" s="50"/>
      <c r="X26" s="47"/>
      <c r="Y26" s="47"/>
      <c r="AA26" s="47"/>
      <c r="AB26" s="48"/>
      <c r="AC26" s="47"/>
      <c r="AD26" s="47"/>
      <c r="AE26" s="47"/>
      <c r="AF26" s="51"/>
      <c r="AH26" s="47"/>
      <c r="AI26" s="47"/>
      <c r="AJ26" s="49"/>
      <c r="AK26" s="47"/>
      <c r="AL26" s="59"/>
      <c r="AM26" s="47"/>
    </row>
    <row r="27" spans="2:39" ht="21.6" thickBot="1" x14ac:dyDescent="0.45">
      <c r="B27" s="95">
        <v>120</v>
      </c>
      <c r="C27" s="95"/>
      <c r="D27" s="97">
        <v>2</v>
      </c>
      <c r="E27" s="95"/>
      <c r="F27" s="99">
        <v>1</v>
      </c>
      <c r="G27" s="95"/>
      <c r="H27" s="46"/>
      <c r="I27" s="95">
        <v>300</v>
      </c>
      <c r="J27" s="96">
        <v>4</v>
      </c>
      <c r="K27" s="95"/>
      <c r="L27" s="95"/>
      <c r="M27" s="95"/>
      <c r="N27" s="101">
        <v>3</v>
      </c>
      <c r="T27" s="47"/>
      <c r="U27" s="47"/>
      <c r="V27" s="49"/>
      <c r="W27" s="50"/>
      <c r="X27" s="47"/>
      <c r="Y27" s="47"/>
      <c r="AA27" s="47"/>
      <c r="AB27" s="48"/>
      <c r="AC27" s="47"/>
      <c r="AD27" s="47"/>
      <c r="AE27" s="47"/>
      <c r="AF27" s="51"/>
      <c r="AH27" s="47"/>
      <c r="AI27" s="47"/>
      <c r="AJ27" s="49"/>
      <c r="AK27" s="47"/>
      <c r="AL27" s="59"/>
      <c r="AM27" s="47"/>
    </row>
    <row r="28" spans="2:39" ht="21.6" thickBot="1" x14ac:dyDescent="0.45">
      <c r="B28" s="95">
        <v>125</v>
      </c>
      <c r="C28" s="95"/>
      <c r="D28" s="97">
        <v>2</v>
      </c>
      <c r="E28" s="95"/>
      <c r="F28" s="99">
        <v>1</v>
      </c>
      <c r="G28" s="95"/>
      <c r="H28" s="46"/>
      <c r="I28" s="95">
        <v>305</v>
      </c>
      <c r="J28" s="96">
        <v>5</v>
      </c>
      <c r="K28" s="95"/>
      <c r="L28" s="98">
        <v>4</v>
      </c>
      <c r="M28" s="95"/>
      <c r="N28" s="101">
        <v>3</v>
      </c>
      <c r="T28" s="47"/>
      <c r="U28" s="47"/>
      <c r="V28" s="49"/>
      <c r="W28" s="50"/>
      <c r="X28" s="47"/>
      <c r="Y28" s="47"/>
      <c r="AA28" s="47"/>
      <c r="AB28" s="48"/>
      <c r="AC28" s="47"/>
      <c r="AD28" s="50"/>
      <c r="AE28" s="47"/>
      <c r="AF28" s="51"/>
      <c r="AH28" s="47"/>
      <c r="AI28" s="47"/>
      <c r="AJ28" s="49"/>
      <c r="AK28" s="47"/>
      <c r="AL28" s="59"/>
      <c r="AM28" s="47"/>
    </row>
    <row r="29" spans="2:39" ht="21.6" thickBot="1" x14ac:dyDescent="0.45">
      <c r="B29" s="95">
        <v>130</v>
      </c>
      <c r="C29" s="95"/>
      <c r="D29" s="97">
        <v>2</v>
      </c>
      <c r="E29" s="95"/>
      <c r="F29" s="99">
        <v>1</v>
      </c>
      <c r="G29" s="95"/>
      <c r="H29" s="46"/>
      <c r="I29" s="95">
        <v>310</v>
      </c>
      <c r="J29" s="96">
        <v>5</v>
      </c>
      <c r="K29" s="95"/>
      <c r="L29" s="98">
        <v>4</v>
      </c>
      <c r="M29" s="95"/>
      <c r="N29" s="101">
        <v>3</v>
      </c>
      <c r="T29" s="47"/>
      <c r="U29" s="47"/>
      <c r="V29" s="49"/>
      <c r="W29" s="50"/>
      <c r="X29" s="47"/>
      <c r="Y29" s="47"/>
      <c r="AA29" s="47"/>
      <c r="AB29" s="48"/>
      <c r="AC29" s="47"/>
      <c r="AD29" s="50"/>
      <c r="AE29" s="47"/>
      <c r="AF29" s="51"/>
      <c r="AH29" s="64"/>
      <c r="AI29" s="64"/>
      <c r="AJ29" s="64"/>
      <c r="AK29" s="64"/>
      <c r="AL29" s="65"/>
      <c r="AM29" s="64"/>
    </row>
    <row r="30" spans="2:39" ht="21.6" thickBot="1" x14ac:dyDescent="0.45">
      <c r="B30" s="95">
        <v>135</v>
      </c>
      <c r="C30" s="96">
        <v>2</v>
      </c>
      <c r="D30" s="95"/>
      <c r="E30" s="95"/>
      <c r="F30" s="99">
        <v>1</v>
      </c>
      <c r="G30" s="95"/>
      <c r="H30" s="46"/>
      <c r="I30" s="95">
        <v>315</v>
      </c>
      <c r="J30" s="96">
        <v>5</v>
      </c>
      <c r="K30" s="95"/>
      <c r="L30" s="98">
        <v>4</v>
      </c>
      <c r="M30" s="95"/>
      <c r="N30" s="101">
        <v>3</v>
      </c>
      <c r="T30" s="47"/>
      <c r="U30" s="47"/>
      <c r="V30" s="49"/>
      <c r="W30" s="50"/>
      <c r="X30" s="47"/>
      <c r="Y30" s="47"/>
      <c r="AA30" s="47"/>
      <c r="AB30" s="48"/>
      <c r="AC30" s="47"/>
      <c r="AD30" s="50"/>
      <c r="AE30" s="47"/>
      <c r="AF30" s="51"/>
    </row>
    <row r="31" spans="2:39" ht="21.6" thickBot="1" x14ac:dyDescent="0.45">
      <c r="B31" s="95">
        <v>140</v>
      </c>
      <c r="C31" s="96">
        <v>2</v>
      </c>
      <c r="D31" s="95"/>
      <c r="E31" s="95"/>
      <c r="F31" s="95"/>
      <c r="G31" s="101">
        <v>1</v>
      </c>
      <c r="H31" s="46"/>
      <c r="I31" s="95">
        <v>320</v>
      </c>
      <c r="J31" s="95"/>
      <c r="K31" s="97">
        <v>5</v>
      </c>
      <c r="L31" s="98">
        <v>4</v>
      </c>
      <c r="M31" s="95"/>
      <c r="N31" s="101">
        <v>3</v>
      </c>
      <c r="T31" s="47"/>
      <c r="U31" s="47"/>
      <c r="V31" s="49"/>
      <c r="W31" s="47"/>
      <c r="X31" s="59"/>
      <c r="Y31" s="47"/>
      <c r="AA31" s="47"/>
      <c r="AB31" s="47"/>
      <c r="AC31" s="49"/>
      <c r="AD31" s="50"/>
      <c r="AE31" s="47"/>
      <c r="AF31" s="51"/>
    </row>
    <row r="32" spans="2:39" ht="21.6" thickBot="1" x14ac:dyDescent="0.45">
      <c r="B32" s="95">
        <v>145</v>
      </c>
      <c r="C32" s="96">
        <v>2</v>
      </c>
      <c r="D32" s="95"/>
      <c r="E32" s="95"/>
      <c r="F32" s="95"/>
      <c r="G32" s="101">
        <v>1</v>
      </c>
      <c r="H32" s="46"/>
      <c r="I32" s="95">
        <v>325</v>
      </c>
      <c r="J32" s="95"/>
      <c r="K32" s="97">
        <v>5</v>
      </c>
      <c r="L32" s="98">
        <v>4</v>
      </c>
      <c r="M32" s="95"/>
      <c r="N32" s="101">
        <v>3</v>
      </c>
    </row>
    <row r="33" spans="2:14" ht="21.6" thickBot="1" x14ac:dyDescent="0.45">
      <c r="B33" s="95">
        <v>150</v>
      </c>
      <c r="C33" s="96">
        <v>2</v>
      </c>
      <c r="D33" s="95"/>
      <c r="E33" s="95"/>
      <c r="F33" s="95"/>
      <c r="G33" s="101">
        <v>1</v>
      </c>
      <c r="H33" s="46"/>
      <c r="I33" s="95">
        <v>330</v>
      </c>
      <c r="J33" s="95"/>
      <c r="K33" s="97">
        <v>5</v>
      </c>
      <c r="L33" s="98">
        <v>4</v>
      </c>
      <c r="M33" s="99">
        <v>3</v>
      </c>
      <c r="N33" s="95"/>
    </row>
    <row r="34" spans="2:14" ht="21.6" thickBot="1" x14ac:dyDescent="0.45">
      <c r="B34" s="95">
        <v>155</v>
      </c>
      <c r="C34" s="96">
        <v>3</v>
      </c>
      <c r="D34" s="95"/>
      <c r="E34" s="98">
        <v>2</v>
      </c>
      <c r="F34" s="95"/>
      <c r="G34" s="101">
        <v>1</v>
      </c>
      <c r="H34" s="46"/>
      <c r="I34" s="95">
        <v>335</v>
      </c>
      <c r="J34" s="95"/>
      <c r="K34" s="97">
        <v>5</v>
      </c>
      <c r="L34" s="98">
        <v>4</v>
      </c>
      <c r="M34" s="99">
        <v>3</v>
      </c>
      <c r="N34" s="95"/>
    </row>
    <row r="35" spans="2:14" ht="21.6" thickBot="1" x14ac:dyDescent="0.45">
      <c r="B35" s="95">
        <v>160</v>
      </c>
      <c r="C35" s="96">
        <v>3</v>
      </c>
      <c r="D35" s="95"/>
      <c r="E35" s="98">
        <v>2</v>
      </c>
      <c r="F35" s="95"/>
      <c r="G35" s="101">
        <v>1</v>
      </c>
      <c r="H35" s="46"/>
      <c r="I35" s="95">
        <v>340</v>
      </c>
      <c r="J35" s="95"/>
      <c r="K35" s="97">
        <v>5</v>
      </c>
      <c r="L35" s="98">
        <v>4</v>
      </c>
      <c r="M35" s="99">
        <v>3</v>
      </c>
      <c r="N35" s="95"/>
    </row>
    <row r="36" spans="2:14" ht="21.6" thickBot="1" x14ac:dyDescent="0.45">
      <c r="B36" s="95">
        <v>165</v>
      </c>
      <c r="C36" s="96">
        <v>3</v>
      </c>
      <c r="D36" s="95"/>
      <c r="E36" s="98">
        <v>2</v>
      </c>
      <c r="F36" s="95"/>
      <c r="G36" s="101">
        <v>1</v>
      </c>
      <c r="H36" s="46"/>
      <c r="I36" s="95">
        <v>345</v>
      </c>
      <c r="J36" s="95"/>
      <c r="K36" s="97">
        <v>5</v>
      </c>
      <c r="L36" s="95"/>
      <c r="M36" s="99">
        <v>4</v>
      </c>
      <c r="N36" s="95"/>
    </row>
    <row r="37" spans="2:14" ht="21.6" thickBot="1" x14ac:dyDescent="0.45">
      <c r="B37" s="95">
        <v>170</v>
      </c>
      <c r="C37" s="95"/>
      <c r="D37" s="97">
        <v>3</v>
      </c>
      <c r="E37" s="98">
        <v>2</v>
      </c>
      <c r="F37" s="95"/>
      <c r="G37" s="101">
        <v>1</v>
      </c>
      <c r="H37" s="46"/>
      <c r="I37" s="95">
        <v>350</v>
      </c>
      <c r="J37" s="95"/>
      <c r="K37" s="97">
        <v>5</v>
      </c>
      <c r="L37" s="95"/>
      <c r="M37" s="99">
        <v>4</v>
      </c>
      <c r="N37" s="95"/>
    </row>
    <row r="38" spans="2:14" ht="21.6" thickBot="1" x14ac:dyDescent="0.45">
      <c r="B38" s="95">
        <v>175</v>
      </c>
      <c r="C38" s="95"/>
      <c r="D38" s="97">
        <v>3</v>
      </c>
      <c r="E38" s="98">
        <v>2</v>
      </c>
      <c r="F38" s="95"/>
      <c r="G38" s="101">
        <v>1</v>
      </c>
      <c r="H38" s="46"/>
      <c r="I38" s="95">
        <v>355</v>
      </c>
      <c r="J38" s="95"/>
      <c r="K38" s="97">
        <v>5</v>
      </c>
      <c r="L38" s="95"/>
      <c r="M38" s="99">
        <v>4</v>
      </c>
      <c r="N38" s="95"/>
    </row>
    <row r="39" spans="2:14" ht="21.6" thickBot="1" x14ac:dyDescent="0.45">
      <c r="B39" s="103">
        <v>180</v>
      </c>
      <c r="C39" s="103"/>
      <c r="D39" s="104">
        <v>3</v>
      </c>
      <c r="E39" s="105">
        <v>2</v>
      </c>
      <c r="F39" s="106">
        <v>1</v>
      </c>
      <c r="G39" s="103"/>
      <c r="H39" s="46"/>
      <c r="I39" s="103">
        <v>360</v>
      </c>
      <c r="J39" s="103"/>
      <c r="K39" s="103"/>
      <c r="L39" s="103"/>
      <c r="M39" s="106">
        <v>4</v>
      </c>
      <c r="N39" s="103"/>
    </row>
    <row r="40" spans="2:14" s="42" customFormat="1" x14ac:dyDescent="0.4"/>
    <row r="41" spans="2:14" s="42" customFormat="1" hidden="1" x14ac:dyDescent="0.4"/>
    <row r="42" spans="2:14" s="42" customFormat="1" hidden="1" x14ac:dyDescent="0.4"/>
    <row r="43" spans="2:14" s="42" customFormat="1" hidden="1" x14ac:dyDescent="0.4"/>
    <row r="44" spans="2:14" s="42" customFormat="1" hidden="1" x14ac:dyDescent="0.4"/>
    <row r="45" spans="2:14" s="42" customFormat="1" hidden="1" x14ac:dyDescent="0.4"/>
    <row r="46" spans="2:14" s="42" customFormat="1" hidden="1" x14ac:dyDescent="0.4"/>
    <row r="47" spans="2:14" s="42" customFormat="1" hidden="1" x14ac:dyDescent="0.4"/>
  </sheetData>
  <printOptions horizontalCentered="1" verticalCentered="1"/>
  <pageMargins left="0" right="0" top="0" bottom="0" header="0" footer="0"/>
  <pageSetup paperSize="9" scale="7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BBEB-CB68-4D2E-9BD3-779E25DDCA1C}">
  <sheetPr>
    <pageSetUpPr fitToPage="1"/>
  </sheetPr>
  <dimension ref="A1:P42"/>
  <sheetViews>
    <sheetView tabSelected="1" topLeftCell="A18" zoomScale="55" zoomScaleNormal="55" workbookViewId="0">
      <selection activeCell="A42" sqref="A42:XFD1048576"/>
    </sheetView>
  </sheetViews>
  <sheetFormatPr defaultColWidth="0" defaultRowHeight="21" zeroHeight="1" x14ac:dyDescent="0.4"/>
  <cols>
    <col min="1" max="1" width="7.640625" style="42" customWidth="1"/>
    <col min="2" max="6" width="6.0703125" customWidth="1"/>
    <col min="7" max="7" width="8.640625" style="42" customWidth="1"/>
    <col min="8" max="12" width="6.0703125" customWidth="1"/>
    <col min="13" max="13" width="7.640625" style="42" customWidth="1"/>
    <col min="14" max="16" width="0" style="42" hidden="1" customWidth="1"/>
    <col min="17" max="16384" width="4.2109375" hidden="1"/>
  </cols>
  <sheetData>
    <row r="1" spans="2:12" s="42" customFormat="1" ht="21.6" thickBot="1" x14ac:dyDescent="0.45"/>
    <row r="2" spans="2:12" ht="21.6" thickBot="1" x14ac:dyDescent="0.45">
      <c r="B2" s="82" t="s">
        <v>205</v>
      </c>
      <c r="C2" s="82" t="s">
        <v>162</v>
      </c>
      <c r="D2" s="82" t="s">
        <v>141</v>
      </c>
      <c r="E2" s="82" t="s">
        <v>142</v>
      </c>
      <c r="F2" s="84" t="s">
        <v>144</v>
      </c>
      <c r="G2" s="21"/>
      <c r="H2" s="82" t="s">
        <v>205</v>
      </c>
      <c r="I2" s="85" t="s">
        <v>162</v>
      </c>
      <c r="J2" s="82" t="s">
        <v>141</v>
      </c>
      <c r="K2" s="84" t="s">
        <v>142</v>
      </c>
      <c r="L2" s="82" t="s">
        <v>144</v>
      </c>
    </row>
    <row r="3" spans="2:12" x14ac:dyDescent="0.4">
      <c r="B3" s="66">
        <v>0</v>
      </c>
      <c r="C3" s="66"/>
      <c r="D3" s="66"/>
      <c r="E3" s="66"/>
      <c r="F3" s="66"/>
      <c r="G3" s="46"/>
      <c r="H3" s="66">
        <v>180</v>
      </c>
      <c r="I3" s="66"/>
      <c r="J3" s="75">
        <v>3</v>
      </c>
      <c r="K3" s="76">
        <v>2</v>
      </c>
      <c r="L3" s="66"/>
    </row>
    <row r="4" spans="2:12" x14ac:dyDescent="0.4">
      <c r="B4" s="67">
        <v>5</v>
      </c>
      <c r="C4" s="68">
        <v>1</v>
      </c>
      <c r="D4" s="67"/>
      <c r="E4" s="67"/>
      <c r="F4" s="67"/>
      <c r="G4" s="46"/>
      <c r="H4" s="67">
        <v>185</v>
      </c>
      <c r="I4" s="68">
        <v>2</v>
      </c>
      <c r="J4" s="69">
        <v>3</v>
      </c>
      <c r="K4" s="67"/>
      <c r="L4" s="67"/>
    </row>
    <row r="5" spans="2:12" x14ac:dyDescent="0.4">
      <c r="B5" s="67">
        <v>10</v>
      </c>
      <c r="C5" s="68">
        <v>1</v>
      </c>
      <c r="D5" s="67"/>
      <c r="E5" s="67"/>
      <c r="F5" s="67"/>
      <c r="G5" s="46"/>
      <c r="H5" s="77">
        <v>190</v>
      </c>
      <c r="I5" s="68">
        <v>2</v>
      </c>
      <c r="J5" s="69">
        <v>3</v>
      </c>
      <c r="K5" s="67"/>
      <c r="L5" s="67"/>
    </row>
    <row r="6" spans="2:12" x14ac:dyDescent="0.4">
      <c r="B6" s="67">
        <v>15</v>
      </c>
      <c r="C6" s="67"/>
      <c r="D6" s="69">
        <v>1</v>
      </c>
      <c r="E6" s="67"/>
      <c r="F6" s="67"/>
      <c r="G6" s="46"/>
      <c r="H6" s="67">
        <v>195</v>
      </c>
      <c r="I6" s="68">
        <v>2</v>
      </c>
      <c r="J6" s="69">
        <v>3</v>
      </c>
      <c r="K6" s="67"/>
      <c r="L6" s="67"/>
    </row>
    <row r="7" spans="2:12" x14ac:dyDescent="0.4">
      <c r="B7" s="67">
        <v>20</v>
      </c>
      <c r="C7" s="67"/>
      <c r="D7" s="69">
        <v>1</v>
      </c>
      <c r="E7" s="67"/>
      <c r="F7" s="67"/>
      <c r="G7" s="46"/>
      <c r="H7" s="67">
        <v>200</v>
      </c>
      <c r="I7" s="67"/>
      <c r="J7" s="67"/>
      <c r="K7" s="67"/>
      <c r="L7" s="71">
        <v>2</v>
      </c>
    </row>
    <row r="8" spans="2:12" x14ac:dyDescent="0.4">
      <c r="B8" s="67">
        <v>25</v>
      </c>
      <c r="C8" s="67"/>
      <c r="D8" s="69">
        <v>1</v>
      </c>
      <c r="E8" s="67"/>
      <c r="F8" s="67"/>
      <c r="G8" s="46"/>
      <c r="H8" s="67">
        <v>205</v>
      </c>
      <c r="I8" s="68">
        <v>3</v>
      </c>
      <c r="J8" s="67"/>
      <c r="K8" s="67"/>
      <c r="L8" s="71">
        <v>2</v>
      </c>
    </row>
    <row r="9" spans="2:12" x14ac:dyDescent="0.4">
      <c r="B9" s="67">
        <v>30</v>
      </c>
      <c r="C9" s="67"/>
      <c r="D9" s="69">
        <v>1</v>
      </c>
      <c r="E9" s="67"/>
      <c r="F9" s="67"/>
      <c r="G9" s="46"/>
      <c r="H9" s="67">
        <v>210</v>
      </c>
      <c r="I9" s="68">
        <v>3</v>
      </c>
      <c r="J9" s="67"/>
      <c r="K9" s="67"/>
      <c r="L9" s="71">
        <v>2</v>
      </c>
    </row>
    <row r="10" spans="2:12" x14ac:dyDescent="0.4">
      <c r="B10" s="67">
        <v>35</v>
      </c>
      <c r="C10" s="67"/>
      <c r="D10" s="69">
        <v>1</v>
      </c>
      <c r="E10" s="67"/>
      <c r="F10" s="67"/>
      <c r="G10" s="46"/>
      <c r="H10" s="67">
        <v>215</v>
      </c>
      <c r="I10" s="68">
        <v>3</v>
      </c>
      <c r="J10" s="67"/>
      <c r="K10" s="67"/>
      <c r="L10" s="71">
        <v>2</v>
      </c>
    </row>
    <row r="11" spans="2:12" x14ac:dyDescent="0.4">
      <c r="B11" s="67">
        <v>40</v>
      </c>
      <c r="C11" s="67"/>
      <c r="D11" s="69">
        <v>1</v>
      </c>
      <c r="E11" s="67"/>
      <c r="F11" s="67"/>
      <c r="G11" s="46"/>
      <c r="H11" s="67">
        <v>220</v>
      </c>
      <c r="I11" s="67"/>
      <c r="J11" s="67"/>
      <c r="K11" s="70">
        <v>3</v>
      </c>
      <c r="L11" s="71">
        <v>2</v>
      </c>
    </row>
    <row r="12" spans="2:12" x14ac:dyDescent="0.4">
      <c r="B12" s="67">
        <v>45</v>
      </c>
      <c r="C12" s="67"/>
      <c r="D12" s="69">
        <v>1</v>
      </c>
      <c r="E12" s="67"/>
      <c r="F12" s="67"/>
      <c r="G12" s="46"/>
      <c r="H12" s="67">
        <v>225</v>
      </c>
      <c r="I12" s="68">
        <v>4</v>
      </c>
      <c r="J12" s="67"/>
      <c r="K12" s="70">
        <v>3</v>
      </c>
      <c r="L12" s="71">
        <v>2</v>
      </c>
    </row>
    <row r="13" spans="2:12" x14ac:dyDescent="0.4">
      <c r="B13" s="67">
        <v>50</v>
      </c>
      <c r="C13" s="67"/>
      <c r="D13" s="69">
        <v>1</v>
      </c>
      <c r="E13" s="67"/>
      <c r="F13" s="67"/>
      <c r="G13" s="46"/>
      <c r="H13" s="67">
        <v>230</v>
      </c>
      <c r="I13" s="68">
        <v>4</v>
      </c>
      <c r="J13" s="67"/>
      <c r="K13" s="70">
        <v>3</v>
      </c>
      <c r="L13" s="71">
        <v>2</v>
      </c>
    </row>
    <row r="14" spans="2:12" x14ac:dyDescent="0.4">
      <c r="B14" s="67">
        <v>55</v>
      </c>
      <c r="C14" s="68">
        <v>1</v>
      </c>
      <c r="D14" s="67"/>
      <c r="E14" s="67"/>
      <c r="F14" s="67"/>
      <c r="G14" s="46"/>
      <c r="H14" s="67">
        <v>235</v>
      </c>
      <c r="I14" s="67"/>
      <c r="J14" s="69">
        <v>4</v>
      </c>
      <c r="K14" s="70">
        <v>3</v>
      </c>
      <c r="L14" s="71">
        <v>2</v>
      </c>
    </row>
    <row r="15" spans="2:12" x14ac:dyDescent="0.4">
      <c r="B15" s="67">
        <v>60</v>
      </c>
      <c r="C15" s="68">
        <v>1</v>
      </c>
      <c r="D15" s="67"/>
      <c r="E15" s="67"/>
      <c r="F15" s="67"/>
      <c r="G15" s="46"/>
      <c r="H15" s="67">
        <v>240</v>
      </c>
      <c r="I15" s="68">
        <v>2</v>
      </c>
      <c r="J15" s="69">
        <v>4</v>
      </c>
      <c r="K15" s="70">
        <v>3</v>
      </c>
      <c r="L15" s="67"/>
    </row>
    <row r="16" spans="2:12" x14ac:dyDescent="0.4">
      <c r="B16" s="67">
        <v>65</v>
      </c>
      <c r="C16" s="68">
        <v>1</v>
      </c>
      <c r="D16" s="67"/>
      <c r="E16" s="67"/>
      <c r="F16" s="67"/>
      <c r="G16" s="46"/>
      <c r="H16" s="67">
        <v>245</v>
      </c>
      <c r="I16" s="68">
        <v>2</v>
      </c>
      <c r="J16" s="69">
        <v>4</v>
      </c>
      <c r="K16" s="70">
        <v>3</v>
      </c>
      <c r="L16" s="67"/>
    </row>
    <row r="17" spans="2:12" x14ac:dyDescent="0.4">
      <c r="B17" s="67">
        <v>70</v>
      </c>
      <c r="C17" s="67"/>
      <c r="D17" s="67"/>
      <c r="E17" s="70">
        <v>1</v>
      </c>
      <c r="F17" s="67"/>
      <c r="G17" s="46"/>
      <c r="H17" s="67">
        <v>250</v>
      </c>
      <c r="I17" s="67"/>
      <c r="J17" s="69">
        <v>4</v>
      </c>
      <c r="K17" s="70">
        <v>3</v>
      </c>
      <c r="L17" s="67"/>
    </row>
    <row r="18" spans="2:12" x14ac:dyDescent="0.4">
      <c r="B18" s="67">
        <v>75</v>
      </c>
      <c r="C18" s="68">
        <v>2</v>
      </c>
      <c r="D18" s="67"/>
      <c r="E18" s="70">
        <v>1</v>
      </c>
      <c r="F18" s="67"/>
      <c r="G18" s="46"/>
      <c r="H18" s="67">
        <v>255</v>
      </c>
      <c r="I18" s="67"/>
      <c r="J18" s="69">
        <v>4</v>
      </c>
      <c r="K18" s="70">
        <v>3</v>
      </c>
      <c r="L18" s="67"/>
    </row>
    <row r="19" spans="2:12" x14ac:dyDescent="0.4">
      <c r="B19" s="67">
        <v>80</v>
      </c>
      <c r="C19" s="68">
        <v>2</v>
      </c>
      <c r="D19" s="67"/>
      <c r="E19" s="70">
        <v>1</v>
      </c>
      <c r="F19" s="67"/>
      <c r="G19" s="46"/>
      <c r="H19" s="67">
        <v>260</v>
      </c>
      <c r="I19" s="68">
        <v>3</v>
      </c>
      <c r="J19" s="69">
        <v>4</v>
      </c>
      <c r="K19" s="67"/>
      <c r="L19" s="67"/>
    </row>
    <row r="20" spans="2:12" x14ac:dyDescent="0.4">
      <c r="B20" s="67">
        <v>85</v>
      </c>
      <c r="C20" s="67"/>
      <c r="D20" s="69">
        <v>2</v>
      </c>
      <c r="E20" s="70">
        <v>1</v>
      </c>
      <c r="F20" s="67"/>
      <c r="G20" s="46"/>
      <c r="H20" s="77">
        <v>265</v>
      </c>
      <c r="I20" s="68">
        <v>3</v>
      </c>
      <c r="J20" s="69">
        <v>4</v>
      </c>
      <c r="K20" s="67"/>
      <c r="L20" s="67"/>
    </row>
    <row r="21" spans="2:12" x14ac:dyDescent="0.4">
      <c r="B21" s="67">
        <v>90</v>
      </c>
      <c r="C21" s="67"/>
      <c r="D21" s="69">
        <v>2</v>
      </c>
      <c r="E21" s="70">
        <v>1</v>
      </c>
      <c r="F21" s="67"/>
      <c r="G21" s="46"/>
      <c r="H21" s="67">
        <v>270</v>
      </c>
      <c r="I21" s="68">
        <v>3</v>
      </c>
      <c r="J21" s="69">
        <v>4</v>
      </c>
      <c r="K21" s="67"/>
      <c r="L21" s="67"/>
    </row>
    <row r="22" spans="2:12" x14ac:dyDescent="0.4">
      <c r="B22" s="67">
        <v>95</v>
      </c>
      <c r="C22" s="67"/>
      <c r="D22" s="69">
        <v>2</v>
      </c>
      <c r="E22" s="70">
        <v>1</v>
      </c>
      <c r="F22" s="67"/>
      <c r="G22" s="46"/>
      <c r="H22" s="67">
        <v>275</v>
      </c>
      <c r="I22" s="67"/>
      <c r="J22" s="67"/>
      <c r="K22" s="67"/>
      <c r="L22" s="71">
        <v>3</v>
      </c>
    </row>
    <row r="23" spans="2:12" x14ac:dyDescent="0.4">
      <c r="B23" s="67">
        <v>100</v>
      </c>
      <c r="C23" s="67"/>
      <c r="D23" s="69">
        <v>2</v>
      </c>
      <c r="E23" s="70">
        <v>1</v>
      </c>
      <c r="F23" s="67"/>
      <c r="G23" s="46"/>
      <c r="H23" s="67">
        <v>280</v>
      </c>
      <c r="I23" s="68">
        <v>4</v>
      </c>
      <c r="J23" s="67"/>
      <c r="K23" s="67"/>
      <c r="L23" s="71">
        <v>3</v>
      </c>
    </row>
    <row r="24" spans="2:12" x14ac:dyDescent="0.4">
      <c r="B24" s="67">
        <v>105</v>
      </c>
      <c r="C24" s="67"/>
      <c r="D24" s="69">
        <v>2</v>
      </c>
      <c r="E24" s="70">
        <v>1</v>
      </c>
      <c r="F24" s="67"/>
      <c r="G24" s="46"/>
      <c r="H24" s="67">
        <v>285</v>
      </c>
      <c r="I24" s="68">
        <v>4</v>
      </c>
      <c r="J24" s="67"/>
      <c r="K24" s="67"/>
      <c r="L24" s="71">
        <v>3</v>
      </c>
    </row>
    <row r="25" spans="2:12" x14ac:dyDescent="0.4">
      <c r="B25" s="67">
        <v>110</v>
      </c>
      <c r="C25" s="68">
        <v>1</v>
      </c>
      <c r="D25" s="69">
        <v>2</v>
      </c>
      <c r="E25" s="67"/>
      <c r="F25" s="67"/>
      <c r="G25" s="46"/>
      <c r="H25" s="67">
        <v>290</v>
      </c>
      <c r="I25" s="68">
        <v>4</v>
      </c>
      <c r="J25" s="67"/>
      <c r="K25" s="67"/>
      <c r="L25" s="71">
        <v>3</v>
      </c>
    </row>
    <row r="26" spans="2:12" x14ac:dyDescent="0.4">
      <c r="B26" s="67">
        <v>115</v>
      </c>
      <c r="C26" s="68">
        <v>1</v>
      </c>
      <c r="D26" s="69">
        <v>2</v>
      </c>
      <c r="E26" s="67"/>
      <c r="F26" s="67"/>
      <c r="G26" s="46"/>
      <c r="H26" s="67">
        <v>295</v>
      </c>
      <c r="I26" s="67"/>
      <c r="J26" s="67"/>
      <c r="K26" s="70">
        <v>4</v>
      </c>
      <c r="L26" s="71">
        <v>3</v>
      </c>
    </row>
    <row r="27" spans="2:12" x14ac:dyDescent="0.4">
      <c r="B27" s="67">
        <v>120</v>
      </c>
      <c r="C27" s="68">
        <v>1</v>
      </c>
      <c r="D27" s="69">
        <v>2</v>
      </c>
      <c r="E27" s="67"/>
      <c r="F27" s="67"/>
      <c r="G27" s="46"/>
      <c r="H27" s="67">
        <v>300</v>
      </c>
      <c r="I27" s="68">
        <v>5</v>
      </c>
      <c r="J27" s="67"/>
      <c r="K27" s="70">
        <v>4</v>
      </c>
      <c r="L27" s="71">
        <v>3</v>
      </c>
    </row>
    <row r="28" spans="2:12" x14ac:dyDescent="0.4">
      <c r="B28" s="67">
        <v>125</v>
      </c>
      <c r="C28" s="67"/>
      <c r="D28" s="67"/>
      <c r="E28" s="67"/>
      <c r="F28" s="71">
        <v>1</v>
      </c>
      <c r="G28" s="46"/>
      <c r="H28" s="67">
        <v>305</v>
      </c>
      <c r="I28" s="68">
        <v>5</v>
      </c>
      <c r="J28" s="67"/>
      <c r="K28" s="70">
        <v>4</v>
      </c>
      <c r="L28" s="71">
        <v>3</v>
      </c>
    </row>
    <row r="29" spans="2:12" x14ac:dyDescent="0.4">
      <c r="B29" s="67">
        <v>130</v>
      </c>
      <c r="C29" s="68">
        <v>2</v>
      </c>
      <c r="D29" s="67"/>
      <c r="E29" s="67"/>
      <c r="F29" s="71">
        <v>1</v>
      </c>
      <c r="G29" s="46"/>
      <c r="H29" s="67">
        <v>310</v>
      </c>
      <c r="I29" s="67"/>
      <c r="J29" s="69">
        <v>5</v>
      </c>
      <c r="K29" s="70">
        <v>4</v>
      </c>
      <c r="L29" s="71">
        <v>3</v>
      </c>
    </row>
    <row r="30" spans="2:12" x14ac:dyDescent="0.4">
      <c r="B30" s="67">
        <v>135</v>
      </c>
      <c r="C30" s="68">
        <v>2</v>
      </c>
      <c r="D30" s="67"/>
      <c r="E30" s="67"/>
      <c r="F30" s="71">
        <v>1</v>
      </c>
      <c r="G30" s="46"/>
      <c r="H30" s="67">
        <v>315</v>
      </c>
      <c r="I30" s="68">
        <v>3</v>
      </c>
      <c r="J30" s="69">
        <v>5</v>
      </c>
      <c r="K30" s="70">
        <v>4</v>
      </c>
      <c r="L30" s="67"/>
    </row>
    <row r="31" spans="2:12" x14ac:dyDescent="0.4">
      <c r="B31" s="67">
        <v>140</v>
      </c>
      <c r="C31" s="68">
        <v>2</v>
      </c>
      <c r="D31" s="67"/>
      <c r="E31" s="67"/>
      <c r="F31" s="71">
        <v>1</v>
      </c>
      <c r="G31" s="46"/>
      <c r="H31" s="67">
        <v>320</v>
      </c>
      <c r="I31" s="68">
        <v>3</v>
      </c>
      <c r="J31" s="69">
        <v>5</v>
      </c>
      <c r="K31" s="70">
        <v>4</v>
      </c>
      <c r="L31" s="67"/>
    </row>
    <row r="32" spans="2:12" x14ac:dyDescent="0.4">
      <c r="B32" s="67">
        <v>145</v>
      </c>
      <c r="C32" s="67"/>
      <c r="D32" s="67"/>
      <c r="E32" s="70">
        <v>2</v>
      </c>
      <c r="F32" s="71">
        <v>1</v>
      </c>
      <c r="G32" s="46"/>
      <c r="H32" s="67">
        <v>325</v>
      </c>
      <c r="I32" s="67"/>
      <c r="J32" s="69">
        <v>5</v>
      </c>
      <c r="K32" s="70">
        <v>4</v>
      </c>
      <c r="L32" s="67"/>
    </row>
    <row r="33" spans="2:12" x14ac:dyDescent="0.4">
      <c r="B33" s="67">
        <v>150</v>
      </c>
      <c r="C33" s="68">
        <v>3</v>
      </c>
      <c r="D33" s="67"/>
      <c r="E33" s="70">
        <v>2</v>
      </c>
      <c r="F33" s="71">
        <v>1</v>
      </c>
      <c r="G33" s="46"/>
      <c r="H33" s="67">
        <v>330</v>
      </c>
      <c r="I33" s="67"/>
      <c r="J33" s="69">
        <v>5</v>
      </c>
      <c r="K33" s="70">
        <v>4</v>
      </c>
      <c r="L33" s="67"/>
    </row>
    <row r="34" spans="2:12" x14ac:dyDescent="0.4">
      <c r="B34" s="67">
        <v>155</v>
      </c>
      <c r="C34" s="68">
        <v>3</v>
      </c>
      <c r="D34" s="67"/>
      <c r="E34" s="70">
        <v>2</v>
      </c>
      <c r="F34" s="71">
        <v>1</v>
      </c>
      <c r="G34" s="46"/>
      <c r="H34" s="67">
        <v>335</v>
      </c>
      <c r="I34" s="67"/>
      <c r="J34" s="69">
        <v>5</v>
      </c>
      <c r="K34" s="67"/>
      <c r="L34" s="67"/>
    </row>
    <row r="35" spans="2:12" x14ac:dyDescent="0.4">
      <c r="B35" s="67">
        <v>160</v>
      </c>
      <c r="C35" s="67"/>
      <c r="D35" s="69">
        <v>3</v>
      </c>
      <c r="E35" s="70">
        <v>2</v>
      </c>
      <c r="F35" s="71">
        <v>1</v>
      </c>
      <c r="G35" s="46"/>
      <c r="H35" s="67">
        <v>340</v>
      </c>
      <c r="I35" s="67"/>
      <c r="J35" s="69">
        <v>5</v>
      </c>
      <c r="K35" s="67"/>
      <c r="L35" s="67"/>
    </row>
    <row r="36" spans="2:12" x14ac:dyDescent="0.4">
      <c r="B36" s="67">
        <v>165</v>
      </c>
      <c r="C36" s="68">
        <v>1</v>
      </c>
      <c r="D36" s="69">
        <v>3</v>
      </c>
      <c r="E36" s="70">
        <v>2</v>
      </c>
      <c r="F36" s="67"/>
      <c r="G36" s="46"/>
      <c r="H36" s="67">
        <v>345</v>
      </c>
      <c r="I36" s="67"/>
      <c r="J36" s="69">
        <v>5</v>
      </c>
      <c r="K36" s="67"/>
      <c r="L36" s="67"/>
    </row>
    <row r="37" spans="2:12" x14ac:dyDescent="0.4">
      <c r="B37" s="67">
        <v>170</v>
      </c>
      <c r="C37" s="68">
        <v>1</v>
      </c>
      <c r="D37" s="69">
        <v>3</v>
      </c>
      <c r="E37" s="70">
        <v>2</v>
      </c>
      <c r="F37" s="67"/>
      <c r="G37" s="46"/>
      <c r="H37" s="67"/>
      <c r="I37" s="67"/>
      <c r="J37" s="67"/>
      <c r="K37" s="67"/>
      <c r="L37" s="67"/>
    </row>
    <row r="38" spans="2:12" x14ac:dyDescent="0.4">
      <c r="B38" s="67">
        <v>175</v>
      </c>
      <c r="C38" s="67"/>
      <c r="D38" s="69">
        <v>3</v>
      </c>
      <c r="E38" s="70">
        <v>2</v>
      </c>
      <c r="F38" s="67"/>
      <c r="G38" s="46"/>
      <c r="H38" s="67"/>
      <c r="I38" s="67"/>
      <c r="J38" s="67"/>
      <c r="K38" s="67"/>
      <c r="L38" s="67"/>
    </row>
    <row r="39" spans="2:12" ht="21.6" thickBot="1" x14ac:dyDescent="0.45">
      <c r="B39" s="72">
        <v>180</v>
      </c>
      <c r="C39" s="72"/>
      <c r="D39" s="73">
        <v>3</v>
      </c>
      <c r="E39" s="74">
        <v>2</v>
      </c>
      <c r="F39" s="72"/>
      <c r="G39" s="46"/>
      <c r="H39" s="72"/>
      <c r="I39" s="72"/>
      <c r="J39" s="72"/>
      <c r="K39" s="72"/>
      <c r="L39" s="72"/>
    </row>
    <row r="40" spans="2:12" s="42" customFormat="1" ht="18.75" customHeight="1" x14ac:dyDescent="0.4"/>
    <row r="41" spans="2:12" s="42" customFormat="1" x14ac:dyDescent="0.4"/>
    <row r="42" spans="2:12" s="42" customFormat="1" hidden="1" x14ac:dyDescent="0.4"/>
  </sheetData>
  <printOptions horizontalCentered="1" verticalCentered="1"/>
  <pageMargins left="0" right="0" top="0" bottom="0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3A44-FA10-4B76-B116-77CA0CD3C61C}">
  <sheetPr>
    <pageSetUpPr fitToPage="1"/>
  </sheetPr>
  <dimension ref="A1:AB49"/>
  <sheetViews>
    <sheetView zoomScale="55" zoomScaleNormal="55" workbookViewId="0">
      <selection activeCell="A42" sqref="A42:XFD1048576"/>
    </sheetView>
  </sheetViews>
  <sheetFormatPr defaultColWidth="0" defaultRowHeight="21" zeroHeight="1" x14ac:dyDescent="0.4"/>
  <cols>
    <col min="1" max="1" width="7.640625" style="42" customWidth="1"/>
    <col min="2" max="6" width="6.0703125" style="41" customWidth="1"/>
    <col min="7" max="7" width="8.640625" style="41" customWidth="1"/>
    <col min="8" max="12" width="6.0703125" style="41" customWidth="1"/>
    <col min="13" max="13" width="8.7109375" style="42" customWidth="1"/>
    <col min="14" max="28" width="0" style="42" hidden="1" customWidth="1"/>
    <col min="29" max="16384" width="8.7109375" hidden="1"/>
  </cols>
  <sheetData>
    <row r="1" spans="2:12" s="42" customFormat="1" ht="21.6" thickBot="1" x14ac:dyDescent="0.45"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2:12" ht="21.6" thickBot="1" x14ac:dyDescent="0.45">
      <c r="B2" s="82" t="s">
        <v>205</v>
      </c>
      <c r="C2" s="82" t="s">
        <v>162</v>
      </c>
      <c r="D2" s="82" t="s">
        <v>141</v>
      </c>
      <c r="E2" s="82" t="s">
        <v>142</v>
      </c>
      <c r="F2" s="82" t="s">
        <v>144</v>
      </c>
      <c r="G2" s="83"/>
      <c r="H2" s="82" t="s">
        <v>205</v>
      </c>
      <c r="I2" s="82" t="s">
        <v>162</v>
      </c>
      <c r="J2" s="82" t="s">
        <v>141</v>
      </c>
      <c r="K2" s="82" t="s">
        <v>142</v>
      </c>
      <c r="L2" s="82" t="s">
        <v>144</v>
      </c>
    </row>
    <row r="3" spans="2:12" x14ac:dyDescent="0.4">
      <c r="B3" s="66">
        <v>0</v>
      </c>
      <c r="C3" s="66"/>
      <c r="D3" s="66"/>
      <c r="E3" s="66"/>
      <c r="F3" s="66"/>
      <c r="G3" s="46"/>
      <c r="H3" s="66">
        <v>180</v>
      </c>
      <c r="I3" s="80">
        <v>2</v>
      </c>
      <c r="J3" s="75">
        <v>4</v>
      </c>
      <c r="K3" s="76">
        <v>3</v>
      </c>
      <c r="L3" s="66"/>
    </row>
    <row r="4" spans="2:12" x14ac:dyDescent="0.4">
      <c r="B4" s="67">
        <v>5</v>
      </c>
      <c r="C4" s="68">
        <v>1</v>
      </c>
      <c r="D4" s="67"/>
      <c r="E4" s="67"/>
      <c r="F4" s="67"/>
      <c r="G4" s="46"/>
      <c r="H4" s="67">
        <v>185</v>
      </c>
      <c r="I4" s="68">
        <v>1</v>
      </c>
      <c r="J4" s="69">
        <v>4</v>
      </c>
      <c r="K4" s="70">
        <v>3</v>
      </c>
      <c r="L4" s="67"/>
    </row>
    <row r="5" spans="2:12" x14ac:dyDescent="0.4">
      <c r="B5" s="67">
        <v>10</v>
      </c>
      <c r="C5" s="68">
        <v>1</v>
      </c>
      <c r="D5" s="67"/>
      <c r="E5" s="67"/>
      <c r="F5" s="67"/>
      <c r="G5" s="46"/>
      <c r="H5" s="77">
        <v>190</v>
      </c>
      <c r="I5" s="68">
        <v>2</v>
      </c>
      <c r="J5" s="69">
        <v>4</v>
      </c>
      <c r="K5" s="70">
        <v>3</v>
      </c>
      <c r="L5" s="67"/>
    </row>
    <row r="6" spans="2:12" x14ac:dyDescent="0.4">
      <c r="B6" s="67">
        <v>15</v>
      </c>
      <c r="C6" s="67"/>
      <c r="D6" s="69">
        <v>1</v>
      </c>
      <c r="E6" s="67"/>
      <c r="F6" s="67"/>
      <c r="G6" s="46"/>
      <c r="H6" s="67">
        <v>195</v>
      </c>
      <c r="I6" s="68">
        <v>1</v>
      </c>
      <c r="J6" s="69">
        <v>4</v>
      </c>
      <c r="K6" s="70">
        <v>3</v>
      </c>
      <c r="L6" s="71">
        <v>2</v>
      </c>
    </row>
    <row r="7" spans="2:12" x14ac:dyDescent="0.4">
      <c r="B7" s="67">
        <v>20</v>
      </c>
      <c r="C7" s="67"/>
      <c r="D7" s="69">
        <v>1</v>
      </c>
      <c r="E7" s="67"/>
      <c r="F7" s="67"/>
      <c r="G7" s="46"/>
      <c r="H7" s="67">
        <v>200</v>
      </c>
      <c r="I7" s="71" t="s">
        <v>207</v>
      </c>
      <c r="J7" s="69">
        <v>4</v>
      </c>
      <c r="K7" s="70">
        <v>3</v>
      </c>
      <c r="L7" s="71">
        <v>2</v>
      </c>
    </row>
    <row r="8" spans="2:12" x14ac:dyDescent="0.4">
      <c r="B8" s="67">
        <v>25</v>
      </c>
      <c r="C8" s="67"/>
      <c r="D8" s="69">
        <v>1</v>
      </c>
      <c r="E8" s="67"/>
      <c r="F8" s="67"/>
      <c r="G8" s="46"/>
      <c r="H8" s="67">
        <v>205</v>
      </c>
      <c r="I8" s="71" t="s">
        <v>207</v>
      </c>
      <c r="J8" s="67"/>
      <c r="K8" s="70">
        <v>3</v>
      </c>
      <c r="L8" s="71">
        <v>2</v>
      </c>
    </row>
    <row r="9" spans="2:12" x14ac:dyDescent="0.4">
      <c r="B9" s="67">
        <v>30</v>
      </c>
      <c r="C9" s="67"/>
      <c r="D9" s="69">
        <v>1</v>
      </c>
      <c r="E9" s="67"/>
      <c r="F9" s="67"/>
      <c r="G9" s="46"/>
      <c r="H9" s="67">
        <v>210</v>
      </c>
      <c r="I9" s="68">
        <v>5</v>
      </c>
      <c r="J9" s="67"/>
      <c r="K9" s="70">
        <v>3</v>
      </c>
      <c r="L9" s="71">
        <v>2</v>
      </c>
    </row>
    <row r="10" spans="2:12" x14ac:dyDescent="0.4">
      <c r="B10" s="67">
        <v>35</v>
      </c>
      <c r="C10" s="67"/>
      <c r="D10" s="69">
        <v>1</v>
      </c>
      <c r="E10" s="67"/>
      <c r="F10" s="67"/>
      <c r="G10" s="46"/>
      <c r="H10" s="67">
        <v>215</v>
      </c>
      <c r="I10" s="68">
        <v>4</v>
      </c>
      <c r="J10" s="67"/>
      <c r="K10" s="67"/>
      <c r="L10" s="71">
        <v>2</v>
      </c>
    </row>
    <row r="11" spans="2:12" x14ac:dyDescent="0.4">
      <c r="B11" s="67">
        <v>40</v>
      </c>
      <c r="C11" s="67"/>
      <c r="D11" s="69">
        <v>1</v>
      </c>
      <c r="E11" s="67"/>
      <c r="F11" s="67"/>
      <c r="G11" s="46"/>
      <c r="H11" s="67">
        <v>220</v>
      </c>
      <c r="I11" s="68">
        <v>5</v>
      </c>
      <c r="J11" s="67"/>
      <c r="K11" s="67"/>
      <c r="L11" s="71">
        <v>2</v>
      </c>
    </row>
    <row r="12" spans="2:12" x14ac:dyDescent="0.4">
      <c r="B12" s="67">
        <v>45</v>
      </c>
      <c r="C12" s="67"/>
      <c r="D12" s="69">
        <v>1</v>
      </c>
      <c r="E12" s="67"/>
      <c r="F12" s="67"/>
      <c r="G12" s="46"/>
      <c r="H12" s="67">
        <v>225</v>
      </c>
      <c r="I12" s="68">
        <v>4</v>
      </c>
      <c r="J12" s="69">
        <v>5</v>
      </c>
      <c r="K12" s="67"/>
      <c r="L12" s="71">
        <v>2</v>
      </c>
    </row>
    <row r="13" spans="2:12" x14ac:dyDescent="0.4">
      <c r="B13" s="67">
        <v>50</v>
      </c>
      <c r="C13" s="68">
        <v>2</v>
      </c>
      <c r="D13" s="69">
        <v>1</v>
      </c>
      <c r="E13" s="67"/>
      <c r="F13" s="67"/>
      <c r="G13" s="46"/>
      <c r="H13" s="77">
        <v>230</v>
      </c>
      <c r="I13" s="68">
        <v>3</v>
      </c>
      <c r="J13" s="69">
        <v>5</v>
      </c>
      <c r="K13" s="67"/>
      <c r="L13" s="71">
        <v>2</v>
      </c>
    </row>
    <row r="14" spans="2:12" x14ac:dyDescent="0.4">
      <c r="B14" s="67">
        <v>55</v>
      </c>
      <c r="C14" s="68">
        <v>1</v>
      </c>
      <c r="D14" s="67"/>
      <c r="E14" s="67"/>
      <c r="F14" s="67"/>
      <c r="G14" s="46"/>
      <c r="H14" s="67">
        <v>235</v>
      </c>
      <c r="I14" s="68">
        <v>4</v>
      </c>
      <c r="J14" s="69">
        <v>5</v>
      </c>
      <c r="K14" s="70">
        <v>4</v>
      </c>
      <c r="L14" s="67"/>
    </row>
    <row r="15" spans="2:12" x14ac:dyDescent="0.4">
      <c r="B15" s="67">
        <v>60</v>
      </c>
      <c r="C15" s="68">
        <v>2</v>
      </c>
      <c r="D15" s="67"/>
      <c r="E15" s="67"/>
      <c r="F15" s="67"/>
      <c r="G15" s="46"/>
      <c r="H15" s="77">
        <v>240</v>
      </c>
      <c r="I15" s="68">
        <v>3</v>
      </c>
      <c r="J15" s="69">
        <v>5</v>
      </c>
      <c r="K15" s="70">
        <v>4</v>
      </c>
      <c r="L15" s="67"/>
    </row>
    <row r="16" spans="2:12" x14ac:dyDescent="0.4">
      <c r="B16" s="67">
        <v>65</v>
      </c>
      <c r="C16" s="68">
        <v>1</v>
      </c>
      <c r="D16" s="69">
        <v>2</v>
      </c>
      <c r="E16" s="67"/>
      <c r="F16" s="67"/>
      <c r="G16" s="46"/>
      <c r="H16" s="78">
        <v>245</v>
      </c>
      <c r="I16" s="68">
        <v>2</v>
      </c>
      <c r="J16" s="69">
        <v>5</v>
      </c>
      <c r="K16" s="70">
        <v>4</v>
      </c>
      <c r="L16" s="67"/>
    </row>
    <row r="17" spans="2:12" x14ac:dyDescent="0.4">
      <c r="B17" s="67">
        <v>70</v>
      </c>
      <c r="C17" s="68">
        <v>1</v>
      </c>
      <c r="D17" s="69">
        <v>2</v>
      </c>
      <c r="E17" s="67"/>
      <c r="F17" s="67"/>
      <c r="G17" s="46"/>
      <c r="H17" s="78">
        <v>250</v>
      </c>
      <c r="I17" s="68">
        <v>3</v>
      </c>
      <c r="J17" s="69">
        <v>5</v>
      </c>
      <c r="K17" s="70">
        <v>4</v>
      </c>
      <c r="L17" s="67"/>
    </row>
    <row r="18" spans="2:12" x14ac:dyDescent="0.4">
      <c r="B18" s="67">
        <v>75</v>
      </c>
      <c r="C18" s="67"/>
      <c r="D18" s="69">
        <v>2</v>
      </c>
      <c r="E18" s="70">
        <v>1</v>
      </c>
      <c r="F18" s="67"/>
      <c r="G18" s="46"/>
      <c r="H18" s="67">
        <v>255</v>
      </c>
      <c r="I18" s="68">
        <v>2</v>
      </c>
      <c r="J18" s="69">
        <v>5</v>
      </c>
      <c r="K18" s="70">
        <v>4</v>
      </c>
      <c r="L18" s="71">
        <v>3</v>
      </c>
    </row>
    <row r="19" spans="2:12" x14ac:dyDescent="0.4">
      <c r="B19" s="67">
        <v>80</v>
      </c>
      <c r="C19" s="67"/>
      <c r="D19" s="69">
        <v>2</v>
      </c>
      <c r="E19" s="70">
        <v>1</v>
      </c>
      <c r="F19" s="67"/>
      <c r="G19" s="46"/>
      <c r="H19" s="67">
        <v>260</v>
      </c>
      <c r="I19" s="71" t="s">
        <v>207</v>
      </c>
      <c r="J19" s="69">
        <v>5</v>
      </c>
      <c r="K19" s="70">
        <v>4</v>
      </c>
      <c r="L19" s="71">
        <v>3</v>
      </c>
    </row>
    <row r="20" spans="2:12" x14ac:dyDescent="0.4">
      <c r="B20" s="67">
        <v>85</v>
      </c>
      <c r="C20" s="67"/>
      <c r="D20" s="69">
        <v>2</v>
      </c>
      <c r="E20" s="70">
        <v>1</v>
      </c>
      <c r="F20" s="67"/>
      <c r="G20" s="46"/>
      <c r="H20" s="77">
        <v>265</v>
      </c>
      <c r="I20" s="71" t="s">
        <v>207</v>
      </c>
      <c r="J20" s="67"/>
      <c r="K20" s="70">
        <v>4</v>
      </c>
      <c r="L20" s="71">
        <v>3</v>
      </c>
    </row>
    <row r="21" spans="2:12" x14ac:dyDescent="0.4">
      <c r="B21" s="67">
        <v>90</v>
      </c>
      <c r="C21" s="67"/>
      <c r="D21" s="69">
        <v>2</v>
      </c>
      <c r="E21" s="70">
        <v>1</v>
      </c>
      <c r="F21" s="67"/>
      <c r="G21" s="46"/>
      <c r="H21" s="67">
        <v>270</v>
      </c>
      <c r="I21" s="68">
        <v>6</v>
      </c>
      <c r="J21" s="67"/>
      <c r="K21" s="70">
        <v>4</v>
      </c>
      <c r="L21" s="71">
        <v>3</v>
      </c>
    </row>
    <row r="22" spans="2:12" x14ac:dyDescent="0.4">
      <c r="B22" s="67">
        <v>95</v>
      </c>
      <c r="C22" s="67"/>
      <c r="D22" s="69">
        <v>2</v>
      </c>
      <c r="E22" s="70">
        <v>1</v>
      </c>
      <c r="F22" s="67"/>
      <c r="G22" s="46"/>
      <c r="H22" s="67">
        <v>275</v>
      </c>
      <c r="I22" s="68">
        <v>5</v>
      </c>
      <c r="J22" s="67"/>
      <c r="K22" s="67"/>
      <c r="L22" s="71">
        <v>3</v>
      </c>
    </row>
    <row r="23" spans="2:12" x14ac:dyDescent="0.4">
      <c r="B23" s="67">
        <v>100</v>
      </c>
      <c r="C23" s="68">
        <v>3</v>
      </c>
      <c r="D23" s="69">
        <v>2</v>
      </c>
      <c r="E23" s="70">
        <v>1</v>
      </c>
      <c r="F23" s="67"/>
      <c r="G23" s="46"/>
      <c r="H23" s="67">
        <v>280</v>
      </c>
      <c r="I23" s="68">
        <v>6</v>
      </c>
      <c r="J23" s="67"/>
      <c r="K23" s="67"/>
      <c r="L23" s="71">
        <v>3</v>
      </c>
    </row>
    <row r="24" spans="2:12" x14ac:dyDescent="0.4">
      <c r="B24" s="67">
        <v>105</v>
      </c>
      <c r="C24" s="68">
        <v>2</v>
      </c>
      <c r="D24" s="67"/>
      <c r="E24" s="70">
        <v>1</v>
      </c>
      <c r="F24" s="67"/>
      <c r="G24" s="46"/>
      <c r="H24" s="67">
        <v>285</v>
      </c>
      <c r="I24" s="68">
        <v>5</v>
      </c>
      <c r="J24" s="67">
        <v>6</v>
      </c>
      <c r="K24" s="67"/>
      <c r="L24" s="71">
        <v>3</v>
      </c>
    </row>
    <row r="25" spans="2:12" x14ac:dyDescent="0.4">
      <c r="B25" s="67">
        <v>110</v>
      </c>
      <c r="C25" s="68">
        <v>3</v>
      </c>
      <c r="D25" s="67"/>
      <c r="E25" s="70">
        <v>1</v>
      </c>
      <c r="F25" s="67"/>
      <c r="G25" s="46"/>
      <c r="H25" s="67">
        <v>290</v>
      </c>
      <c r="I25" s="68">
        <v>4</v>
      </c>
      <c r="J25" s="67">
        <v>6</v>
      </c>
      <c r="K25" s="67"/>
      <c r="L25" s="71">
        <v>3</v>
      </c>
    </row>
    <row r="26" spans="2:12" x14ac:dyDescent="0.4">
      <c r="B26" s="67">
        <v>115</v>
      </c>
      <c r="C26" s="68">
        <v>2</v>
      </c>
      <c r="D26" s="69">
        <v>3</v>
      </c>
      <c r="E26" s="67"/>
      <c r="F26" s="67"/>
      <c r="G26" s="46"/>
      <c r="H26" s="67">
        <v>295</v>
      </c>
      <c r="I26" s="68">
        <v>5</v>
      </c>
      <c r="J26" s="67">
        <v>6</v>
      </c>
      <c r="K26" s="67">
        <v>5</v>
      </c>
      <c r="L26" s="67"/>
    </row>
    <row r="27" spans="2:12" x14ac:dyDescent="0.4">
      <c r="B27" s="67">
        <v>120</v>
      </c>
      <c r="C27" s="68">
        <v>1</v>
      </c>
      <c r="D27" s="69">
        <v>3</v>
      </c>
      <c r="E27" s="67"/>
      <c r="F27" s="67"/>
      <c r="G27" s="46"/>
      <c r="H27" s="67">
        <v>300</v>
      </c>
      <c r="I27" s="68">
        <v>4</v>
      </c>
      <c r="J27" s="67">
        <v>6</v>
      </c>
      <c r="K27" s="67">
        <v>5</v>
      </c>
      <c r="L27" s="67"/>
    </row>
    <row r="28" spans="2:12" x14ac:dyDescent="0.4">
      <c r="B28" s="67">
        <v>125</v>
      </c>
      <c r="C28" s="68">
        <v>2</v>
      </c>
      <c r="D28" s="69">
        <v>3</v>
      </c>
      <c r="E28" s="70">
        <v>2</v>
      </c>
      <c r="F28" s="67"/>
      <c r="G28" s="46"/>
      <c r="H28" s="67">
        <v>305</v>
      </c>
      <c r="I28" s="68">
        <v>3</v>
      </c>
      <c r="J28" s="67">
        <v>6</v>
      </c>
      <c r="K28" s="67">
        <v>5</v>
      </c>
      <c r="L28" s="67"/>
    </row>
    <row r="29" spans="2:12" x14ac:dyDescent="0.4">
      <c r="B29" s="67">
        <v>130</v>
      </c>
      <c r="C29" s="68">
        <v>1</v>
      </c>
      <c r="D29" s="69">
        <v>3</v>
      </c>
      <c r="E29" s="70">
        <v>2</v>
      </c>
      <c r="F29" s="67"/>
      <c r="G29" s="46"/>
      <c r="H29" s="67">
        <v>310</v>
      </c>
      <c r="I29" s="68">
        <v>4</v>
      </c>
      <c r="J29" s="67">
        <v>6</v>
      </c>
      <c r="K29" s="67">
        <v>5</v>
      </c>
      <c r="L29" s="67"/>
    </row>
    <row r="30" spans="2:12" x14ac:dyDescent="0.4">
      <c r="B30" s="67">
        <v>135</v>
      </c>
      <c r="C30" s="68">
        <v>1</v>
      </c>
      <c r="D30" s="69">
        <v>3</v>
      </c>
      <c r="E30" s="70">
        <v>2</v>
      </c>
      <c r="F30" s="67"/>
      <c r="G30" s="46"/>
      <c r="H30" s="67">
        <v>315</v>
      </c>
      <c r="I30" s="68">
        <v>3</v>
      </c>
      <c r="J30" s="67">
        <v>6</v>
      </c>
      <c r="K30" s="67">
        <v>5</v>
      </c>
      <c r="L30" s="67">
        <v>4</v>
      </c>
    </row>
    <row r="31" spans="2:12" x14ac:dyDescent="0.4">
      <c r="B31" s="67">
        <v>140</v>
      </c>
      <c r="C31" s="67"/>
      <c r="D31" s="69">
        <v>3</v>
      </c>
      <c r="E31" s="70">
        <v>2</v>
      </c>
      <c r="F31" s="71">
        <v>1</v>
      </c>
      <c r="G31" s="46"/>
      <c r="H31" s="67">
        <v>320</v>
      </c>
      <c r="I31" s="71" t="s">
        <v>207</v>
      </c>
      <c r="J31" s="67">
        <v>6</v>
      </c>
      <c r="K31" s="67">
        <v>5</v>
      </c>
      <c r="L31" s="67">
        <v>4</v>
      </c>
    </row>
    <row r="32" spans="2:12" x14ac:dyDescent="0.4">
      <c r="B32" s="67">
        <v>145</v>
      </c>
      <c r="C32" s="67"/>
      <c r="D32" s="69">
        <v>3</v>
      </c>
      <c r="E32" s="70">
        <v>2</v>
      </c>
      <c r="F32" s="71">
        <v>1</v>
      </c>
      <c r="G32" s="46"/>
      <c r="H32" s="67">
        <v>325</v>
      </c>
      <c r="I32" s="71" t="s">
        <v>207</v>
      </c>
      <c r="J32" s="67"/>
      <c r="K32" s="67">
        <v>5</v>
      </c>
      <c r="L32" s="67">
        <v>4</v>
      </c>
    </row>
    <row r="33" spans="2:12" x14ac:dyDescent="0.4">
      <c r="B33" s="67">
        <v>150</v>
      </c>
      <c r="C33" s="71">
        <v>4</v>
      </c>
      <c r="D33" s="69">
        <v>3</v>
      </c>
      <c r="E33" s="70">
        <v>2</v>
      </c>
      <c r="F33" s="71">
        <v>1</v>
      </c>
      <c r="G33" s="46"/>
      <c r="H33" s="67">
        <v>330</v>
      </c>
      <c r="I33" s="67"/>
      <c r="J33" s="67"/>
      <c r="K33" s="67">
        <v>5</v>
      </c>
      <c r="L33" s="67">
        <v>4</v>
      </c>
    </row>
    <row r="34" spans="2:12" x14ac:dyDescent="0.4">
      <c r="B34" s="67">
        <v>155</v>
      </c>
      <c r="C34" s="68">
        <v>3</v>
      </c>
      <c r="D34" s="67"/>
      <c r="E34" s="70">
        <v>2</v>
      </c>
      <c r="F34" s="71">
        <v>1</v>
      </c>
      <c r="G34" s="46"/>
      <c r="H34" s="67">
        <v>335</v>
      </c>
      <c r="I34" s="67"/>
      <c r="J34" s="67"/>
      <c r="K34" s="67"/>
      <c r="L34" s="67">
        <v>4</v>
      </c>
    </row>
    <row r="35" spans="2:12" x14ac:dyDescent="0.4">
      <c r="B35" s="67">
        <v>160</v>
      </c>
      <c r="C35" s="68">
        <v>4</v>
      </c>
      <c r="D35" s="67"/>
      <c r="E35" s="70">
        <v>2</v>
      </c>
      <c r="F35" s="71">
        <v>1</v>
      </c>
      <c r="G35" s="46"/>
      <c r="H35" s="67">
        <v>340</v>
      </c>
      <c r="I35" s="67"/>
      <c r="J35" s="67"/>
      <c r="K35" s="67"/>
      <c r="L35" s="67">
        <v>4</v>
      </c>
    </row>
    <row r="36" spans="2:12" x14ac:dyDescent="0.4">
      <c r="B36" s="77">
        <v>165</v>
      </c>
      <c r="C36" s="68">
        <v>3</v>
      </c>
      <c r="D36" s="69">
        <v>4</v>
      </c>
      <c r="E36" s="67"/>
      <c r="F36" s="71">
        <v>1</v>
      </c>
      <c r="G36" s="46"/>
      <c r="H36" s="67">
        <v>345</v>
      </c>
      <c r="I36" s="67"/>
      <c r="J36" s="67"/>
      <c r="K36" s="67"/>
      <c r="L36" s="67">
        <v>4</v>
      </c>
    </row>
    <row r="37" spans="2:12" x14ac:dyDescent="0.4">
      <c r="B37" s="78">
        <v>170</v>
      </c>
      <c r="C37" s="68">
        <v>2</v>
      </c>
      <c r="D37" s="69">
        <v>4</v>
      </c>
      <c r="E37" s="67"/>
      <c r="F37" s="71">
        <v>1</v>
      </c>
      <c r="G37" s="46"/>
      <c r="H37" s="67">
        <v>350</v>
      </c>
      <c r="I37" s="67"/>
      <c r="J37" s="67"/>
      <c r="K37" s="67"/>
      <c r="L37" s="67">
        <v>4</v>
      </c>
    </row>
    <row r="38" spans="2:12" x14ac:dyDescent="0.4">
      <c r="B38" s="67">
        <v>175</v>
      </c>
      <c r="C38" s="68">
        <v>3</v>
      </c>
      <c r="D38" s="69">
        <v>4</v>
      </c>
      <c r="E38" s="70">
        <v>3</v>
      </c>
      <c r="F38" s="71">
        <v>1</v>
      </c>
      <c r="H38" s="67"/>
      <c r="I38" s="67"/>
      <c r="J38" s="67"/>
      <c r="K38" s="67"/>
      <c r="L38" s="67"/>
    </row>
    <row r="39" spans="2:12" s="42" customFormat="1" ht="21.6" thickBot="1" x14ac:dyDescent="0.45">
      <c r="B39" s="72">
        <v>180</v>
      </c>
      <c r="C39" s="79">
        <v>2</v>
      </c>
      <c r="D39" s="73">
        <v>4</v>
      </c>
      <c r="E39" s="74">
        <v>3</v>
      </c>
      <c r="F39" s="72"/>
      <c r="G39" s="46"/>
      <c r="H39" s="81"/>
      <c r="I39" s="81"/>
      <c r="J39" s="81"/>
      <c r="K39" s="81"/>
      <c r="L39" s="81"/>
    </row>
    <row r="40" spans="2:12" s="42" customFormat="1" x14ac:dyDescent="0.4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  <row r="41" spans="2:12" s="42" customFormat="1" x14ac:dyDescent="0.4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  <row r="42" spans="2:12" s="42" customFormat="1" hidden="1" x14ac:dyDescent="0.4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</row>
    <row r="43" spans="2:12" s="42" customFormat="1" hidden="1" x14ac:dyDescent="0.4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2:12" s="42" customFormat="1" hidden="1" x14ac:dyDescent="0.4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</row>
    <row r="45" spans="2:12" s="42" customFormat="1" hidden="1" x14ac:dyDescent="0.4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2:12" s="42" customFormat="1" hidden="1" x14ac:dyDescent="0.4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2:12" s="42" customFormat="1" hidden="1" x14ac:dyDescent="0.4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2:12" s="42" customFormat="1" hidden="1" x14ac:dyDescent="0.4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</row>
    <row r="49" spans="2:12" s="42" customFormat="1" hidden="1" x14ac:dyDescent="0.4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</row>
  </sheetData>
  <conditionalFormatting sqref="C3:F5 C8:F17 C20:F30 D6:F7 D18:F19 D31:F32 I19 I27:J31 I3:L7 I9:L18 I21:L26 J8:L8 J19:L20">
    <cfRule type="cellIs" dxfId="14" priority="14" operator="equal">
      <formula>3</formula>
    </cfRule>
    <cfRule type="cellIs" dxfId="13" priority="15" operator="equal">
      <formula>2</formula>
    </cfRule>
    <cfRule type="cellIs" dxfId="12" priority="16" operator="equal">
      <formula>1</formula>
    </cfRule>
  </conditionalFormatting>
  <conditionalFormatting sqref="C3:F5 C8:F17 C20:F30 D6:F7 D18:F19 D31:F32 I19 I28:J31 I3:L7 I9:L18 I21:L25 J8:L8 J19:L20">
    <cfRule type="cellIs" dxfId="11" priority="12" operator="equal">
      <formula>4</formula>
    </cfRule>
  </conditionalFormatting>
  <conditionalFormatting sqref="C3:F39">
    <cfRule type="cellIs" dxfId="10" priority="1" operator="equal">
      <formula>5</formula>
    </cfRule>
    <cfRule type="cellIs" dxfId="9" priority="2" operator="equal">
      <formula>4</formula>
    </cfRule>
    <cfRule type="cellIs" dxfId="8" priority="3" operator="equal">
      <formula>6</formula>
    </cfRule>
  </conditionalFormatting>
  <conditionalFormatting sqref="C33:F39">
    <cfRule type="cellIs" dxfId="7" priority="4" operator="equal">
      <formula>4</formula>
    </cfRule>
    <cfRule type="cellIs" dxfId="6" priority="6" operator="equal">
      <formula>3</formula>
    </cfRule>
    <cfRule type="cellIs" dxfId="5" priority="7" operator="equal">
      <formula>2</formula>
    </cfRule>
    <cfRule type="cellIs" dxfId="4" priority="8" operator="equal">
      <formula>1</formula>
    </cfRule>
  </conditionalFormatting>
  <conditionalFormatting sqref="D6:F7 D18:F19 D31:F32 I19 I27:J31 J8:L8 J19:L20">
    <cfRule type="cellIs" dxfId="3" priority="13" operator="equal">
      <formula>5</formula>
    </cfRule>
  </conditionalFormatting>
  <conditionalFormatting sqref="I3:L37">
    <cfRule type="cellIs" dxfId="2" priority="9" operator="equal">
      <formula>5</formula>
    </cfRule>
    <cfRule type="cellIs" dxfId="1" priority="10" operator="equal">
      <formula>4</formula>
    </cfRule>
    <cfRule type="cellIs" dxfId="0" priority="11" operator="equal">
      <formula>6</formula>
    </cfRule>
  </conditionalFormatting>
  <printOptions horizontalCentered="1" verticalCentered="1"/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504575F2739F4B906AF82BAA04E90A" ma:contentTypeVersion="13" ma:contentTypeDescription="Creare un nuovo documento." ma:contentTypeScope="" ma:versionID="2fdd02bd74138e16a8db3576db0f066c">
  <xsd:schema xmlns:xsd="http://www.w3.org/2001/XMLSchema" xmlns:xs="http://www.w3.org/2001/XMLSchema" xmlns:p="http://schemas.microsoft.com/office/2006/metadata/properties" xmlns:ns3="6128eafd-b349-47ed-997d-e332710977cb" xmlns:ns4="4923c2b6-e306-41d9-8334-c74b13507242" targetNamespace="http://schemas.microsoft.com/office/2006/metadata/properties" ma:root="true" ma:fieldsID="f101db5134af6ee0e7f1036b9cf529e5" ns3:_="" ns4:_="">
    <xsd:import namespace="6128eafd-b349-47ed-997d-e332710977cb"/>
    <xsd:import namespace="4923c2b6-e306-41d9-8334-c74b135072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8eafd-b349-47ed-997d-e33271097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3c2b6-e306-41d9-8334-c74b1350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383476-19EE-4B8B-9930-EA3B3465D199}">
  <ds:schemaRefs>
    <ds:schemaRef ds:uri="http://purl.org/dc/terms/"/>
    <ds:schemaRef ds:uri="http://purl.org/dc/dcmitype/"/>
    <ds:schemaRef ds:uri="6128eafd-b349-47ed-997d-e332710977cb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4923c2b6-e306-41d9-8334-c74b13507242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26D14D-4BE4-407A-B7ED-04F683178C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043CF13-D278-426B-B3B4-67500358B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8eafd-b349-47ed-997d-e332710977cb"/>
    <ds:schemaRef ds:uri="4923c2b6-e306-41d9-8334-c74b1350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760436-E525-45FE-B087-6021E89E4C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47</vt:i4>
      </vt:variant>
    </vt:vector>
  </HeadingPairs>
  <TitlesOfParts>
    <vt:vector size="55" baseType="lpstr">
      <vt:lpstr>Dati</vt:lpstr>
      <vt:lpstr>Pezzi</vt:lpstr>
      <vt:lpstr>Assunzioni</vt:lpstr>
      <vt:lpstr>Analisi di fattibilità</vt:lpstr>
      <vt:lpstr>Verifica</vt:lpstr>
      <vt:lpstr>d_fasi_operatori</vt:lpstr>
      <vt:lpstr>d_fasi_robot_singolo_gripper</vt:lpstr>
      <vt:lpstr>d_fasi_robot_doppio_gripper</vt:lpstr>
      <vt:lpstr>Eff_M1</vt:lpstr>
      <vt:lpstr>Eff_M2</vt:lpstr>
      <vt:lpstr>Eff_op</vt:lpstr>
      <vt:lpstr>Eff_Q</vt:lpstr>
      <vt:lpstr>Eff_r</vt:lpstr>
      <vt:lpstr>giorni_anno</vt:lpstr>
      <vt:lpstr>guasti</vt:lpstr>
      <vt:lpstr>manutenzione</vt:lpstr>
      <vt:lpstr>massa_X1</vt:lpstr>
      <vt:lpstr>massa_X2</vt:lpstr>
      <vt:lpstr>ore_turno</vt:lpstr>
      <vt:lpstr>pausa_turno</vt:lpstr>
      <vt:lpstr>pezzi_turno</vt:lpstr>
      <vt:lpstr>pezzi_X1</vt:lpstr>
      <vt:lpstr>pezzi_X2</vt:lpstr>
      <vt:lpstr>Pmix_X1</vt:lpstr>
      <vt:lpstr>Pmix_X2</vt:lpstr>
      <vt:lpstr>ppm_M1</vt:lpstr>
      <vt:lpstr>ppm_M1_r</vt:lpstr>
      <vt:lpstr>ppm_M2</vt:lpstr>
      <vt:lpstr>ppm_M2_r</vt:lpstr>
      <vt:lpstr>Q_r</vt:lpstr>
      <vt:lpstr>ramp_up_buffer</vt:lpstr>
      <vt:lpstr>ramp_up_cella</vt:lpstr>
      <vt:lpstr>Ta_r</vt:lpstr>
      <vt:lpstr>Tc_op</vt:lpstr>
      <vt:lpstr>Tc_r</vt:lpstr>
      <vt:lpstr>Tc1_M1</vt:lpstr>
      <vt:lpstr>Tc1_Q</vt:lpstr>
      <vt:lpstr>Tc2_M1</vt:lpstr>
      <vt:lpstr>Tc2_M2</vt:lpstr>
      <vt:lpstr>Tccas_M1</vt:lpstr>
      <vt:lpstr>Tm_M1</vt:lpstr>
      <vt:lpstr>Tm_M2</vt:lpstr>
      <vt:lpstr>Tm_Q</vt:lpstr>
      <vt:lpstr>Tpos_M2</vt:lpstr>
      <vt:lpstr>Tsc1_M1</vt:lpstr>
      <vt:lpstr>Tsc1_M2</vt:lpstr>
      <vt:lpstr>Tsc1_Q</vt:lpstr>
      <vt:lpstr>Tsc2_M1</vt:lpstr>
      <vt:lpstr>Tsc2_M2</vt:lpstr>
      <vt:lpstr>Tsc2_Q</vt:lpstr>
      <vt:lpstr>TT_adj_op</vt:lpstr>
      <vt:lpstr>TT_op</vt:lpstr>
      <vt:lpstr>TT_rob_base</vt:lpstr>
      <vt:lpstr>TT_rob_inc_prod</vt:lpstr>
      <vt:lpstr>turni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Campregher</dc:creator>
  <cp:keywords/>
  <dc:description/>
  <cp:lastModifiedBy>edoardo mirandola</cp:lastModifiedBy>
  <cp:revision/>
  <cp:lastPrinted>2022-12-15T07:59:24Z</cp:lastPrinted>
  <dcterms:created xsi:type="dcterms:W3CDTF">2022-10-24T13:22:43Z</dcterms:created>
  <dcterms:modified xsi:type="dcterms:W3CDTF">2022-12-22T08:16:44Z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0x0101002B504575F2739F4B906AF82BAA04E90A</vt:lpwstr>
  </property>
</Properties>
</file>