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edoardosantagata/Documents/UNSW/-| PAPERS |-/3 Shipping Paper/CODES &amp; Data/pacificshipping/shared on Github/function_3-decarbonisation_scenario_analysis/"/>
    </mc:Choice>
  </mc:AlternateContent>
  <xr:revisionPtr revIDLastSave="0" documentId="13_ncr:1_{705A89BB-0EB4-0B41-9C7E-7DBB1ADFC2C8}" xr6:coauthVersionLast="47" xr6:coauthVersionMax="47" xr10:uidLastSave="{00000000-0000-0000-0000-000000000000}"/>
  <bookViews>
    <workbookView xWindow="0" yWindow="760" windowWidth="34560" windowHeight="20440" xr2:uid="{FFD8B14E-8131-544B-B123-15309771C1A8}"/>
  </bookViews>
  <sheets>
    <sheet name="info" sheetId="66" r:id="rId1"/>
    <sheet name="MAIN" sheetId="1" r:id="rId2"/>
    <sheet name="current" sheetId="3" r:id="rId3"/>
    <sheet name="consumptions per type" sheetId="41" r:id="rId4"/>
    <sheet name="dictionary" sheetId="2" r:id="rId5"/>
    <sheet name="efficiency" sheetId="12" r:id="rId6"/>
    <sheet name="re" sheetId="15" r:id="rId7"/>
    <sheet name="production" sheetId="13" r:id="rId8"/>
    <sheet name="emissions" sheetId="14" r:id="rId9"/>
    <sheet name="cost" sheetId="42" r:id="rId10"/>
    <sheet name="raw" sheetId="4" r:id="rId11"/>
    <sheet name="1" sheetId="19" r:id="rId12"/>
    <sheet name="1 (RU)" sheetId="43" r:id="rId13"/>
    <sheet name="2" sheetId="8" r:id="rId14"/>
    <sheet name="2 (RU)" sheetId="44" r:id="rId15"/>
    <sheet name="3" sheetId="20" r:id="rId16"/>
    <sheet name="3 (RU)" sheetId="45" r:id="rId17"/>
    <sheet name="4" sheetId="21" r:id="rId18"/>
    <sheet name="4 (RU)" sheetId="46" r:id="rId19"/>
    <sheet name="5" sheetId="22" r:id="rId20"/>
    <sheet name="5 (RU)" sheetId="47" r:id="rId21"/>
    <sheet name="6" sheetId="23" r:id="rId22"/>
    <sheet name="6 (RU)" sheetId="48" r:id="rId23"/>
    <sheet name="7" sheetId="24" r:id="rId24"/>
    <sheet name="7 (RU)" sheetId="49" r:id="rId25"/>
    <sheet name="8" sheetId="25" r:id="rId26"/>
    <sheet name="8 (RU)" sheetId="50" r:id="rId27"/>
    <sheet name="9" sheetId="26" r:id="rId28"/>
    <sheet name="9 (RU)" sheetId="51" r:id="rId29"/>
    <sheet name="10" sheetId="27" r:id="rId30"/>
    <sheet name="10 (RU)" sheetId="52" r:id="rId31"/>
    <sheet name="11" sheetId="28" r:id="rId32"/>
    <sheet name="11 (RU)" sheetId="53" r:id="rId33"/>
    <sheet name="12" sheetId="29" r:id="rId34"/>
    <sheet name="12 (RU)" sheetId="54" r:id="rId35"/>
    <sheet name="13" sheetId="30" r:id="rId36"/>
    <sheet name="13 (RU)" sheetId="55" r:id="rId37"/>
    <sheet name="14" sheetId="31" r:id="rId38"/>
    <sheet name="14 (RU)" sheetId="56" r:id="rId39"/>
    <sheet name="15" sheetId="32" r:id="rId40"/>
    <sheet name="15 (RU)" sheetId="57" r:id="rId41"/>
    <sheet name="16" sheetId="33" r:id="rId42"/>
    <sheet name="16 (RU)" sheetId="58" r:id="rId43"/>
    <sheet name="17" sheetId="34" r:id="rId44"/>
    <sheet name="17 (RU)" sheetId="59" r:id="rId45"/>
    <sheet name="18" sheetId="35" r:id="rId46"/>
    <sheet name="18 (RU)" sheetId="60" r:id="rId47"/>
    <sheet name="19" sheetId="36" r:id="rId48"/>
    <sheet name="19 (RU)" sheetId="61" r:id="rId49"/>
    <sheet name="20" sheetId="37" r:id="rId50"/>
    <sheet name="20 (RU)" sheetId="62" r:id="rId51"/>
    <sheet name="21" sheetId="38" r:id="rId52"/>
    <sheet name="21 (RU)" sheetId="63" r:id="rId53"/>
    <sheet name="22" sheetId="39" r:id="rId54"/>
    <sheet name="22 (RU)" sheetId="64" r:id="rId55"/>
    <sheet name="23" sheetId="40" r:id="rId56"/>
    <sheet name="23 (RU)" sheetId="65" r:id="rId5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A34" i="1" l="1"/>
  <c r="DA35" i="1"/>
  <c r="DA31" i="1"/>
  <c r="DA30" i="1"/>
  <c r="CZ30" i="1" l="1"/>
  <c r="CZ31" i="1" l="1"/>
  <c r="CZ32" i="1"/>
  <c r="CZ33" i="1"/>
  <c r="CZ34" i="1"/>
  <c r="CZ35" i="1"/>
  <c r="CZ36" i="1"/>
  <c r="CZ37" i="1"/>
  <c r="CZ38" i="1"/>
  <c r="CZ39" i="1"/>
  <c r="CZ40" i="1"/>
  <c r="CZ41" i="1"/>
  <c r="CZ42" i="1"/>
  <c r="CZ43" i="1"/>
  <c r="CZ44" i="1"/>
  <c r="CZ45" i="1"/>
  <c r="CZ46" i="1"/>
  <c r="CZ47" i="1"/>
  <c r="CZ48" i="1"/>
  <c r="CZ49" i="1"/>
  <c r="CZ50" i="1"/>
  <c r="CZ51" i="1"/>
  <c r="CZ52" i="1"/>
  <c r="CZ53" i="1"/>
  <c r="CZ54" i="1"/>
  <c r="CZ55" i="1"/>
  <c r="CZ56" i="1"/>
  <c r="CZ57" i="1"/>
  <c r="CZ58" i="1"/>
  <c r="CZ59" i="1"/>
  <c r="CZ60" i="1"/>
  <c r="CZ61" i="1"/>
  <c r="CZ62" i="1"/>
  <c r="CZ63" i="1"/>
  <c r="CZ64" i="1"/>
  <c r="CZ65" i="1"/>
  <c r="CZ66" i="1"/>
  <c r="CZ67" i="1"/>
  <c r="CZ68" i="1"/>
  <c r="CZ69" i="1"/>
  <c r="CZ70" i="1"/>
  <c r="CZ71" i="1"/>
  <c r="CZ72" i="1"/>
  <c r="CZ73" i="1"/>
  <c r="CZ74" i="1"/>
  <c r="CX31" i="1"/>
  <c r="CX32" i="1"/>
  <c r="CX33" i="1"/>
  <c r="CX34" i="1"/>
  <c r="CX35" i="1"/>
  <c r="CX36" i="1"/>
  <c r="CX37" i="1"/>
  <c r="CX38" i="1"/>
  <c r="CX39" i="1"/>
  <c r="CX40" i="1"/>
  <c r="CX41" i="1"/>
  <c r="CX42" i="1"/>
  <c r="CX43" i="1"/>
  <c r="CX44" i="1"/>
  <c r="CX45" i="1"/>
  <c r="CX46" i="1"/>
  <c r="CX47" i="1"/>
  <c r="CX48" i="1"/>
  <c r="CX49" i="1"/>
  <c r="CX50" i="1"/>
  <c r="CX51" i="1"/>
  <c r="CX52" i="1"/>
  <c r="CX53" i="1"/>
  <c r="CX54" i="1"/>
  <c r="CX55" i="1"/>
  <c r="CX56" i="1"/>
  <c r="CX57" i="1"/>
  <c r="CX58" i="1"/>
  <c r="CX59" i="1"/>
  <c r="CX60" i="1"/>
  <c r="CX61" i="1"/>
  <c r="CX62" i="1"/>
  <c r="CX63" i="1"/>
  <c r="CX64" i="1"/>
  <c r="CX65" i="1"/>
  <c r="CX66" i="1"/>
  <c r="CX67" i="1"/>
  <c r="CX68" i="1"/>
  <c r="CX69" i="1"/>
  <c r="CX70" i="1"/>
  <c r="CX71" i="1"/>
  <c r="CX72" i="1"/>
  <c r="CX73" i="1"/>
  <c r="CX74" i="1"/>
  <c r="CX30" i="1"/>
  <c r="DA3" i="1"/>
  <c r="DA4" i="1"/>
  <c r="DA2" i="1"/>
  <c r="DB3" i="1"/>
  <c r="DB4" i="1"/>
  <c r="DB2" i="1"/>
  <c r="CY3" i="1"/>
  <c r="CY4" i="1"/>
  <c r="CY2" i="1"/>
  <c r="CW5" i="1" l="1"/>
  <c r="V3" i="4"/>
  <c r="V4" i="4"/>
  <c r="V5" i="4"/>
  <c r="V6" i="4"/>
  <c r="V7" i="4"/>
  <c r="V8" i="4"/>
  <c r="V9" i="4"/>
  <c r="V10" i="4"/>
  <c r="V11" i="4"/>
  <c r="V12" i="4"/>
  <c r="V13" i="4"/>
  <c r="V14" i="4"/>
  <c r="V15" i="4"/>
  <c r="V16" i="4"/>
  <c r="V17" i="4"/>
  <c r="V18" i="4"/>
  <c r="V19" i="4"/>
  <c r="V20" i="4"/>
  <c r="V21" i="4"/>
  <c r="V22" i="4"/>
  <c r="V23" i="4"/>
  <c r="V24" i="4"/>
  <c r="V25" i="4"/>
  <c r="V26" i="4"/>
  <c r="V2" i="4"/>
  <c r="U3" i="4"/>
  <c r="W3" i="4" s="1"/>
  <c r="U4" i="4"/>
  <c r="W4" i="4" s="1"/>
  <c r="U5" i="4"/>
  <c r="W5" i="4" s="1"/>
  <c r="U6" i="4"/>
  <c r="W6" i="4" s="1"/>
  <c r="U7" i="4"/>
  <c r="W7" i="4" s="1"/>
  <c r="U8" i="4"/>
  <c r="W8" i="4" s="1"/>
  <c r="U9" i="4"/>
  <c r="W9" i="4" s="1"/>
  <c r="U10" i="4"/>
  <c r="W10" i="4" s="1"/>
  <c r="U11" i="4"/>
  <c r="W11" i="4" s="1"/>
  <c r="U12" i="4"/>
  <c r="W12" i="4" s="1"/>
  <c r="U13" i="4"/>
  <c r="W13" i="4" s="1"/>
  <c r="U14" i="4"/>
  <c r="W14" i="4" s="1"/>
  <c r="U15" i="4"/>
  <c r="W15" i="4" s="1"/>
  <c r="U16" i="4"/>
  <c r="W16" i="4" s="1"/>
  <c r="U17" i="4"/>
  <c r="W17" i="4" s="1"/>
  <c r="U18" i="4"/>
  <c r="W18" i="4" s="1"/>
  <c r="U19" i="4"/>
  <c r="W19" i="4" s="1"/>
  <c r="U20" i="4"/>
  <c r="W20" i="4" s="1"/>
  <c r="U21" i="4"/>
  <c r="W21" i="4" s="1"/>
  <c r="U22" i="4"/>
  <c r="W22" i="4" s="1"/>
  <c r="U23" i="4"/>
  <c r="W23" i="4" s="1"/>
  <c r="U24" i="4"/>
  <c r="W24" i="4" s="1"/>
  <c r="U25" i="4"/>
  <c r="W25" i="4" s="1"/>
  <c r="U26" i="4"/>
  <c r="W26" i="4" s="1"/>
  <c r="U2" i="4"/>
  <c r="CX3" i="1"/>
  <c r="CX4" i="1"/>
  <c r="CX5" i="1"/>
  <c r="CX6" i="1"/>
  <c r="CX7" i="1"/>
  <c r="CX8" i="1"/>
  <c r="CX9" i="1"/>
  <c r="CX10" i="1"/>
  <c r="CX11" i="1"/>
  <c r="CX12" i="1"/>
  <c r="CX2" i="1"/>
  <c r="CW3" i="1"/>
  <c r="CW4" i="1"/>
  <c r="CW6" i="1"/>
  <c r="CW7" i="1"/>
  <c r="CW8" i="1"/>
  <c r="CW9" i="1"/>
  <c r="CW10" i="1"/>
  <c r="CW11" i="1"/>
  <c r="CW12" i="1"/>
  <c r="CW17" i="1"/>
  <c r="CW27" i="1"/>
  <c r="CW2" i="1"/>
  <c r="BJ6" i="1"/>
  <c r="BJ7" i="1"/>
  <c r="BJ8" i="1"/>
  <c r="BJ9" i="1"/>
  <c r="BJ10" i="1"/>
  <c r="BJ11" i="1"/>
  <c r="BJ12" i="1"/>
  <c r="BJ5" i="1"/>
  <c r="BI17" i="1" s="1"/>
  <c r="BJ17" i="1" s="1"/>
  <c r="BH18" i="1"/>
  <c r="BH19" i="1" s="1"/>
  <c r="BH20" i="1" s="1"/>
  <c r="BH21" i="1" s="1"/>
  <c r="BH22" i="1" s="1"/>
  <c r="BH23" i="1" s="1"/>
  <c r="BH24" i="1" s="1"/>
  <c r="BH25" i="1" s="1"/>
  <c r="BH26" i="1" s="1"/>
  <c r="BH13" i="1"/>
  <c r="BH14" i="1" s="1"/>
  <c r="BH15" i="1" s="1"/>
  <c r="BH16" i="1" s="1"/>
  <c r="CW16" i="1" s="1"/>
  <c r="T3" i="4" l="1"/>
  <c r="T2" i="4"/>
  <c r="T4" i="4" s="1"/>
  <c r="W2" i="4"/>
  <c r="BI26" i="1"/>
  <c r="BJ26" i="1" s="1"/>
  <c r="CX17" i="1"/>
  <c r="CW22" i="1"/>
  <c r="CW21" i="1"/>
  <c r="CW20" i="1"/>
  <c r="CW19" i="1"/>
  <c r="BI16" i="1"/>
  <c r="CW18" i="1"/>
  <c r="CW25" i="1"/>
  <c r="CW24" i="1"/>
  <c r="CW14" i="1"/>
  <c r="CW26" i="1"/>
  <c r="CW15" i="1"/>
  <c r="CW23" i="1"/>
  <c r="CW13" i="1"/>
  <c r="BI14" i="1"/>
  <c r="BI13" i="1"/>
  <c r="BI27" i="1"/>
  <c r="BI15" i="1"/>
  <c r="BI19" i="1"/>
  <c r="BI25" i="1"/>
  <c r="BI24" i="1"/>
  <c r="BI18" i="1"/>
  <c r="BI23" i="1"/>
  <c r="BI22" i="1"/>
  <c r="BI21" i="1"/>
  <c r="BI20" i="1"/>
  <c r="DV3" i="1"/>
  <c r="DW3" i="1"/>
  <c r="DY3" i="1"/>
  <c r="DZ3" i="1"/>
  <c r="DV4" i="1"/>
  <c r="DW4" i="1"/>
  <c r="DY4" i="1"/>
  <c r="DZ4" i="1"/>
  <c r="DV5" i="1"/>
  <c r="DW5" i="1"/>
  <c r="DY5" i="1"/>
  <c r="DZ5" i="1"/>
  <c r="DV6" i="1"/>
  <c r="DW6" i="1"/>
  <c r="DY6" i="1"/>
  <c r="DZ6" i="1"/>
  <c r="DV7" i="1"/>
  <c r="DW7" i="1"/>
  <c r="DY7" i="1"/>
  <c r="DZ7" i="1"/>
  <c r="DV8" i="1"/>
  <c r="DW8" i="1"/>
  <c r="DY8" i="1"/>
  <c r="DZ8" i="1"/>
  <c r="DV9" i="1"/>
  <c r="DW9" i="1"/>
  <c r="DY9" i="1"/>
  <c r="DZ9" i="1"/>
  <c r="DV10" i="1"/>
  <c r="DW10" i="1"/>
  <c r="DY10" i="1"/>
  <c r="DZ10" i="1"/>
  <c r="DV11" i="1"/>
  <c r="DW11" i="1"/>
  <c r="DY11" i="1"/>
  <c r="DZ11" i="1"/>
  <c r="DV12" i="1"/>
  <c r="DW12" i="1"/>
  <c r="DY12" i="1"/>
  <c r="DZ12" i="1"/>
  <c r="DV13" i="1"/>
  <c r="DW13" i="1"/>
  <c r="DY13" i="1"/>
  <c r="DZ13" i="1"/>
  <c r="DV14" i="1"/>
  <c r="DW14" i="1"/>
  <c r="DY14" i="1"/>
  <c r="DZ14" i="1"/>
  <c r="DV15" i="1"/>
  <c r="DW15" i="1"/>
  <c r="DY15" i="1"/>
  <c r="DZ15" i="1"/>
  <c r="DV16" i="1"/>
  <c r="DW16" i="1"/>
  <c r="DY16" i="1"/>
  <c r="DZ16" i="1"/>
  <c r="DV17" i="1"/>
  <c r="DW17" i="1"/>
  <c r="DY17" i="1"/>
  <c r="DZ17" i="1"/>
  <c r="DV18" i="1"/>
  <c r="DW18" i="1"/>
  <c r="DY18" i="1"/>
  <c r="DZ18" i="1"/>
  <c r="DV19" i="1"/>
  <c r="DW19" i="1"/>
  <c r="DY19" i="1"/>
  <c r="DZ19" i="1"/>
  <c r="DV20" i="1"/>
  <c r="DW20" i="1"/>
  <c r="DY20" i="1"/>
  <c r="DZ20" i="1"/>
  <c r="DV21" i="1"/>
  <c r="DW21" i="1"/>
  <c r="DY21" i="1"/>
  <c r="DZ21" i="1"/>
  <c r="DV22" i="1"/>
  <c r="DW22" i="1"/>
  <c r="DY22" i="1"/>
  <c r="DZ22" i="1"/>
  <c r="DV23" i="1"/>
  <c r="DW23" i="1"/>
  <c r="DY23" i="1"/>
  <c r="DZ23" i="1"/>
  <c r="DV24" i="1"/>
  <c r="DW24" i="1"/>
  <c r="DY24" i="1"/>
  <c r="DZ24" i="1"/>
  <c r="DV25" i="1"/>
  <c r="DW25" i="1"/>
  <c r="DY25" i="1"/>
  <c r="DZ25" i="1"/>
  <c r="DV26" i="1"/>
  <c r="DW26" i="1"/>
  <c r="DY26" i="1"/>
  <c r="DZ26" i="1"/>
  <c r="DV27" i="1"/>
  <c r="DW27" i="1"/>
  <c r="DY27" i="1"/>
  <c r="DZ27" i="1"/>
  <c r="DY2" i="1"/>
  <c r="DW2" i="1"/>
  <c r="DZ2" i="1"/>
  <c r="DV2" i="1"/>
  <c r="CX26" i="1" l="1"/>
  <c r="BJ19" i="1"/>
  <c r="CX19" i="1"/>
  <c r="BJ13" i="1"/>
  <c r="CX13" i="1"/>
  <c r="BJ21" i="1"/>
  <c r="CX21" i="1"/>
  <c r="BJ23" i="1"/>
  <c r="CX23" i="1"/>
  <c r="BJ18" i="1"/>
  <c r="CX18" i="1"/>
  <c r="BJ27" i="1"/>
  <c r="CX27" i="1"/>
  <c r="BJ20" i="1"/>
  <c r="CX20" i="1"/>
  <c r="BJ24" i="1"/>
  <c r="CX24" i="1"/>
  <c r="BJ15" i="1"/>
  <c r="CX15" i="1"/>
  <c r="BJ16" i="1"/>
  <c r="CX16" i="1"/>
  <c r="BJ14" i="1"/>
  <c r="CX14" i="1"/>
  <c r="BJ22" i="1"/>
  <c r="CX22" i="1"/>
  <c r="EA2" i="1"/>
  <c r="EB2" i="1" s="1"/>
  <c r="BJ25" i="1"/>
  <c r="CX25" i="1"/>
  <c r="EA26" i="1"/>
  <c r="EB26" i="1" s="1"/>
  <c r="EA19" i="1"/>
  <c r="EB19" i="1" s="1"/>
  <c r="EA9" i="1"/>
  <c r="EB9" i="1" s="1"/>
  <c r="EA6" i="1"/>
  <c r="EB6" i="1" s="1"/>
  <c r="EA15" i="1"/>
  <c r="EB15" i="1" s="1"/>
  <c r="EA16" i="1"/>
  <c r="EB16" i="1" s="1"/>
  <c r="EA25" i="1"/>
  <c r="EB25" i="1" s="1"/>
  <c r="EA21" i="1"/>
  <c r="EB21" i="1" s="1"/>
  <c r="EA11" i="1"/>
  <c r="EB11" i="1" s="1"/>
  <c r="EA20" i="1"/>
  <c r="EB20" i="1" s="1"/>
  <c r="EA10" i="1"/>
  <c r="EB10" i="1" s="1"/>
  <c r="EA5" i="1"/>
  <c r="EB5" i="1" s="1"/>
  <c r="EA18" i="1"/>
  <c r="EB18" i="1" s="1"/>
  <c r="EA13" i="1"/>
  <c r="EB13" i="1" s="1"/>
  <c r="EA8" i="1"/>
  <c r="EB8" i="1" s="1"/>
  <c r="EA3" i="1"/>
  <c r="EB3" i="1" s="1"/>
  <c r="EA23" i="1"/>
  <c r="EB23" i="1" s="1"/>
  <c r="EA27" i="1"/>
  <c r="EB27" i="1" s="1"/>
  <c r="EA22" i="1"/>
  <c r="EB22" i="1" s="1"/>
  <c r="EA17" i="1"/>
  <c r="EB17" i="1" s="1"/>
  <c r="EA12" i="1"/>
  <c r="EB12" i="1" s="1"/>
  <c r="EA7" i="1"/>
  <c r="EB7" i="1" s="1"/>
  <c r="EA24" i="1"/>
  <c r="EB24" i="1" s="1"/>
  <c r="EA14" i="1"/>
  <c r="EB14" i="1" s="1"/>
  <c r="EA4" i="1"/>
  <c r="EB4" i="1" s="1"/>
  <c r="O7" i="65"/>
  <c r="AB7" i="65" s="1"/>
  <c r="J5" i="65"/>
  <c r="I5" i="65"/>
  <c r="J4" i="65"/>
  <c r="I4" i="65"/>
  <c r="G4" i="65"/>
  <c r="F4" i="65"/>
  <c r="C4" i="65"/>
  <c r="E4" i="65" s="1"/>
  <c r="F24" i="65" s="1"/>
  <c r="J3" i="65"/>
  <c r="I3" i="65"/>
  <c r="G3" i="65"/>
  <c r="F3" i="65"/>
  <c r="C3" i="65"/>
  <c r="E3" i="65" s="1"/>
  <c r="E12" i="65" s="1"/>
  <c r="I2" i="65"/>
  <c r="G2" i="65"/>
  <c r="F2" i="65"/>
  <c r="C2" i="65"/>
  <c r="E2" i="65" s="1"/>
  <c r="B2" i="65"/>
  <c r="AC2" i="65" s="1"/>
  <c r="J5" i="64"/>
  <c r="I5" i="64"/>
  <c r="J4" i="64"/>
  <c r="I4" i="64"/>
  <c r="G4" i="64"/>
  <c r="F4" i="64"/>
  <c r="C4" i="64"/>
  <c r="E4" i="64" s="1"/>
  <c r="J3" i="64"/>
  <c r="I3" i="64"/>
  <c r="G3" i="64"/>
  <c r="F3" i="64"/>
  <c r="C3" i="64"/>
  <c r="E3" i="64" s="1"/>
  <c r="AC2" i="64"/>
  <c r="I2" i="64"/>
  <c r="G2" i="64"/>
  <c r="F2" i="64"/>
  <c r="C2" i="64"/>
  <c r="E2" i="64" s="1"/>
  <c r="B2" i="64"/>
  <c r="O7" i="64" s="1"/>
  <c r="AB7" i="64" s="1"/>
  <c r="J5" i="63"/>
  <c r="I5" i="63"/>
  <c r="J4" i="63"/>
  <c r="I4" i="63"/>
  <c r="G4" i="63"/>
  <c r="F4" i="63"/>
  <c r="C4" i="63"/>
  <c r="E4" i="63" s="1"/>
  <c r="J3" i="63"/>
  <c r="I3" i="63"/>
  <c r="G3" i="63"/>
  <c r="F3" i="63"/>
  <c r="C3" i="63"/>
  <c r="E3" i="63" s="1"/>
  <c r="AC2" i="63"/>
  <c r="I2" i="63"/>
  <c r="G2" i="63"/>
  <c r="F2" i="63"/>
  <c r="C2" i="63"/>
  <c r="E2" i="63" s="1"/>
  <c r="B2" i="63"/>
  <c r="O7" i="63" s="1"/>
  <c r="AB7" i="63" s="1"/>
  <c r="J5" i="62"/>
  <c r="I5" i="62"/>
  <c r="J4" i="62"/>
  <c r="I4" i="62"/>
  <c r="G4" i="62"/>
  <c r="F4" i="62"/>
  <c r="C4" i="62"/>
  <c r="E4" i="62" s="1"/>
  <c r="J3" i="62"/>
  <c r="I3" i="62"/>
  <c r="G3" i="62"/>
  <c r="F3" i="62"/>
  <c r="C3" i="62"/>
  <c r="E3" i="62" s="1"/>
  <c r="I2" i="62"/>
  <c r="G2" i="62"/>
  <c r="F2" i="62"/>
  <c r="C2" i="62"/>
  <c r="E2" i="62" s="1"/>
  <c r="B2" i="62"/>
  <c r="AC2" i="62" s="1"/>
  <c r="J5" i="61"/>
  <c r="I5" i="61"/>
  <c r="J4" i="61"/>
  <c r="I4" i="61"/>
  <c r="G4" i="61"/>
  <c r="F4" i="61"/>
  <c r="C4" i="61"/>
  <c r="E4" i="61" s="1"/>
  <c r="J3" i="61"/>
  <c r="I3" i="61"/>
  <c r="G3" i="61"/>
  <c r="F3" i="61"/>
  <c r="C3" i="61"/>
  <c r="E3" i="61" s="1"/>
  <c r="AC2" i="61"/>
  <c r="I2" i="61"/>
  <c r="G2" i="61"/>
  <c r="F2" i="61"/>
  <c r="C2" i="61"/>
  <c r="E2" i="61" s="1"/>
  <c r="B2" i="61"/>
  <c r="O7" i="61" s="1"/>
  <c r="AB7" i="61" s="1"/>
  <c r="O7" i="60"/>
  <c r="AB7" i="60" s="1"/>
  <c r="J5" i="60"/>
  <c r="I5" i="60"/>
  <c r="J4" i="60"/>
  <c r="I4" i="60"/>
  <c r="G4" i="60"/>
  <c r="F4" i="60"/>
  <c r="C4" i="60"/>
  <c r="E4" i="60" s="1"/>
  <c r="F8" i="60" s="1"/>
  <c r="J3" i="60"/>
  <c r="I3" i="60"/>
  <c r="G3" i="60"/>
  <c r="F3" i="60"/>
  <c r="C3" i="60"/>
  <c r="E3" i="60" s="1"/>
  <c r="I2" i="60"/>
  <c r="G2" i="60"/>
  <c r="F2" i="60"/>
  <c r="C2" i="60"/>
  <c r="E2" i="60" s="1"/>
  <c r="B2" i="60"/>
  <c r="AC2" i="60" s="1"/>
  <c r="O7" i="59"/>
  <c r="AB7" i="59" s="1"/>
  <c r="J5" i="59"/>
  <c r="I5" i="59"/>
  <c r="J4" i="59"/>
  <c r="I4" i="59"/>
  <c r="G4" i="59"/>
  <c r="F4" i="59"/>
  <c r="C4" i="59"/>
  <c r="E4" i="59" s="1"/>
  <c r="J3" i="59"/>
  <c r="I3" i="59"/>
  <c r="G3" i="59"/>
  <c r="F3" i="59"/>
  <c r="C3" i="59"/>
  <c r="E3" i="59" s="1"/>
  <c r="I2" i="59"/>
  <c r="G2" i="59"/>
  <c r="F2" i="59"/>
  <c r="C2" i="59"/>
  <c r="E2" i="59" s="1"/>
  <c r="B2" i="59"/>
  <c r="AC2" i="59" s="1"/>
  <c r="J5" i="58"/>
  <c r="I5" i="58"/>
  <c r="J4" i="58"/>
  <c r="I4" i="58"/>
  <c r="G4" i="58"/>
  <c r="F4" i="58"/>
  <c r="C4" i="58"/>
  <c r="E4" i="58" s="1"/>
  <c r="F29" i="58" s="1"/>
  <c r="J3" i="58"/>
  <c r="I3" i="58"/>
  <c r="G3" i="58"/>
  <c r="F3" i="58"/>
  <c r="C3" i="58"/>
  <c r="E3" i="58" s="1"/>
  <c r="I2" i="58"/>
  <c r="G2" i="58"/>
  <c r="F2" i="58"/>
  <c r="C2" i="58"/>
  <c r="E2" i="58" s="1"/>
  <c r="B2" i="58"/>
  <c r="AC2" i="58" s="1"/>
  <c r="O7" i="57"/>
  <c r="AB7" i="57" s="1"/>
  <c r="J5" i="57"/>
  <c r="I5" i="57"/>
  <c r="J4" i="57"/>
  <c r="I4" i="57"/>
  <c r="G4" i="57"/>
  <c r="F4" i="57"/>
  <c r="C4" i="57"/>
  <c r="E4" i="57" s="1"/>
  <c r="J3" i="57"/>
  <c r="I3" i="57"/>
  <c r="G3" i="57"/>
  <c r="F3" i="57"/>
  <c r="C3" i="57"/>
  <c r="E3" i="57" s="1"/>
  <c r="I2" i="57"/>
  <c r="G2" i="57"/>
  <c r="F2" i="57"/>
  <c r="C2" i="57"/>
  <c r="E2" i="57" s="1"/>
  <c r="B2" i="57"/>
  <c r="AC2" i="57" s="1"/>
  <c r="J5" i="56"/>
  <c r="I5" i="56"/>
  <c r="J4" i="56"/>
  <c r="I4" i="56"/>
  <c r="G4" i="56"/>
  <c r="F4" i="56"/>
  <c r="C4" i="56"/>
  <c r="E4" i="56" s="1"/>
  <c r="J3" i="56"/>
  <c r="I3" i="56"/>
  <c r="G3" i="56"/>
  <c r="F3" i="56"/>
  <c r="C3" i="56"/>
  <c r="E3" i="56" s="1"/>
  <c r="AC2" i="56"/>
  <c r="I2" i="56"/>
  <c r="G2" i="56"/>
  <c r="F2" i="56"/>
  <c r="C2" i="56"/>
  <c r="E2" i="56" s="1"/>
  <c r="B2" i="56"/>
  <c r="O7" i="56" s="1"/>
  <c r="AB7" i="56" s="1"/>
  <c r="N7" i="55"/>
  <c r="J5" i="55"/>
  <c r="I5" i="55"/>
  <c r="J4" i="55"/>
  <c r="I4" i="55"/>
  <c r="G4" i="55"/>
  <c r="F4" i="55"/>
  <c r="C4" i="55"/>
  <c r="E4" i="55" s="1"/>
  <c r="J3" i="55"/>
  <c r="I3" i="55"/>
  <c r="G3" i="55"/>
  <c r="F3" i="55"/>
  <c r="C3" i="55"/>
  <c r="E3" i="55" s="1"/>
  <c r="I2" i="55"/>
  <c r="G2" i="55"/>
  <c r="F2" i="55"/>
  <c r="C2" i="55"/>
  <c r="E2" i="55" s="1"/>
  <c r="B2" i="55"/>
  <c r="AB7" i="54"/>
  <c r="J5" i="54"/>
  <c r="I5" i="54"/>
  <c r="J4" i="54"/>
  <c r="I4" i="54"/>
  <c r="G4" i="54"/>
  <c r="F4" i="54"/>
  <c r="C4" i="54"/>
  <c r="E4" i="54" s="1"/>
  <c r="F19" i="54" s="1"/>
  <c r="J3" i="54"/>
  <c r="I3" i="54"/>
  <c r="G3" i="54"/>
  <c r="F3" i="54"/>
  <c r="C3" i="54"/>
  <c r="E3" i="54" s="1"/>
  <c r="AC2" i="54"/>
  <c r="I2" i="54"/>
  <c r="G2" i="54"/>
  <c r="F2" i="54"/>
  <c r="C2" i="54"/>
  <c r="E2" i="54" s="1"/>
  <c r="B2" i="54"/>
  <c r="O7" i="54" s="1"/>
  <c r="J5" i="53"/>
  <c r="I5" i="53"/>
  <c r="J4" i="53"/>
  <c r="I4" i="53"/>
  <c r="G4" i="53"/>
  <c r="F4" i="53"/>
  <c r="C4" i="53"/>
  <c r="E4" i="53" s="1"/>
  <c r="F12" i="53" s="1"/>
  <c r="J3" i="53"/>
  <c r="I3" i="53"/>
  <c r="G3" i="53"/>
  <c r="F3" i="53"/>
  <c r="C3" i="53"/>
  <c r="E3" i="53" s="1"/>
  <c r="I2" i="53"/>
  <c r="G2" i="53"/>
  <c r="F2" i="53"/>
  <c r="C2" i="53"/>
  <c r="E2" i="53" s="1"/>
  <c r="B2" i="53"/>
  <c r="AC2" i="53" s="1"/>
  <c r="O7" i="52"/>
  <c r="AB7" i="52" s="1"/>
  <c r="J5" i="52"/>
  <c r="I5" i="52"/>
  <c r="J4" i="52"/>
  <c r="I4" i="52"/>
  <c r="G4" i="52"/>
  <c r="F4" i="52"/>
  <c r="C4" i="52"/>
  <c r="E4" i="52" s="1"/>
  <c r="F18" i="52" s="1"/>
  <c r="J3" i="52"/>
  <c r="I3" i="52"/>
  <c r="G3" i="52"/>
  <c r="F3" i="52"/>
  <c r="C3" i="52"/>
  <c r="E3" i="52" s="1"/>
  <c r="AC2" i="52"/>
  <c r="I2" i="52"/>
  <c r="G2" i="52"/>
  <c r="F2" i="52"/>
  <c r="C2" i="52"/>
  <c r="E2" i="52" s="1"/>
  <c r="B2" i="52"/>
  <c r="N7" i="52" s="1"/>
  <c r="AB7" i="51"/>
  <c r="J5" i="51"/>
  <c r="I5" i="51"/>
  <c r="J4" i="51"/>
  <c r="I4" i="51"/>
  <c r="G4" i="51"/>
  <c r="F4" i="51"/>
  <c r="C4" i="51"/>
  <c r="E4" i="51" s="1"/>
  <c r="J3" i="51"/>
  <c r="I3" i="51"/>
  <c r="G3" i="51"/>
  <c r="F3" i="51"/>
  <c r="C3" i="51"/>
  <c r="E3" i="51" s="1"/>
  <c r="I2" i="51"/>
  <c r="G2" i="51"/>
  <c r="F2" i="51"/>
  <c r="C2" i="51"/>
  <c r="E2" i="51" s="1"/>
  <c r="B2" i="51"/>
  <c r="O7" i="51" s="1"/>
  <c r="AB7" i="50"/>
  <c r="O7" i="50"/>
  <c r="J5" i="50"/>
  <c r="I5" i="50"/>
  <c r="J4" i="50"/>
  <c r="I4" i="50"/>
  <c r="G4" i="50"/>
  <c r="F4" i="50"/>
  <c r="C4" i="50"/>
  <c r="E4" i="50" s="1"/>
  <c r="J3" i="50"/>
  <c r="I3" i="50"/>
  <c r="G3" i="50"/>
  <c r="F3" i="50"/>
  <c r="C3" i="50"/>
  <c r="E3" i="50" s="1"/>
  <c r="AC2" i="50"/>
  <c r="I2" i="50"/>
  <c r="G2" i="50"/>
  <c r="F2" i="50"/>
  <c r="C2" i="50"/>
  <c r="E2" i="50" s="1"/>
  <c r="B2" i="50"/>
  <c r="N7" i="50" s="1"/>
  <c r="J5" i="49"/>
  <c r="I5" i="49"/>
  <c r="J4" i="49"/>
  <c r="I4" i="49"/>
  <c r="G4" i="49"/>
  <c r="F4" i="49"/>
  <c r="C4" i="49"/>
  <c r="E4" i="49" s="1"/>
  <c r="J3" i="49"/>
  <c r="I3" i="49"/>
  <c r="G3" i="49"/>
  <c r="F3" i="49"/>
  <c r="C3" i="49"/>
  <c r="E3" i="49" s="1"/>
  <c r="I2" i="49"/>
  <c r="G2" i="49"/>
  <c r="F2" i="49"/>
  <c r="C2" i="49"/>
  <c r="E2" i="49" s="1"/>
  <c r="B2" i="49"/>
  <c r="J5" i="48"/>
  <c r="I5" i="48"/>
  <c r="J4" i="48"/>
  <c r="I4" i="48"/>
  <c r="G4" i="48"/>
  <c r="F4" i="48"/>
  <c r="C4" i="48"/>
  <c r="E4" i="48" s="1"/>
  <c r="J3" i="48"/>
  <c r="I3" i="48"/>
  <c r="G3" i="48"/>
  <c r="F3" i="48"/>
  <c r="C3" i="48"/>
  <c r="E3" i="48" s="1"/>
  <c r="AC2" i="48"/>
  <c r="I2" i="48"/>
  <c r="G2" i="48"/>
  <c r="F2" i="48"/>
  <c r="C2" i="48"/>
  <c r="E2" i="48" s="1"/>
  <c r="B2" i="48"/>
  <c r="O7" i="48" s="1"/>
  <c r="AB7" i="48" s="1"/>
  <c r="J5" i="47"/>
  <c r="I5" i="47"/>
  <c r="J4" i="47"/>
  <c r="I4" i="47"/>
  <c r="G4" i="47"/>
  <c r="F4" i="47"/>
  <c r="C4" i="47"/>
  <c r="E4" i="47" s="1"/>
  <c r="J3" i="47"/>
  <c r="I3" i="47"/>
  <c r="G3" i="47"/>
  <c r="F3" i="47"/>
  <c r="C3" i="47"/>
  <c r="E3" i="47" s="1"/>
  <c r="I2" i="47"/>
  <c r="G2" i="47"/>
  <c r="F2" i="47"/>
  <c r="C2" i="47"/>
  <c r="E2" i="47" s="1"/>
  <c r="B2" i="47"/>
  <c r="AC2" i="47" s="1"/>
  <c r="N26" i="46"/>
  <c r="N24" i="46"/>
  <c r="N20" i="46"/>
  <c r="N8" i="46"/>
  <c r="O7" i="46"/>
  <c r="AB7" i="46" s="1"/>
  <c r="J5" i="46"/>
  <c r="I5" i="46"/>
  <c r="J4" i="46"/>
  <c r="I4" i="46"/>
  <c r="G4" i="46"/>
  <c r="F4" i="46"/>
  <c r="C4" i="46"/>
  <c r="E4" i="46" s="1"/>
  <c r="F12" i="46" s="1"/>
  <c r="J3" i="46"/>
  <c r="I3" i="46"/>
  <c r="G3" i="46"/>
  <c r="F3" i="46"/>
  <c r="C3" i="46"/>
  <c r="E3" i="46" s="1"/>
  <c r="E8" i="46" s="1"/>
  <c r="AC2" i="46"/>
  <c r="I2" i="46"/>
  <c r="G2" i="46"/>
  <c r="F2" i="46"/>
  <c r="C2" i="46"/>
  <c r="E2" i="46" s="1"/>
  <c r="B2" i="46"/>
  <c r="N7" i="46" s="1"/>
  <c r="J5" i="45"/>
  <c r="I5" i="45"/>
  <c r="J4" i="45"/>
  <c r="I4" i="45"/>
  <c r="G4" i="45"/>
  <c r="F4" i="45"/>
  <c r="C4" i="45"/>
  <c r="E4" i="45" s="1"/>
  <c r="J3" i="45"/>
  <c r="I3" i="45"/>
  <c r="G3" i="45"/>
  <c r="F3" i="45"/>
  <c r="C3" i="45"/>
  <c r="E3" i="45" s="1"/>
  <c r="E30" i="45" s="1"/>
  <c r="I2" i="45"/>
  <c r="G2" i="45"/>
  <c r="F2" i="45"/>
  <c r="C2" i="45"/>
  <c r="E2" i="45" s="1"/>
  <c r="B2" i="45"/>
  <c r="J5" i="44"/>
  <c r="I5" i="44"/>
  <c r="J4" i="44"/>
  <c r="I4" i="44"/>
  <c r="G4" i="44"/>
  <c r="F4" i="44"/>
  <c r="J3" i="44"/>
  <c r="I3" i="44"/>
  <c r="G3" i="44"/>
  <c r="F3" i="44"/>
  <c r="I2" i="44"/>
  <c r="G2" i="44"/>
  <c r="F2" i="44"/>
  <c r="N7" i="43"/>
  <c r="J5" i="43"/>
  <c r="I5" i="43"/>
  <c r="J4" i="43"/>
  <c r="I4" i="43"/>
  <c r="G4" i="43"/>
  <c r="F4" i="43"/>
  <c r="C4" i="43"/>
  <c r="E4" i="43" s="1"/>
  <c r="J3" i="43"/>
  <c r="I3" i="43"/>
  <c r="G3" i="43"/>
  <c r="F3" i="43"/>
  <c r="C3" i="43"/>
  <c r="E3" i="43" s="1"/>
  <c r="I2" i="43"/>
  <c r="G2" i="43"/>
  <c r="F2" i="43"/>
  <c r="C2" i="43"/>
  <c r="E2" i="43" s="1"/>
  <c r="B2" i="43"/>
  <c r="N39" i="14"/>
  <c r="C8" i="63" s="1"/>
  <c r="N25" i="14"/>
  <c r="O25" i="14" s="1"/>
  <c r="N20" i="14"/>
  <c r="O20" i="14" s="1"/>
  <c r="N21" i="14"/>
  <c r="C8" i="45" s="1"/>
  <c r="N22" i="14"/>
  <c r="O22" i="14" s="1"/>
  <c r="N23" i="14"/>
  <c r="O23" i="14" s="1"/>
  <c r="N24" i="14"/>
  <c r="O24" i="14" s="1"/>
  <c r="N26" i="14"/>
  <c r="C8" i="50" s="1"/>
  <c r="N27" i="14"/>
  <c r="C8" i="51" s="1"/>
  <c r="N28" i="14"/>
  <c r="C8" i="52" s="1"/>
  <c r="N29" i="14"/>
  <c r="C8" i="53" s="1"/>
  <c r="N30" i="14"/>
  <c r="O30" i="14" s="1"/>
  <c r="N31" i="14"/>
  <c r="O31" i="14" s="1"/>
  <c r="N32" i="14"/>
  <c r="O32" i="14" s="1"/>
  <c r="N33" i="14"/>
  <c r="O33" i="14" s="1"/>
  <c r="N34" i="14"/>
  <c r="C8" i="58" s="1"/>
  <c r="N35" i="14"/>
  <c r="C8" i="59" s="1"/>
  <c r="N36" i="14"/>
  <c r="C8" i="60" s="1"/>
  <c r="N37" i="14"/>
  <c r="N38" i="14"/>
  <c r="O38" i="14" s="1"/>
  <c r="N40" i="14"/>
  <c r="O40" i="14" s="1"/>
  <c r="N41" i="14"/>
  <c r="O41" i="14" s="1"/>
  <c r="N19" i="14"/>
  <c r="BI3" i="4"/>
  <c r="BI4" i="4"/>
  <c r="BI5" i="4"/>
  <c r="BI6" i="4"/>
  <c r="BI7" i="4"/>
  <c r="BI8" i="4"/>
  <c r="BI9" i="4"/>
  <c r="BI10" i="4"/>
  <c r="BI11" i="4"/>
  <c r="BI12" i="4"/>
  <c r="BI13" i="4"/>
  <c r="BI14" i="4"/>
  <c r="BI15" i="4"/>
  <c r="BI16" i="4"/>
  <c r="BI17" i="4"/>
  <c r="BI18" i="4"/>
  <c r="BI19" i="4"/>
  <c r="BI20" i="4"/>
  <c r="BI21" i="4"/>
  <c r="BI22" i="4"/>
  <c r="BI23" i="4"/>
  <c r="BI24" i="4"/>
  <c r="BI2" i="4"/>
  <c r="BK3" i="4"/>
  <c r="BL3" i="4"/>
  <c r="BM3" i="4"/>
  <c r="BN3" i="4"/>
  <c r="BO3" i="4"/>
  <c r="BP3" i="4"/>
  <c r="BQ3" i="4"/>
  <c r="BR3" i="4"/>
  <c r="BS3" i="4"/>
  <c r="BT3" i="4"/>
  <c r="BU3" i="4"/>
  <c r="BV3" i="4"/>
  <c r="BW3" i="4"/>
  <c r="BX3" i="4"/>
  <c r="BY3" i="4"/>
  <c r="BZ3" i="4"/>
  <c r="CA3" i="4"/>
  <c r="CB3" i="4"/>
  <c r="CC3" i="4"/>
  <c r="CD3" i="4"/>
  <c r="CE3" i="4"/>
  <c r="CF3" i="4"/>
  <c r="CG3" i="4"/>
  <c r="BK4" i="4"/>
  <c r="BL4" i="4"/>
  <c r="BM4" i="4"/>
  <c r="BN4" i="4"/>
  <c r="BO4" i="4"/>
  <c r="BP4" i="4"/>
  <c r="BQ4" i="4"/>
  <c r="BR4" i="4"/>
  <c r="BS4" i="4"/>
  <c r="BT4" i="4"/>
  <c r="BU4" i="4"/>
  <c r="BV4" i="4"/>
  <c r="BW4" i="4"/>
  <c r="BX4" i="4"/>
  <c r="BY4" i="4"/>
  <c r="BZ4" i="4"/>
  <c r="CA4" i="4"/>
  <c r="CB4" i="4"/>
  <c r="CC4" i="4"/>
  <c r="CD4" i="4"/>
  <c r="CE4" i="4"/>
  <c r="CF4" i="4"/>
  <c r="CG4" i="4"/>
  <c r="BK5" i="4"/>
  <c r="BL5" i="4"/>
  <c r="BM5" i="4"/>
  <c r="BN5" i="4"/>
  <c r="BO5" i="4"/>
  <c r="BP5" i="4"/>
  <c r="BQ5" i="4"/>
  <c r="BR5" i="4"/>
  <c r="BS5" i="4"/>
  <c r="BT5" i="4"/>
  <c r="BU5" i="4"/>
  <c r="BV5" i="4"/>
  <c r="BW5" i="4"/>
  <c r="BX5" i="4"/>
  <c r="BY5" i="4"/>
  <c r="BZ5" i="4"/>
  <c r="CA5" i="4"/>
  <c r="CB5" i="4"/>
  <c r="CC5" i="4"/>
  <c r="CD5" i="4"/>
  <c r="CE5" i="4"/>
  <c r="CF5" i="4"/>
  <c r="CG5" i="4"/>
  <c r="BK6" i="4"/>
  <c r="BL6" i="4"/>
  <c r="BM6" i="4"/>
  <c r="BN6" i="4"/>
  <c r="BO6" i="4"/>
  <c r="BP6" i="4"/>
  <c r="BQ6" i="4"/>
  <c r="BR6" i="4"/>
  <c r="BS6" i="4"/>
  <c r="BT6" i="4"/>
  <c r="BU6" i="4"/>
  <c r="BV6" i="4"/>
  <c r="BW6" i="4"/>
  <c r="BX6" i="4"/>
  <c r="BY6" i="4"/>
  <c r="BZ6" i="4"/>
  <c r="CA6" i="4"/>
  <c r="CB6" i="4"/>
  <c r="CC6" i="4"/>
  <c r="CD6" i="4"/>
  <c r="CE6" i="4"/>
  <c r="CF6" i="4"/>
  <c r="CG6" i="4"/>
  <c r="BK7" i="4"/>
  <c r="BL7" i="4"/>
  <c r="BM7" i="4"/>
  <c r="BN7" i="4"/>
  <c r="BO7" i="4"/>
  <c r="BP7" i="4"/>
  <c r="BQ7" i="4"/>
  <c r="BR7" i="4"/>
  <c r="BS7" i="4"/>
  <c r="BT7" i="4"/>
  <c r="BU7" i="4"/>
  <c r="BV7" i="4"/>
  <c r="BW7" i="4"/>
  <c r="BX7" i="4"/>
  <c r="BY7" i="4"/>
  <c r="BZ7" i="4"/>
  <c r="CA7" i="4"/>
  <c r="CB7" i="4"/>
  <c r="CC7" i="4"/>
  <c r="CD7" i="4"/>
  <c r="CE7" i="4"/>
  <c r="CF7" i="4"/>
  <c r="CG7" i="4"/>
  <c r="BK8" i="4"/>
  <c r="BL8" i="4"/>
  <c r="BM8" i="4"/>
  <c r="BN8" i="4"/>
  <c r="BO8" i="4"/>
  <c r="BP8" i="4"/>
  <c r="BQ8" i="4"/>
  <c r="BR8" i="4"/>
  <c r="BS8" i="4"/>
  <c r="BT8" i="4"/>
  <c r="BU8" i="4"/>
  <c r="BV8" i="4"/>
  <c r="BW8" i="4"/>
  <c r="BX8" i="4"/>
  <c r="BY8" i="4"/>
  <c r="BZ8" i="4"/>
  <c r="CA8" i="4"/>
  <c r="CB8" i="4"/>
  <c r="CC8" i="4"/>
  <c r="CD8" i="4"/>
  <c r="CE8" i="4"/>
  <c r="CF8" i="4"/>
  <c r="CG8" i="4"/>
  <c r="BK9" i="4"/>
  <c r="BL9" i="4"/>
  <c r="BM9" i="4"/>
  <c r="BN9" i="4"/>
  <c r="BO9" i="4"/>
  <c r="BP9" i="4"/>
  <c r="BQ9" i="4"/>
  <c r="BR9" i="4"/>
  <c r="BS9" i="4"/>
  <c r="BT9" i="4"/>
  <c r="BU9" i="4"/>
  <c r="BV9" i="4"/>
  <c r="BW9" i="4"/>
  <c r="BX9" i="4"/>
  <c r="BY9" i="4"/>
  <c r="BZ9" i="4"/>
  <c r="CA9" i="4"/>
  <c r="CB9" i="4"/>
  <c r="CC9" i="4"/>
  <c r="CD9" i="4"/>
  <c r="CE9" i="4"/>
  <c r="CF9" i="4"/>
  <c r="CG9" i="4"/>
  <c r="BK10" i="4"/>
  <c r="BL10" i="4"/>
  <c r="BM10" i="4"/>
  <c r="BN10" i="4"/>
  <c r="BO10" i="4"/>
  <c r="BP10" i="4"/>
  <c r="BQ10" i="4"/>
  <c r="BR10" i="4"/>
  <c r="BS10" i="4"/>
  <c r="BT10" i="4"/>
  <c r="BU10" i="4"/>
  <c r="BV10" i="4"/>
  <c r="BW10" i="4"/>
  <c r="BX10" i="4"/>
  <c r="BY10" i="4"/>
  <c r="BZ10" i="4"/>
  <c r="CA10" i="4"/>
  <c r="CB10" i="4"/>
  <c r="CC10" i="4"/>
  <c r="CD10" i="4"/>
  <c r="CE10" i="4"/>
  <c r="CF10" i="4"/>
  <c r="CG10" i="4"/>
  <c r="BK11" i="4"/>
  <c r="BL11" i="4"/>
  <c r="BM11" i="4"/>
  <c r="BN11" i="4"/>
  <c r="BO11" i="4"/>
  <c r="BP11" i="4"/>
  <c r="BQ11" i="4"/>
  <c r="BR11" i="4"/>
  <c r="BS11" i="4"/>
  <c r="BT11" i="4"/>
  <c r="BU11" i="4"/>
  <c r="BV11" i="4"/>
  <c r="BW11" i="4"/>
  <c r="BX11" i="4"/>
  <c r="BY11" i="4"/>
  <c r="BZ11" i="4"/>
  <c r="CA11" i="4"/>
  <c r="CB11" i="4"/>
  <c r="CC11" i="4"/>
  <c r="CD11" i="4"/>
  <c r="CE11" i="4"/>
  <c r="CF11" i="4"/>
  <c r="CG11" i="4"/>
  <c r="BK12" i="4"/>
  <c r="BL12" i="4"/>
  <c r="BM12" i="4"/>
  <c r="BN12" i="4"/>
  <c r="BO12" i="4"/>
  <c r="BP12" i="4"/>
  <c r="BQ12" i="4"/>
  <c r="BR12" i="4"/>
  <c r="BS12" i="4"/>
  <c r="BT12" i="4"/>
  <c r="BU12" i="4"/>
  <c r="BV12" i="4"/>
  <c r="BW12" i="4"/>
  <c r="BX12" i="4"/>
  <c r="BY12" i="4"/>
  <c r="BZ12" i="4"/>
  <c r="CA12" i="4"/>
  <c r="CB12" i="4"/>
  <c r="CC12" i="4"/>
  <c r="CD12" i="4"/>
  <c r="CE12" i="4"/>
  <c r="CF12" i="4"/>
  <c r="CG12" i="4"/>
  <c r="BK13" i="4"/>
  <c r="BL13" i="4"/>
  <c r="BM13" i="4"/>
  <c r="BN13" i="4"/>
  <c r="BO13" i="4"/>
  <c r="BP13" i="4"/>
  <c r="BQ13" i="4"/>
  <c r="BR13" i="4"/>
  <c r="BS13" i="4"/>
  <c r="BT13" i="4"/>
  <c r="BU13" i="4"/>
  <c r="BV13" i="4"/>
  <c r="BW13" i="4"/>
  <c r="BX13" i="4"/>
  <c r="BY13" i="4"/>
  <c r="BZ13" i="4"/>
  <c r="CA13" i="4"/>
  <c r="CB13" i="4"/>
  <c r="CC13" i="4"/>
  <c r="CD13" i="4"/>
  <c r="CE13" i="4"/>
  <c r="CF13" i="4"/>
  <c r="CG13" i="4"/>
  <c r="BK14" i="4"/>
  <c r="BL14" i="4"/>
  <c r="BM14" i="4"/>
  <c r="BN14" i="4"/>
  <c r="BO14" i="4"/>
  <c r="BP14" i="4"/>
  <c r="BQ14" i="4"/>
  <c r="BR14" i="4"/>
  <c r="BS14" i="4"/>
  <c r="BT14" i="4"/>
  <c r="BU14" i="4"/>
  <c r="BV14" i="4"/>
  <c r="BW14" i="4"/>
  <c r="BX14" i="4"/>
  <c r="BY14" i="4"/>
  <c r="BZ14" i="4"/>
  <c r="CA14" i="4"/>
  <c r="CB14" i="4"/>
  <c r="CC14" i="4"/>
  <c r="CD14" i="4"/>
  <c r="CE14" i="4"/>
  <c r="CF14" i="4"/>
  <c r="CG14" i="4"/>
  <c r="BK15" i="4"/>
  <c r="BL15" i="4"/>
  <c r="BM15" i="4"/>
  <c r="BN15" i="4"/>
  <c r="BO15" i="4"/>
  <c r="BP15" i="4"/>
  <c r="BQ15" i="4"/>
  <c r="BR15" i="4"/>
  <c r="BS15" i="4"/>
  <c r="BT15" i="4"/>
  <c r="BU15" i="4"/>
  <c r="BV15" i="4"/>
  <c r="BW15" i="4"/>
  <c r="BX15" i="4"/>
  <c r="BY15" i="4"/>
  <c r="BZ15" i="4"/>
  <c r="CA15" i="4"/>
  <c r="CB15" i="4"/>
  <c r="CC15" i="4"/>
  <c r="CD15" i="4"/>
  <c r="CE15" i="4"/>
  <c r="CF15" i="4"/>
  <c r="CG15" i="4"/>
  <c r="BK16" i="4"/>
  <c r="BL16" i="4"/>
  <c r="BM16" i="4"/>
  <c r="BN16" i="4"/>
  <c r="BO16" i="4"/>
  <c r="BP16" i="4"/>
  <c r="BQ16" i="4"/>
  <c r="BR16" i="4"/>
  <c r="BS16" i="4"/>
  <c r="BT16" i="4"/>
  <c r="BU16" i="4"/>
  <c r="BV16" i="4"/>
  <c r="BW16" i="4"/>
  <c r="BX16" i="4"/>
  <c r="BY16" i="4"/>
  <c r="BZ16" i="4"/>
  <c r="CA16" i="4"/>
  <c r="CB16" i="4"/>
  <c r="CC16" i="4"/>
  <c r="CD16" i="4"/>
  <c r="CE16" i="4"/>
  <c r="CF16" i="4"/>
  <c r="CG16" i="4"/>
  <c r="BK17" i="4"/>
  <c r="BL17" i="4"/>
  <c r="BM17" i="4"/>
  <c r="BN17" i="4"/>
  <c r="BO17" i="4"/>
  <c r="BP17" i="4"/>
  <c r="BQ17" i="4"/>
  <c r="BR17" i="4"/>
  <c r="BS17" i="4"/>
  <c r="BT17" i="4"/>
  <c r="BU17" i="4"/>
  <c r="BV17" i="4"/>
  <c r="BW17" i="4"/>
  <c r="BX17" i="4"/>
  <c r="BY17" i="4"/>
  <c r="BZ17" i="4"/>
  <c r="CA17" i="4"/>
  <c r="CB17" i="4"/>
  <c r="CC17" i="4"/>
  <c r="CD17" i="4"/>
  <c r="CE17" i="4"/>
  <c r="CF17" i="4"/>
  <c r="CG17" i="4"/>
  <c r="BK18" i="4"/>
  <c r="BL18" i="4"/>
  <c r="BM18" i="4"/>
  <c r="BN18" i="4"/>
  <c r="BO18" i="4"/>
  <c r="BP18" i="4"/>
  <c r="BQ18" i="4"/>
  <c r="BR18" i="4"/>
  <c r="BS18" i="4"/>
  <c r="BT18" i="4"/>
  <c r="BU18" i="4"/>
  <c r="BV18" i="4"/>
  <c r="BW18" i="4"/>
  <c r="BX18" i="4"/>
  <c r="BY18" i="4"/>
  <c r="BZ18" i="4"/>
  <c r="CA18" i="4"/>
  <c r="CB18" i="4"/>
  <c r="CC18" i="4"/>
  <c r="CD18" i="4"/>
  <c r="CE18" i="4"/>
  <c r="CF18" i="4"/>
  <c r="CG18" i="4"/>
  <c r="BK19" i="4"/>
  <c r="BL19" i="4"/>
  <c r="BM19" i="4"/>
  <c r="BN19" i="4"/>
  <c r="BO19" i="4"/>
  <c r="BP19" i="4"/>
  <c r="BQ19" i="4"/>
  <c r="BR19" i="4"/>
  <c r="BS19" i="4"/>
  <c r="BT19" i="4"/>
  <c r="BU19" i="4"/>
  <c r="BV19" i="4"/>
  <c r="BW19" i="4"/>
  <c r="BX19" i="4"/>
  <c r="BY19" i="4"/>
  <c r="BZ19" i="4"/>
  <c r="CA19" i="4"/>
  <c r="CB19" i="4"/>
  <c r="CC19" i="4"/>
  <c r="CD19" i="4"/>
  <c r="CE19" i="4"/>
  <c r="CF19" i="4"/>
  <c r="CG19" i="4"/>
  <c r="BK20" i="4"/>
  <c r="BL20" i="4"/>
  <c r="BM20" i="4"/>
  <c r="BN20" i="4"/>
  <c r="BO20" i="4"/>
  <c r="BP20" i="4"/>
  <c r="BQ20" i="4"/>
  <c r="BR20" i="4"/>
  <c r="BS20" i="4"/>
  <c r="BT20" i="4"/>
  <c r="BU20" i="4"/>
  <c r="BV20" i="4"/>
  <c r="BW20" i="4"/>
  <c r="BX20" i="4"/>
  <c r="BY20" i="4"/>
  <c r="BZ20" i="4"/>
  <c r="CA20" i="4"/>
  <c r="CB20" i="4"/>
  <c r="CC20" i="4"/>
  <c r="CD20" i="4"/>
  <c r="CE20" i="4"/>
  <c r="CF20" i="4"/>
  <c r="CG20" i="4"/>
  <c r="BK21" i="4"/>
  <c r="BL21" i="4"/>
  <c r="BM21" i="4"/>
  <c r="BN21" i="4"/>
  <c r="BO21" i="4"/>
  <c r="BP21" i="4"/>
  <c r="BQ21" i="4"/>
  <c r="BR21" i="4"/>
  <c r="BS21" i="4"/>
  <c r="BT21" i="4"/>
  <c r="BU21" i="4"/>
  <c r="BV21" i="4"/>
  <c r="BW21" i="4"/>
  <c r="BX21" i="4"/>
  <c r="BY21" i="4"/>
  <c r="BZ21" i="4"/>
  <c r="CA21" i="4"/>
  <c r="CB21" i="4"/>
  <c r="CC21" i="4"/>
  <c r="CD21" i="4"/>
  <c r="CE21" i="4"/>
  <c r="CF21" i="4"/>
  <c r="CG21" i="4"/>
  <c r="BK22" i="4"/>
  <c r="BL22" i="4"/>
  <c r="BM22" i="4"/>
  <c r="BN22" i="4"/>
  <c r="BO22" i="4"/>
  <c r="BP22" i="4"/>
  <c r="BQ22" i="4"/>
  <c r="BR22" i="4"/>
  <c r="BS22" i="4"/>
  <c r="BT22" i="4"/>
  <c r="BU22" i="4"/>
  <c r="BV22" i="4"/>
  <c r="BW22" i="4"/>
  <c r="BX22" i="4"/>
  <c r="BY22" i="4"/>
  <c r="BZ22" i="4"/>
  <c r="CA22" i="4"/>
  <c r="CB22" i="4"/>
  <c r="CC22" i="4"/>
  <c r="CD22" i="4"/>
  <c r="CE22" i="4"/>
  <c r="CF22" i="4"/>
  <c r="CG22" i="4"/>
  <c r="BK23" i="4"/>
  <c r="BL23" i="4"/>
  <c r="BM23" i="4"/>
  <c r="BN23" i="4"/>
  <c r="BO23" i="4"/>
  <c r="BP23" i="4"/>
  <c r="BQ23" i="4"/>
  <c r="BR23" i="4"/>
  <c r="BS23" i="4"/>
  <c r="BT23" i="4"/>
  <c r="BU23" i="4"/>
  <c r="BV23" i="4"/>
  <c r="BW23" i="4"/>
  <c r="BX23" i="4"/>
  <c r="BY23" i="4"/>
  <c r="BZ23" i="4"/>
  <c r="CA23" i="4"/>
  <c r="CB23" i="4"/>
  <c r="CC23" i="4"/>
  <c r="CD23" i="4"/>
  <c r="CE23" i="4"/>
  <c r="CF23" i="4"/>
  <c r="CG23" i="4"/>
  <c r="BK24" i="4"/>
  <c r="BL24" i="4"/>
  <c r="BM24" i="4"/>
  <c r="BN24" i="4"/>
  <c r="BO24" i="4"/>
  <c r="BP24" i="4"/>
  <c r="BQ24" i="4"/>
  <c r="BR24" i="4"/>
  <c r="BS24" i="4"/>
  <c r="BT24" i="4"/>
  <c r="BU24" i="4"/>
  <c r="BV24" i="4"/>
  <c r="BW24" i="4"/>
  <c r="BX24" i="4"/>
  <c r="BY24" i="4"/>
  <c r="BZ24" i="4"/>
  <c r="CA24" i="4"/>
  <c r="CB24" i="4"/>
  <c r="CC24" i="4"/>
  <c r="CD24" i="4"/>
  <c r="CE24" i="4"/>
  <c r="CF24" i="4"/>
  <c r="CG24" i="4"/>
  <c r="BK25" i="4"/>
  <c r="BL25" i="4"/>
  <c r="BM25" i="4"/>
  <c r="BN25" i="4"/>
  <c r="BO25" i="4"/>
  <c r="BP25" i="4"/>
  <c r="BQ25" i="4"/>
  <c r="BR25" i="4"/>
  <c r="BS25" i="4"/>
  <c r="BT25" i="4"/>
  <c r="BU25" i="4"/>
  <c r="BV25" i="4"/>
  <c r="BW25" i="4"/>
  <c r="BX25" i="4"/>
  <c r="BY25" i="4"/>
  <c r="BZ25" i="4"/>
  <c r="CA25" i="4"/>
  <c r="CB25" i="4"/>
  <c r="CC25" i="4"/>
  <c r="CD25" i="4"/>
  <c r="CE25" i="4"/>
  <c r="CF25" i="4"/>
  <c r="CG25" i="4"/>
  <c r="BK26" i="4"/>
  <c r="BL26" i="4"/>
  <c r="BM26" i="4"/>
  <c r="BN26" i="4"/>
  <c r="BO26" i="4"/>
  <c r="BP26" i="4"/>
  <c r="BQ26" i="4"/>
  <c r="BR26" i="4"/>
  <c r="BS26" i="4"/>
  <c r="BT26" i="4"/>
  <c r="BU26" i="4"/>
  <c r="BV26" i="4"/>
  <c r="BW26" i="4"/>
  <c r="BX26" i="4"/>
  <c r="BY26" i="4"/>
  <c r="BZ26" i="4"/>
  <c r="CA26" i="4"/>
  <c r="CB26" i="4"/>
  <c r="CC26" i="4"/>
  <c r="CD26" i="4"/>
  <c r="CE26" i="4"/>
  <c r="CF26" i="4"/>
  <c r="CG26" i="4"/>
  <c r="BM2" i="4"/>
  <c r="BN2" i="4"/>
  <c r="BO2" i="4"/>
  <c r="BP2" i="4"/>
  <c r="BQ2" i="4"/>
  <c r="BR2" i="4"/>
  <c r="BS2" i="4"/>
  <c r="BT2" i="4"/>
  <c r="BU2" i="4"/>
  <c r="BV2" i="4"/>
  <c r="BW2" i="4"/>
  <c r="BX2" i="4"/>
  <c r="BY2" i="4"/>
  <c r="BZ2" i="4"/>
  <c r="CA2" i="4"/>
  <c r="CB2" i="4"/>
  <c r="CC2" i="4"/>
  <c r="CD2" i="4"/>
  <c r="CE2" i="4"/>
  <c r="CF2" i="4"/>
  <c r="CG2" i="4"/>
  <c r="BL2" i="4"/>
  <c r="BK2" i="4"/>
  <c r="D8" i="56" l="1"/>
  <c r="G8" i="56" s="1"/>
  <c r="J8" i="56"/>
  <c r="BH2" i="4"/>
  <c r="BI25" i="4"/>
  <c r="O19" i="14"/>
  <c r="N42" i="14"/>
  <c r="BH4" i="4"/>
  <c r="BJ4" i="4" s="1"/>
  <c r="M21" i="14" s="1"/>
  <c r="BH24" i="4"/>
  <c r="BJ24" i="4" s="1"/>
  <c r="M41" i="14" s="1"/>
  <c r="BH14" i="4"/>
  <c r="BJ14" i="4" s="1"/>
  <c r="M31" i="14" s="1"/>
  <c r="J15" i="61"/>
  <c r="J25" i="61"/>
  <c r="J16" i="61"/>
  <c r="J26" i="61"/>
  <c r="J12" i="61"/>
  <c r="J32" i="61"/>
  <c r="J13" i="61"/>
  <c r="J14" i="61"/>
  <c r="J22" i="61"/>
  <c r="J23" i="61"/>
  <c r="J17" i="61"/>
  <c r="J27" i="61"/>
  <c r="J8" i="61"/>
  <c r="J18" i="61"/>
  <c r="J28" i="61"/>
  <c r="J9" i="61"/>
  <c r="J19" i="61"/>
  <c r="J29" i="61"/>
  <c r="J10" i="61"/>
  <c r="J20" i="61"/>
  <c r="J30" i="61"/>
  <c r="J11" i="61"/>
  <c r="J21" i="61"/>
  <c r="J31" i="61"/>
  <c r="J33" i="61"/>
  <c r="J24" i="61"/>
  <c r="O39" i="14"/>
  <c r="O29" i="14"/>
  <c r="C8" i="44"/>
  <c r="C8" i="62"/>
  <c r="D8" i="62" s="1"/>
  <c r="G8" i="62" s="1"/>
  <c r="J8" i="62" s="1"/>
  <c r="O28" i="14"/>
  <c r="C8" i="43"/>
  <c r="C9" i="43" s="1"/>
  <c r="C9" i="52"/>
  <c r="C10" i="52" s="1"/>
  <c r="D10" i="52" s="1"/>
  <c r="G10" i="52" s="1"/>
  <c r="J10" i="52" s="1"/>
  <c r="O37" i="14"/>
  <c r="O27" i="14"/>
  <c r="C9" i="51"/>
  <c r="C10" i="51" s="1"/>
  <c r="D10" i="51" s="1"/>
  <c r="G10" i="51" s="1"/>
  <c r="J10" i="51" s="1"/>
  <c r="O36" i="14"/>
  <c r="O26" i="14"/>
  <c r="C8" i="46"/>
  <c r="D8" i="46" s="1"/>
  <c r="G8" i="46" s="1"/>
  <c r="J8" i="46" s="1"/>
  <c r="C8" i="47"/>
  <c r="C9" i="47" s="1"/>
  <c r="C10" i="47" s="1"/>
  <c r="E10" i="47" s="1"/>
  <c r="H10" i="47" s="1"/>
  <c r="K10" i="47" s="1"/>
  <c r="C8" i="49"/>
  <c r="C9" i="49" s="1"/>
  <c r="O35" i="14"/>
  <c r="C8" i="48"/>
  <c r="C8" i="57"/>
  <c r="E8" i="57" s="1"/>
  <c r="H8" i="57" s="1"/>
  <c r="K8" i="57" s="1"/>
  <c r="C8" i="64"/>
  <c r="D8" i="64" s="1"/>
  <c r="G8" i="64" s="1"/>
  <c r="J8" i="64" s="1"/>
  <c r="C8" i="65"/>
  <c r="C9" i="65" s="1"/>
  <c r="C10" i="65" s="1"/>
  <c r="O34" i="14"/>
  <c r="C9" i="45"/>
  <c r="C10" i="45" s="1"/>
  <c r="C11" i="45" s="1"/>
  <c r="D11" i="45" s="1"/>
  <c r="G11" i="45" s="1"/>
  <c r="J11" i="45" s="1"/>
  <c r="C8" i="55"/>
  <c r="C9" i="55" s="1"/>
  <c r="C8" i="56"/>
  <c r="C9" i="56" s="1"/>
  <c r="C8" i="54"/>
  <c r="C9" i="54" s="1"/>
  <c r="O21" i="14"/>
  <c r="I8" i="60"/>
  <c r="L8" i="60" s="1"/>
  <c r="C9" i="50"/>
  <c r="C10" i="50" s="1"/>
  <c r="D8" i="63"/>
  <c r="G8" i="63" s="1"/>
  <c r="J8" i="63" s="1"/>
  <c r="F27" i="46"/>
  <c r="F24" i="53"/>
  <c r="F24" i="52"/>
  <c r="F33" i="52"/>
  <c r="D8" i="61"/>
  <c r="F23" i="46"/>
  <c r="F11" i="52"/>
  <c r="F8" i="61"/>
  <c r="L8" i="61" s="1"/>
  <c r="F8" i="58"/>
  <c r="I8" i="58" s="1"/>
  <c r="L8" i="58" s="1"/>
  <c r="E31" i="46"/>
  <c r="C9" i="48"/>
  <c r="E9" i="48" s="1"/>
  <c r="H9" i="48" s="1"/>
  <c r="K9" i="48" s="1"/>
  <c r="E30" i="65"/>
  <c r="E22" i="65"/>
  <c r="E10" i="65"/>
  <c r="E13" i="65"/>
  <c r="E33" i="65"/>
  <c r="E21" i="65"/>
  <c r="E17" i="65"/>
  <c r="E8" i="65"/>
  <c r="H8" i="65" s="1"/>
  <c r="K8" i="65" s="1"/>
  <c r="E31" i="65"/>
  <c r="E25" i="65"/>
  <c r="E24" i="65"/>
  <c r="E29" i="65"/>
  <c r="E15" i="65"/>
  <c r="E11" i="65"/>
  <c r="E9" i="65"/>
  <c r="E23" i="65"/>
  <c r="E19" i="65"/>
  <c r="E32" i="65"/>
  <c r="E28" i="65"/>
  <c r="E26" i="65"/>
  <c r="E18" i="65"/>
  <c r="E14" i="65"/>
  <c r="E16" i="65"/>
  <c r="E20" i="65"/>
  <c r="D32" i="65"/>
  <c r="D27" i="65"/>
  <c r="D22" i="65"/>
  <c r="D17" i="65"/>
  <c r="D12" i="65"/>
  <c r="D29" i="65"/>
  <c r="D26" i="65"/>
  <c r="D18" i="65"/>
  <c r="D14" i="65"/>
  <c r="D10" i="65"/>
  <c r="D13" i="65"/>
  <c r="D33" i="65"/>
  <c r="D21" i="65"/>
  <c r="D8" i="65"/>
  <c r="G8" i="65" s="1"/>
  <c r="J8" i="65" s="1"/>
  <c r="D20" i="65"/>
  <c r="D16" i="65"/>
  <c r="D31" i="65"/>
  <c r="D25" i="65"/>
  <c r="D24" i="65"/>
  <c r="D15" i="65"/>
  <c r="D11" i="65"/>
  <c r="D9" i="65"/>
  <c r="D30" i="65"/>
  <c r="D23" i="65"/>
  <c r="D19" i="65"/>
  <c r="D28" i="65"/>
  <c r="E27" i="65"/>
  <c r="F30" i="65"/>
  <c r="F25" i="65"/>
  <c r="F20" i="65"/>
  <c r="F15" i="65"/>
  <c r="F32" i="65"/>
  <c r="F27" i="65"/>
  <c r="F13" i="65"/>
  <c r="F33" i="65"/>
  <c r="F21" i="65"/>
  <c r="F17" i="65"/>
  <c r="F8" i="65"/>
  <c r="F31" i="65"/>
  <c r="F29" i="65"/>
  <c r="F16" i="65"/>
  <c r="F12" i="65"/>
  <c r="F11" i="65"/>
  <c r="F9" i="65"/>
  <c r="F23" i="65"/>
  <c r="F19" i="65"/>
  <c r="F28" i="65"/>
  <c r="F26" i="65"/>
  <c r="F18" i="65"/>
  <c r="F14" i="65"/>
  <c r="F22" i="65"/>
  <c r="F10" i="65"/>
  <c r="N7" i="65"/>
  <c r="F8" i="64"/>
  <c r="I8" i="64" s="1"/>
  <c r="L8" i="64" s="1"/>
  <c r="C9" i="64"/>
  <c r="E9" i="64" s="1"/>
  <c r="H9" i="64" s="1"/>
  <c r="K9" i="64" s="1"/>
  <c r="N7" i="64"/>
  <c r="E30" i="63"/>
  <c r="E25" i="63"/>
  <c r="E26" i="63"/>
  <c r="E20" i="63"/>
  <c r="E16" i="63"/>
  <c r="E12" i="63"/>
  <c r="E24" i="63"/>
  <c r="E33" i="63"/>
  <c r="E15" i="63"/>
  <c r="E11" i="63"/>
  <c r="E9" i="63"/>
  <c r="E31" i="63"/>
  <c r="E23" i="63"/>
  <c r="E19" i="63"/>
  <c r="E29" i="63"/>
  <c r="E27" i="63"/>
  <c r="E18" i="63"/>
  <c r="E14" i="63"/>
  <c r="E22" i="63"/>
  <c r="E10" i="63"/>
  <c r="E13" i="63"/>
  <c r="E32" i="63"/>
  <c r="E28" i="63"/>
  <c r="E21" i="63"/>
  <c r="E17" i="63"/>
  <c r="E8" i="63"/>
  <c r="H8" i="63" s="1"/>
  <c r="K8" i="63" s="1"/>
  <c r="F8" i="63"/>
  <c r="I8" i="63" s="1"/>
  <c r="L8" i="63" s="1"/>
  <c r="N7" i="63"/>
  <c r="C9" i="63"/>
  <c r="D9" i="63" s="1"/>
  <c r="G9" i="63" s="1"/>
  <c r="J9" i="63" s="1"/>
  <c r="F30" i="62"/>
  <c r="F25" i="62"/>
  <c r="F20" i="62"/>
  <c r="F15" i="62"/>
  <c r="F28" i="62"/>
  <c r="F27" i="62"/>
  <c r="F19" i="62"/>
  <c r="F12" i="62"/>
  <c r="F29" i="62"/>
  <c r="F21" i="62"/>
  <c r="F11" i="62"/>
  <c r="F9" i="62"/>
  <c r="F31" i="62"/>
  <c r="F23" i="62"/>
  <c r="F22" i="62"/>
  <c r="F14" i="62"/>
  <c r="F33" i="62"/>
  <c r="F32" i="62"/>
  <c r="F24" i="62"/>
  <c r="F16" i="62"/>
  <c r="F10" i="62"/>
  <c r="F13" i="62"/>
  <c r="F18" i="62"/>
  <c r="F26" i="62"/>
  <c r="E30" i="62"/>
  <c r="E25" i="62"/>
  <c r="E20" i="62"/>
  <c r="E15" i="62"/>
  <c r="E26" i="62"/>
  <c r="E18" i="62"/>
  <c r="E17" i="62"/>
  <c r="E8" i="62"/>
  <c r="H8" i="62" s="1"/>
  <c r="K8" i="62" s="1"/>
  <c r="E28" i="62"/>
  <c r="E27" i="62"/>
  <c r="E19" i="62"/>
  <c r="E12" i="62"/>
  <c r="E29" i="62"/>
  <c r="E21" i="62"/>
  <c r="E11" i="62"/>
  <c r="E9" i="62"/>
  <c r="E31" i="62"/>
  <c r="E23" i="62"/>
  <c r="E22" i="62"/>
  <c r="E14" i="62"/>
  <c r="E33" i="62"/>
  <c r="E32" i="62"/>
  <c r="E24" i="62"/>
  <c r="E16" i="62"/>
  <c r="E10" i="62"/>
  <c r="E13" i="62"/>
  <c r="F17" i="62"/>
  <c r="F8" i="62"/>
  <c r="I8" i="62" s="1"/>
  <c r="L8" i="62" s="1"/>
  <c r="N7" i="62"/>
  <c r="C9" i="62"/>
  <c r="D9" i="62" s="1"/>
  <c r="G9" i="62" s="1"/>
  <c r="J9" i="62" s="1"/>
  <c r="O7" i="62"/>
  <c r="AB7" i="62" s="1"/>
  <c r="E8" i="61"/>
  <c r="K8" i="61" s="1"/>
  <c r="N7" i="61"/>
  <c r="C9" i="61"/>
  <c r="E9" i="61" s="1"/>
  <c r="K9" i="61" s="1"/>
  <c r="F18" i="60"/>
  <c r="F29" i="60"/>
  <c r="F24" i="60"/>
  <c r="F19" i="60"/>
  <c r="F31" i="60"/>
  <c r="F27" i="60"/>
  <c r="F25" i="60"/>
  <c r="F23" i="60"/>
  <c r="F12" i="60"/>
  <c r="F21" i="60"/>
  <c r="F17" i="60"/>
  <c r="F16" i="60"/>
  <c r="F9" i="60"/>
  <c r="F32" i="60"/>
  <c r="F15" i="60"/>
  <c r="F11" i="60"/>
  <c r="F30" i="60"/>
  <c r="F28" i="60"/>
  <c r="F26" i="60"/>
  <c r="F22" i="60"/>
  <c r="F13" i="60"/>
  <c r="F33" i="60"/>
  <c r="F14" i="60"/>
  <c r="E8" i="60"/>
  <c r="H8" i="60" s="1"/>
  <c r="K8" i="60" s="1"/>
  <c r="F10" i="60"/>
  <c r="F20" i="60"/>
  <c r="D8" i="60"/>
  <c r="G8" i="60" s="1"/>
  <c r="J8" i="60" s="1"/>
  <c r="N7" i="60"/>
  <c r="C9" i="60"/>
  <c r="E9" i="60" s="1"/>
  <c r="H9" i="60" s="1"/>
  <c r="K9" i="60" s="1"/>
  <c r="D8" i="59"/>
  <c r="G8" i="59" s="1"/>
  <c r="J8" i="59" s="1"/>
  <c r="F30" i="59"/>
  <c r="F25" i="59"/>
  <c r="F20" i="59"/>
  <c r="F15" i="59"/>
  <c r="F32" i="59"/>
  <c r="F27" i="59"/>
  <c r="F22" i="59"/>
  <c r="F29" i="59"/>
  <c r="F23" i="59"/>
  <c r="F13" i="59"/>
  <c r="F17" i="59"/>
  <c r="F8" i="59"/>
  <c r="I8" i="59" s="1"/>
  <c r="L8" i="59" s="1"/>
  <c r="F16" i="59"/>
  <c r="F12" i="59"/>
  <c r="F28" i="59"/>
  <c r="F21" i="59"/>
  <c r="F26" i="59"/>
  <c r="F11" i="59"/>
  <c r="F9" i="59"/>
  <c r="F24" i="59"/>
  <c r="F19" i="59"/>
  <c r="F33" i="59"/>
  <c r="F18" i="59"/>
  <c r="F14" i="59"/>
  <c r="F31" i="59"/>
  <c r="E8" i="59"/>
  <c r="H8" i="59" s="1"/>
  <c r="K8" i="59" s="1"/>
  <c r="F10" i="59"/>
  <c r="N7" i="59"/>
  <c r="C9" i="59"/>
  <c r="F30" i="58"/>
  <c r="F25" i="58"/>
  <c r="F20" i="58"/>
  <c r="F15" i="58"/>
  <c r="F32" i="58"/>
  <c r="F26" i="58"/>
  <c r="F18" i="58"/>
  <c r="F17" i="58"/>
  <c r="F33" i="58"/>
  <c r="F16" i="58"/>
  <c r="F12" i="58"/>
  <c r="F31" i="58"/>
  <c r="F28" i="58"/>
  <c r="F27" i="58"/>
  <c r="F19" i="58"/>
  <c r="F11" i="58"/>
  <c r="F9" i="58"/>
  <c r="F23" i="58"/>
  <c r="F22" i="58"/>
  <c r="F14" i="58"/>
  <c r="F24" i="58"/>
  <c r="F13" i="58"/>
  <c r="F21" i="58"/>
  <c r="F10" i="58"/>
  <c r="E8" i="58"/>
  <c r="H8" i="58" s="1"/>
  <c r="K8" i="58" s="1"/>
  <c r="D8" i="58"/>
  <c r="G8" i="58" s="1"/>
  <c r="J8" i="58" s="1"/>
  <c r="N7" i="58"/>
  <c r="C9" i="58"/>
  <c r="D9" i="58" s="1"/>
  <c r="G9" i="58" s="1"/>
  <c r="J9" i="58" s="1"/>
  <c r="O7" i="58"/>
  <c r="AB7" i="58" s="1"/>
  <c r="D8" i="57"/>
  <c r="G8" i="57" s="1"/>
  <c r="J8" i="57" s="1"/>
  <c r="F8" i="57"/>
  <c r="I8" i="57" s="1"/>
  <c r="L8" i="57" s="1"/>
  <c r="N7" i="57"/>
  <c r="C9" i="57"/>
  <c r="F9" i="57" s="1"/>
  <c r="I9" i="57" s="1"/>
  <c r="L9" i="57" s="1"/>
  <c r="F30" i="56"/>
  <c r="F25" i="56"/>
  <c r="F20" i="56"/>
  <c r="F15" i="56"/>
  <c r="F32" i="56"/>
  <c r="F27" i="56"/>
  <c r="F33" i="56"/>
  <c r="F16" i="56"/>
  <c r="F12" i="56"/>
  <c r="F31" i="56"/>
  <c r="F24" i="56"/>
  <c r="F29" i="56"/>
  <c r="F11" i="56"/>
  <c r="F9" i="56"/>
  <c r="F23" i="56"/>
  <c r="F19" i="56"/>
  <c r="F22" i="56"/>
  <c r="F18" i="56"/>
  <c r="F14" i="56"/>
  <c r="F28" i="56"/>
  <c r="F10" i="56"/>
  <c r="F26" i="56"/>
  <c r="F13" i="56"/>
  <c r="F21" i="56"/>
  <c r="F17" i="56"/>
  <c r="F8" i="56"/>
  <c r="I8" i="56" s="1"/>
  <c r="L8" i="56" s="1"/>
  <c r="N7" i="56"/>
  <c r="F30" i="55"/>
  <c r="F25" i="55"/>
  <c r="F20" i="55"/>
  <c r="F15" i="55"/>
  <c r="F31" i="55"/>
  <c r="F21" i="55"/>
  <c r="F17" i="55"/>
  <c r="F8" i="55"/>
  <c r="F29" i="55"/>
  <c r="F27" i="55"/>
  <c r="F16" i="55"/>
  <c r="F12" i="55"/>
  <c r="F18" i="55"/>
  <c r="F24" i="55"/>
  <c r="F11" i="55"/>
  <c r="F9" i="55"/>
  <c r="F32" i="55"/>
  <c r="F28" i="55"/>
  <c r="F23" i="55"/>
  <c r="F19" i="55"/>
  <c r="F26" i="55"/>
  <c r="F22" i="55"/>
  <c r="F13" i="55"/>
  <c r="F10" i="55"/>
  <c r="F14" i="55"/>
  <c r="AC7" i="55"/>
  <c r="AC3" i="55"/>
  <c r="AC2" i="55"/>
  <c r="O7" i="55"/>
  <c r="AB7" i="55" s="1"/>
  <c r="F33" i="55"/>
  <c r="D8" i="54"/>
  <c r="G8" i="54" s="1"/>
  <c r="J8" i="54" s="1"/>
  <c r="F30" i="54"/>
  <c r="F25" i="54"/>
  <c r="F20" i="54"/>
  <c r="F15" i="54"/>
  <c r="F33" i="54"/>
  <c r="F18" i="54"/>
  <c r="F14" i="54"/>
  <c r="F31" i="54"/>
  <c r="F22" i="54"/>
  <c r="F10" i="54"/>
  <c r="F29" i="54"/>
  <c r="F27" i="54"/>
  <c r="F23" i="54"/>
  <c r="F13" i="54"/>
  <c r="F21" i="54"/>
  <c r="F17" i="54"/>
  <c r="F8" i="54"/>
  <c r="F16" i="54"/>
  <c r="F12" i="54"/>
  <c r="F32" i="54"/>
  <c r="F28" i="54"/>
  <c r="F26" i="54"/>
  <c r="F11" i="54"/>
  <c r="F9" i="54"/>
  <c r="F24" i="54"/>
  <c r="N7" i="54"/>
  <c r="D8" i="53"/>
  <c r="G8" i="53" s="1"/>
  <c r="J8" i="53" s="1"/>
  <c r="E8" i="53"/>
  <c r="H8" i="53" s="1"/>
  <c r="K8" i="53" s="1"/>
  <c r="F14" i="53"/>
  <c r="C9" i="53"/>
  <c r="F11" i="53"/>
  <c r="F18" i="53"/>
  <c r="F22" i="53"/>
  <c r="N7" i="53"/>
  <c r="F9" i="53"/>
  <c r="F26" i="53"/>
  <c r="O7" i="53"/>
  <c r="AB7" i="53" s="1"/>
  <c r="F30" i="53"/>
  <c r="F25" i="53"/>
  <c r="F20" i="53"/>
  <c r="F15" i="53"/>
  <c r="F23" i="53"/>
  <c r="F19" i="53"/>
  <c r="F31" i="53"/>
  <c r="F27" i="53"/>
  <c r="F33" i="53"/>
  <c r="F29" i="53"/>
  <c r="F16" i="53"/>
  <c r="F8" i="53"/>
  <c r="I8" i="53" s="1"/>
  <c r="L8" i="53" s="1"/>
  <c r="F13" i="53"/>
  <c r="F17" i="53"/>
  <c r="F28" i="53"/>
  <c r="F32" i="53"/>
  <c r="F10" i="53"/>
  <c r="F21" i="53"/>
  <c r="N32" i="52"/>
  <c r="N27" i="52"/>
  <c r="N22" i="52"/>
  <c r="N17" i="52"/>
  <c r="N29" i="52"/>
  <c r="N24" i="52"/>
  <c r="N19" i="52"/>
  <c r="N28" i="52"/>
  <c r="N15" i="52"/>
  <c r="N11" i="52"/>
  <c r="N26" i="52"/>
  <c r="N20" i="52"/>
  <c r="N18" i="52"/>
  <c r="N16" i="52"/>
  <c r="N14" i="52"/>
  <c r="N10" i="52"/>
  <c r="N23" i="52"/>
  <c r="N33" i="52"/>
  <c r="N31" i="52"/>
  <c r="N25" i="52"/>
  <c r="N13" i="52"/>
  <c r="N8" i="52"/>
  <c r="N12" i="52"/>
  <c r="AC3" i="52"/>
  <c r="E30" i="52"/>
  <c r="E25" i="52"/>
  <c r="E20" i="52"/>
  <c r="E15" i="52"/>
  <c r="E33" i="52"/>
  <c r="E32" i="52"/>
  <c r="E31" i="52"/>
  <c r="E14" i="52"/>
  <c r="E29" i="52"/>
  <c r="E27" i="52"/>
  <c r="E23" i="52"/>
  <c r="E10" i="52"/>
  <c r="E21" i="52"/>
  <c r="E13" i="52"/>
  <c r="E28" i="52"/>
  <c r="E19" i="52"/>
  <c r="E17" i="52"/>
  <c r="E8" i="52"/>
  <c r="H8" i="52" s="1"/>
  <c r="K8" i="52" s="1"/>
  <c r="E24" i="52"/>
  <c r="E22" i="52"/>
  <c r="E18" i="52"/>
  <c r="E11" i="52"/>
  <c r="E9" i="52"/>
  <c r="E12" i="52"/>
  <c r="E26" i="52"/>
  <c r="D8" i="52"/>
  <c r="G8" i="52" s="1"/>
  <c r="J8" i="52" s="1"/>
  <c r="N9" i="52"/>
  <c r="N30" i="52"/>
  <c r="N21" i="52"/>
  <c r="AC7" i="52"/>
  <c r="F30" i="52"/>
  <c r="F25" i="52"/>
  <c r="F20" i="52"/>
  <c r="F32" i="52"/>
  <c r="F27" i="52"/>
  <c r="F22" i="52"/>
  <c r="F17" i="52"/>
  <c r="F31" i="52"/>
  <c r="F14" i="52"/>
  <c r="F26" i="52"/>
  <c r="F29" i="52"/>
  <c r="F23" i="52"/>
  <c r="F10" i="52"/>
  <c r="F21" i="52"/>
  <c r="F13" i="52"/>
  <c r="F19" i="52"/>
  <c r="F8" i="52"/>
  <c r="I8" i="52" s="1"/>
  <c r="L8" i="52" s="1"/>
  <c r="F28" i="52"/>
  <c r="F12" i="52"/>
  <c r="F16" i="52"/>
  <c r="F15" i="52"/>
  <c r="F9" i="52"/>
  <c r="E16" i="52"/>
  <c r="D8" i="51"/>
  <c r="G8" i="51" s="1"/>
  <c r="J8" i="51" s="1"/>
  <c r="F8" i="51"/>
  <c r="I8" i="51" s="1"/>
  <c r="L8" i="51" s="1"/>
  <c r="E8" i="51"/>
  <c r="H8" i="51" s="1"/>
  <c r="K8" i="51" s="1"/>
  <c r="AC2" i="51"/>
  <c r="N7" i="51"/>
  <c r="F30" i="50"/>
  <c r="F25" i="50"/>
  <c r="F20" i="50"/>
  <c r="F15" i="50"/>
  <c r="F32" i="50"/>
  <c r="F27" i="50"/>
  <c r="F22" i="50"/>
  <c r="F17" i="50"/>
  <c r="F12" i="50"/>
  <c r="F21" i="50"/>
  <c r="F9" i="50"/>
  <c r="F19" i="50"/>
  <c r="F11" i="50"/>
  <c r="F28" i="50"/>
  <c r="F26" i="50"/>
  <c r="F14" i="50"/>
  <c r="F10" i="50"/>
  <c r="F24" i="50"/>
  <c r="F18" i="50"/>
  <c r="F16" i="50"/>
  <c r="F13" i="50"/>
  <c r="F8" i="50"/>
  <c r="I8" i="50" s="1"/>
  <c r="L8" i="50" s="1"/>
  <c r="F33" i="50"/>
  <c r="F31" i="50"/>
  <c r="F29" i="50"/>
  <c r="F23" i="50"/>
  <c r="E30" i="50"/>
  <c r="E25" i="50"/>
  <c r="E20" i="50"/>
  <c r="E29" i="50"/>
  <c r="E27" i="50"/>
  <c r="E23" i="50"/>
  <c r="E21" i="50"/>
  <c r="E9" i="50"/>
  <c r="E19" i="50"/>
  <c r="E17" i="50"/>
  <c r="E15" i="50"/>
  <c r="E11" i="50"/>
  <c r="E32" i="50"/>
  <c r="E28" i="50"/>
  <c r="E26" i="50"/>
  <c r="E14" i="50"/>
  <c r="E10" i="50"/>
  <c r="E24" i="50"/>
  <c r="E22" i="50"/>
  <c r="E18" i="50"/>
  <c r="E16" i="50"/>
  <c r="E13" i="50"/>
  <c r="E8" i="50"/>
  <c r="H8" i="50" s="1"/>
  <c r="K8" i="50" s="1"/>
  <c r="E33" i="50"/>
  <c r="E31" i="50"/>
  <c r="E12" i="50"/>
  <c r="N32" i="50"/>
  <c r="N27" i="50"/>
  <c r="N22" i="50"/>
  <c r="N17" i="50"/>
  <c r="N29" i="50"/>
  <c r="N24" i="50"/>
  <c r="N19" i="50"/>
  <c r="N14" i="50"/>
  <c r="N18" i="50"/>
  <c r="AC7" i="50"/>
  <c r="N16" i="50"/>
  <c r="N12" i="50"/>
  <c r="AC3" i="50"/>
  <c r="N33" i="50"/>
  <c r="N9" i="50"/>
  <c r="N31" i="50"/>
  <c r="N25" i="50"/>
  <c r="N23" i="50"/>
  <c r="N11" i="50"/>
  <c r="N21" i="50"/>
  <c r="N15" i="50"/>
  <c r="N10" i="50"/>
  <c r="N30" i="50"/>
  <c r="N28" i="50"/>
  <c r="N8" i="50"/>
  <c r="N26" i="50"/>
  <c r="N20" i="50"/>
  <c r="N13" i="50"/>
  <c r="D8" i="50"/>
  <c r="G8" i="50" s="1"/>
  <c r="J8" i="50" s="1"/>
  <c r="D9" i="50"/>
  <c r="G9" i="50" s="1"/>
  <c r="J9" i="50" s="1"/>
  <c r="O7" i="49"/>
  <c r="AB7" i="49" s="1"/>
  <c r="AC2" i="49"/>
  <c r="N7" i="49"/>
  <c r="D8" i="49"/>
  <c r="G8" i="49" s="1"/>
  <c r="J8" i="49" s="1"/>
  <c r="F8" i="49"/>
  <c r="I8" i="49" s="1"/>
  <c r="L8" i="49" s="1"/>
  <c r="E8" i="49"/>
  <c r="H8" i="49" s="1"/>
  <c r="K8" i="49" s="1"/>
  <c r="E8" i="48"/>
  <c r="H8" i="48" s="1"/>
  <c r="K8" i="48" s="1"/>
  <c r="D8" i="48"/>
  <c r="G8" i="48" s="1"/>
  <c r="J8" i="48" s="1"/>
  <c r="F8" i="48"/>
  <c r="I8" i="48" s="1"/>
  <c r="L8" i="48" s="1"/>
  <c r="N7" i="48"/>
  <c r="F8" i="47"/>
  <c r="I8" i="47" s="1"/>
  <c r="L8" i="47" s="1"/>
  <c r="N7" i="47"/>
  <c r="O7" i="47"/>
  <c r="AB7" i="47" s="1"/>
  <c r="D8" i="47"/>
  <c r="G8" i="47" s="1"/>
  <c r="J8" i="47" s="1"/>
  <c r="E8" i="47"/>
  <c r="H8" i="47" s="1"/>
  <c r="K8" i="47" s="1"/>
  <c r="F30" i="46"/>
  <c r="F25" i="46"/>
  <c r="F20" i="46"/>
  <c r="F15" i="46"/>
  <c r="F19" i="46"/>
  <c r="F17" i="46"/>
  <c r="F13" i="46"/>
  <c r="F9" i="46"/>
  <c r="F11" i="46"/>
  <c r="F31" i="46"/>
  <c r="F32" i="46"/>
  <c r="F28" i="46"/>
  <c r="F26" i="46"/>
  <c r="F24" i="46"/>
  <c r="F22" i="46"/>
  <c r="F18" i="46"/>
  <c r="F10" i="46"/>
  <c r="F16" i="46"/>
  <c r="F33" i="46"/>
  <c r="F14" i="46"/>
  <c r="F8" i="46"/>
  <c r="F21" i="46"/>
  <c r="E30" i="46"/>
  <c r="E25" i="46"/>
  <c r="E20" i="46"/>
  <c r="E15" i="46"/>
  <c r="E29" i="46"/>
  <c r="E24" i="46"/>
  <c r="E19" i="46"/>
  <c r="E14" i="46"/>
  <c r="E21" i="46"/>
  <c r="E33" i="46"/>
  <c r="E17" i="46"/>
  <c r="E13" i="46"/>
  <c r="E9" i="46"/>
  <c r="E11" i="46"/>
  <c r="E32" i="46"/>
  <c r="E28" i="46"/>
  <c r="E26" i="46"/>
  <c r="E22" i="46"/>
  <c r="E18" i="46"/>
  <c r="E10" i="46"/>
  <c r="E16" i="46"/>
  <c r="E27" i="46"/>
  <c r="E23" i="46"/>
  <c r="E12" i="46"/>
  <c r="F29" i="46"/>
  <c r="N32" i="46"/>
  <c r="N27" i="46"/>
  <c r="N22" i="46"/>
  <c r="N17" i="46"/>
  <c r="N12" i="46"/>
  <c r="N16" i="46"/>
  <c r="N14" i="46"/>
  <c r="AC7" i="46"/>
  <c r="N28" i="46"/>
  <c r="N33" i="46"/>
  <c r="AC3" i="46"/>
  <c r="N31" i="46"/>
  <c r="N29" i="46"/>
  <c r="N25" i="46"/>
  <c r="N9" i="46"/>
  <c r="N23" i="46"/>
  <c r="N21" i="46"/>
  <c r="N19" i="46"/>
  <c r="N15" i="46"/>
  <c r="N11" i="46"/>
  <c r="N13" i="46"/>
  <c r="N30" i="46"/>
  <c r="N10" i="46"/>
  <c r="N18" i="46"/>
  <c r="F30" i="45"/>
  <c r="F25" i="45"/>
  <c r="F20" i="45"/>
  <c r="F15" i="45"/>
  <c r="F28" i="45"/>
  <c r="F24" i="45"/>
  <c r="F32" i="45"/>
  <c r="F23" i="45"/>
  <c r="F19" i="45"/>
  <c r="F31" i="45"/>
  <c r="F27" i="45"/>
  <c r="F18" i="45"/>
  <c r="F21" i="45"/>
  <c r="F17" i="45"/>
  <c r="F8" i="45"/>
  <c r="I8" i="45" s="1"/>
  <c r="L8" i="45" s="1"/>
  <c r="F16" i="45"/>
  <c r="F29" i="45"/>
  <c r="F22" i="45"/>
  <c r="F14" i="45"/>
  <c r="F12" i="45"/>
  <c r="F9" i="45"/>
  <c r="F10" i="45"/>
  <c r="F13" i="45"/>
  <c r="F33" i="45"/>
  <c r="F26" i="45"/>
  <c r="E20" i="45"/>
  <c r="E16" i="45"/>
  <c r="E12" i="45"/>
  <c r="E28" i="45"/>
  <c r="E24" i="45"/>
  <c r="E32" i="45"/>
  <c r="E23" i="45"/>
  <c r="E19" i="45"/>
  <c r="E31" i="45"/>
  <c r="E27" i="45"/>
  <c r="E13" i="45"/>
  <c r="E33" i="45"/>
  <c r="E26" i="45"/>
  <c r="E29" i="45"/>
  <c r="E22" i="45"/>
  <c r="E14" i="45"/>
  <c r="E25" i="45"/>
  <c r="E18" i="45"/>
  <c r="E8" i="45"/>
  <c r="H8" i="45" s="1"/>
  <c r="K8" i="45" s="1"/>
  <c r="E21" i="45"/>
  <c r="E9" i="45"/>
  <c r="E17" i="45"/>
  <c r="E10" i="45"/>
  <c r="E15" i="45"/>
  <c r="E11" i="45"/>
  <c r="N7" i="45"/>
  <c r="AC2" i="45"/>
  <c r="O7" i="45"/>
  <c r="AB7" i="45" s="1"/>
  <c r="F11" i="45"/>
  <c r="D8" i="45"/>
  <c r="G8" i="45" s="1"/>
  <c r="J8" i="45" s="1"/>
  <c r="C9" i="44"/>
  <c r="N32" i="43"/>
  <c r="N27" i="43"/>
  <c r="N22" i="43"/>
  <c r="N17" i="43"/>
  <c r="N12" i="43"/>
  <c r="N26" i="43"/>
  <c r="N13" i="43"/>
  <c r="N8" i="43"/>
  <c r="N28" i="43"/>
  <c r="AC7" i="43"/>
  <c r="N30" i="43"/>
  <c r="N29" i="43"/>
  <c r="N21" i="43"/>
  <c r="N20" i="43"/>
  <c r="N16" i="43"/>
  <c r="AC3" i="43"/>
  <c r="N9" i="43"/>
  <c r="N19" i="43"/>
  <c r="N33" i="43"/>
  <c r="N25" i="43"/>
  <c r="N24" i="43"/>
  <c r="N18" i="43"/>
  <c r="N14" i="43"/>
  <c r="N10" i="43"/>
  <c r="AC2" i="43"/>
  <c r="O7" i="43"/>
  <c r="AB7" i="43" s="1"/>
  <c r="N23" i="43"/>
  <c r="D8" i="43"/>
  <c r="G8" i="43" s="1"/>
  <c r="J8" i="43" s="1"/>
  <c r="F8" i="43"/>
  <c r="I8" i="43" s="1"/>
  <c r="L8" i="43" s="1"/>
  <c r="N11" i="43"/>
  <c r="N31" i="43"/>
  <c r="N15" i="43"/>
  <c r="E30" i="43"/>
  <c r="E25" i="43"/>
  <c r="E17" i="43"/>
  <c r="E8" i="43"/>
  <c r="H8" i="43" s="1"/>
  <c r="K8" i="43" s="1"/>
  <c r="E29" i="43"/>
  <c r="E21" i="43"/>
  <c r="E20" i="43"/>
  <c r="E16" i="43"/>
  <c r="E12" i="43"/>
  <c r="E31" i="43"/>
  <c r="E23" i="43"/>
  <c r="E22" i="43"/>
  <c r="E15" i="43"/>
  <c r="E11" i="43"/>
  <c r="E9" i="43"/>
  <c r="E33" i="43"/>
  <c r="E32" i="43"/>
  <c r="E24" i="43"/>
  <c r="E19" i="43"/>
  <c r="E26" i="43"/>
  <c r="E18" i="43"/>
  <c r="E14" i="43"/>
  <c r="E10" i="43"/>
  <c r="E28" i="43"/>
  <c r="E27" i="43"/>
  <c r="E13" i="43"/>
  <c r="BH11" i="4"/>
  <c r="BJ11" i="4" s="1"/>
  <c r="M28" i="14" s="1"/>
  <c r="BH15" i="4"/>
  <c r="BJ15" i="4" s="1"/>
  <c r="M32" i="14" s="1"/>
  <c r="BH22" i="4"/>
  <c r="BJ22" i="4" s="1"/>
  <c r="M39" i="14" s="1"/>
  <c r="BH12" i="4"/>
  <c r="BJ12" i="4" s="1"/>
  <c r="M29" i="14" s="1"/>
  <c r="BH13" i="4"/>
  <c r="BJ13" i="4" s="1"/>
  <c r="M30" i="14" s="1"/>
  <c r="BH21" i="4"/>
  <c r="BJ21" i="4" s="1"/>
  <c r="M38" i="14" s="1"/>
  <c r="BH19" i="4"/>
  <c r="BJ19" i="4" s="1"/>
  <c r="M36" i="14" s="1"/>
  <c r="BH9" i="4"/>
  <c r="BJ9" i="4" s="1"/>
  <c r="M26" i="14" s="1"/>
  <c r="BH18" i="4"/>
  <c r="BJ18" i="4" s="1"/>
  <c r="M35" i="14" s="1"/>
  <c r="BH8" i="4"/>
  <c r="BJ8" i="4" s="1"/>
  <c r="M25" i="14" s="1"/>
  <c r="BH7" i="4"/>
  <c r="BJ7" i="4" s="1"/>
  <c r="M24" i="14" s="1"/>
  <c r="BH20" i="4"/>
  <c r="BJ20" i="4" s="1"/>
  <c r="M37" i="14" s="1"/>
  <c r="BH16" i="4"/>
  <c r="BJ16" i="4" s="1"/>
  <c r="M33" i="14" s="1"/>
  <c r="BH6" i="4"/>
  <c r="BJ6" i="4" s="1"/>
  <c r="M23" i="14" s="1"/>
  <c r="BH23" i="4"/>
  <c r="BJ23" i="4" s="1"/>
  <c r="M40" i="14" s="1"/>
  <c r="BH10" i="4"/>
  <c r="BJ10" i="4" s="1"/>
  <c r="M27" i="14" s="1"/>
  <c r="BH17" i="4"/>
  <c r="BJ17" i="4" s="1"/>
  <c r="M34" i="14" s="1"/>
  <c r="BH3" i="4"/>
  <c r="BJ3" i="4" s="1"/>
  <c r="M20" i="14" s="1"/>
  <c r="BH5" i="4"/>
  <c r="BJ5" i="4" s="1"/>
  <c r="M22" i="14" s="1"/>
  <c r="E24" i="1"/>
  <c r="D24" i="1"/>
  <c r="I8" i="55" l="1"/>
  <c r="L8" i="55" s="1"/>
  <c r="I8" i="46"/>
  <c r="L8" i="46" s="1"/>
  <c r="E8" i="64"/>
  <c r="H8" i="64" s="1"/>
  <c r="K8" i="64" s="1"/>
  <c r="M8" i="64" s="1"/>
  <c r="N8" i="64" s="1"/>
  <c r="O8" i="64" s="1"/>
  <c r="D8" i="55"/>
  <c r="G8" i="55" s="1"/>
  <c r="J8" i="55" s="1"/>
  <c r="D9" i="48"/>
  <c r="G9" i="48" s="1"/>
  <c r="J9" i="48" s="1"/>
  <c r="D10" i="47"/>
  <c r="G10" i="47" s="1"/>
  <c r="J10" i="47" s="1"/>
  <c r="F9" i="51"/>
  <c r="I9" i="51" s="1"/>
  <c r="L9" i="51" s="1"/>
  <c r="D9" i="52"/>
  <c r="G9" i="52" s="1"/>
  <c r="J9" i="52" s="1"/>
  <c r="C10" i="48"/>
  <c r="F10" i="48" s="1"/>
  <c r="I10" i="48" s="1"/>
  <c r="L10" i="48" s="1"/>
  <c r="H10" i="45"/>
  <c r="K10" i="45" s="1"/>
  <c r="F10" i="47"/>
  <c r="I10" i="47" s="1"/>
  <c r="L10" i="47" s="1"/>
  <c r="C10" i="49"/>
  <c r="C11" i="49" s="1"/>
  <c r="D11" i="49" s="1"/>
  <c r="G11" i="49" s="1"/>
  <c r="J11" i="49" s="1"/>
  <c r="F9" i="49"/>
  <c r="I9" i="49" s="1"/>
  <c r="L9" i="49" s="1"/>
  <c r="I8" i="65"/>
  <c r="L8" i="65" s="1"/>
  <c r="M8" i="65" s="1"/>
  <c r="F9" i="48"/>
  <c r="I9" i="48" s="1"/>
  <c r="L9" i="48" s="1"/>
  <c r="M9" i="48" s="1"/>
  <c r="P9" i="48" s="1"/>
  <c r="Q9" i="48" s="1"/>
  <c r="E8" i="55"/>
  <c r="H8" i="55" s="1"/>
  <c r="K8" i="55" s="1"/>
  <c r="I8" i="54"/>
  <c r="L8" i="54" s="1"/>
  <c r="O42" i="14"/>
  <c r="H9" i="52"/>
  <c r="K9" i="52" s="1"/>
  <c r="D9" i="49"/>
  <c r="G9" i="49" s="1"/>
  <c r="J9" i="49" s="1"/>
  <c r="E9" i="47"/>
  <c r="H9" i="47" s="1"/>
  <c r="K9" i="47" s="1"/>
  <c r="D9" i="45"/>
  <c r="G9" i="45" s="1"/>
  <c r="J9" i="45" s="1"/>
  <c r="E9" i="49"/>
  <c r="H9" i="49" s="1"/>
  <c r="K9" i="49" s="1"/>
  <c r="C11" i="47"/>
  <c r="C12" i="47" s="1"/>
  <c r="I9" i="52"/>
  <c r="L9" i="52" s="1"/>
  <c r="F9" i="47"/>
  <c r="I9" i="47" s="1"/>
  <c r="L9" i="47" s="1"/>
  <c r="I9" i="65"/>
  <c r="L9" i="65" s="1"/>
  <c r="D10" i="45"/>
  <c r="G10" i="45" s="1"/>
  <c r="J10" i="45" s="1"/>
  <c r="H9" i="50"/>
  <c r="K9" i="50" s="1"/>
  <c r="D9" i="51"/>
  <c r="G9" i="51" s="1"/>
  <c r="J9" i="51" s="1"/>
  <c r="I10" i="45"/>
  <c r="L10" i="45" s="1"/>
  <c r="E9" i="51"/>
  <c r="H9" i="51" s="1"/>
  <c r="K9" i="51" s="1"/>
  <c r="H9" i="45"/>
  <c r="K9" i="45" s="1"/>
  <c r="I9" i="45"/>
  <c r="L9" i="45" s="1"/>
  <c r="I9" i="50"/>
  <c r="L9" i="50" s="1"/>
  <c r="C10" i="56"/>
  <c r="I10" i="56" s="1"/>
  <c r="L10" i="56" s="1"/>
  <c r="E9" i="56"/>
  <c r="H9" i="56" s="1"/>
  <c r="K9" i="56" s="1"/>
  <c r="D9" i="56"/>
  <c r="G9" i="56" s="1"/>
  <c r="J9" i="56" s="1"/>
  <c r="E9" i="54"/>
  <c r="H9" i="54" s="1"/>
  <c r="K9" i="54" s="1"/>
  <c r="C10" i="54"/>
  <c r="E10" i="54" s="1"/>
  <c r="H10" i="54" s="1"/>
  <c r="K10" i="54" s="1"/>
  <c r="D9" i="54"/>
  <c r="G9" i="54" s="1"/>
  <c r="J9" i="54" s="1"/>
  <c r="C10" i="55"/>
  <c r="D9" i="55"/>
  <c r="G9" i="55" s="1"/>
  <c r="J9" i="55" s="1"/>
  <c r="E9" i="55"/>
  <c r="H9" i="55" s="1"/>
  <c r="K9" i="55" s="1"/>
  <c r="C10" i="43"/>
  <c r="F9" i="43"/>
  <c r="I9" i="43" s="1"/>
  <c r="L9" i="43" s="1"/>
  <c r="D9" i="43"/>
  <c r="G9" i="43" s="1"/>
  <c r="J9" i="43" s="1"/>
  <c r="BH25" i="4"/>
  <c r="BJ25" i="4" s="1"/>
  <c r="BJ2" i="4"/>
  <c r="M19" i="14" s="1"/>
  <c r="D9" i="47"/>
  <c r="G9" i="47" s="1"/>
  <c r="J9" i="47" s="1"/>
  <c r="E8" i="54"/>
  <c r="H8" i="54" s="1"/>
  <c r="K8" i="54" s="1"/>
  <c r="E8" i="56"/>
  <c r="H8" i="56" s="1"/>
  <c r="K8" i="56" s="1"/>
  <c r="M8" i="56" s="1"/>
  <c r="P8" i="56" s="1"/>
  <c r="Q8" i="56" s="1"/>
  <c r="R8" i="56" s="1"/>
  <c r="H8" i="46"/>
  <c r="K8" i="46" s="1"/>
  <c r="I9" i="55"/>
  <c r="L9" i="55" s="1"/>
  <c r="I9" i="54"/>
  <c r="L9" i="54" s="1"/>
  <c r="I9" i="56"/>
  <c r="L9" i="56" s="1"/>
  <c r="C9" i="46"/>
  <c r="H9" i="46" s="1"/>
  <c r="K9" i="46" s="1"/>
  <c r="H9" i="43"/>
  <c r="K9" i="43" s="1"/>
  <c r="G9" i="65"/>
  <c r="J9" i="65" s="1"/>
  <c r="H9" i="65"/>
  <c r="K9" i="65" s="1"/>
  <c r="M8" i="53"/>
  <c r="N8" i="53" s="1"/>
  <c r="M8" i="60"/>
  <c r="P8" i="60" s="1"/>
  <c r="Q8" i="60" s="1"/>
  <c r="E9" i="57"/>
  <c r="H9" i="57" s="1"/>
  <c r="K9" i="57" s="1"/>
  <c r="D9" i="61"/>
  <c r="H9" i="62"/>
  <c r="K9" i="62" s="1"/>
  <c r="I10" i="50"/>
  <c r="L10" i="50" s="1"/>
  <c r="M8" i="51"/>
  <c r="P8" i="51" s="1"/>
  <c r="Q8" i="51" s="1"/>
  <c r="D9" i="57"/>
  <c r="G9" i="57" s="1"/>
  <c r="J9" i="57" s="1"/>
  <c r="F9" i="61"/>
  <c r="L9" i="61" s="1"/>
  <c r="M8" i="61"/>
  <c r="I11" i="45"/>
  <c r="L11" i="45" s="1"/>
  <c r="I10" i="65"/>
  <c r="L10" i="65" s="1"/>
  <c r="M8" i="48"/>
  <c r="P8" i="48" s="1"/>
  <c r="Q8" i="48" s="1"/>
  <c r="M8" i="58"/>
  <c r="N8" i="58" s="1"/>
  <c r="O8" i="58" s="1"/>
  <c r="G10" i="65"/>
  <c r="J10" i="65" s="1"/>
  <c r="C11" i="65"/>
  <c r="I11" i="65" s="1"/>
  <c r="L11" i="65" s="1"/>
  <c r="H10" i="65"/>
  <c r="K10" i="65" s="1"/>
  <c r="N32" i="65"/>
  <c r="N27" i="65"/>
  <c r="N22" i="65"/>
  <c r="N17" i="65"/>
  <c r="N12" i="65"/>
  <c r="N29" i="65"/>
  <c r="N24" i="65"/>
  <c r="N30" i="65"/>
  <c r="N18" i="65"/>
  <c r="N14" i="65"/>
  <c r="N10" i="65"/>
  <c r="N28" i="65"/>
  <c r="N26" i="65"/>
  <c r="N13" i="65"/>
  <c r="N8" i="65"/>
  <c r="AC7" i="65"/>
  <c r="N33" i="65"/>
  <c r="N20" i="65"/>
  <c r="N16" i="65"/>
  <c r="AC3" i="65"/>
  <c r="N31" i="65"/>
  <c r="N9" i="65"/>
  <c r="N25" i="65"/>
  <c r="N15" i="65"/>
  <c r="N11" i="65"/>
  <c r="N23" i="65"/>
  <c r="N19" i="65"/>
  <c r="N21" i="65"/>
  <c r="D9" i="64"/>
  <c r="G9" i="64" s="1"/>
  <c r="J9" i="64" s="1"/>
  <c r="AC7" i="64"/>
  <c r="AC3" i="64"/>
  <c r="C10" i="64"/>
  <c r="F9" i="64"/>
  <c r="I9" i="64" s="1"/>
  <c r="L9" i="64" s="1"/>
  <c r="M8" i="63"/>
  <c r="P8" i="63" s="1"/>
  <c r="Q8" i="63" s="1"/>
  <c r="C10" i="63"/>
  <c r="H10" i="63" s="1"/>
  <c r="K10" i="63" s="1"/>
  <c r="N32" i="63"/>
  <c r="N27" i="63"/>
  <c r="N22" i="63"/>
  <c r="N17" i="63"/>
  <c r="N12" i="63"/>
  <c r="N29" i="63"/>
  <c r="N21" i="63"/>
  <c r="N30" i="63"/>
  <c r="N25" i="63"/>
  <c r="AC7" i="63"/>
  <c r="N28" i="63"/>
  <c r="N20" i="63"/>
  <c r="N16" i="63"/>
  <c r="AC3" i="63"/>
  <c r="N26" i="63"/>
  <c r="N24" i="63"/>
  <c r="N9" i="63"/>
  <c r="N15" i="63"/>
  <c r="N11" i="63"/>
  <c r="N23" i="63"/>
  <c r="N19" i="63"/>
  <c r="N33" i="63"/>
  <c r="N31" i="63"/>
  <c r="N18" i="63"/>
  <c r="N14" i="63"/>
  <c r="N10" i="63"/>
  <c r="N8" i="63"/>
  <c r="N13" i="63"/>
  <c r="F9" i="63"/>
  <c r="I9" i="63" s="1"/>
  <c r="L9" i="63" s="1"/>
  <c r="H9" i="63"/>
  <c r="K9" i="63" s="1"/>
  <c r="M8" i="62"/>
  <c r="P8" i="62" s="1"/>
  <c r="Q8" i="62" s="1"/>
  <c r="I9" i="62"/>
  <c r="L9" i="62" s="1"/>
  <c r="C10" i="62"/>
  <c r="H10" i="62" s="1"/>
  <c r="K10" i="62" s="1"/>
  <c r="N32" i="62"/>
  <c r="N27" i="62"/>
  <c r="N22" i="62"/>
  <c r="N17" i="62"/>
  <c r="N33" i="62"/>
  <c r="N25" i="62"/>
  <c r="N24" i="62"/>
  <c r="N16" i="62"/>
  <c r="N13" i="62"/>
  <c r="N8" i="62"/>
  <c r="N26" i="62"/>
  <c r="N18" i="62"/>
  <c r="AC7" i="62"/>
  <c r="N12" i="62"/>
  <c r="AC3" i="62"/>
  <c r="N28" i="62"/>
  <c r="N20" i="62"/>
  <c r="N19" i="62"/>
  <c r="N9" i="62"/>
  <c r="N11" i="62"/>
  <c r="N30" i="62"/>
  <c r="N29" i="62"/>
  <c r="N21" i="62"/>
  <c r="N31" i="62"/>
  <c r="N10" i="62"/>
  <c r="N23" i="62"/>
  <c r="N15" i="62"/>
  <c r="N14" i="62"/>
  <c r="C10" i="61"/>
  <c r="N32" i="61"/>
  <c r="N27" i="61"/>
  <c r="N22" i="61"/>
  <c r="N17" i="61"/>
  <c r="N12" i="61"/>
  <c r="N25" i="61"/>
  <c r="N21" i="61"/>
  <c r="N33" i="61"/>
  <c r="N29" i="61"/>
  <c r="N20" i="61"/>
  <c r="N16" i="61"/>
  <c r="N28" i="61"/>
  <c r="N24" i="61"/>
  <c r="N9" i="61"/>
  <c r="N15" i="61"/>
  <c r="N11" i="61"/>
  <c r="N23" i="61"/>
  <c r="N19" i="61"/>
  <c r="N18" i="61"/>
  <c r="AC7" i="61"/>
  <c r="N31" i="61"/>
  <c r="AC3" i="61"/>
  <c r="N30" i="61"/>
  <c r="N14" i="61"/>
  <c r="N8" i="61"/>
  <c r="N10" i="61"/>
  <c r="N26" i="61"/>
  <c r="N13" i="61"/>
  <c r="D9" i="60"/>
  <c r="G9" i="60" s="1"/>
  <c r="J9" i="60" s="1"/>
  <c r="I9" i="60"/>
  <c r="L9" i="60" s="1"/>
  <c r="C10" i="60"/>
  <c r="I10" i="60" s="1"/>
  <c r="L10" i="60" s="1"/>
  <c r="AC7" i="60"/>
  <c r="AC3" i="60"/>
  <c r="M8" i="59"/>
  <c r="N8" i="59" s="1"/>
  <c r="C10" i="59"/>
  <c r="I10" i="59" s="1"/>
  <c r="L10" i="59" s="1"/>
  <c r="AC7" i="59"/>
  <c r="AC3" i="59"/>
  <c r="I9" i="59"/>
  <c r="L9" i="59" s="1"/>
  <c r="D9" i="59"/>
  <c r="G9" i="59" s="1"/>
  <c r="J9" i="59" s="1"/>
  <c r="E9" i="59"/>
  <c r="H9" i="59" s="1"/>
  <c r="K9" i="59" s="1"/>
  <c r="C10" i="58"/>
  <c r="I10" i="58" s="1"/>
  <c r="L10" i="58" s="1"/>
  <c r="E9" i="58"/>
  <c r="H9" i="58" s="1"/>
  <c r="K9" i="58" s="1"/>
  <c r="AC7" i="58"/>
  <c r="AC3" i="58"/>
  <c r="I9" i="58"/>
  <c r="L9" i="58" s="1"/>
  <c r="M8" i="57"/>
  <c r="P8" i="57" s="1"/>
  <c r="Q8" i="57" s="1"/>
  <c r="C10" i="57"/>
  <c r="N32" i="57"/>
  <c r="N27" i="57"/>
  <c r="N22" i="57"/>
  <c r="N17" i="57"/>
  <c r="N12" i="57"/>
  <c r="N29" i="57"/>
  <c r="N18" i="57"/>
  <c r="N14" i="57"/>
  <c r="N10" i="57"/>
  <c r="N30" i="57"/>
  <c r="N13" i="57"/>
  <c r="N8" i="57"/>
  <c r="N21" i="57"/>
  <c r="N25" i="57"/>
  <c r="AC7" i="57"/>
  <c r="N20" i="57"/>
  <c r="N16" i="57"/>
  <c r="AC3" i="57"/>
  <c r="N33" i="57"/>
  <c r="N26" i="57"/>
  <c r="N24" i="57"/>
  <c r="N9" i="57"/>
  <c r="N31" i="57"/>
  <c r="N15" i="57"/>
  <c r="N11" i="57"/>
  <c r="N28" i="57"/>
  <c r="N23" i="57"/>
  <c r="N19" i="57"/>
  <c r="N32" i="56"/>
  <c r="N27" i="56"/>
  <c r="N22" i="56"/>
  <c r="N17" i="56"/>
  <c r="N12" i="56"/>
  <c r="N29" i="56"/>
  <c r="N30" i="56"/>
  <c r="N13" i="56"/>
  <c r="N8" i="56"/>
  <c r="N28" i="56"/>
  <c r="N21" i="56"/>
  <c r="N26" i="56"/>
  <c r="AC7" i="56"/>
  <c r="N20" i="56"/>
  <c r="N16" i="56"/>
  <c r="AC3" i="56"/>
  <c r="N9" i="56"/>
  <c r="N33" i="56"/>
  <c r="N24" i="56"/>
  <c r="N15" i="56"/>
  <c r="N11" i="56"/>
  <c r="N31" i="56"/>
  <c r="N25" i="56"/>
  <c r="N23" i="56"/>
  <c r="N19" i="56"/>
  <c r="N18" i="56"/>
  <c r="N14" i="56"/>
  <c r="N10" i="56"/>
  <c r="AC7" i="54"/>
  <c r="AC3" i="54"/>
  <c r="C10" i="53"/>
  <c r="I10" i="53" s="1"/>
  <c r="L10" i="53" s="1"/>
  <c r="I9" i="53"/>
  <c r="L9" i="53" s="1"/>
  <c r="AC7" i="53"/>
  <c r="AC3" i="53"/>
  <c r="E9" i="53"/>
  <c r="H9" i="53" s="1"/>
  <c r="K9" i="53" s="1"/>
  <c r="D9" i="53"/>
  <c r="G9" i="53" s="1"/>
  <c r="J9" i="53" s="1"/>
  <c r="I10" i="52"/>
  <c r="L10" i="52" s="1"/>
  <c r="M8" i="52"/>
  <c r="O8" i="52" s="1"/>
  <c r="H10" i="52"/>
  <c r="K10" i="52" s="1"/>
  <c r="AK3" i="52"/>
  <c r="AJ3" i="52"/>
  <c r="AI3" i="52"/>
  <c r="AH3" i="52"/>
  <c r="AG3" i="52"/>
  <c r="AF3" i="52"/>
  <c r="AL3" i="52"/>
  <c r="AE3" i="52"/>
  <c r="AD3" i="52"/>
  <c r="C11" i="52"/>
  <c r="H11" i="52" s="1"/>
  <c r="K11" i="52" s="1"/>
  <c r="F10" i="51"/>
  <c r="I10" i="51" s="1"/>
  <c r="L10" i="51" s="1"/>
  <c r="E10" i="51"/>
  <c r="H10" i="51" s="1"/>
  <c r="K10" i="51" s="1"/>
  <c r="AC7" i="51"/>
  <c r="AC3" i="51"/>
  <c r="C11" i="51"/>
  <c r="M8" i="50"/>
  <c r="O8" i="50" s="1"/>
  <c r="AD3" i="50"/>
  <c r="AL3" i="50"/>
  <c r="AG3" i="50"/>
  <c r="AK3" i="50"/>
  <c r="AJ3" i="50"/>
  <c r="AI3" i="50"/>
  <c r="AH3" i="50"/>
  <c r="AF3" i="50"/>
  <c r="AE3" i="50"/>
  <c r="C11" i="50"/>
  <c r="I11" i="50" s="1"/>
  <c r="L11" i="50" s="1"/>
  <c r="D10" i="50"/>
  <c r="G10" i="50" s="1"/>
  <c r="J10" i="50" s="1"/>
  <c r="H10" i="50"/>
  <c r="K10" i="50" s="1"/>
  <c r="M8" i="49"/>
  <c r="P8" i="49" s="1"/>
  <c r="Q8" i="49" s="1"/>
  <c r="AC7" i="49"/>
  <c r="AC3" i="49"/>
  <c r="AC3" i="48"/>
  <c r="AC7" i="48"/>
  <c r="C11" i="48"/>
  <c r="D10" i="48"/>
  <c r="G10" i="48" s="1"/>
  <c r="J10" i="48" s="1"/>
  <c r="M8" i="47"/>
  <c r="P8" i="47" s="1"/>
  <c r="Q8" i="47" s="1"/>
  <c r="N32" i="47"/>
  <c r="N27" i="47"/>
  <c r="N22" i="47"/>
  <c r="N29" i="47"/>
  <c r="N24" i="47"/>
  <c r="N19" i="47"/>
  <c r="N14" i="47"/>
  <c r="N26" i="47"/>
  <c r="N20" i="47"/>
  <c r="N15" i="47"/>
  <c r="N11" i="47"/>
  <c r="N18" i="47"/>
  <c r="N10" i="47"/>
  <c r="N33" i="47"/>
  <c r="N31" i="47"/>
  <c r="N25" i="47"/>
  <c r="N8" i="47"/>
  <c r="N23" i="47"/>
  <c r="N13" i="47"/>
  <c r="N21" i="47"/>
  <c r="AC7" i="47"/>
  <c r="AC3" i="47"/>
  <c r="N17" i="47"/>
  <c r="N12" i="47"/>
  <c r="N30" i="47"/>
  <c r="N16" i="47"/>
  <c r="N9" i="47"/>
  <c r="N28" i="47"/>
  <c r="AD3" i="46"/>
  <c r="AL3" i="46"/>
  <c r="AK3" i="46"/>
  <c r="AJ3" i="46"/>
  <c r="AI3" i="46"/>
  <c r="AH3" i="46"/>
  <c r="AE3" i="46"/>
  <c r="AG3" i="46"/>
  <c r="AF3" i="46"/>
  <c r="M8" i="45"/>
  <c r="P8" i="45" s="1"/>
  <c r="Q8" i="45" s="1"/>
  <c r="N32" i="45"/>
  <c r="N27" i="45"/>
  <c r="N22" i="45"/>
  <c r="N17" i="45"/>
  <c r="N12" i="45"/>
  <c r="N25" i="45"/>
  <c r="N21" i="45"/>
  <c r="N33" i="45"/>
  <c r="N29" i="45"/>
  <c r="N20" i="45"/>
  <c r="N16" i="45"/>
  <c r="N28" i="45"/>
  <c r="N24" i="45"/>
  <c r="N15" i="45"/>
  <c r="N18" i="45"/>
  <c r="N14" i="45"/>
  <c r="N10" i="45"/>
  <c r="N13" i="45"/>
  <c r="N31" i="45"/>
  <c r="N11" i="45"/>
  <c r="N30" i="45"/>
  <c r="N23" i="45"/>
  <c r="N26" i="45"/>
  <c r="N19" i="45"/>
  <c r="N8" i="45"/>
  <c r="AC7" i="45"/>
  <c r="AC3" i="45"/>
  <c r="N9" i="45"/>
  <c r="C12" i="45"/>
  <c r="H12" i="45" s="1"/>
  <c r="K12" i="45" s="1"/>
  <c r="H11" i="45"/>
  <c r="K11" i="45" s="1"/>
  <c r="C10" i="44"/>
  <c r="M8" i="43"/>
  <c r="P8" i="43" s="1"/>
  <c r="Q8" i="43" s="1"/>
  <c r="AG3" i="43"/>
  <c r="AF3" i="43"/>
  <c r="AE3" i="43"/>
  <c r="AD3" i="43"/>
  <c r="AL3" i="43"/>
  <c r="AJ3" i="43"/>
  <c r="AI3" i="43"/>
  <c r="AH3" i="43"/>
  <c r="AK3" i="43"/>
  <c r="D29" i="42"/>
  <c r="D13" i="42"/>
  <c r="D9" i="42"/>
  <c r="D5" i="42"/>
  <c r="M8" i="46" l="1"/>
  <c r="M8" i="55"/>
  <c r="P8" i="55" s="1"/>
  <c r="Q8" i="55" s="1"/>
  <c r="S8" i="55" s="1"/>
  <c r="M10" i="45"/>
  <c r="P10" i="45" s="1"/>
  <c r="Q10" i="45" s="1"/>
  <c r="M10" i="47"/>
  <c r="P10" i="47" s="1"/>
  <c r="Q10" i="47" s="1"/>
  <c r="E10" i="48"/>
  <c r="H10" i="48" s="1"/>
  <c r="K10" i="48" s="1"/>
  <c r="D10" i="49"/>
  <c r="G10" i="49" s="1"/>
  <c r="J10" i="49" s="1"/>
  <c r="F10" i="49"/>
  <c r="I10" i="49" s="1"/>
  <c r="L10" i="49" s="1"/>
  <c r="C12" i="49"/>
  <c r="F12" i="49" s="1"/>
  <c r="I12" i="49" s="1"/>
  <c r="L12" i="49" s="1"/>
  <c r="F11" i="49"/>
  <c r="I11" i="49" s="1"/>
  <c r="L11" i="49" s="1"/>
  <c r="M8" i="54"/>
  <c r="P8" i="54" s="1"/>
  <c r="Q8" i="54" s="1"/>
  <c r="U8" i="54" s="1"/>
  <c r="M9" i="52"/>
  <c r="P9" i="52" s="1"/>
  <c r="Q9" i="52" s="1"/>
  <c r="T9" i="52" s="1"/>
  <c r="E11" i="49"/>
  <c r="H11" i="49" s="1"/>
  <c r="K11" i="49" s="1"/>
  <c r="N8" i="48"/>
  <c r="M9" i="43"/>
  <c r="E10" i="49"/>
  <c r="H10" i="49" s="1"/>
  <c r="K10" i="49" s="1"/>
  <c r="M9" i="45"/>
  <c r="P9" i="45" s="1"/>
  <c r="Q9" i="45" s="1"/>
  <c r="T9" i="45" s="1"/>
  <c r="I9" i="46"/>
  <c r="L9" i="46" s="1"/>
  <c r="M9" i="51"/>
  <c r="N9" i="51" s="1"/>
  <c r="O9" i="51" s="1"/>
  <c r="M9" i="56"/>
  <c r="P9" i="56" s="1"/>
  <c r="Q9" i="56" s="1"/>
  <c r="T9" i="56" s="1"/>
  <c r="M9" i="49"/>
  <c r="P9" i="49" s="1"/>
  <c r="Q9" i="49" s="1"/>
  <c r="T9" i="49" s="1"/>
  <c r="N9" i="48"/>
  <c r="O9" i="48" s="1"/>
  <c r="M10" i="51"/>
  <c r="N10" i="51" s="1"/>
  <c r="M9" i="50"/>
  <c r="O9" i="50" s="1"/>
  <c r="F11" i="47"/>
  <c r="I11" i="47" s="1"/>
  <c r="L11" i="47" s="1"/>
  <c r="D11" i="47"/>
  <c r="G11" i="47" s="1"/>
  <c r="J11" i="47" s="1"/>
  <c r="E11" i="47"/>
  <c r="H11" i="47" s="1"/>
  <c r="K11" i="47" s="1"/>
  <c r="M9" i="47"/>
  <c r="P9" i="47" s="1"/>
  <c r="Q9" i="47" s="1"/>
  <c r="V9" i="47" s="1"/>
  <c r="M9" i="57"/>
  <c r="P9" i="57" s="1"/>
  <c r="Q9" i="57" s="1"/>
  <c r="M9" i="55"/>
  <c r="P9" i="55" s="1"/>
  <c r="Q9" i="55" s="1"/>
  <c r="Y9" i="55" s="1"/>
  <c r="M9" i="54"/>
  <c r="P9" i="54" s="1"/>
  <c r="Q9" i="54" s="1"/>
  <c r="T9" i="54" s="1"/>
  <c r="N8" i="60"/>
  <c r="O8" i="60" s="1"/>
  <c r="M9" i="65"/>
  <c r="P9" i="65" s="1"/>
  <c r="Q9" i="65" s="1"/>
  <c r="Y9" i="65" s="1"/>
  <c r="P8" i="53"/>
  <c r="Q8" i="53" s="1"/>
  <c r="Z8" i="53" s="1"/>
  <c r="D10" i="54"/>
  <c r="G10" i="54" s="1"/>
  <c r="J10" i="54" s="1"/>
  <c r="C11" i="54"/>
  <c r="I11" i="54" s="1"/>
  <c r="L11" i="54" s="1"/>
  <c r="I10" i="54"/>
  <c r="L10" i="54" s="1"/>
  <c r="P8" i="46"/>
  <c r="Q8" i="46" s="1"/>
  <c r="R8" i="46" s="1"/>
  <c r="O8" i="46"/>
  <c r="C11" i="43"/>
  <c r="F10" i="43"/>
  <c r="I10" i="43" s="1"/>
  <c r="L10" i="43" s="1"/>
  <c r="D10" i="43"/>
  <c r="G10" i="43" s="1"/>
  <c r="J10" i="43" s="1"/>
  <c r="M9" i="62"/>
  <c r="O9" i="62" s="1"/>
  <c r="M9" i="60"/>
  <c r="N9" i="60" s="1"/>
  <c r="E10" i="55"/>
  <c r="H10" i="55" s="1"/>
  <c r="K10" i="55" s="1"/>
  <c r="D10" i="55"/>
  <c r="G10" i="55" s="1"/>
  <c r="J10" i="55" s="1"/>
  <c r="C11" i="55"/>
  <c r="D9" i="46"/>
  <c r="G9" i="46" s="1"/>
  <c r="J9" i="46" s="1"/>
  <c r="C10" i="46"/>
  <c r="H10" i="43"/>
  <c r="K10" i="43" s="1"/>
  <c r="I10" i="55"/>
  <c r="L10" i="55" s="1"/>
  <c r="C11" i="56"/>
  <c r="D10" i="56"/>
  <c r="G10" i="56" s="1"/>
  <c r="J10" i="56" s="1"/>
  <c r="E10" i="56"/>
  <c r="H10" i="56" s="1"/>
  <c r="K10" i="56" s="1"/>
  <c r="M9" i="61"/>
  <c r="N8" i="51"/>
  <c r="O8" i="51" s="1"/>
  <c r="I12" i="45"/>
  <c r="L12" i="45" s="1"/>
  <c r="M11" i="45"/>
  <c r="O11" i="45" s="1"/>
  <c r="P8" i="58"/>
  <c r="Q8" i="58" s="1"/>
  <c r="R8" i="58" s="1"/>
  <c r="P8" i="52"/>
  <c r="Q8" i="52" s="1"/>
  <c r="V8" i="52" s="1"/>
  <c r="M10" i="52"/>
  <c r="P10" i="52" s="1"/>
  <c r="Q10" i="52" s="1"/>
  <c r="O8" i="43"/>
  <c r="I10" i="62"/>
  <c r="L10" i="62" s="1"/>
  <c r="P8" i="64"/>
  <c r="Q8" i="64" s="1"/>
  <c r="Z8" i="64" s="1"/>
  <c r="M9" i="63"/>
  <c r="O9" i="63" s="1"/>
  <c r="G11" i="65"/>
  <c r="J11" i="65" s="1"/>
  <c r="P8" i="50"/>
  <c r="Q8" i="50" s="1"/>
  <c r="X8" i="50" s="1"/>
  <c r="M9" i="53"/>
  <c r="P9" i="53" s="1"/>
  <c r="Q9" i="53" s="1"/>
  <c r="P8" i="59"/>
  <c r="Q8" i="59" s="1"/>
  <c r="S8" i="59" s="1"/>
  <c r="O8" i="63"/>
  <c r="O8" i="47"/>
  <c r="M10" i="50"/>
  <c r="O10" i="50" s="1"/>
  <c r="M10" i="65"/>
  <c r="O10" i="65" s="1"/>
  <c r="AA8" i="60"/>
  <c r="H11" i="65"/>
  <c r="K11" i="65" s="1"/>
  <c r="AI3" i="65"/>
  <c r="AH3" i="65"/>
  <c r="AG3" i="65"/>
  <c r="AF3" i="65"/>
  <c r="AD3" i="65"/>
  <c r="AL3" i="65"/>
  <c r="AK3" i="65"/>
  <c r="AJ3" i="65"/>
  <c r="AE3" i="65"/>
  <c r="C12" i="65"/>
  <c r="O8" i="65"/>
  <c r="P8" i="65"/>
  <c r="Q8" i="65" s="1"/>
  <c r="M9" i="64"/>
  <c r="N9" i="64" s="1"/>
  <c r="O9" i="64" s="1"/>
  <c r="C11" i="64"/>
  <c r="F10" i="64"/>
  <c r="I10" i="64" s="1"/>
  <c r="L10" i="64" s="1"/>
  <c r="E10" i="64"/>
  <c r="H10" i="64" s="1"/>
  <c r="K10" i="64" s="1"/>
  <c r="D10" i="64"/>
  <c r="G10" i="64" s="1"/>
  <c r="J10" i="64" s="1"/>
  <c r="AA8" i="63"/>
  <c r="AC8" i="63" s="1"/>
  <c r="AE3" i="63"/>
  <c r="AD3" i="63"/>
  <c r="AL3" i="63"/>
  <c r="AK3" i="63"/>
  <c r="AJ3" i="63"/>
  <c r="AI3" i="63"/>
  <c r="AH3" i="63"/>
  <c r="AG3" i="63"/>
  <c r="AF3" i="63"/>
  <c r="C11" i="63"/>
  <c r="D10" i="63"/>
  <c r="G10" i="63" s="1"/>
  <c r="J10" i="63" s="1"/>
  <c r="F10" i="63"/>
  <c r="I10" i="63" s="1"/>
  <c r="L10" i="63" s="1"/>
  <c r="W8" i="63"/>
  <c r="V8" i="63"/>
  <c r="U8" i="63"/>
  <c r="T8" i="63"/>
  <c r="S8" i="63"/>
  <c r="R8" i="63"/>
  <c r="Z8" i="63"/>
  <c r="Y8" i="63"/>
  <c r="X8" i="63"/>
  <c r="AG3" i="62"/>
  <c r="AF3" i="62"/>
  <c r="AE3" i="62"/>
  <c r="AD3" i="62"/>
  <c r="AL3" i="62"/>
  <c r="AK3" i="62"/>
  <c r="AJ3" i="62"/>
  <c r="AI3" i="62"/>
  <c r="AH3" i="62"/>
  <c r="Y8" i="62"/>
  <c r="X8" i="62"/>
  <c r="W8" i="62"/>
  <c r="V8" i="62"/>
  <c r="U8" i="62"/>
  <c r="T8" i="62"/>
  <c r="S8" i="62"/>
  <c r="R8" i="62"/>
  <c r="Z8" i="62"/>
  <c r="AA8" i="62"/>
  <c r="AC8" i="62" s="1"/>
  <c r="C11" i="62"/>
  <c r="D10" i="62"/>
  <c r="G10" i="62" s="1"/>
  <c r="J10" i="62" s="1"/>
  <c r="O8" i="62"/>
  <c r="AE3" i="61"/>
  <c r="AD3" i="61"/>
  <c r="AI3" i="61"/>
  <c r="AL3" i="61"/>
  <c r="AK3" i="61"/>
  <c r="AJ3" i="61"/>
  <c r="AH3" i="61"/>
  <c r="AG3" i="61"/>
  <c r="AF3" i="61"/>
  <c r="C11" i="61"/>
  <c r="F10" i="61"/>
  <c r="L10" i="61" s="1"/>
  <c r="D10" i="61"/>
  <c r="E10" i="61"/>
  <c r="K10" i="61" s="1"/>
  <c r="C11" i="60"/>
  <c r="D10" i="60"/>
  <c r="G10" i="60" s="1"/>
  <c r="J10" i="60" s="1"/>
  <c r="E10" i="60"/>
  <c r="H10" i="60" s="1"/>
  <c r="K10" i="60" s="1"/>
  <c r="Y8" i="60"/>
  <c r="X8" i="60"/>
  <c r="W8" i="60"/>
  <c r="V8" i="60"/>
  <c r="U8" i="60"/>
  <c r="T8" i="60"/>
  <c r="S8" i="60"/>
  <c r="R8" i="60"/>
  <c r="Z8" i="60"/>
  <c r="M9" i="59"/>
  <c r="N9" i="59" s="1"/>
  <c r="C11" i="59"/>
  <c r="D10" i="59"/>
  <c r="G10" i="59" s="1"/>
  <c r="J10" i="59" s="1"/>
  <c r="E10" i="59"/>
  <c r="H10" i="59" s="1"/>
  <c r="K10" i="59" s="1"/>
  <c r="O8" i="59"/>
  <c r="M9" i="58"/>
  <c r="P9" i="58" s="1"/>
  <c r="Q9" i="58" s="1"/>
  <c r="C11" i="58"/>
  <c r="D10" i="58"/>
  <c r="G10" i="58" s="1"/>
  <c r="J10" i="58" s="1"/>
  <c r="E10" i="58"/>
  <c r="H10" i="58" s="1"/>
  <c r="K10" i="58" s="1"/>
  <c r="C11" i="57"/>
  <c r="D10" i="57"/>
  <c r="G10" i="57" s="1"/>
  <c r="J10" i="57" s="1"/>
  <c r="E10" i="57"/>
  <c r="H10" i="57" s="1"/>
  <c r="K10" i="57" s="1"/>
  <c r="F10" i="57"/>
  <c r="I10" i="57" s="1"/>
  <c r="L10" i="57" s="1"/>
  <c r="AH3" i="57"/>
  <c r="AG3" i="57"/>
  <c r="AF3" i="57"/>
  <c r="AE3" i="57"/>
  <c r="AD3" i="57"/>
  <c r="AL3" i="57"/>
  <c r="AK3" i="57"/>
  <c r="AJ3" i="57"/>
  <c r="AI3" i="57"/>
  <c r="Z8" i="57"/>
  <c r="Y8" i="57"/>
  <c r="X8" i="57"/>
  <c r="W8" i="57"/>
  <c r="V8" i="57"/>
  <c r="U8" i="57"/>
  <c r="T8" i="57"/>
  <c r="S8" i="57"/>
  <c r="R8" i="57"/>
  <c r="AA8" i="57"/>
  <c r="AC8" i="57" s="1"/>
  <c r="O8" i="57"/>
  <c r="AA8" i="56"/>
  <c r="AC8" i="56" s="1"/>
  <c r="AF3" i="56"/>
  <c r="AE3" i="56"/>
  <c r="AD3" i="56"/>
  <c r="AL3" i="56"/>
  <c r="AK3" i="56"/>
  <c r="AJ3" i="56"/>
  <c r="AI3" i="56"/>
  <c r="AH3" i="56"/>
  <c r="AG3" i="56"/>
  <c r="O8" i="56"/>
  <c r="X8" i="56"/>
  <c r="W8" i="56"/>
  <c r="V8" i="56"/>
  <c r="U8" i="56"/>
  <c r="T8" i="56"/>
  <c r="S8" i="56"/>
  <c r="Z8" i="56"/>
  <c r="Y8" i="56"/>
  <c r="AA8" i="55"/>
  <c r="Z8" i="55"/>
  <c r="Y8" i="55"/>
  <c r="X8" i="55"/>
  <c r="W8" i="55"/>
  <c r="V8" i="55"/>
  <c r="U8" i="55"/>
  <c r="R8" i="55"/>
  <c r="Y8" i="54"/>
  <c r="AA8" i="54"/>
  <c r="O8" i="53"/>
  <c r="C11" i="53"/>
  <c r="E10" i="53"/>
  <c r="H10" i="53" s="1"/>
  <c r="K10" i="53" s="1"/>
  <c r="D10" i="53"/>
  <c r="G10" i="53" s="1"/>
  <c r="J10" i="53" s="1"/>
  <c r="C12" i="52"/>
  <c r="D11" i="52"/>
  <c r="G11" i="52" s="1"/>
  <c r="J11" i="52" s="1"/>
  <c r="I11" i="52"/>
  <c r="L11" i="52" s="1"/>
  <c r="AA9" i="52"/>
  <c r="AC9" i="52" s="1"/>
  <c r="W8" i="51"/>
  <c r="V8" i="51"/>
  <c r="T8" i="51"/>
  <c r="S8" i="51"/>
  <c r="Z8" i="51"/>
  <c r="Y8" i="51"/>
  <c r="X8" i="51"/>
  <c r="U8" i="51"/>
  <c r="R8" i="51"/>
  <c r="AA8" i="51"/>
  <c r="C12" i="51"/>
  <c r="E11" i="51"/>
  <c r="H11" i="51" s="1"/>
  <c r="K11" i="51" s="1"/>
  <c r="D11" i="51"/>
  <c r="G11" i="51" s="1"/>
  <c r="J11" i="51" s="1"/>
  <c r="F11" i="51"/>
  <c r="I11" i="51" s="1"/>
  <c r="L11" i="51" s="1"/>
  <c r="C12" i="50"/>
  <c r="D11" i="50"/>
  <c r="G11" i="50" s="1"/>
  <c r="J11" i="50" s="1"/>
  <c r="H11" i="50"/>
  <c r="K11" i="50" s="1"/>
  <c r="N8" i="49"/>
  <c r="O8" i="49" s="1"/>
  <c r="V9" i="49"/>
  <c r="W8" i="49"/>
  <c r="V8" i="49"/>
  <c r="U8" i="49"/>
  <c r="T8" i="49"/>
  <c r="R8" i="49"/>
  <c r="Z8" i="49"/>
  <c r="Y8" i="49"/>
  <c r="X8" i="49"/>
  <c r="S8" i="49"/>
  <c r="AA8" i="49"/>
  <c r="M10" i="48"/>
  <c r="P10" i="48" s="1"/>
  <c r="Q10" i="48" s="1"/>
  <c r="O8" i="48"/>
  <c r="C12" i="48"/>
  <c r="F11" i="48"/>
  <c r="I11" i="48" s="1"/>
  <c r="L11" i="48" s="1"/>
  <c r="E11" i="48"/>
  <c r="H11" i="48" s="1"/>
  <c r="K11" i="48" s="1"/>
  <c r="D11" i="48"/>
  <c r="G11" i="48" s="1"/>
  <c r="J11" i="48" s="1"/>
  <c r="U8" i="48"/>
  <c r="T8" i="48"/>
  <c r="S8" i="48"/>
  <c r="R8" i="48"/>
  <c r="Z8" i="48"/>
  <c r="Y8" i="48"/>
  <c r="X8" i="48"/>
  <c r="W8" i="48"/>
  <c r="V8" i="48"/>
  <c r="Y9" i="48"/>
  <c r="X9" i="48"/>
  <c r="W9" i="48"/>
  <c r="V9" i="48"/>
  <c r="U9" i="48"/>
  <c r="T9" i="48"/>
  <c r="S9" i="48"/>
  <c r="R9" i="48"/>
  <c r="Z9" i="48"/>
  <c r="AA9" i="48"/>
  <c r="AA8" i="48"/>
  <c r="AC8" i="48" s="1"/>
  <c r="AA10" i="47"/>
  <c r="C13" i="47"/>
  <c r="D12" i="47"/>
  <c r="G12" i="47" s="1"/>
  <c r="J12" i="47" s="1"/>
  <c r="E12" i="47"/>
  <c r="H12" i="47" s="1"/>
  <c r="K12" i="47" s="1"/>
  <c r="F12" i="47"/>
  <c r="I12" i="47" s="1"/>
  <c r="L12" i="47" s="1"/>
  <c r="R8" i="47"/>
  <c r="Z8" i="47"/>
  <c r="Y8" i="47"/>
  <c r="X8" i="47"/>
  <c r="W8" i="47"/>
  <c r="V8" i="47"/>
  <c r="U8" i="47"/>
  <c r="T8" i="47"/>
  <c r="S8" i="47"/>
  <c r="AA8" i="47"/>
  <c r="AJ3" i="47"/>
  <c r="AI3" i="47"/>
  <c r="AH3" i="47"/>
  <c r="AG3" i="47"/>
  <c r="AF3" i="47"/>
  <c r="AE3" i="47"/>
  <c r="AD3" i="47"/>
  <c r="AL3" i="47"/>
  <c r="AK3" i="47"/>
  <c r="R10" i="47"/>
  <c r="Z10" i="47"/>
  <c r="Y10" i="47"/>
  <c r="X10" i="47"/>
  <c r="W10" i="47"/>
  <c r="V10" i="47"/>
  <c r="U10" i="47"/>
  <c r="T10" i="47"/>
  <c r="S10" i="47"/>
  <c r="R9" i="47"/>
  <c r="X9" i="47"/>
  <c r="T8" i="46"/>
  <c r="W8" i="45"/>
  <c r="Z8" i="45"/>
  <c r="V8" i="45"/>
  <c r="U8" i="45"/>
  <c r="T8" i="45"/>
  <c r="S8" i="45"/>
  <c r="R8" i="45"/>
  <c r="X8" i="45"/>
  <c r="Y8" i="45"/>
  <c r="AA8" i="45"/>
  <c r="AC8" i="45" s="1"/>
  <c r="O10" i="45"/>
  <c r="O8" i="45"/>
  <c r="AE3" i="45"/>
  <c r="AK3" i="45"/>
  <c r="AJ3" i="45"/>
  <c r="AI3" i="45"/>
  <c r="AH3" i="45"/>
  <c r="AG3" i="45"/>
  <c r="AF3" i="45"/>
  <c r="AD3" i="45"/>
  <c r="AL3" i="45"/>
  <c r="Z10" i="45"/>
  <c r="U10" i="45"/>
  <c r="X10" i="45"/>
  <c r="Y10" i="45"/>
  <c r="W10" i="45"/>
  <c r="V10" i="45"/>
  <c r="T10" i="45"/>
  <c r="S10" i="45"/>
  <c r="R10" i="45"/>
  <c r="AA10" i="45"/>
  <c r="AC10" i="45" s="1"/>
  <c r="P11" i="45"/>
  <c r="Q11" i="45" s="1"/>
  <c r="C13" i="45"/>
  <c r="D12" i="45"/>
  <c r="G12" i="45" s="1"/>
  <c r="J12" i="45" s="1"/>
  <c r="X9" i="45"/>
  <c r="V9" i="45"/>
  <c r="U9" i="45"/>
  <c r="R9" i="45"/>
  <c r="Y9" i="45"/>
  <c r="Z9" i="45"/>
  <c r="AA9" i="45"/>
  <c r="AC9" i="45" s="1"/>
  <c r="C11" i="44"/>
  <c r="Y8" i="43"/>
  <c r="X8" i="43"/>
  <c r="W8" i="43"/>
  <c r="V8" i="43"/>
  <c r="U8" i="43"/>
  <c r="T8" i="43"/>
  <c r="R8" i="43"/>
  <c r="Z8" i="43"/>
  <c r="S8" i="43"/>
  <c r="AA8" i="43"/>
  <c r="AC8" i="43" s="1"/>
  <c r="O9" i="43"/>
  <c r="P9" i="43"/>
  <c r="Q9" i="43" s="1"/>
  <c r="D5" i="15"/>
  <c r="D4" i="15"/>
  <c r="D3" i="15"/>
  <c r="D2" i="15"/>
  <c r="S9" i="49" l="1"/>
  <c r="V8" i="54"/>
  <c r="X9" i="49"/>
  <c r="Z8" i="54"/>
  <c r="T8" i="55"/>
  <c r="N8" i="55"/>
  <c r="O8" i="55" s="1"/>
  <c r="S8" i="54"/>
  <c r="X8" i="54"/>
  <c r="R8" i="54"/>
  <c r="O10" i="47"/>
  <c r="X8" i="46"/>
  <c r="Z8" i="46"/>
  <c r="V8" i="46"/>
  <c r="U8" i="46"/>
  <c r="T8" i="54"/>
  <c r="W9" i="56"/>
  <c r="O10" i="51"/>
  <c r="V9" i="52"/>
  <c r="W8" i="54"/>
  <c r="Z9" i="56"/>
  <c r="W9" i="45"/>
  <c r="S9" i="45"/>
  <c r="Y9" i="47"/>
  <c r="U9" i="49"/>
  <c r="M11" i="47"/>
  <c r="O11" i="47" s="1"/>
  <c r="S8" i="46"/>
  <c r="Y9" i="49"/>
  <c r="Z9" i="49"/>
  <c r="N9" i="49"/>
  <c r="O9" i="49" s="1"/>
  <c r="R9" i="56"/>
  <c r="W9" i="52"/>
  <c r="AB9" i="48"/>
  <c r="M12" i="45"/>
  <c r="O12" i="45" s="1"/>
  <c r="W9" i="47"/>
  <c r="X9" i="52"/>
  <c r="Y9" i="52"/>
  <c r="R9" i="52"/>
  <c r="S9" i="52"/>
  <c r="Y8" i="53"/>
  <c r="T8" i="53"/>
  <c r="O9" i="56"/>
  <c r="S9" i="56"/>
  <c r="D12" i="49"/>
  <c r="G12" i="49" s="1"/>
  <c r="J12" i="49" s="1"/>
  <c r="N8" i="54"/>
  <c r="O8" i="54" s="1"/>
  <c r="AB8" i="54" s="1"/>
  <c r="T8" i="50"/>
  <c r="AA9" i="49"/>
  <c r="Z9" i="52"/>
  <c r="M10" i="49"/>
  <c r="N10" i="49" s="1"/>
  <c r="O10" i="49" s="1"/>
  <c r="U9" i="52"/>
  <c r="C13" i="49"/>
  <c r="AA9" i="56"/>
  <c r="AC9" i="56" s="1"/>
  <c r="AA8" i="46"/>
  <c r="AC8" i="46" s="1"/>
  <c r="O9" i="57"/>
  <c r="M11" i="49"/>
  <c r="N11" i="49" s="1"/>
  <c r="O11" i="49" s="1"/>
  <c r="T8" i="58"/>
  <c r="R8" i="50"/>
  <c r="E12" i="49"/>
  <c r="H12" i="49" s="1"/>
  <c r="K12" i="49" s="1"/>
  <c r="R8" i="53"/>
  <c r="O9" i="45"/>
  <c r="AB9" i="45" s="1"/>
  <c r="O9" i="52"/>
  <c r="AB9" i="52" s="1"/>
  <c r="S8" i="50"/>
  <c r="Y8" i="52"/>
  <c r="P9" i="50"/>
  <c r="Y8" i="58"/>
  <c r="Y8" i="46"/>
  <c r="W9" i="49"/>
  <c r="P9" i="51"/>
  <c r="Q9" i="51" s="1"/>
  <c r="Y9" i="51" s="1"/>
  <c r="W8" i="46"/>
  <c r="Z9" i="47"/>
  <c r="R9" i="49"/>
  <c r="D11" i="54"/>
  <c r="G11" i="54" s="1"/>
  <c r="J11" i="54" s="1"/>
  <c r="Z9" i="55"/>
  <c r="R9" i="55"/>
  <c r="S9" i="47"/>
  <c r="T9" i="55"/>
  <c r="U9" i="56"/>
  <c r="Y9" i="56"/>
  <c r="X8" i="58"/>
  <c r="S9" i="55"/>
  <c r="E11" i="54"/>
  <c r="H11" i="54" s="1"/>
  <c r="K11" i="54" s="1"/>
  <c r="X9" i="56"/>
  <c r="M9" i="46"/>
  <c r="V9" i="56"/>
  <c r="Y8" i="59"/>
  <c r="P10" i="51"/>
  <c r="Q10" i="51" s="1"/>
  <c r="Z10" i="51" s="1"/>
  <c r="V8" i="53"/>
  <c r="Z8" i="59"/>
  <c r="AA9" i="55"/>
  <c r="M10" i="54"/>
  <c r="P10" i="54" s="1"/>
  <c r="Q10" i="54" s="1"/>
  <c r="AB10" i="47"/>
  <c r="W9" i="54"/>
  <c r="AA9" i="54"/>
  <c r="O10" i="52"/>
  <c r="Y9" i="54"/>
  <c r="T9" i="47"/>
  <c r="U9" i="54"/>
  <c r="V9" i="54"/>
  <c r="Z8" i="52"/>
  <c r="U9" i="47"/>
  <c r="AB8" i="47"/>
  <c r="X9" i="54"/>
  <c r="AC8" i="55"/>
  <c r="Z9" i="54"/>
  <c r="N9" i="54"/>
  <c r="O9" i="54" s="1"/>
  <c r="U9" i="55"/>
  <c r="V9" i="55"/>
  <c r="R9" i="54"/>
  <c r="W9" i="55"/>
  <c r="AA9" i="47"/>
  <c r="AC9" i="47" s="1"/>
  <c r="AC8" i="51"/>
  <c r="S9" i="54"/>
  <c r="X9" i="55"/>
  <c r="T9" i="65"/>
  <c r="Z8" i="50"/>
  <c r="X8" i="59"/>
  <c r="N9" i="55"/>
  <c r="O9" i="55" s="1"/>
  <c r="Y8" i="50"/>
  <c r="S8" i="53"/>
  <c r="M10" i="43"/>
  <c r="O10" i="43" s="1"/>
  <c r="O9" i="47"/>
  <c r="P10" i="50"/>
  <c r="Q10" i="50" s="1"/>
  <c r="T10" i="50" s="1"/>
  <c r="R8" i="52"/>
  <c r="U8" i="53"/>
  <c r="M10" i="62"/>
  <c r="P10" i="62" s="1"/>
  <c r="Q10" i="62" s="1"/>
  <c r="S8" i="52"/>
  <c r="V8" i="58"/>
  <c r="W8" i="58"/>
  <c r="R9" i="65"/>
  <c r="S9" i="65"/>
  <c r="U9" i="65"/>
  <c r="O9" i="65"/>
  <c r="Z9" i="65"/>
  <c r="M10" i="56"/>
  <c r="C12" i="54"/>
  <c r="E12" i="54" s="1"/>
  <c r="H12" i="54" s="1"/>
  <c r="K12" i="54" s="1"/>
  <c r="AA9" i="65"/>
  <c r="AC9" i="65" s="1"/>
  <c r="V8" i="50"/>
  <c r="T8" i="52"/>
  <c r="N9" i="53"/>
  <c r="O9" i="53" s="1"/>
  <c r="AA8" i="58"/>
  <c r="AC8" i="58" s="1"/>
  <c r="P9" i="60"/>
  <c r="Q9" i="60" s="1"/>
  <c r="T9" i="60" s="1"/>
  <c r="P9" i="62"/>
  <c r="Q9" i="62" s="1"/>
  <c r="T9" i="62" s="1"/>
  <c r="V9" i="65"/>
  <c r="AA8" i="50"/>
  <c r="AC8" i="50" s="1"/>
  <c r="U8" i="50"/>
  <c r="AA8" i="52"/>
  <c r="AC8" i="52" s="1"/>
  <c r="W8" i="52"/>
  <c r="W8" i="53"/>
  <c r="U8" i="58"/>
  <c r="O9" i="60"/>
  <c r="W9" i="65"/>
  <c r="W8" i="50"/>
  <c r="U8" i="52"/>
  <c r="X8" i="53"/>
  <c r="AA8" i="53"/>
  <c r="AC8" i="53" s="1"/>
  <c r="Z8" i="58"/>
  <c r="P9" i="63"/>
  <c r="Q9" i="63" s="1"/>
  <c r="V9" i="63" s="1"/>
  <c r="X9" i="65"/>
  <c r="AB8" i="60"/>
  <c r="X8" i="52"/>
  <c r="S8" i="58"/>
  <c r="V8" i="64"/>
  <c r="D11" i="55"/>
  <c r="G11" i="55" s="1"/>
  <c r="J11" i="55" s="1"/>
  <c r="I11" i="55"/>
  <c r="L11" i="55" s="1"/>
  <c r="E11" i="55"/>
  <c r="H11" i="55" s="1"/>
  <c r="K11" i="55" s="1"/>
  <c r="C12" i="55"/>
  <c r="M10" i="55"/>
  <c r="W8" i="64"/>
  <c r="E11" i="56"/>
  <c r="H11" i="56" s="1"/>
  <c r="K11" i="56" s="1"/>
  <c r="C12" i="56"/>
  <c r="D11" i="56"/>
  <c r="G11" i="56" s="1"/>
  <c r="J11" i="56" s="1"/>
  <c r="I11" i="56"/>
  <c r="L11" i="56" s="1"/>
  <c r="R8" i="64"/>
  <c r="C12" i="43"/>
  <c r="F11" i="43"/>
  <c r="I11" i="43" s="1"/>
  <c r="L11" i="43" s="1"/>
  <c r="D11" i="43"/>
  <c r="G11" i="43" s="1"/>
  <c r="J11" i="43" s="1"/>
  <c r="H11" i="43"/>
  <c r="K11" i="43" s="1"/>
  <c r="D10" i="46"/>
  <c r="G10" i="46" s="1"/>
  <c r="J10" i="46" s="1"/>
  <c r="C11" i="46"/>
  <c r="I10" i="46"/>
  <c r="L10" i="46" s="1"/>
  <c r="H10" i="46"/>
  <c r="K10" i="46" s="1"/>
  <c r="S8" i="64"/>
  <c r="AA8" i="59"/>
  <c r="AC8" i="59" s="1"/>
  <c r="T8" i="64"/>
  <c r="U8" i="59"/>
  <c r="W8" i="59"/>
  <c r="AC8" i="60"/>
  <c r="Y8" i="64"/>
  <c r="U8" i="64"/>
  <c r="X8" i="64"/>
  <c r="AB8" i="49"/>
  <c r="V8" i="59"/>
  <c r="AA8" i="64"/>
  <c r="AB8" i="64" s="1"/>
  <c r="M11" i="65"/>
  <c r="O11" i="65" s="1"/>
  <c r="P9" i="64"/>
  <c r="Q9" i="64" s="1"/>
  <c r="T9" i="64" s="1"/>
  <c r="AC8" i="47"/>
  <c r="T8" i="59"/>
  <c r="P10" i="65"/>
  <c r="Q10" i="65" s="1"/>
  <c r="S10" i="65" s="1"/>
  <c r="AC8" i="49"/>
  <c r="R8" i="59"/>
  <c r="P9" i="59"/>
  <c r="Q9" i="59" s="1"/>
  <c r="V9" i="59" s="1"/>
  <c r="P11" i="47"/>
  <c r="Q11" i="47" s="1"/>
  <c r="V11" i="47" s="1"/>
  <c r="AC10" i="47"/>
  <c r="AB8" i="63"/>
  <c r="M10" i="61"/>
  <c r="M10" i="64"/>
  <c r="P10" i="64" s="1"/>
  <c r="Q10" i="64" s="1"/>
  <c r="N10" i="48"/>
  <c r="O10" i="48" s="1"/>
  <c r="M10" i="53"/>
  <c r="P10" i="53" s="1"/>
  <c r="Q10" i="53" s="1"/>
  <c r="AB8" i="55"/>
  <c r="N9" i="58"/>
  <c r="O9" i="58" s="1"/>
  <c r="C13" i="65"/>
  <c r="H12" i="65"/>
  <c r="K12" i="65" s="1"/>
  <c r="I12" i="65"/>
  <c r="L12" i="65" s="1"/>
  <c r="G12" i="65"/>
  <c r="J12" i="65" s="1"/>
  <c r="Z8" i="65"/>
  <c r="Y8" i="65"/>
  <c r="X8" i="65"/>
  <c r="V8" i="65"/>
  <c r="U8" i="65"/>
  <c r="T8" i="65"/>
  <c r="S8" i="65"/>
  <c r="R8" i="65"/>
  <c r="W8" i="65"/>
  <c r="AA8" i="65"/>
  <c r="AC8" i="65" s="1"/>
  <c r="C12" i="64"/>
  <c r="E11" i="64"/>
  <c r="H11" i="64" s="1"/>
  <c r="K11" i="64" s="1"/>
  <c r="F11" i="64"/>
  <c r="I11" i="64" s="1"/>
  <c r="L11" i="64" s="1"/>
  <c r="D11" i="64"/>
  <c r="G11" i="64" s="1"/>
  <c r="J11" i="64" s="1"/>
  <c r="M10" i="63"/>
  <c r="P10" i="63" s="1"/>
  <c r="Q10" i="63" s="1"/>
  <c r="C12" i="63"/>
  <c r="D11" i="63"/>
  <c r="G11" i="63" s="1"/>
  <c r="J11" i="63" s="1"/>
  <c r="F11" i="63"/>
  <c r="I11" i="63" s="1"/>
  <c r="L11" i="63" s="1"/>
  <c r="H11" i="63"/>
  <c r="K11" i="63" s="1"/>
  <c r="C12" i="62"/>
  <c r="D11" i="62"/>
  <c r="G11" i="62" s="1"/>
  <c r="J11" i="62" s="1"/>
  <c r="I11" i="62"/>
  <c r="L11" i="62" s="1"/>
  <c r="H11" i="62"/>
  <c r="K11" i="62" s="1"/>
  <c r="AB8" i="62"/>
  <c r="C12" i="61"/>
  <c r="F11" i="61"/>
  <c r="L11" i="61" s="1"/>
  <c r="E11" i="61"/>
  <c r="K11" i="61" s="1"/>
  <c r="D11" i="61"/>
  <c r="M10" i="60"/>
  <c r="C12" i="60"/>
  <c r="D11" i="60"/>
  <c r="G11" i="60" s="1"/>
  <c r="J11" i="60" s="1"/>
  <c r="E11" i="60"/>
  <c r="H11" i="60" s="1"/>
  <c r="K11" i="60" s="1"/>
  <c r="I11" i="60"/>
  <c r="L11" i="60" s="1"/>
  <c r="M10" i="59"/>
  <c r="N10" i="59" s="1"/>
  <c r="C12" i="59"/>
  <c r="E11" i="59"/>
  <c r="H11" i="59" s="1"/>
  <c r="K11" i="59" s="1"/>
  <c r="D11" i="59"/>
  <c r="G11" i="59" s="1"/>
  <c r="J11" i="59" s="1"/>
  <c r="I11" i="59"/>
  <c r="L11" i="59" s="1"/>
  <c r="O9" i="59"/>
  <c r="M10" i="58"/>
  <c r="P10" i="58" s="1"/>
  <c r="C12" i="58"/>
  <c r="E11" i="58"/>
  <c r="H11" i="58" s="1"/>
  <c r="K11" i="58" s="1"/>
  <c r="D11" i="58"/>
  <c r="G11" i="58" s="1"/>
  <c r="J11" i="58" s="1"/>
  <c r="I11" i="58"/>
  <c r="L11" i="58" s="1"/>
  <c r="S9" i="58"/>
  <c r="R9" i="58"/>
  <c r="Z9" i="58"/>
  <c r="X9" i="58"/>
  <c r="W9" i="58"/>
  <c r="U9" i="58"/>
  <c r="V9" i="58"/>
  <c r="T9" i="58"/>
  <c r="Y9" i="58"/>
  <c r="AA9" i="58"/>
  <c r="M10" i="57"/>
  <c r="O10" i="57" s="1"/>
  <c r="T9" i="57"/>
  <c r="S9" i="57"/>
  <c r="R9" i="57"/>
  <c r="Z9" i="57"/>
  <c r="Y9" i="57"/>
  <c r="X9" i="57"/>
  <c r="W9" i="57"/>
  <c r="V9" i="57"/>
  <c r="U9" i="57"/>
  <c r="C12" i="57"/>
  <c r="F11" i="57"/>
  <c r="I11" i="57" s="1"/>
  <c r="L11" i="57" s="1"/>
  <c r="D11" i="57"/>
  <c r="G11" i="57" s="1"/>
  <c r="J11" i="57" s="1"/>
  <c r="E11" i="57"/>
  <c r="H11" i="57" s="1"/>
  <c r="K11" i="57" s="1"/>
  <c r="AB8" i="57"/>
  <c r="AA9" i="57"/>
  <c r="AC9" i="57" s="1"/>
  <c r="AB8" i="56"/>
  <c r="AA9" i="53"/>
  <c r="C12" i="53"/>
  <c r="D11" i="53"/>
  <c r="G11" i="53" s="1"/>
  <c r="J11" i="53" s="1"/>
  <c r="E11" i="53"/>
  <c r="H11" i="53" s="1"/>
  <c r="K11" i="53" s="1"/>
  <c r="I11" i="53"/>
  <c r="L11" i="53" s="1"/>
  <c r="Y9" i="53"/>
  <c r="X9" i="53"/>
  <c r="S9" i="53"/>
  <c r="Z9" i="53"/>
  <c r="W9" i="53"/>
  <c r="V9" i="53"/>
  <c r="U9" i="53"/>
  <c r="T9" i="53"/>
  <c r="R9" i="53"/>
  <c r="M11" i="52"/>
  <c r="P11" i="52" s="1"/>
  <c r="Q11" i="52" s="1"/>
  <c r="AA10" i="52"/>
  <c r="AC10" i="52" s="1"/>
  <c r="C13" i="52"/>
  <c r="D12" i="52"/>
  <c r="G12" i="52" s="1"/>
  <c r="J12" i="52" s="1"/>
  <c r="H12" i="52"/>
  <c r="K12" i="52" s="1"/>
  <c r="I12" i="52"/>
  <c r="L12" i="52" s="1"/>
  <c r="Y10" i="52"/>
  <c r="Z10" i="52"/>
  <c r="X10" i="52"/>
  <c r="W10" i="52"/>
  <c r="V10" i="52"/>
  <c r="S10" i="52"/>
  <c r="U10" i="52"/>
  <c r="T10" i="52"/>
  <c r="R10" i="52"/>
  <c r="M11" i="51"/>
  <c r="P11" i="51" s="1"/>
  <c r="Q11" i="51" s="1"/>
  <c r="C13" i="51"/>
  <c r="F12" i="51"/>
  <c r="I12" i="51" s="1"/>
  <c r="L12" i="51" s="1"/>
  <c r="E12" i="51"/>
  <c r="H12" i="51" s="1"/>
  <c r="K12" i="51" s="1"/>
  <c r="D12" i="51"/>
  <c r="G12" i="51" s="1"/>
  <c r="J12" i="51" s="1"/>
  <c r="AB8" i="51"/>
  <c r="W10" i="51"/>
  <c r="M11" i="50"/>
  <c r="P11" i="50" s="1"/>
  <c r="Q11" i="50" s="1"/>
  <c r="C13" i="50"/>
  <c r="D12" i="50"/>
  <c r="G12" i="50" s="1"/>
  <c r="J12" i="50" s="1"/>
  <c r="I12" i="50"/>
  <c r="L12" i="50" s="1"/>
  <c r="H12" i="50"/>
  <c r="K12" i="50" s="1"/>
  <c r="AB9" i="49"/>
  <c r="AC9" i="48"/>
  <c r="AB8" i="48"/>
  <c r="M11" i="48"/>
  <c r="P11" i="48" s="1"/>
  <c r="Q11" i="48" s="1"/>
  <c r="C13" i="48"/>
  <c r="D12" i="48"/>
  <c r="G12" i="48" s="1"/>
  <c r="J12" i="48" s="1"/>
  <c r="F12" i="48"/>
  <c r="I12" i="48" s="1"/>
  <c r="L12" i="48" s="1"/>
  <c r="E12" i="48"/>
  <c r="H12" i="48" s="1"/>
  <c r="K12" i="48" s="1"/>
  <c r="R10" i="48"/>
  <c r="T10" i="48"/>
  <c r="S10" i="48"/>
  <c r="Z10" i="48"/>
  <c r="Y10" i="48"/>
  <c r="X10" i="48"/>
  <c r="W10" i="48"/>
  <c r="V10" i="48"/>
  <c r="U10" i="48"/>
  <c r="AA10" i="48"/>
  <c r="M12" i="47"/>
  <c r="O12" i="47" s="1"/>
  <c r="C14" i="47"/>
  <c r="E13" i="47"/>
  <c r="H13" i="47" s="1"/>
  <c r="K13" i="47" s="1"/>
  <c r="D13" i="47"/>
  <c r="G13" i="47" s="1"/>
  <c r="J13" i="47" s="1"/>
  <c r="F13" i="47"/>
  <c r="I13" i="47" s="1"/>
  <c r="L13" i="47" s="1"/>
  <c r="AB10" i="45"/>
  <c r="P12" i="45"/>
  <c r="Q12" i="45" s="1"/>
  <c r="C14" i="45"/>
  <c r="D13" i="45"/>
  <c r="G13" i="45" s="1"/>
  <c r="J13" i="45" s="1"/>
  <c r="I13" i="45"/>
  <c r="L13" i="45" s="1"/>
  <c r="H13" i="45"/>
  <c r="K13" i="45" s="1"/>
  <c r="T11" i="45"/>
  <c r="R11" i="45"/>
  <c r="V11" i="45"/>
  <c r="Z11" i="45"/>
  <c r="Y11" i="45"/>
  <c r="X11" i="45"/>
  <c r="W11" i="45"/>
  <c r="S11" i="45"/>
  <c r="U11" i="45"/>
  <c r="AB8" i="45"/>
  <c r="AA11" i="45"/>
  <c r="AC11" i="45" s="1"/>
  <c r="C12" i="44"/>
  <c r="AB8" i="43"/>
  <c r="AA9" i="43"/>
  <c r="AC9" i="43" s="1"/>
  <c r="S9" i="43"/>
  <c r="R9" i="43"/>
  <c r="Z9" i="43"/>
  <c r="Y9" i="43"/>
  <c r="X9" i="43"/>
  <c r="V9" i="43"/>
  <c r="U9" i="43"/>
  <c r="T9" i="43"/>
  <c r="W9" i="43"/>
  <c r="AK2" i="4" a="1"/>
  <c r="AF3" i="4"/>
  <c r="AF4" i="4"/>
  <c r="AF5" i="4"/>
  <c r="AH3" i="4"/>
  <c r="AH4" i="4"/>
  <c r="AH5" i="4"/>
  <c r="AH2" i="4"/>
  <c r="AF2" i="4"/>
  <c r="AC3" i="4"/>
  <c r="AC4" i="4"/>
  <c r="AC5" i="4"/>
  <c r="AC6" i="4"/>
  <c r="AC7" i="4"/>
  <c r="AC8" i="4"/>
  <c r="AC9" i="4"/>
  <c r="AC10" i="4"/>
  <c r="AC11" i="4"/>
  <c r="AC12" i="4"/>
  <c r="AC13" i="4"/>
  <c r="AC14" i="4"/>
  <c r="AC15" i="4"/>
  <c r="AC16" i="4"/>
  <c r="AC17" i="4"/>
  <c r="AC18" i="4"/>
  <c r="AC19" i="4"/>
  <c r="AC20" i="4"/>
  <c r="AC21" i="4"/>
  <c r="AC22" i="4"/>
  <c r="AC23" i="4"/>
  <c r="AC24" i="4"/>
  <c r="AC25" i="4"/>
  <c r="AC26" i="4"/>
  <c r="AC2" i="4"/>
  <c r="AA3" i="4"/>
  <c r="AA4" i="4"/>
  <c r="AA5" i="4"/>
  <c r="AA6" i="4"/>
  <c r="AA7" i="4"/>
  <c r="AA8" i="4"/>
  <c r="AA9" i="4"/>
  <c r="AA10" i="4"/>
  <c r="AA11" i="4"/>
  <c r="AA12" i="4"/>
  <c r="AA13" i="4"/>
  <c r="AA14" i="4"/>
  <c r="AA15" i="4"/>
  <c r="AA16" i="4"/>
  <c r="AA17" i="4"/>
  <c r="AA18" i="4"/>
  <c r="AA19" i="4"/>
  <c r="AA20" i="4"/>
  <c r="AA21" i="4"/>
  <c r="AA22" i="4"/>
  <c r="AA23" i="4"/>
  <c r="AA24" i="4"/>
  <c r="AA25" i="4"/>
  <c r="AA26" i="4"/>
  <c r="AA2" i="4"/>
  <c r="AC9" i="49" l="1"/>
  <c r="V10" i="51"/>
  <c r="S10" i="51"/>
  <c r="AC8" i="54"/>
  <c r="AB9" i="54"/>
  <c r="M12" i="49"/>
  <c r="P12" i="49" s="1"/>
  <c r="C13" i="54"/>
  <c r="P10" i="49"/>
  <c r="Q10" i="49" s="1"/>
  <c r="AB9" i="56"/>
  <c r="P11" i="65"/>
  <c r="Q11" i="65" s="1"/>
  <c r="Z11" i="65" s="1"/>
  <c r="W9" i="51"/>
  <c r="U10" i="51"/>
  <c r="AB8" i="50"/>
  <c r="BO2" i="1" s="1"/>
  <c r="AB8" i="46"/>
  <c r="C14" i="49"/>
  <c r="D13" i="49"/>
  <c r="G13" i="49" s="1"/>
  <c r="J13" i="49" s="1"/>
  <c r="F13" i="49"/>
  <c r="I13" i="49" s="1"/>
  <c r="L13" i="49" s="1"/>
  <c r="E13" i="49"/>
  <c r="H13" i="49" s="1"/>
  <c r="K13" i="49" s="1"/>
  <c r="U9" i="51"/>
  <c r="U10" i="50"/>
  <c r="I12" i="54"/>
  <c r="L12" i="54" s="1"/>
  <c r="R10" i="50"/>
  <c r="X10" i="51"/>
  <c r="D12" i="54"/>
  <c r="G12" i="54" s="1"/>
  <c r="J12" i="54" s="1"/>
  <c r="U9" i="62"/>
  <c r="Q12" i="49"/>
  <c r="P11" i="49"/>
  <c r="AA11" i="49" s="1"/>
  <c r="V9" i="51"/>
  <c r="O10" i="62"/>
  <c r="AA9" i="51"/>
  <c r="AB9" i="51" s="1"/>
  <c r="N10" i="54"/>
  <c r="O10" i="54" s="1"/>
  <c r="U9" i="60"/>
  <c r="T9" i="51"/>
  <c r="R9" i="62"/>
  <c r="AB8" i="59"/>
  <c r="S9" i="62"/>
  <c r="AA9" i="62"/>
  <c r="AC9" i="62" s="1"/>
  <c r="Q9" i="50"/>
  <c r="AA9" i="50"/>
  <c r="AB9" i="50" s="1"/>
  <c r="M11" i="54"/>
  <c r="P11" i="54" s="1"/>
  <c r="Q11" i="54" s="1"/>
  <c r="X11" i="54" s="1"/>
  <c r="X9" i="51"/>
  <c r="V9" i="60"/>
  <c r="V10" i="50"/>
  <c r="X9" i="60"/>
  <c r="AA9" i="60"/>
  <c r="AC9" i="60" s="1"/>
  <c r="W10" i="50"/>
  <c r="Y10" i="51"/>
  <c r="AC9" i="53"/>
  <c r="Y9" i="60"/>
  <c r="X10" i="50"/>
  <c r="R10" i="51"/>
  <c r="R9" i="60"/>
  <c r="Y10" i="50"/>
  <c r="T10" i="51"/>
  <c r="S9" i="60"/>
  <c r="Z9" i="51"/>
  <c r="R9" i="51"/>
  <c r="S9" i="51"/>
  <c r="AA10" i="50"/>
  <c r="AC10" i="50" s="1"/>
  <c r="W9" i="60"/>
  <c r="Z10" i="50"/>
  <c r="S10" i="50"/>
  <c r="AA10" i="51"/>
  <c r="AC10" i="51" s="1"/>
  <c r="W10" i="54"/>
  <c r="R10" i="54"/>
  <c r="X10" i="54"/>
  <c r="Y10" i="54"/>
  <c r="T10" i="54"/>
  <c r="S10" i="54"/>
  <c r="X11" i="47"/>
  <c r="Z11" i="47"/>
  <c r="S11" i="47"/>
  <c r="U11" i="47"/>
  <c r="W11" i="47"/>
  <c r="P9" i="46"/>
  <c r="O9" i="46"/>
  <c r="Z10" i="54"/>
  <c r="AA10" i="54"/>
  <c r="AB8" i="52"/>
  <c r="U10" i="54"/>
  <c r="AC10" i="48"/>
  <c r="AA9" i="63"/>
  <c r="AC9" i="63" s="1"/>
  <c r="AC9" i="54"/>
  <c r="Y9" i="63"/>
  <c r="Z9" i="63"/>
  <c r="Z9" i="60"/>
  <c r="AC9" i="55"/>
  <c r="S9" i="63"/>
  <c r="P10" i="43"/>
  <c r="AA10" i="43" s="1"/>
  <c r="V9" i="62"/>
  <c r="T9" i="63"/>
  <c r="AB9" i="65"/>
  <c r="R9" i="63"/>
  <c r="W9" i="62"/>
  <c r="U9" i="63"/>
  <c r="X9" i="62"/>
  <c r="W9" i="63"/>
  <c r="Z9" i="62"/>
  <c r="X9" i="63"/>
  <c r="M11" i="56"/>
  <c r="P11" i="56" s="1"/>
  <c r="Q11" i="56" s="1"/>
  <c r="V10" i="54"/>
  <c r="R11" i="47"/>
  <c r="AB9" i="55"/>
  <c r="Y9" i="62"/>
  <c r="Z10" i="65"/>
  <c r="AB9" i="47"/>
  <c r="R9" i="59"/>
  <c r="V9" i="64"/>
  <c r="AB8" i="53"/>
  <c r="P10" i="56"/>
  <c r="Q10" i="56" s="1"/>
  <c r="O10" i="56"/>
  <c r="M11" i="43"/>
  <c r="P11" i="43" s="1"/>
  <c r="Q11" i="43" s="1"/>
  <c r="AB8" i="58"/>
  <c r="D12" i="56"/>
  <c r="G12" i="56" s="1"/>
  <c r="J12" i="56" s="1"/>
  <c r="I12" i="56"/>
  <c r="L12" i="56" s="1"/>
  <c r="C13" i="56"/>
  <c r="E12" i="56"/>
  <c r="H12" i="56" s="1"/>
  <c r="K12" i="56" s="1"/>
  <c r="D12" i="43"/>
  <c r="G12" i="43" s="1"/>
  <c r="J12" i="43" s="1"/>
  <c r="H12" i="43"/>
  <c r="K12" i="43" s="1"/>
  <c r="C13" i="43"/>
  <c r="F12" i="43"/>
  <c r="I12" i="43" s="1"/>
  <c r="L12" i="43" s="1"/>
  <c r="T11" i="47"/>
  <c r="M10" i="46"/>
  <c r="P10" i="55"/>
  <c r="Q10" i="55" s="1"/>
  <c r="N10" i="55"/>
  <c r="I11" i="46"/>
  <c r="L11" i="46" s="1"/>
  <c r="H11" i="46"/>
  <c r="K11" i="46" s="1"/>
  <c r="D11" i="46"/>
  <c r="G11" i="46" s="1"/>
  <c r="J11" i="46" s="1"/>
  <c r="C12" i="46"/>
  <c r="I12" i="55"/>
  <c r="L12" i="55" s="1"/>
  <c r="C13" i="55"/>
  <c r="D12" i="55"/>
  <c r="G12" i="55" s="1"/>
  <c r="J12" i="55" s="1"/>
  <c r="E12" i="55"/>
  <c r="H12" i="55" s="1"/>
  <c r="K12" i="55" s="1"/>
  <c r="Y11" i="47"/>
  <c r="Y9" i="64"/>
  <c r="AA11" i="47"/>
  <c r="AC11" i="47" s="1"/>
  <c r="M11" i="55"/>
  <c r="X9" i="64"/>
  <c r="N10" i="53"/>
  <c r="O10" i="53" s="1"/>
  <c r="W9" i="59"/>
  <c r="Y9" i="59"/>
  <c r="U9" i="59"/>
  <c r="Y10" i="65"/>
  <c r="AC8" i="64"/>
  <c r="T10" i="65"/>
  <c r="R9" i="64"/>
  <c r="AA9" i="64"/>
  <c r="AC9" i="64" s="1"/>
  <c r="U9" i="64"/>
  <c r="N11" i="48"/>
  <c r="O11" i="48" s="1"/>
  <c r="P10" i="57"/>
  <c r="Q10" i="57" s="1"/>
  <c r="Z10" i="57" s="1"/>
  <c r="M11" i="58"/>
  <c r="P11" i="58" s="1"/>
  <c r="Q11" i="58" s="1"/>
  <c r="V10" i="65"/>
  <c r="M13" i="45"/>
  <c r="P13" i="45" s="1"/>
  <c r="Q13" i="45" s="1"/>
  <c r="O11" i="52"/>
  <c r="W9" i="64"/>
  <c r="W10" i="65"/>
  <c r="X10" i="65"/>
  <c r="AB10" i="52"/>
  <c r="Z9" i="64"/>
  <c r="U10" i="65"/>
  <c r="AC9" i="58"/>
  <c r="S9" i="64"/>
  <c r="R10" i="65"/>
  <c r="AB9" i="53"/>
  <c r="X9" i="59"/>
  <c r="N10" i="64"/>
  <c r="O10" i="64" s="1"/>
  <c r="Z9" i="59"/>
  <c r="AA9" i="59"/>
  <c r="AC9" i="59" s="1"/>
  <c r="S9" i="59"/>
  <c r="AA10" i="65"/>
  <c r="AC10" i="65" s="1"/>
  <c r="T9" i="59"/>
  <c r="N11" i="51"/>
  <c r="O11" i="51" s="1"/>
  <c r="M11" i="64"/>
  <c r="P11" i="64" s="1"/>
  <c r="Q11" i="64" s="1"/>
  <c r="M11" i="57"/>
  <c r="O11" i="57" s="1"/>
  <c r="M11" i="62"/>
  <c r="O11" i="62" s="1"/>
  <c r="P10" i="59"/>
  <c r="Q10" i="59" s="1"/>
  <c r="W10" i="59" s="1"/>
  <c r="N10" i="60"/>
  <c r="O10" i="60" s="1"/>
  <c r="P10" i="60"/>
  <c r="Q10" i="60" s="1"/>
  <c r="U10" i="60" s="1"/>
  <c r="M13" i="47"/>
  <c r="P13" i="47" s="1"/>
  <c r="Q13" i="47" s="1"/>
  <c r="AB8" i="65"/>
  <c r="O11" i="50"/>
  <c r="N10" i="58"/>
  <c r="O10" i="58" s="1"/>
  <c r="O10" i="63"/>
  <c r="AA11" i="65"/>
  <c r="AC11" i="65" s="1"/>
  <c r="M12" i="65"/>
  <c r="O12" i="65" s="1"/>
  <c r="C14" i="65"/>
  <c r="I13" i="65"/>
  <c r="L13" i="65" s="1"/>
  <c r="G13" i="65"/>
  <c r="J13" i="65" s="1"/>
  <c r="H13" i="65"/>
  <c r="K13" i="65" s="1"/>
  <c r="T11" i="65"/>
  <c r="C13" i="64"/>
  <c r="D12" i="64"/>
  <c r="G12" i="64" s="1"/>
  <c r="J12" i="64" s="1"/>
  <c r="E12" i="64"/>
  <c r="H12" i="64" s="1"/>
  <c r="K12" i="64" s="1"/>
  <c r="F12" i="64"/>
  <c r="I12" i="64" s="1"/>
  <c r="L12" i="64" s="1"/>
  <c r="Z10" i="64"/>
  <c r="R10" i="64"/>
  <c r="Y10" i="64"/>
  <c r="X10" i="64"/>
  <c r="W10" i="64"/>
  <c r="U10" i="64"/>
  <c r="T10" i="64"/>
  <c r="V10" i="64"/>
  <c r="S10" i="64"/>
  <c r="AA10" i="64"/>
  <c r="M11" i="63"/>
  <c r="O11" i="63" s="1"/>
  <c r="C13" i="63"/>
  <c r="F12" i="63"/>
  <c r="I12" i="63" s="1"/>
  <c r="L12" i="63" s="1"/>
  <c r="D12" i="63"/>
  <c r="G12" i="63" s="1"/>
  <c r="J12" i="63" s="1"/>
  <c r="H12" i="63"/>
  <c r="K12" i="63" s="1"/>
  <c r="Z10" i="63"/>
  <c r="U10" i="63"/>
  <c r="T10" i="63"/>
  <c r="S10" i="63"/>
  <c r="R10" i="63"/>
  <c r="Y10" i="63"/>
  <c r="X10" i="63"/>
  <c r="W10" i="63"/>
  <c r="V10" i="63"/>
  <c r="AA10" i="63"/>
  <c r="AC10" i="63" s="1"/>
  <c r="C13" i="62"/>
  <c r="D12" i="62"/>
  <c r="G12" i="62" s="1"/>
  <c r="J12" i="62" s="1"/>
  <c r="I12" i="62"/>
  <c r="L12" i="62" s="1"/>
  <c r="H12" i="62"/>
  <c r="K12" i="62" s="1"/>
  <c r="Y10" i="62"/>
  <c r="W10" i="62"/>
  <c r="V10" i="62"/>
  <c r="U10" i="62"/>
  <c r="T10" i="62"/>
  <c r="S10" i="62"/>
  <c r="R10" i="62"/>
  <c r="Z10" i="62"/>
  <c r="X10" i="62"/>
  <c r="AB9" i="62"/>
  <c r="AA10" i="62"/>
  <c r="AC10" i="62" s="1"/>
  <c r="M11" i="61"/>
  <c r="C13" i="61"/>
  <c r="F12" i="61"/>
  <c r="L12" i="61" s="1"/>
  <c r="D12" i="61"/>
  <c r="E12" i="61"/>
  <c r="K12" i="61" s="1"/>
  <c r="M11" i="60"/>
  <c r="N11" i="60" s="1"/>
  <c r="C13" i="60"/>
  <c r="D12" i="60"/>
  <c r="G12" i="60" s="1"/>
  <c r="J12" i="60" s="1"/>
  <c r="E12" i="60"/>
  <c r="H12" i="60" s="1"/>
  <c r="K12" i="60" s="1"/>
  <c r="I12" i="60"/>
  <c r="L12" i="60" s="1"/>
  <c r="M11" i="59"/>
  <c r="P11" i="59" s="1"/>
  <c r="Q11" i="59" s="1"/>
  <c r="C13" i="59"/>
  <c r="D12" i="59"/>
  <c r="G12" i="59" s="1"/>
  <c r="J12" i="59" s="1"/>
  <c r="E12" i="59"/>
  <c r="H12" i="59" s="1"/>
  <c r="K12" i="59" s="1"/>
  <c r="I12" i="59"/>
  <c r="L12" i="59" s="1"/>
  <c r="O10" i="59"/>
  <c r="Q10" i="58"/>
  <c r="T10" i="58" s="1"/>
  <c r="AA10" i="58"/>
  <c r="C13" i="58"/>
  <c r="E12" i="58"/>
  <c r="H12" i="58" s="1"/>
  <c r="K12" i="58" s="1"/>
  <c r="D12" i="58"/>
  <c r="G12" i="58" s="1"/>
  <c r="J12" i="58" s="1"/>
  <c r="I12" i="58"/>
  <c r="L12" i="58" s="1"/>
  <c r="AB9" i="58"/>
  <c r="C13" i="57"/>
  <c r="E12" i="57"/>
  <c r="H12" i="57" s="1"/>
  <c r="K12" i="57" s="1"/>
  <c r="D12" i="57"/>
  <c r="G12" i="57" s="1"/>
  <c r="J12" i="57" s="1"/>
  <c r="F12" i="57"/>
  <c r="I12" i="57" s="1"/>
  <c r="L12" i="57" s="1"/>
  <c r="AB9" i="57"/>
  <c r="C14" i="54"/>
  <c r="E13" i="54"/>
  <c r="H13" i="54" s="1"/>
  <c r="K13" i="54" s="1"/>
  <c r="D13" i="54"/>
  <c r="G13" i="54" s="1"/>
  <c r="J13" i="54" s="1"/>
  <c r="I13" i="54"/>
  <c r="L13" i="54" s="1"/>
  <c r="M11" i="53"/>
  <c r="P11" i="53" s="1"/>
  <c r="Q11" i="53" s="1"/>
  <c r="C13" i="53"/>
  <c r="I12" i="53"/>
  <c r="L12" i="53" s="1"/>
  <c r="E12" i="53"/>
  <c r="H12" i="53" s="1"/>
  <c r="K12" i="53" s="1"/>
  <c r="D12" i="53"/>
  <c r="G12" i="53" s="1"/>
  <c r="J12" i="53" s="1"/>
  <c r="AA10" i="53"/>
  <c r="Z10" i="53"/>
  <c r="S10" i="53"/>
  <c r="R10" i="53"/>
  <c r="W10" i="53"/>
  <c r="U10" i="53"/>
  <c r="T10" i="53"/>
  <c r="Y10" i="53"/>
  <c r="X10" i="53"/>
  <c r="V10" i="53"/>
  <c r="M12" i="52"/>
  <c r="O12" i="52" s="1"/>
  <c r="C14" i="52"/>
  <c r="D13" i="52"/>
  <c r="G13" i="52" s="1"/>
  <c r="J13" i="52" s="1"/>
  <c r="H13" i="52"/>
  <c r="K13" i="52" s="1"/>
  <c r="I13" i="52"/>
  <c r="L13" i="52" s="1"/>
  <c r="S11" i="52"/>
  <c r="Y11" i="52"/>
  <c r="X11" i="52"/>
  <c r="W11" i="52"/>
  <c r="V11" i="52"/>
  <c r="U11" i="52"/>
  <c r="T11" i="52"/>
  <c r="Z11" i="52"/>
  <c r="R11" i="52"/>
  <c r="AA11" i="52"/>
  <c r="AC11" i="52" s="1"/>
  <c r="M12" i="51"/>
  <c r="P12" i="51" s="1"/>
  <c r="Q12" i="51" s="1"/>
  <c r="C14" i="51"/>
  <c r="E13" i="51"/>
  <c r="H13" i="51" s="1"/>
  <c r="K13" i="51" s="1"/>
  <c r="F13" i="51"/>
  <c r="I13" i="51" s="1"/>
  <c r="L13" i="51" s="1"/>
  <c r="D13" i="51"/>
  <c r="G13" i="51" s="1"/>
  <c r="J13" i="51" s="1"/>
  <c r="AA11" i="51"/>
  <c r="T11" i="51"/>
  <c r="R11" i="51"/>
  <c r="Z11" i="51"/>
  <c r="Y11" i="51"/>
  <c r="W11" i="51"/>
  <c r="V11" i="51"/>
  <c r="U11" i="51"/>
  <c r="S11" i="51"/>
  <c r="X11" i="51"/>
  <c r="M12" i="50"/>
  <c r="O12" i="50" s="1"/>
  <c r="C14" i="50"/>
  <c r="D13" i="50"/>
  <c r="G13" i="50" s="1"/>
  <c r="J13" i="50" s="1"/>
  <c r="I13" i="50"/>
  <c r="L13" i="50" s="1"/>
  <c r="H13" i="50"/>
  <c r="K13" i="50" s="1"/>
  <c r="V11" i="50"/>
  <c r="R11" i="50"/>
  <c r="Z11" i="50"/>
  <c r="Y11" i="50"/>
  <c r="X11" i="50"/>
  <c r="W11" i="50"/>
  <c r="U11" i="50"/>
  <c r="T11" i="50"/>
  <c r="S11" i="50"/>
  <c r="AA11" i="50"/>
  <c r="AC11" i="50" s="1"/>
  <c r="M12" i="48"/>
  <c r="N12" i="48" s="1"/>
  <c r="AB10" i="48"/>
  <c r="C14" i="48"/>
  <c r="E13" i="48"/>
  <c r="H13" i="48" s="1"/>
  <c r="K13" i="48" s="1"/>
  <c r="F13" i="48"/>
  <c r="I13" i="48" s="1"/>
  <c r="L13" i="48" s="1"/>
  <c r="D13" i="48"/>
  <c r="G13" i="48" s="1"/>
  <c r="J13" i="48" s="1"/>
  <c r="V11" i="48"/>
  <c r="Z11" i="48"/>
  <c r="Y11" i="48"/>
  <c r="X11" i="48"/>
  <c r="W11" i="48"/>
  <c r="U11" i="48"/>
  <c r="T11" i="48"/>
  <c r="S11" i="48"/>
  <c r="R11" i="48"/>
  <c r="AA11" i="48"/>
  <c r="P12" i="47"/>
  <c r="Q12" i="47" s="1"/>
  <c r="Z12" i="47" s="1"/>
  <c r="C15" i="47"/>
  <c r="E14" i="47"/>
  <c r="H14" i="47" s="1"/>
  <c r="K14" i="47" s="1"/>
  <c r="F14" i="47"/>
  <c r="I14" i="47" s="1"/>
  <c r="L14" i="47" s="1"/>
  <c r="D14" i="47"/>
  <c r="G14" i="47" s="1"/>
  <c r="J14" i="47" s="1"/>
  <c r="AB11" i="45"/>
  <c r="X12" i="45"/>
  <c r="S12" i="45"/>
  <c r="W12" i="45"/>
  <c r="V12" i="45"/>
  <c r="U12" i="45"/>
  <c r="T12" i="45"/>
  <c r="R12" i="45"/>
  <c r="Y12" i="45"/>
  <c r="Z12" i="45"/>
  <c r="C15" i="45"/>
  <c r="D14" i="45"/>
  <c r="G14" i="45" s="1"/>
  <c r="J14" i="45" s="1"/>
  <c r="I14" i="45"/>
  <c r="L14" i="45" s="1"/>
  <c r="H14" i="45"/>
  <c r="K14" i="45" s="1"/>
  <c r="AA12" i="45"/>
  <c r="AC12" i="45" s="1"/>
  <c r="C13" i="44"/>
  <c r="AB9" i="43"/>
  <c r="AH6" i="4"/>
  <c r="AI4" i="4" s="1"/>
  <c r="AC1" i="4"/>
  <c r="AA1" i="4"/>
  <c r="AF6" i="4"/>
  <c r="AG2" i="4" s="1"/>
  <c r="AK2" i="4"/>
  <c r="AM12" i="4"/>
  <c r="AM22" i="4"/>
  <c r="AL6" i="4"/>
  <c r="AL16" i="4"/>
  <c r="AM13" i="4"/>
  <c r="AM23" i="4"/>
  <c r="AL7" i="4"/>
  <c r="AM3" i="4"/>
  <c r="AM4" i="4"/>
  <c r="AM14" i="4"/>
  <c r="AM24" i="4"/>
  <c r="AL8" i="4"/>
  <c r="AL18" i="4"/>
  <c r="AL19" i="4"/>
  <c r="AL20" i="4"/>
  <c r="AM9" i="4"/>
  <c r="AM19" i="4"/>
  <c r="AL4" i="4"/>
  <c r="AL24" i="4"/>
  <c r="AL5" i="4"/>
  <c r="AM5" i="4"/>
  <c r="AM15" i="4"/>
  <c r="AL9" i="4"/>
  <c r="AM6" i="4"/>
  <c r="AM16" i="4"/>
  <c r="AL10" i="4"/>
  <c r="AM7" i="4"/>
  <c r="AM17" i="4"/>
  <c r="AL11" i="4"/>
  <c r="AL21" i="4"/>
  <c r="AL12" i="4"/>
  <c r="AL3" i="4"/>
  <c r="AL13" i="4"/>
  <c r="AL23" i="4"/>
  <c r="AM20" i="4"/>
  <c r="AL14" i="4"/>
  <c r="AL17" i="4"/>
  <c r="AM8" i="4"/>
  <c r="AM18" i="4"/>
  <c r="AL22" i="4"/>
  <c r="AM10" i="4"/>
  <c r="AM11" i="4"/>
  <c r="AM21" i="4"/>
  <c r="AL15" i="4"/>
  <c r="S3" i="4"/>
  <c r="S4" i="4"/>
  <c r="S5" i="4"/>
  <c r="S6" i="4"/>
  <c r="S7" i="4"/>
  <c r="S8" i="4"/>
  <c r="S9" i="4"/>
  <c r="S10" i="4"/>
  <c r="S11" i="4"/>
  <c r="S12" i="4"/>
  <c r="S13" i="4"/>
  <c r="S14" i="4"/>
  <c r="S15" i="4"/>
  <c r="S16" i="4"/>
  <c r="S17" i="4"/>
  <c r="S18" i="4"/>
  <c r="S19" i="4"/>
  <c r="S20" i="4"/>
  <c r="S21" i="4"/>
  <c r="S22" i="4"/>
  <c r="S23" i="4"/>
  <c r="S24" i="4"/>
  <c r="S25" i="4"/>
  <c r="S26" i="4"/>
  <c r="S2" i="4"/>
  <c r="AG3" i="4" l="1"/>
  <c r="AI3" i="4"/>
  <c r="AI2" i="4"/>
  <c r="U11" i="65"/>
  <c r="V11" i="65"/>
  <c r="S11" i="65"/>
  <c r="CG2" i="1"/>
  <c r="EI5" i="1"/>
  <c r="EI15" i="1"/>
  <c r="EI25" i="1"/>
  <c r="EI6" i="1"/>
  <c r="EI26" i="1"/>
  <c r="EI16" i="1"/>
  <c r="EI7" i="1"/>
  <c r="EI27" i="1"/>
  <c r="EI2" i="1"/>
  <c r="EI19" i="1"/>
  <c r="EI17" i="1"/>
  <c r="EI18" i="1"/>
  <c r="EI8" i="1"/>
  <c r="EI9" i="1"/>
  <c r="EI12" i="1"/>
  <c r="EI22" i="1"/>
  <c r="EI3" i="1"/>
  <c r="EI13" i="1"/>
  <c r="EI23" i="1"/>
  <c r="EI24" i="1"/>
  <c r="EI4" i="1"/>
  <c r="EI11" i="1"/>
  <c r="EI20" i="1"/>
  <c r="EI10" i="1"/>
  <c r="EI21" i="1"/>
  <c r="EI14" i="1"/>
  <c r="Y11" i="54"/>
  <c r="AB10" i="50"/>
  <c r="W11" i="65"/>
  <c r="Z11" i="54"/>
  <c r="T11" i="54"/>
  <c r="AA12" i="49"/>
  <c r="R11" i="65"/>
  <c r="M12" i="54"/>
  <c r="P12" i="54" s="1"/>
  <c r="Q12" i="54" s="1"/>
  <c r="R12" i="54" s="1"/>
  <c r="S11" i="54"/>
  <c r="X11" i="65"/>
  <c r="U11" i="54"/>
  <c r="Y11" i="65"/>
  <c r="AB10" i="51"/>
  <c r="W11" i="54"/>
  <c r="AA10" i="49"/>
  <c r="AC10" i="49" s="1"/>
  <c r="N12" i="49"/>
  <c r="O12" i="49" s="1"/>
  <c r="AB12" i="49" s="1"/>
  <c r="AA11" i="54"/>
  <c r="AC9" i="51"/>
  <c r="R11" i="54"/>
  <c r="N11" i="54"/>
  <c r="O11" i="54" s="1"/>
  <c r="V11" i="54"/>
  <c r="M13" i="49"/>
  <c r="C15" i="49"/>
  <c r="F14" i="49"/>
  <c r="I14" i="49" s="1"/>
  <c r="L14" i="49" s="1"/>
  <c r="D14" i="49"/>
  <c r="G14" i="49" s="1"/>
  <c r="J14" i="49" s="1"/>
  <c r="E14" i="49"/>
  <c r="H14" i="49" s="1"/>
  <c r="K14" i="49" s="1"/>
  <c r="Q11" i="49"/>
  <c r="T11" i="49" s="1"/>
  <c r="Z12" i="49"/>
  <c r="S12" i="49"/>
  <c r="V12" i="49"/>
  <c r="Y12" i="49"/>
  <c r="T12" i="49"/>
  <c r="R12" i="49"/>
  <c r="U12" i="49"/>
  <c r="X12" i="49"/>
  <c r="W12" i="49"/>
  <c r="O13" i="47"/>
  <c r="AB9" i="63"/>
  <c r="V10" i="57"/>
  <c r="BN2" i="1"/>
  <c r="AC10" i="54"/>
  <c r="AB11" i="49"/>
  <c r="AC11" i="49"/>
  <c r="W10" i="57"/>
  <c r="AB10" i="54"/>
  <c r="X10" i="57"/>
  <c r="AA10" i="57"/>
  <c r="AC10" i="57" s="1"/>
  <c r="Y10" i="57"/>
  <c r="T10" i="57"/>
  <c r="Q10" i="43"/>
  <c r="V10" i="43" s="1"/>
  <c r="O13" i="45"/>
  <c r="AC9" i="50"/>
  <c r="BO3" i="1"/>
  <c r="CG3" i="1" s="1"/>
  <c r="Z9" i="50"/>
  <c r="Y9" i="50"/>
  <c r="X9" i="50"/>
  <c r="W9" i="50"/>
  <c r="V9" i="50"/>
  <c r="U9" i="50"/>
  <c r="T9" i="50"/>
  <c r="S9" i="50"/>
  <c r="R9" i="50"/>
  <c r="AB9" i="60"/>
  <c r="AB10" i="53"/>
  <c r="AI5" i="4"/>
  <c r="AC11" i="48"/>
  <c r="U10" i="57"/>
  <c r="O11" i="56"/>
  <c r="Q9" i="46"/>
  <c r="AA9" i="46"/>
  <c r="AC9" i="46" s="1"/>
  <c r="Z10" i="59"/>
  <c r="P11" i="57"/>
  <c r="Q11" i="57" s="1"/>
  <c r="S11" i="57" s="1"/>
  <c r="S10" i="57"/>
  <c r="AA10" i="56"/>
  <c r="AC10" i="56" s="1"/>
  <c r="S10" i="59"/>
  <c r="X10" i="59"/>
  <c r="T10" i="49"/>
  <c r="S10" i="49"/>
  <c r="W10" i="49"/>
  <c r="R10" i="49"/>
  <c r="Y10" i="49"/>
  <c r="X10" i="49"/>
  <c r="V10" i="49"/>
  <c r="Z10" i="49"/>
  <c r="U10" i="49"/>
  <c r="AC10" i="64"/>
  <c r="R10" i="57"/>
  <c r="AC10" i="43"/>
  <c r="AB10" i="43"/>
  <c r="O11" i="43"/>
  <c r="AB11" i="47"/>
  <c r="N11" i="58"/>
  <c r="O11" i="58" s="1"/>
  <c r="N11" i="64"/>
  <c r="O11" i="64" s="1"/>
  <c r="U10" i="56"/>
  <c r="X10" i="56"/>
  <c r="W10" i="56"/>
  <c r="V10" i="56"/>
  <c r="T10" i="56"/>
  <c r="Y10" i="56"/>
  <c r="Z10" i="56"/>
  <c r="R10" i="56"/>
  <c r="S10" i="56"/>
  <c r="AA10" i="55"/>
  <c r="AC10" i="55" s="1"/>
  <c r="M12" i="56"/>
  <c r="P12" i="56" s="1"/>
  <c r="Q12" i="56" s="1"/>
  <c r="R11" i="56"/>
  <c r="U11" i="56"/>
  <c r="Z11" i="56"/>
  <c r="Y11" i="56"/>
  <c r="X11" i="56"/>
  <c r="W11" i="56"/>
  <c r="V11" i="56"/>
  <c r="T11" i="56"/>
  <c r="S11" i="56"/>
  <c r="AC10" i="58"/>
  <c r="O10" i="55"/>
  <c r="AC11" i="51"/>
  <c r="I13" i="56"/>
  <c r="L13" i="56" s="1"/>
  <c r="C14" i="56"/>
  <c r="D13" i="56"/>
  <c r="G13" i="56" s="1"/>
  <c r="J13" i="56" s="1"/>
  <c r="E13" i="56"/>
  <c r="H13" i="56" s="1"/>
  <c r="K13" i="56" s="1"/>
  <c r="M12" i="55"/>
  <c r="S10" i="55"/>
  <c r="W10" i="55"/>
  <c r="R10" i="55"/>
  <c r="Y10" i="55"/>
  <c r="Z10" i="55"/>
  <c r="X10" i="55"/>
  <c r="V10" i="55"/>
  <c r="U10" i="55"/>
  <c r="T10" i="55"/>
  <c r="E13" i="55"/>
  <c r="H13" i="55" s="1"/>
  <c r="K13" i="55" s="1"/>
  <c r="I13" i="55"/>
  <c r="L13" i="55" s="1"/>
  <c r="C14" i="55"/>
  <c r="D13" i="55"/>
  <c r="G13" i="55" s="1"/>
  <c r="J13" i="55" s="1"/>
  <c r="O10" i="46"/>
  <c r="P10" i="46"/>
  <c r="Q10" i="46" s="1"/>
  <c r="AB9" i="64"/>
  <c r="P11" i="55"/>
  <c r="Q11" i="55" s="1"/>
  <c r="N11" i="55"/>
  <c r="O11" i="55" s="1"/>
  <c r="AA11" i="43"/>
  <c r="AC11" i="43" s="1"/>
  <c r="AA11" i="56"/>
  <c r="AC11" i="56" s="1"/>
  <c r="C13" i="46"/>
  <c r="I12" i="46"/>
  <c r="L12" i="46" s="1"/>
  <c r="D12" i="46"/>
  <c r="G12" i="46" s="1"/>
  <c r="J12" i="46" s="1"/>
  <c r="H12" i="46"/>
  <c r="K12" i="46" s="1"/>
  <c r="M12" i="43"/>
  <c r="M11" i="46"/>
  <c r="H13" i="43"/>
  <c r="K13" i="43" s="1"/>
  <c r="F13" i="43"/>
  <c r="I13" i="43" s="1"/>
  <c r="L13" i="43" s="1"/>
  <c r="D13" i="43"/>
  <c r="G13" i="43" s="1"/>
  <c r="J13" i="43" s="1"/>
  <c r="C14" i="43"/>
  <c r="V11" i="43"/>
  <c r="T11" i="43"/>
  <c r="Y11" i="43"/>
  <c r="S11" i="43"/>
  <c r="Z11" i="43"/>
  <c r="R11" i="43"/>
  <c r="X11" i="43"/>
  <c r="W11" i="43"/>
  <c r="U11" i="43"/>
  <c r="X12" i="47"/>
  <c r="P11" i="62"/>
  <c r="Q11" i="62" s="1"/>
  <c r="Z11" i="62" s="1"/>
  <c r="Y10" i="60"/>
  <c r="T10" i="60"/>
  <c r="X10" i="58"/>
  <c r="P11" i="60"/>
  <c r="Q11" i="60" s="1"/>
  <c r="Z11" i="60" s="1"/>
  <c r="P12" i="50"/>
  <c r="Q12" i="50" s="1"/>
  <c r="W12" i="50" s="1"/>
  <c r="R10" i="58"/>
  <c r="Y10" i="59"/>
  <c r="W10" i="58"/>
  <c r="AA10" i="59"/>
  <c r="AC10" i="59" s="1"/>
  <c r="Z10" i="60"/>
  <c r="R10" i="59"/>
  <c r="R10" i="60"/>
  <c r="T10" i="59"/>
  <c r="X10" i="60"/>
  <c r="AB10" i="65"/>
  <c r="U10" i="59"/>
  <c r="V10" i="59"/>
  <c r="M12" i="53"/>
  <c r="P12" i="53" s="1"/>
  <c r="Q12" i="53" s="1"/>
  <c r="Z10" i="58"/>
  <c r="AB9" i="59"/>
  <c r="S10" i="60"/>
  <c r="N12" i="51"/>
  <c r="O12" i="51" s="1"/>
  <c r="P12" i="48"/>
  <c r="Q12" i="48" s="1"/>
  <c r="U12" i="48" s="1"/>
  <c r="M12" i="64"/>
  <c r="N12" i="64" s="1"/>
  <c r="P12" i="65"/>
  <c r="Q12" i="65" s="1"/>
  <c r="Z12" i="65" s="1"/>
  <c r="S10" i="58"/>
  <c r="Y10" i="58"/>
  <c r="U10" i="58"/>
  <c r="V10" i="60"/>
  <c r="P11" i="63"/>
  <c r="Q11" i="63" s="1"/>
  <c r="T11" i="63" s="1"/>
  <c r="V10" i="58"/>
  <c r="W10" i="60"/>
  <c r="T12" i="47"/>
  <c r="N11" i="59"/>
  <c r="O11" i="59" s="1"/>
  <c r="AA12" i="47"/>
  <c r="AC12" i="47" s="1"/>
  <c r="P12" i="52"/>
  <c r="Q12" i="52" s="1"/>
  <c r="U12" i="52" s="1"/>
  <c r="R12" i="47"/>
  <c r="AA10" i="60"/>
  <c r="AC10" i="60" s="1"/>
  <c r="S12" i="47"/>
  <c r="W12" i="47"/>
  <c r="M14" i="47"/>
  <c r="O14" i="47" s="1"/>
  <c r="Y12" i="47"/>
  <c r="N11" i="53"/>
  <c r="O11" i="53" s="1"/>
  <c r="U12" i="47"/>
  <c r="AB10" i="58"/>
  <c r="M12" i="63"/>
  <c r="O12" i="63" s="1"/>
  <c r="V12" i="47"/>
  <c r="M13" i="51"/>
  <c r="N13" i="51" s="1"/>
  <c r="M13" i="65"/>
  <c r="P13" i="65" s="1"/>
  <c r="Q13" i="65" s="1"/>
  <c r="AB11" i="65"/>
  <c r="C15" i="65"/>
  <c r="H14" i="65"/>
  <c r="K14" i="65" s="1"/>
  <c r="G14" i="65"/>
  <c r="J14" i="65" s="1"/>
  <c r="I14" i="65"/>
  <c r="L14" i="65" s="1"/>
  <c r="AA11" i="64"/>
  <c r="T11" i="64"/>
  <c r="Z11" i="64"/>
  <c r="Y11" i="64"/>
  <c r="X11" i="64"/>
  <c r="W11" i="64"/>
  <c r="V11" i="64"/>
  <c r="U11" i="64"/>
  <c r="R11" i="64"/>
  <c r="S11" i="64"/>
  <c r="C14" i="64"/>
  <c r="F13" i="64"/>
  <c r="I13" i="64" s="1"/>
  <c r="L13" i="64" s="1"/>
  <c r="D13" i="64"/>
  <c r="G13" i="64" s="1"/>
  <c r="J13" i="64" s="1"/>
  <c r="E13" i="64"/>
  <c r="H13" i="64" s="1"/>
  <c r="K13" i="64" s="1"/>
  <c r="AB10" i="64"/>
  <c r="AB10" i="63"/>
  <c r="C14" i="63"/>
  <c r="D13" i="63"/>
  <c r="G13" i="63" s="1"/>
  <c r="J13" i="63" s="1"/>
  <c r="F13" i="63"/>
  <c r="I13" i="63" s="1"/>
  <c r="L13" i="63" s="1"/>
  <c r="H13" i="63"/>
  <c r="K13" i="63" s="1"/>
  <c r="AB10" i="62"/>
  <c r="M12" i="62"/>
  <c r="C14" i="62"/>
  <c r="D13" i="62"/>
  <c r="G13" i="62" s="1"/>
  <c r="J13" i="62" s="1"/>
  <c r="I13" i="62"/>
  <c r="L13" i="62" s="1"/>
  <c r="H13" i="62"/>
  <c r="K13" i="62" s="1"/>
  <c r="M12" i="61"/>
  <c r="C14" i="61"/>
  <c r="E13" i="61"/>
  <c r="K13" i="61" s="1"/>
  <c r="F13" i="61"/>
  <c r="L13" i="61" s="1"/>
  <c r="D13" i="61"/>
  <c r="M12" i="60"/>
  <c r="P12" i="60" s="1"/>
  <c r="Q12" i="60" s="1"/>
  <c r="C14" i="60"/>
  <c r="E13" i="60"/>
  <c r="H13" i="60" s="1"/>
  <c r="K13" i="60" s="1"/>
  <c r="D13" i="60"/>
  <c r="G13" i="60" s="1"/>
  <c r="J13" i="60" s="1"/>
  <c r="I13" i="60"/>
  <c r="L13" i="60" s="1"/>
  <c r="O11" i="60"/>
  <c r="M12" i="59"/>
  <c r="P12" i="59" s="1"/>
  <c r="Q12" i="59" s="1"/>
  <c r="AA11" i="59"/>
  <c r="C14" i="59"/>
  <c r="D13" i="59"/>
  <c r="G13" i="59" s="1"/>
  <c r="J13" i="59" s="1"/>
  <c r="E13" i="59"/>
  <c r="H13" i="59" s="1"/>
  <c r="K13" i="59" s="1"/>
  <c r="I13" i="59"/>
  <c r="L13" i="59" s="1"/>
  <c r="T11" i="59"/>
  <c r="W11" i="59"/>
  <c r="V11" i="59"/>
  <c r="U11" i="59"/>
  <c r="S11" i="59"/>
  <c r="R11" i="59"/>
  <c r="Z11" i="59"/>
  <c r="Y11" i="59"/>
  <c r="X11" i="59"/>
  <c r="M12" i="58"/>
  <c r="N12" i="58" s="1"/>
  <c r="E13" i="58"/>
  <c r="H13" i="58" s="1"/>
  <c r="K13" i="58" s="1"/>
  <c r="C14" i="58"/>
  <c r="D13" i="58"/>
  <c r="G13" i="58" s="1"/>
  <c r="J13" i="58" s="1"/>
  <c r="I13" i="58"/>
  <c r="L13" i="58" s="1"/>
  <c r="AA11" i="58"/>
  <c r="T11" i="58"/>
  <c r="U11" i="58"/>
  <c r="S11" i="58"/>
  <c r="R11" i="58"/>
  <c r="Z11" i="58"/>
  <c r="Y11" i="58"/>
  <c r="W11" i="58"/>
  <c r="V11" i="58"/>
  <c r="X11" i="58"/>
  <c r="M12" i="57"/>
  <c r="P12" i="57" s="1"/>
  <c r="Q12" i="57" s="1"/>
  <c r="C14" i="57"/>
  <c r="E13" i="57"/>
  <c r="H13" i="57" s="1"/>
  <c r="K13" i="57" s="1"/>
  <c r="D13" i="57"/>
  <c r="G13" i="57" s="1"/>
  <c r="J13" i="57" s="1"/>
  <c r="F13" i="57"/>
  <c r="I13" i="57" s="1"/>
  <c r="L13" i="57" s="1"/>
  <c r="U11" i="57"/>
  <c r="X11" i="57"/>
  <c r="M13" i="54"/>
  <c r="P13" i="54" s="1"/>
  <c r="Q13" i="54" s="1"/>
  <c r="C15" i="54"/>
  <c r="E14" i="54"/>
  <c r="H14" i="54" s="1"/>
  <c r="K14" i="54" s="1"/>
  <c r="D14" i="54"/>
  <c r="G14" i="54" s="1"/>
  <c r="J14" i="54" s="1"/>
  <c r="I14" i="54"/>
  <c r="L14" i="54" s="1"/>
  <c r="X12" i="54"/>
  <c r="W12" i="54"/>
  <c r="V12" i="54"/>
  <c r="U12" i="54"/>
  <c r="T12" i="54"/>
  <c r="S12" i="54"/>
  <c r="AC10" i="53"/>
  <c r="C14" i="53"/>
  <c r="D13" i="53"/>
  <c r="G13" i="53" s="1"/>
  <c r="J13" i="53" s="1"/>
  <c r="E13" i="53"/>
  <c r="H13" i="53" s="1"/>
  <c r="K13" i="53" s="1"/>
  <c r="I13" i="53"/>
  <c r="L13" i="53" s="1"/>
  <c r="T11" i="53"/>
  <c r="Z11" i="53"/>
  <c r="U11" i="53"/>
  <c r="Y11" i="53"/>
  <c r="X11" i="53"/>
  <c r="W11" i="53"/>
  <c r="V11" i="53"/>
  <c r="S11" i="53"/>
  <c r="R11" i="53"/>
  <c r="AA11" i="53"/>
  <c r="M13" i="52"/>
  <c r="O13" i="52" s="1"/>
  <c r="AB11" i="52"/>
  <c r="C15" i="52"/>
  <c r="D14" i="52"/>
  <c r="G14" i="52" s="1"/>
  <c r="J14" i="52" s="1"/>
  <c r="I14" i="52"/>
  <c r="L14" i="52" s="1"/>
  <c r="H14" i="52"/>
  <c r="K14" i="52" s="1"/>
  <c r="C15" i="51"/>
  <c r="D14" i="51"/>
  <c r="G14" i="51" s="1"/>
  <c r="J14" i="51" s="1"/>
  <c r="F14" i="51"/>
  <c r="I14" i="51" s="1"/>
  <c r="L14" i="51" s="1"/>
  <c r="E14" i="51"/>
  <c r="H14" i="51" s="1"/>
  <c r="K14" i="51" s="1"/>
  <c r="X12" i="51"/>
  <c r="Z12" i="51"/>
  <c r="W12" i="51"/>
  <c r="V12" i="51"/>
  <c r="T12" i="51"/>
  <c r="S12" i="51"/>
  <c r="R12" i="51"/>
  <c r="Y12" i="51"/>
  <c r="U12" i="51"/>
  <c r="AB11" i="51"/>
  <c r="AA12" i="51"/>
  <c r="M13" i="50"/>
  <c r="P13" i="50" s="1"/>
  <c r="Q13" i="50" s="1"/>
  <c r="AB11" i="50"/>
  <c r="C15" i="50"/>
  <c r="D14" i="50"/>
  <c r="G14" i="50" s="1"/>
  <c r="J14" i="50" s="1"/>
  <c r="H14" i="50"/>
  <c r="K14" i="50" s="1"/>
  <c r="I14" i="50"/>
  <c r="L14" i="50" s="1"/>
  <c r="M13" i="48"/>
  <c r="P13" i="48" s="1"/>
  <c r="Q13" i="48" s="1"/>
  <c r="AB11" i="48"/>
  <c r="C15" i="48"/>
  <c r="F14" i="48"/>
  <c r="I14" i="48" s="1"/>
  <c r="L14" i="48" s="1"/>
  <c r="D14" i="48"/>
  <c r="G14" i="48" s="1"/>
  <c r="J14" i="48" s="1"/>
  <c r="E14" i="48"/>
  <c r="H14" i="48" s="1"/>
  <c r="K14" i="48" s="1"/>
  <c r="O12" i="48"/>
  <c r="T13" i="47"/>
  <c r="S13" i="47"/>
  <c r="U13" i="47"/>
  <c r="R13" i="47"/>
  <c r="Z13" i="47"/>
  <c r="Y13" i="47"/>
  <c r="X13" i="47"/>
  <c r="W13" i="47"/>
  <c r="V13" i="47"/>
  <c r="AA13" i="47"/>
  <c r="AC13" i="47" s="1"/>
  <c r="C16" i="47"/>
  <c r="E15" i="47"/>
  <c r="H15" i="47" s="1"/>
  <c r="K15" i="47" s="1"/>
  <c r="D15" i="47"/>
  <c r="G15" i="47" s="1"/>
  <c r="J15" i="47" s="1"/>
  <c r="F15" i="47"/>
  <c r="I15" i="47" s="1"/>
  <c r="L15" i="47" s="1"/>
  <c r="M14" i="45"/>
  <c r="O14" i="45" s="1"/>
  <c r="AB12" i="45"/>
  <c r="R13" i="45"/>
  <c r="X13" i="45"/>
  <c r="Z13" i="45"/>
  <c r="Y13" i="45"/>
  <c r="W13" i="45"/>
  <c r="V13" i="45"/>
  <c r="U13" i="45"/>
  <c r="T13" i="45"/>
  <c r="S13" i="45"/>
  <c r="C16" i="45"/>
  <c r="D15" i="45"/>
  <c r="G15" i="45" s="1"/>
  <c r="J15" i="45" s="1"/>
  <c r="I15" i="45"/>
  <c r="L15" i="45" s="1"/>
  <c r="H15" i="45"/>
  <c r="K15" i="45" s="1"/>
  <c r="AA13" i="45"/>
  <c r="AC13" i="45" s="1"/>
  <c r="C14" i="44"/>
  <c r="AG4" i="4"/>
  <c r="AG5" i="4"/>
  <c r="AL2" i="4"/>
  <c r="AL25" i="4" s="1"/>
  <c r="AM2" i="4"/>
  <c r="AM25" i="4" s="1"/>
  <c r="B24" i="1"/>
  <c r="C24" i="1"/>
  <c r="A2" i="41" a="1"/>
  <c r="B1" i="44" s="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3" i="2"/>
  <c r="J5" i="40"/>
  <c r="I5" i="40"/>
  <c r="J4" i="40"/>
  <c r="I4" i="40"/>
  <c r="G4" i="40"/>
  <c r="F4" i="40"/>
  <c r="C4" i="40"/>
  <c r="E4" i="40" s="1"/>
  <c r="J3" i="40"/>
  <c r="I3" i="40"/>
  <c r="G3" i="40"/>
  <c r="F3" i="40"/>
  <c r="C3" i="40"/>
  <c r="E3" i="40" s="1"/>
  <c r="I2" i="40"/>
  <c r="G2" i="40"/>
  <c r="F2" i="40"/>
  <c r="C2" i="40"/>
  <c r="E2" i="40" s="1"/>
  <c r="B2" i="40"/>
  <c r="O7" i="40" s="1"/>
  <c r="AB7" i="40" s="1"/>
  <c r="J5" i="39"/>
  <c r="I5" i="39"/>
  <c r="J4" i="39"/>
  <c r="I4" i="39"/>
  <c r="G4" i="39"/>
  <c r="F4" i="39"/>
  <c r="C4" i="39"/>
  <c r="E4" i="39" s="1"/>
  <c r="J3" i="39"/>
  <c r="I3" i="39"/>
  <c r="G3" i="39"/>
  <c r="F3" i="39"/>
  <c r="C3" i="39"/>
  <c r="E3" i="39" s="1"/>
  <c r="I2" i="39"/>
  <c r="G2" i="39"/>
  <c r="F2" i="39"/>
  <c r="C2" i="39"/>
  <c r="E2" i="39" s="1"/>
  <c r="B2" i="39"/>
  <c r="N7" i="39" s="1"/>
  <c r="AC3" i="39" s="1"/>
  <c r="J5" i="38"/>
  <c r="I5" i="38"/>
  <c r="J4" i="38"/>
  <c r="I4" i="38"/>
  <c r="G4" i="38"/>
  <c r="F4" i="38"/>
  <c r="C4" i="38"/>
  <c r="E4" i="38" s="1"/>
  <c r="J3" i="38"/>
  <c r="I3" i="38"/>
  <c r="G3" i="38"/>
  <c r="F3" i="38"/>
  <c r="C3" i="38"/>
  <c r="E3" i="38" s="1"/>
  <c r="I2" i="38"/>
  <c r="G2" i="38"/>
  <c r="F2" i="38"/>
  <c r="C2" i="38"/>
  <c r="E2" i="38" s="1"/>
  <c r="B2" i="38"/>
  <c r="O7" i="38" s="1"/>
  <c r="AB7" i="38" s="1"/>
  <c r="J5" i="37"/>
  <c r="I5" i="37"/>
  <c r="J4" i="37"/>
  <c r="I4" i="37"/>
  <c r="G4" i="37"/>
  <c r="F4" i="37"/>
  <c r="C4" i="37"/>
  <c r="E4" i="37" s="1"/>
  <c r="J3" i="37"/>
  <c r="I3" i="37"/>
  <c r="G3" i="37"/>
  <c r="F3" i="37"/>
  <c r="C3" i="37"/>
  <c r="E3" i="37" s="1"/>
  <c r="I2" i="37"/>
  <c r="G2" i="37"/>
  <c r="F2" i="37"/>
  <c r="C2" i="37"/>
  <c r="E2" i="37" s="1"/>
  <c r="B2" i="37"/>
  <c r="N7" i="37" s="1"/>
  <c r="N8" i="37" s="1"/>
  <c r="J5" i="36"/>
  <c r="I5" i="36"/>
  <c r="J4" i="36"/>
  <c r="I4" i="36"/>
  <c r="G4" i="36"/>
  <c r="F4" i="36"/>
  <c r="C4" i="36"/>
  <c r="E4" i="36" s="1"/>
  <c r="J3" i="36"/>
  <c r="I3" i="36"/>
  <c r="G3" i="36"/>
  <c r="F3" i="36"/>
  <c r="C3" i="36"/>
  <c r="E3" i="36" s="1"/>
  <c r="I2" i="36"/>
  <c r="G2" i="36"/>
  <c r="F2" i="36"/>
  <c r="C2" i="36"/>
  <c r="E2" i="36" s="1"/>
  <c r="B2" i="36"/>
  <c r="N7" i="36" s="1"/>
  <c r="AC3" i="36" s="1"/>
  <c r="AH3" i="36" s="1"/>
  <c r="J5" i="35"/>
  <c r="I5" i="35"/>
  <c r="J4" i="35"/>
  <c r="I4" i="35"/>
  <c r="G4" i="35"/>
  <c r="F4" i="35"/>
  <c r="C4" i="35"/>
  <c r="E4" i="35" s="1"/>
  <c r="F26" i="35" s="1"/>
  <c r="J3" i="35"/>
  <c r="I3" i="35"/>
  <c r="G3" i="35"/>
  <c r="F3" i="35"/>
  <c r="C3" i="35"/>
  <c r="E3" i="35" s="1"/>
  <c r="I2" i="35"/>
  <c r="G2" i="35"/>
  <c r="F2" i="35"/>
  <c r="C2" i="35"/>
  <c r="E2" i="35" s="1"/>
  <c r="B2" i="35"/>
  <c r="O7" i="35" s="1"/>
  <c r="AB7" i="35" s="1"/>
  <c r="J5" i="34"/>
  <c r="I5" i="34"/>
  <c r="J4" i="34"/>
  <c r="I4" i="34"/>
  <c r="G4" i="34"/>
  <c r="F4" i="34"/>
  <c r="C4" i="34"/>
  <c r="E4" i="34" s="1"/>
  <c r="J3" i="34"/>
  <c r="I3" i="34"/>
  <c r="G3" i="34"/>
  <c r="F3" i="34"/>
  <c r="C3" i="34"/>
  <c r="E3" i="34" s="1"/>
  <c r="I2" i="34"/>
  <c r="G2" i="34"/>
  <c r="F2" i="34"/>
  <c r="C2" i="34"/>
  <c r="E2" i="34" s="1"/>
  <c r="B2" i="34"/>
  <c r="AC2" i="34" s="1"/>
  <c r="J5" i="33"/>
  <c r="I5" i="33"/>
  <c r="J4" i="33"/>
  <c r="I4" i="33"/>
  <c r="G4" i="33"/>
  <c r="F4" i="33"/>
  <c r="C4" i="33"/>
  <c r="E4" i="33" s="1"/>
  <c r="J3" i="33"/>
  <c r="I3" i="33"/>
  <c r="G3" i="33"/>
  <c r="F3" i="33"/>
  <c r="C3" i="33"/>
  <c r="E3" i="33" s="1"/>
  <c r="I2" i="33"/>
  <c r="G2" i="33"/>
  <c r="F2" i="33"/>
  <c r="C2" i="33"/>
  <c r="E2" i="33" s="1"/>
  <c r="B2" i="33"/>
  <c r="AC2" i="33" s="1"/>
  <c r="J5" i="32"/>
  <c r="I5" i="32"/>
  <c r="J4" i="32"/>
  <c r="I4" i="32"/>
  <c r="G4" i="32"/>
  <c r="F4" i="32"/>
  <c r="C4" i="32"/>
  <c r="E4" i="32" s="1"/>
  <c r="J3" i="32"/>
  <c r="I3" i="32"/>
  <c r="G3" i="32"/>
  <c r="F3" i="32"/>
  <c r="C3" i="32"/>
  <c r="E3" i="32" s="1"/>
  <c r="I2" i="32"/>
  <c r="G2" i="32"/>
  <c r="F2" i="32"/>
  <c r="C2" i="32"/>
  <c r="E2" i="32" s="1"/>
  <c r="B2" i="32"/>
  <c r="AC2" i="32" s="1"/>
  <c r="J5" i="31"/>
  <c r="I5" i="31"/>
  <c r="J4" i="31"/>
  <c r="I4" i="31"/>
  <c r="G4" i="31"/>
  <c r="F4" i="31"/>
  <c r="C4" i="31"/>
  <c r="E4" i="31" s="1"/>
  <c r="F29" i="31" s="1"/>
  <c r="J3" i="31"/>
  <c r="I3" i="31"/>
  <c r="G3" i="31"/>
  <c r="F3" i="31"/>
  <c r="C3" i="31"/>
  <c r="E3" i="31" s="1"/>
  <c r="I2" i="31"/>
  <c r="G2" i="31"/>
  <c r="F2" i="31"/>
  <c r="C2" i="31"/>
  <c r="E2" i="31" s="1"/>
  <c r="B2" i="31"/>
  <c r="O7" i="31" s="1"/>
  <c r="AB7" i="31" s="1"/>
  <c r="J5" i="30"/>
  <c r="I5" i="30"/>
  <c r="J4" i="30"/>
  <c r="I4" i="30"/>
  <c r="G4" i="30"/>
  <c r="F4" i="30"/>
  <c r="C4" i="30"/>
  <c r="E4" i="30" s="1"/>
  <c r="F13" i="30" s="1"/>
  <c r="J3" i="30"/>
  <c r="I3" i="30"/>
  <c r="G3" i="30"/>
  <c r="F3" i="30"/>
  <c r="C3" i="30"/>
  <c r="E3" i="30" s="1"/>
  <c r="I2" i="30"/>
  <c r="G2" i="30"/>
  <c r="F2" i="30"/>
  <c r="C2" i="30"/>
  <c r="E2" i="30" s="1"/>
  <c r="B2" i="30"/>
  <c r="J5" i="29"/>
  <c r="I5" i="29"/>
  <c r="J4" i="29"/>
  <c r="I4" i="29"/>
  <c r="G4" i="29"/>
  <c r="F4" i="29"/>
  <c r="C4" i="29"/>
  <c r="E4" i="29" s="1"/>
  <c r="J3" i="29"/>
  <c r="I3" i="29"/>
  <c r="G3" i="29"/>
  <c r="F3" i="29"/>
  <c r="C3" i="29"/>
  <c r="E3" i="29" s="1"/>
  <c r="I2" i="29"/>
  <c r="G2" i="29"/>
  <c r="F2" i="29"/>
  <c r="C2" i="29"/>
  <c r="E2" i="29" s="1"/>
  <c r="B2" i="29"/>
  <c r="AC2" i="29" s="1"/>
  <c r="J5" i="28"/>
  <c r="I5" i="28"/>
  <c r="J4" i="28"/>
  <c r="I4" i="28"/>
  <c r="G4" i="28"/>
  <c r="F4" i="28"/>
  <c r="C4" i="28"/>
  <c r="E4" i="28" s="1"/>
  <c r="J3" i="28"/>
  <c r="I3" i="28"/>
  <c r="G3" i="28"/>
  <c r="F3" i="28"/>
  <c r="C3" i="28"/>
  <c r="E3" i="28" s="1"/>
  <c r="I2" i="28"/>
  <c r="G2" i="28"/>
  <c r="F2" i="28"/>
  <c r="C2" i="28"/>
  <c r="E2" i="28" s="1"/>
  <c r="B2" i="28"/>
  <c r="O7" i="28" s="1"/>
  <c r="AB7" i="28" s="1"/>
  <c r="J5" i="27"/>
  <c r="I5" i="27"/>
  <c r="J4" i="27"/>
  <c r="I4" i="27"/>
  <c r="G4" i="27"/>
  <c r="F4" i="27"/>
  <c r="C4" i="27"/>
  <c r="E4" i="27" s="1"/>
  <c r="F10" i="27" s="1"/>
  <c r="J3" i="27"/>
  <c r="I3" i="27"/>
  <c r="G3" i="27"/>
  <c r="F3" i="27"/>
  <c r="C3" i="27"/>
  <c r="E3" i="27" s="1"/>
  <c r="I2" i="27"/>
  <c r="G2" i="27"/>
  <c r="F2" i="27"/>
  <c r="C2" i="27"/>
  <c r="E2" i="27" s="1"/>
  <c r="B2" i="27"/>
  <c r="AC2" i="27" s="1"/>
  <c r="J5" i="26"/>
  <c r="I5" i="26"/>
  <c r="J4" i="26"/>
  <c r="I4" i="26"/>
  <c r="G4" i="26"/>
  <c r="F4" i="26"/>
  <c r="C4" i="26"/>
  <c r="E4" i="26" s="1"/>
  <c r="J3" i="26"/>
  <c r="I3" i="26"/>
  <c r="G3" i="26"/>
  <c r="F3" i="26"/>
  <c r="C3" i="26"/>
  <c r="E3" i="26" s="1"/>
  <c r="I2" i="26"/>
  <c r="G2" i="26"/>
  <c r="F2" i="26"/>
  <c r="C2" i="26"/>
  <c r="E2" i="26" s="1"/>
  <c r="B2" i="26"/>
  <c r="O7" i="26" s="1"/>
  <c r="AB7" i="26" s="1"/>
  <c r="J5" i="25"/>
  <c r="I5" i="25"/>
  <c r="J4" i="25"/>
  <c r="I4" i="25"/>
  <c r="G4" i="25"/>
  <c r="F4" i="25"/>
  <c r="C4" i="25"/>
  <c r="E4" i="25" s="1"/>
  <c r="J3" i="25"/>
  <c r="I3" i="25"/>
  <c r="G3" i="25"/>
  <c r="F3" i="25"/>
  <c r="C3" i="25"/>
  <c r="E3" i="25" s="1"/>
  <c r="I2" i="25"/>
  <c r="G2" i="25"/>
  <c r="F2" i="25"/>
  <c r="C2" i="25"/>
  <c r="E2" i="25" s="1"/>
  <c r="B2" i="25"/>
  <c r="O7" i="25" s="1"/>
  <c r="AB7" i="25" s="1"/>
  <c r="B2" i="24"/>
  <c r="AC2" i="24" s="1"/>
  <c r="J5" i="24"/>
  <c r="I5" i="24"/>
  <c r="J4" i="24"/>
  <c r="I4" i="24"/>
  <c r="G4" i="24"/>
  <c r="F4" i="24"/>
  <c r="C4" i="24"/>
  <c r="E4" i="24" s="1"/>
  <c r="J3" i="24"/>
  <c r="I3" i="24"/>
  <c r="G3" i="24"/>
  <c r="F3" i="24"/>
  <c r="C3" i="24"/>
  <c r="E3" i="24" s="1"/>
  <c r="I2" i="24"/>
  <c r="G2" i="24"/>
  <c r="F2" i="24"/>
  <c r="C2" i="24"/>
  <c r="E2" i="24" s="1"/>
  <c r="J5" i="23"/>
  <c r="I5" i="23"/>
  <c r="J4" i="23"/>
  <c r="I4" i="23"/>
  <c r="G4" i="23"/>
  <c r="F4" i="23"/>
  <c r="C4" i="23"/>
  <c r="E4" i="23" s="1"/>
  <c r="J3" i="23"/>
  <c r="I3" i="23"/>
  <c r="G3" i="23"/>
  <c r="F3" i="23"/>
  <c r="C3" i="23"/>
  <c r="E3" i="23" s="1"/>
  <c r="I2" i="23"/>
  <c r="G2" i="23"/>
  <c r="F2" i="23"/>
  <c r="C2" i="23"/>
  <c r="E2" i="23" s="1"/>
  <c r="B2" i="23"/>
  <c r="AC2" i="23" s="1"/>
  <c r="J5" i="22"/>
  <c r="I5" i="22"/>
  <c r="J4" i="22"/>
  <c r="I4" i="22"/>
  <c r="G4" i="22"/>
  <c r="F4" i="22"/>
  <c r="C4" i="22"/>
  <c r="E4" i="22" s="1"/>
  <c r="J3" i="22"/>
  <c r="I3" i="22"/>
  <c r="G3" i="22"/>
  <c r="F3" i="22"/>
  <c r="C3" i="22"/>
  <c r="E3" i="22" s="1"/>
  <c r="I2" i="22"/>
  <c r="G2" i="22"/>
  <c r="F2" i="22"/>
  <c r="C2" i="22"/>
  <c r="E2" i="22" s="1"/>
  <c r="B2" i="22"/>
  <c r="O7" i="22" s="1"/>
  <c r="AB7" i="22" s="1"/>
  <c r="J5" i="21"/>
  <c r="I5" i="21"/>
  <c r="J4" i="21"/>
  <c r="I4" i="21"/>
  <c r="G4" i="21"/>
  <c r="F4" i="21"/>
  <c r="C4" i="21"/>
  <c r="E4" i="21" s="1"/>
  <c r="J3" i="21"/>
  <c r="I3" i="21"/>
  <c r="G3" i="21"/>
  <c r="F3" i="21"/>
  <c r="C3" i="21"/>
  <c r="E3" i="21" s="1"/>
  <c r="E15" i="21" s="1"/>
  <c r="I2" i="21"/>
  <c r="G2" i="21"/>
  <c r="F2" i="21"/>
  <c r="C2" i="21"/>
  <c r="E2" i="21" s="1"/>
  <c r="B2" i="21"/>
  <c r="AC2" i="21" s="1"/>
  <c r="J6" i="12"/>
  <c r="I6" i="12"/>
  <c r="G6" i="12"/>
  <c r="H6" i="12"/>
  <c r="F6" i="12"/>
  <c r="E6" i="12"/>
  <c r="D6" i="12"/>
  <c r="C6" i="12"/>
  <c r="B6" i="12"/>
  <c r="J5" i="12"/>
  <c r="I5" i="12"/>
  <c r="H5" i="12"/>
  <c r="G5" i="12"/>
  <c r="F5" i="12"/>
  <c r="E5" i="12"/>
  <c r="D5" i="12"/>
  <c r="B4" i="12"/>
  <c r="C5" i="12"/>
  <c r="B5" i="12"/>
  <c r="J4" i="12"/>
  <c r="I4" i="12"/>
  <c r="H4" i="12"/>
  <c r="G4" i="12"/>
  <c r="F4" i="12"/>
  <c r="E4" i="12"/>
  <c r="D4" i="12"/>
  <c r="C4" i="12"/>
  <c r="J5" i="20"/>
  <c r="I5" i="20"/>
  <c r="J4" i="20"/>
  <c r="I4" i="20"/>
  <c r="G4" i="20"/>
  <c r="F4" i="20"/>
  <c r="J3" i="20"/>
  <c r="I3" i="20"/>
  <c r="G3" i="20"/>
  <c r="F3" i="20"/>
  <c r="I2" i="20"/>
  <c r="G2" i="20"/>
  <c r="F2" i="20"/>
  <c r="J5" i="19"/>
  <c r="I5" i="19"/>
  <c r="J4" i="19"/>
  <c r="I4" i="19"/>
  <c r="G4" i="19"/>
  <c r="F4" i="19"/>
  <c r="J3" i="19"/>
  <c r="I3" i="19"/>
  <c r="G3" i="19"/>
  <c r="F3" i="19"/>
  <c r="I2" i="19"/>
  <c r="G2" i="19"/>
  <c r="F2" i="19"/>
  <c r="J3" i="12"/>
  <c r="I3" i="12"/>
  <c r="H3" i="12"/>
  <c r="G3" i="12"/>
  <c r="F3" i="12"/>
  <c r="E3" i="12"/>
  <c r="D3" i="12"/>
  <c r="C3" i="12"/>
  <c r="C2" i="12"/>
  <c r="J2" i="12"/>
  <c r="I2" i="12"/>
  <c r="H2" i="12"/>
  <c r="G2" i="12"/>
  <c r="F2" i="12"/>
  <c r="E2" i="12"/>
  <c r="B2" i="12"/>
  <c r="D2" i="12"/>
  <c r="B3" i="12"/>
  <c r="I5" i="8"/>
  <c r="J5" i="8"/>
  <c r="J4" i="8"/>
  <c r="I4" i="8"/>
  <c r="G4" i="8"/>
  <c r="F4" i="8"/>
  <c r="J3" i="8"/>
  <c r="I3" i="8"/>
  <c r="G3" i="8"/>
  <c r="F3" i="8"/>
  <c r="I2" i="8"/>
  <c r="G2" i="8"/>
  <c r="F2" i="8"/>
  <c r="Y12" i="54" l="1"/>
  <c r="Z12" i="54"/>
  <c r="CF2" i="1"/>
  <c r="EH2" i="1"/>
  <c r="AA12" i="54"/>
  <c r="AB10" i="57"/>
  <c r="V11" i="57"/>
  <c r="Z11" i="57"/>
  <c r="N12" i="54"/>
  <c r="O12" i="54" s="1"/>
  <c r="AB10" i="49"/>
  <c r="AC12" i="49"/>
  <c r="Y11" i="49"/>
  <c r="AA11" i="57"/>
  <c r="AC11" i="57" s="1"/>
  <c r="R11" i="57"/>
  <c r="V11" i="49"/>
  <c r="AC11" i="54"/>
  <c r="AB11" i="54"/>
  <c r="R11" i="49"/>
  <c r="T11" i="57"/>
  <c r="U11" i="49"/>
  <c r="S11" i="49"/>
  <c r="W11" i="49"/>
  <c r="Z11" i="49"/>
  <c r="M14" i="49"/>
  <c r="X11" i="49"/>
  <c r="C16" i="49"/>
  <c r="E15" i="49"/>
  <c r="H15" i="49" s="1"/>
  <c r="K15" i="49" s="1"/>
  <c r="D15" i="49"/>
  <c r="G15" i="49" s="1"/>
  <c r="J15" i="49" s="1"/>
  <c r="F15" i="49"/>
  <c r="I15" i="49" s="1"/>
  <c r="L15" i="49" s="1"/>
  <c r="Z10" i="43"/>
  <c r="P13" i="49"/>
  <c r="Q13" i="49" s="1"/>
  <c r="N13" i="49"/>
  <c r="O13" i="49" s="1"/>
  <c r="AA12" i="48"/>
  <c r="AC12" i="48" s="1"/>
  <c r="U10" i="43"/>
  <c r="S10" i="43"/>
  <c r="W10" i="43"/>
  <c r="V12" i="50"/>
  <c r="Z12" i="48"/>
  <c r="AC11" i="53"/>
  <c r="R10" i="43"/>
  <c r="T12" i="50"/>
  <c r="R12" i="50"/>
  <c r="X10" i="43"/>
  <c r="S12" i="50"/>
  <c r="T10" i="43"/>
  <c r="X12" i="50"/>
  <c r="Y10" i="43"/>
  <c r="Y11" i="60"/>
  <c r="W12" i="48"/>
  <c r="AA11" i="62"/>
  <c r="AC11" i="62" s="1"/>
  <c r="S11" i="60"/>
  <c r="AB10" i="55"/>
  <c r="W11" i="57"/>
  <c r="U12" i="50"/>
  <c r="AC11" i="58"/>
  <c r="C3" i="44"/>
  <c r="E3" i="44" s="1"/>
  <c r="C4" i="44"/>
  <c r="E4" i="44" s="1"/>
  <c r="F14" i="44" s="1"/>
  <c r="I14" i="44" s="1"/>
  <c r="L14" i="44" s="1"/>
  <c r="B2" i="44"/>
  <c r="C2" i="44"/>
  <c r="E2" i="44" s="1"/>
  <c r="D14" i="44" s="1"/>
  <c r="G14" i="44" s="1"/>
  <c r="J14" i="44" s="1"/>
  <c r="AB12" i="47"/>
  <c r="Z12" i="50"/>
  <c r="T11" i="60"/>
  <c r="AC11" i="64"/>
  <c r="AB10" i="56"/>
  <c r="BO4" i="1" s="1"/>
  <c r="CG4" i="1" s="1"/>
  <c r="R12" i="48"/>
  <c r="N12" i="53"/>
  <c r="O12" i="53" s="1"/>
  <c r="Y11" i="57"/>
  <c r="V9" i="46"/>
  <c r="W9" i="46"/>
  <c r="T9" i="46"/>
  <c r="Z9" i="46"/>
  <c r="Y9" i="46"/>
  <c r="R9" i="46"/>
  <c r="U9" i="46"/>
  <c r="S9" i="46"/>
  <c r="X9" i="46"/>
  <c r="AB9" i="46"/>
  <c r="BN3" i="1" s="1"/>
  <c r="X11" i="60"/>
  <c r="R12" i="65"/>
  <c r="AB12" i="51"/>
  <c r="P13" i="51"/>
  <c r="Q13" i="51" s="1"/>
  <c r="T13" i="51" s="1"/>
  <c r="V11" i="60"/>
  <c r="Y12" i="52"/>
  <c r="S12" i="52"/>
  <c r="Y12" i="50"/>
  <c r="R11" i="62"/>
  <c r="S11" i="62"/>
  <c r="X12" i="52"/>
  <c r="T12" i="52"/>
  <c r="P14" i="47"/>
  <c r="Q14" i="47" s="1"/>
  <c r="W14" i="47" s="1"/>
  <c r="AA12" i="50"/>
  <c r="AC12" i="50" s="1"/>
  <c r="AB11" i="59"/>
  <c r="W11" i="62"/>
  <c r="V12" i="52"/>
  <c r="U11" i="62"/>
  <c r="W12" i="52"/>
  <c r="AA12" i="52"/>
  <c r="AC12" i="52" s="1"/>
  <c r="R12" i="52"/>
  <c r="Y12" i="48"/>
  <c r="T11" i="62"/>
  <c r="P12" i="64"/>
  <c r="Q12" i="64" s="1"/>
  <c r="U12" i="64" s="1"/>
  <c r="AB10" i="59"/>
  <c r="AA11" i="55"/>
  <c r="AB11" i="55" s="1"/>
  <c r="AB11" i="43"/>
  <c r="M13" i="43"/>
  <c r="O13" i="43" s="1"/>
  <c r="Z12" i="52"/>
  <c r="R11" i="60"/>
  <c r="AB11" i="56"/>
  <c r="BO5" i="1" s="1"/>
  <c r="CG5" i="1" s="1"/>
  <c r="U11" i="60"/>
  <c r="W11" i="60"/>
  <c r="M13" i="56"/>
  <c r="O13" i="56" s="1"/>
  <c r="O12" i="56"/>
  <c r="AA11" i="60"/>
  <c r="AC11" i="60" s="1"/>
  <c r="AA12" i="56"/>
  <c r="AC12" i="56" s="1"/>
  <c r="AA10" i="46"/>
  <c r="AC10" i="46" s="1"/>
  <c r="V12" i="48"/>
  <c r="M13" i="55"/>
  <c r="X12" i="48"/>
  <c r="P11" i="46"/>
  <c r="Q11" i="46" s="1"/>
  <c r="O11" i="46"/>
  <c r="I14" i="55"/>
  <c r="L14" i="55" s="1"/>
  <c r="D14" i="55"/>
  <c r="G14" i="55" s="1"/>
  <c r="J14" i="55" s="1"/>
  <c r="C15" i="55"/>
  <c r="E14" i="55"/>
  <c r="H14" i="55" s="1"/>
  <c r="K14" i="55" s="1"/>
  <c r="N12" i="55"/>
  <c r="O12" i="55" s="1"/>
  <c r="P12" i="55"/>
  <c r="Q12" i="55" s="1"/>
  <c r="V11" i="62"/>
  <c r="S12" i="65"/>
  <c r="O12" i="43"/>
  <c r="P12" i="43"/>
  <c r="Q12" i="43" s="1"/>
  <c r="Y11" i="55"/>
  <c r="W11" i="55"/>
  <c r="T11" i="55"/>
  <c r="V11" i="55"/>
  <c r="U11" i="55"/>
  <c r="S11" i="55"/>
  <c r="R11" i="55"/>
  <c r="Z11" i="55"/>
  <c r="X11" i="55"/>
  <c r="S12" i="48"/>
  <c r="X11" i="62"/>
  <c r="M12" i="46"/>
  <c r="T12" i="48"/>
  <c r="Y11" i="62"/>
  <c r="F14" i="43"/>
  <c r="I14" i="43" s="1"/>
  <c r="L14" i="43" s="1"/>
  <c r="H14" i="43"/>
  <c r="K14" i="43" s="1"/>
  <c r="D14" i="43"/>
  <c r="G14" i="43" s="1"/>
  <c r="J14" i="43" s="1"/>
  <c r="C15" i="43"/>
  <c r="C15" i="56"/>
  <c r="D14" i="56"/>
  <c r="G14" i="56" s="1"/>
  <c r="J14" i="56" s="1"/>
  <c r="E14" i="56"/>
  <c r="H14" i="56" s="1"/>
  <c r="K14" i="56" s="1"/>
  <c r="I14" i="56"/>
  <c r="L14" i="56" s="1"/>
  <c r="D13" i="46"/>
  <c r="G13" i="46" s="1"/>
  <c r="J13" i="46" s="1"/>
  <c r="H13" i="46"/>
  <c r="K13" i="46" s="1"/>
  <c r="C14" i="46"/>
  <c r="I13" i="46"/>
  <c r="L13" i="46" s="1"/>
  <c r="Z10" i="46"/>
  <c r="Y10" i="46"/>
  <c r="V10" i="46"/>
  <c r="X10" i="46"/>
  <c r="W10" i="46"/>
  <c r="U10" i="46"/>
  <c r="S10" i="46"/>
  <c r="T10" i="46"/>
  <c r="R10" i="46"/>
  <c r="U12" i="56"/>
  <c r="T12" i="56"/>
  <c r="S12" i="56"/>
  <c r="R12" i="56"/>
  <c r="X12" i="56"/>
  <c r="Z12" i="56"/>
  <c r="Y12" i="56"/>
  <c r="W12" i="56"/>
  <c r="V12" i="56"/>
  <c r="U12" i="65"/>
  <c r="T12" i="65"/>
  <c r="AC11" i="59"/>
  <c r="S11" i="63"/>
  <c r="Y11" i="63"/>
  <c r="AB10" i="60"/>
  <c r="V12" i="65"/>
  <c r="W12" i="65"/>
  <c r="AA12" i="65"/>
  <c r="AC12" i="65" s="1"/>
  <c r="P12" i="63"/>
  <c r="Q12" i="63" s="1"/>
  <c r="Z12" i="63" s="1"/>
  <c r="X11" i="63"/>
  <c r="Z11" i="63"/>
  <c r="N12" i="59"/>
  <c r="O12" i="59" s="1"/>
  <c r="X12" i="65"/>
  <c r="U11" i="63"/>
  <c r="V11" i="63"/>
  <c r="N13" i="48"/>
  <c r="O13" i="48" s="1"/>
  <c r="W11" i="63"/>
  <c r="N12" i="60"/>
  <c r="O12" i="60" s="1"/>
  <c r="R11" i="63"/>
  <c r="Y12" i="65"/>
  <c r="O13" i="65"/>
  <c r="AB11" i="58"/>
  <c r="AA11" i="63"/>
  <c r="AC11" i="63" s="1"/>
  <c r="M13" i="58"/>
  <c r="N13" i="58" s="1"/>
  <c r="O13" i="58" s="1"/>
  <c r="AB11" i="64"/>
  <c r="O12" i="57"/>
  <c r="M13" i="61"/>
  <c r="P13" i="52"/>
  <c r="Q13" i="52" s="1"/>
  <c r="V13" i="52" s="1"/>
  <c r="P12" i="58"/>
  <c r="Q12" i="58" s="1"/>
  <c r="W12" i="58" s="1"/>
  <c r="M13" i="60"/>
  <c r="P13" i="60" s="1"/>
  <c r="Q13" i="60" s="1"/>
  <c r="M13" i="64"/>
  <c r="P13" i="64" s="1"/>
  <c r="Q13" i="64" s="1"/>
  <c r="M14" i="50"/>
  <c r="P14" i="50" s="1"/>
  <c r="Q14" i="50" s="1"/>
  <c r="O13" i="50"/>
  <c r="M13" i="62"/>
  <c r="O13" i="62" s="1"/>
  <c r="P14" i="45"/>
  <c r="Q14" i="45" s="1"/>
  <c r="X14" i="45" s="1"/>
  <c r="N13" i="54"/>
  <c r="O13" i="54" s="1"/>
  <c r="M14" i="65"/>
  <c r="O14" i="65" s="1"/>
  <c r="AA13" i="65"/>
  <c r="AC13" i="65" s="1"/>
  <c r="C16" i="65"/>
  <c r="I15" i="65"/>
  <c r="L15" i="65" s="1"/>
  <c r="H15" i="65"/>
  <c r="K15" i="65" s="1"/>
  <c r="G15" i="65"/>
  <c r="J15" i="65" s="1"/>
  <c r="R13" i="65"/>
  <c r="Z13" i="65"/>
  <c r="Y13" i="65"/>
  <c r="W13" i="65"/>
  <c r="V13" i="65"/>
  <c r="U13" i="65"/>
  <c r="T13" i="65"/>
  <c r="S13" i="65"/>
  <c r="X13" i="65"/>
  <c r="C15" i="64"/>
  <c r="E14" i="64"/>
  <c r="H14" i="64" s="1"/>
  <c r="K14" i="64" s="1"/>
  <c r="D14" i="64"/>
  <c r="G14" i="64" s="1"/>
  <c r="J14" i="64" s="1"/>
  <c r="F14" i="64"/>
  <c r="I14" i="64" s="1"/>
  <c r="L14" i="64" s="1"/>
  <c r="O12" i="64"/>
  <c r="M13" i="63"/>
  <c r="O13" i="63" s="1"/>
  <c r="C15" i="63"/>
  <c r="D14" i="63"/>
  <c r="G14" i="63" s="1"/>
  <c r="J14" i="63" s="1"/>
  <c r="F14" i="63"/>
  <c r="I14" i="63" s="1"/>
  <c r="L14" i="63" s="1"/>
  <c r="H14" i="63"/>
  <c r="K14" i="63" s="1"/>
  <c r="P12" i="62"/>
  <c r="Q12" i="62" s="1"/>
  <c r="Z12" i="62" s="1"/>
  <c r="O12" i="62"/>
  <c r="C15" i="62"/>
  <c r="D14" i="62"/>
  <c r="G14" i="62" s="1"/>
  <c r="J14" i="62" s="1"/>
  <c r="I14" i="62"/>
  <c r="L14" i="62" s="1"/>
  <c r="H14" i="62"/>
  <c r="K14" i="62" s="1"/>
  <c r="C15" i="61"/>
  <c r="D14" i="61"/>
  <c r="F14" i="61"/>
  <c r="L14" i="61" s="1"/>
  <c r="E14" i="61"/>
  <c r="K14" i="61" s="1"/>
  <c r="C15" i="60"/>
  <c r="D14" i="60"/>
  <c r="G14" i="60" s="1"/>
  <c r="J14" i="60" s="1"/>
  <c r="E14" i="60"/>
  <c r="H14" i="60" s="1"/>
  <c r="K14" i="60" s="1"/>
  <c r="I14" i="60"/>
  <c r="L14" i="60" s="1"/>
  <c r="S12" i="60"/>
  <c r="R12" i="60"/>
  <c r="Z12" i="60"/>
  <c r="Y12" i="60"/>
  <c r="X12" i="60"/>
  <c r="W12" i="60"/>
  <c r="T12" i="60"/>
  <c r="U12" i="60"/>
  <c r="V12" i="60"/>
  <c r="AA12" i="60"/>
  <c r="M13" i="59"/>
  <c r="P13" i="59" s="1"/>
  <c r="Q13" i="59" s="1"/>
  <c r="X12" i="59"/>
  <c r="T12" i="59"/>
  <c r="S12" i="59"/>
  <c r="R12" i="59"/>
  <c r="Z12" i="59"/>
  <c r="Y12" i="59"/>
  <c r="W12" i="59"/>
  <c r="V12" i="59"/>
  <c r="U12" i="59"/>
  <c r="C15" i="59"/>
  <c r="E14" i="59"/>
  <c r="H14" i="59" s="1"/>
  <c r="K14" i="59" s="1"/>
  <c r="D14" i="59"/>
  <c r="G14" i="59" s="1"/>
  <c r="J14" i="59" s="1"/>
  <c r="I14" i="59"/>
  <c r="L14" i="59" s="1"/>
  <c r="AA12" i="59"/>
  <c r="C15" i="58"/>
  <c r="E14" i="58"/>
  <c r="H14" i="58" s="1"/>
  <c r="K14" i="58" s="1"/>
  <c r="D14" i="58"/>
  <c r="G14" i="58" s="1"/>
  <c r="J14" i="58" s="1"/>
  <c r="I14" i="58"/>
  <c r="L14" i="58" s="1"/>
  <c r="O12" i="58"/>
  <c r="AB11" i="57"/>
  <c r="M13" i="57"/>
  <c r="O13" i="57" s="1"/>
  <c r="C15" i="57"/>
  <c r="D14" i="57"/>
  <c r="G14" i="57" s="1"/>
  <c r="J14" i="57" s="1"/>
  <c r="E14" i="57"/>
  <c r="H14" i="57" s="1"/>
  <c r="K14" i="57" s="1"/>
  <c r="F14" i="57"/>
  <c r="I14" i="57" s="1"/>
  <c r="L14" i="57" s="1"/>
  <c r="X12" i="57"/>
  <c r="S12" i="57"/>
  <c r="R12" i="57"/>
  <c r="Z12" i="57"/>
  <c r="Y12" i="57"/>
  <c r="W12" i="57"/>
  <c r="V12" i="57"/>
  <c r="U12" i="57"/>
  <c r="T12" i="57"/>
  <c r="AA12" i="57"/>
  <c r="AC12" i="57" s="1"/>
  <c r="M14" i="54"/>
  <c r="P14" i="54" s="1"/>
  <c r="Q14" i="54" s="1"/>
  <c r="C16" i="54"/>
  <c r="E15" i="54"/>
  <c r="H15" i="54" s="1"/>
  <c r="K15" i="54" s="1"/>
  <c r="D15" i="54"/>
  <c r="G15" i="54" s="1"/>
  <c r="J15" i="54" s="1"/>
  <c r="I15" i="54"/>
  <c r="L15" i="54" s="1"/>
  <c r="AB12" i="54"/>
  <c r="R13" i="54"/>
  <c r="U13" i="54"/>
  <c r="T13" i="54"/>
  <c r="S13" i="54"/>
  <c r="Z13" i="54"/>
  <c r="Y13" i="54"/>
  <c r="X13" i="54"/>
  <c r="W13" i="54"/>
  <c r="V13" i="54"/>
  <c r="AA13" i="54"/>
  <c r="M13" i="53"/>
  <c r="P13" i="53" s="1"/>
  <c r="Q13" i="53" s="1"/>
  <c r="AB11" i="53"/>
  <c r="C15" i="53"/>
  <c r="D14" i="53"/>
  <c r="G14" i="53" s="1"/>
  <c r="J14" i="53" s="1"/>
  <c r="E14" i="53"/>
  <c r="H14" i="53" s="1"/>
  <c r="K14" i="53" s="1"/>
  <c r="I14" i="53"/>
  <c r="L14" i="53" s="1"/>
  <c r="X12" i="53"/>
  <c r="Y12" i="53"/>
  <c r="W12" i="53"/>
  <c r="R12" i="53"/>
  <c r="Z12" i="53"/>
  <c r="V12" i="53"/>
  <c r="U12" i="53"/>
  <c r="T12" i="53"/>
  <c r="S12" i="53"/>
  <c r="AA12" i="53"/>
  <c r="M14" i="52"/>
  <c r="P14" i="52" s="1"/>
  <c r="Q14" i="52" s="1"/>
  <c r="C16" i="52"/>
  <c r="D15" i="52"/>
  <c r="G15" i="52" s="1"/>
  <c r="J15" i="52" s="1"/>
  <c r="I15" i="52"/>
  <c r="L15" i="52" s="1"/>
  <c r="H15" i="52"/>
  <c r="K15" i="52" s="1"/>
  <c r="M14" i="51"/>
  <c r="P14" i="51" s="1"/>
  <c r="Q14" i="51" s="1"/>
  <c r="AC12" i="51"/>
  <c r="C16" i="51"/>
  <c r="E15" i="51"/>
  <c r="H15" i="51" s="1"/>
  <c r="K15" i="51" s="1"/>
  <c r="F15" i="51"/>
  <c r="I15" i="51" s="1"/>
  <c r="L15" i="51" s="1"/>
  <c r="D15" i="51"/>
  <c r="G15" i="51" s="1"/>
  <c r="J15" i="51" s="1"/>
  <c r="O13" i="51"/>
  <c r="C16" i="50"/>
  <c r="D15" i="50"/>
  <c r="G15" i="50" s="1"/>
  <c r="J15" i="50" s="1"/>
  <c r="I15" i="50"/>
  <c r="L15" i="50" s="1"/>
  <c r="H15" i="50"/>
  <c r="K15" i="50" s="1"/>
  <c r="T13" i="50"/>
  <c r="X13" i="50"/>
  <c r="W13" i="50"/>
  <c r="V13" i="50"/>
  <c r="U13" i="50"/>
  <c r="S13" i="50"/>
  <c r="R13" i="50"/>
  <c r="Z13" i="50"/>
  <c r="Y13" i="50"/>
  <c r="AA13" i="50"/>
  <c r="AC13" i="50" s="1"/>
  <c r="M14" i="48"/>
  <c r="N14" i="48" s="1"/>
  <c r="AB12" i="48"/>
  <c r="T13" i="48"/>
  <c r="W13" i="48"/>
  <c r="V13" i="48"/>
  <c r="U13" i="48"/>
  <c r="S13" i="48"/>
  <c r="R13" i="48"/>
  <c r="Z13" i="48"/>
  <c r="Y13" i="48"/>
  <c r="X13" i="48"/>
  <c r="C16" i="48"/>
  <c r="E15" i="48"/>
  <c r="H15" i="48" s="1"/>
  <c r="K15" i="48" s="1"/>
  <c r="F15" i="48"/>
  <c r="I15" i="48" s="1"/>
  <c r="L15" i="48" s="1"/>
  <c r="D15" i="48"/>
  <c r="G15" i="48" s="1"/>
  <c r="J15" i="48" s="1"/>
  <c r="AA13" i="48"/>
  <c r="AB13" i="47"/>
  <c r="M15" i="47"/>
  <c r="P15" i="47" s="1"/>
  <c r="Q15" i="47" s="1"/>
  <c r="C17" i="47"/>
  <c r="F16" i="47"/>
  <c r="I16" i="47" s="1"/>
  <c r="L16" i="47" s="1"/>
  <c r="E16" i="47"/>
  <c r="H16" i="47" s="1"/>
  <c r="K16" i="47" s="1"/>
  <c r="D16" i="47"/>
  <c r="G16" i="47" s="1"/>
  <c r="J16" i="47" s="1"/>
  <c r="U14" i="47"/>
  <c r="M15" i="45"/>
  <c r="O15" i="45" s="1"/>
  <c r="C17" i="45"/>
  <c r="D16" i="45"/>
  <c r="G16" i="45" s="1"/>
  <c r="J16" i="45" s="1"/>
  <c r="I16" i="45"/>
  <c r="L16" i="45" s="1"/>
  <c r="H16" i="45"/>
  <c r="K16" i="45" s="1"/>
  <c r="AB13" i="45"/>
  <c r="C15" i="44"/>
  <c r="E14" i="44"/>
  <c r="H14" i="44" s="1"/>
  <c r="K14" i="44" s="1"/>
  <c r="B11" i="41"/>
  <c r="B21" i="41"/>
  <c r="B22" i="41"/>
  <c r="B3" i="41"/>
  <c r="B24" i="41"/>
  <c r="B12" i="41"/>
  <c r="B13" i="41"/>
  <c r="B14" i="41"/>
  <c r="B7" i="41"/>
  <c r="B17" i="41"/>
  <c r="B23" i="41"/>
  <c r="B4" i="41"/>
  <c r="B5" i="41"/>
  <c r="B15" i="41"/>
  <c r="B16" i="41"/>
  <c r="B6" i="41"/>
  <c r="B8" i="41"/>
  <c r="B18" i="41"/>
  <c r="B9" i="41"/>
  <c r="B19" i="41"/>
  <c r="B10" i="41"/>
  <c r="B20" i="41"/>
  <c r="A2" i="41"/>
  <c r="B2" i="41" s="1"/>
  <c r="C8" i="19" s="1"/>
  <c r="C9" i="19" s="1"/>
  <c r="C10" i="19" s="1"/>
  <c r="N16" i="37"/>
  <c r="AC2" i="38"/>
  <c r="D5" i="41"/>
  <c r="E9" i="41"/>
  <c r="C23" i="41"/>
  <c r="C21" i="41"/>
  <c r="C19" i="41"/>
  <c r="C17" i="41"/>
  <c r="C15" i="41"/>
  <c r="C13" i="41"/>
  <c r="C11" i="41"/>
  <c r="C9" i="41"/>
  <c r="C7" i="41"/>
  <c r="C5" i="41"/>
  <c r="C3" i="41"/>
  <c r="E19" i="41"/>
  <c r="E13" i="41"/>
  <c r="E7" i="41"/>
  <c r="E21" i="41"/>
  <c r="E17" i="41"/>
  <c r="E11" i="41"/>
  <c r="E3" i="41"/>
  <c r="D23" i="41"/>
  <c r="D21" i="41"/>
  <c r="D19" i="41"/>
  <c r="D17" i="41"/>
  <c r="D15" i="41"/>
  <c r="D11" i="41"/>
  <c r="D9" i="41"/>
  <c r="D7" i="41"/>
  <c r="D3" i="41"/>
  <c r="F22" i="41"/>
  <c r="F18" i="41"/>
  <c r="F6" i="41"/>
  <c r="D14" i="41"/>
  <c r="E24" i="41"/>
  <c r="E22" i="41"/>
  <c r="E20" i="41"/>
  <c r="E18" i="41"/>
  <c r="E16" i="41"/>
  <c r="E14" i="41"/>
  <c r="E12" i="41"/>
  <c r="E10" i="41"/>
  <c r="E8" i="41"/>
  <c r="E6" i="41"/>
  <c r="E4" i="41"/>
  <c r="D24" i="41"/>
  <c r="D20" i="41"/>
  <c r="D18" i="41"/>
  <c r="D16" i="41"/>
  <c r="D12" i="41"/>
  <c r="D10" i="41"/>
  <c r="D8" i="41"/>
  <c r="D6" i="41"/>
  <c r="C24" i="41"/>
  <c r="C22" i="41"/>
  <c r="C20" i="41"/>
  <c r="C18" i="41"/>
  <c r="C16" i="41"/>
  <c r="C14" i="41"/>
  <c r="C12" i="41"/>
  <c r="C10" i="41"/>
  <c r="C8" i="41"/>
  <c r="C6" i="41"/>
  <c r="C4" i="41"/>
  <c r="E23" i="41"/>
  <c r="E15" i="41"/>
  <c r="E5" i="41"/>
  <c r="D13" i="41"/>
  <c r="F24" i="41"/>
  <c r="F20" i="41"/>
  <c r="F16" i="41"/>
  <c r="F14" i="41"/>
  <c r="F12" i="41"/>
  <c r="F10" i="41"/>
  <c r="F8" i="41"/>
  <c r="F4" i="41"/>
  <c r="D22" i="41"/>
  <c r="D4" i="41"/>
  <c r="F23" i="41"/>
  <c r="F21" i="41"/>
  <c r="F19" i="41"/>
  <c r="F17" i="41"/>
  <c r="F15" i="41"/>
  <c r="F13" i="41"/>
  <c r="F11" i="41"/>
  <c r="F9" i="41"/>
  <c r="F7" i="41"/>
  <c r="F5" i="41"/>
  <c r="F3" i="41"/>
  <c r="B1" i="8"/>
  <c r="C3" i="8" s="1"/>
  <c r="E3" i="8" s="1"/>
  <c r="AC2" i="40"/>
  <c r="E10" i="40"/>
  <c r="E9" i="40"/>
  <c r="E8" i="40"/>
  <c r="D9" i="40"/>
  <c r="D8" i="40"/>
  <c r="D10" i="40"/>
  <c r="F9" i="40"/>
  <c r="F8" i="40"/>
  <c r="N7" i="40"/>
  <c r="AC2" i="39"/>
  <c r="AC7" i="39"/>
  <c r="O7" i="39"/>
  <c r="AB7" i="39" s="1"/>
  <c r="E30" i="38"/>
  <c r="E25" i="38"/>
  <c r="E20" i="38"/>
  <c r="E15" i="38"/>
  <c r="E22" i="38"/>
  <c r="E18" i="38"/>
  <c r="E16" i="38"/>
  <c r="E14" i="38"/>
  <c r="E33" i="38"/>
  <c r="E12" i="38"/>
  <c r="E9" i="38"/>
  <c r="E31" i="38"/>
  <c r="E29" i="38"/>
  <c r="E27" i="38"/>
  <c r="E23" i="38"/>
  <c r="E21" i="38"/>
  <c r="E19" i="38"/>
  <c r="E17" i="38"/>
  <c r="E13" i="38"/>
  <c r="E10" i="38"/>
  <c r="E11" i="38"/>
  <c r="E8" i="38"/>
  <c r="E32" i="38"/>
  <c r="E28" i="38"/>
  <c r="E26" i="38"/>
  <c r="E24" i="38"/>
  <c r="N7" i="38"/>
  <c r="AC7" i="37"/>
  <c r="N9" i="37"/>
  <c r="N10" i="37"/>
  <c r="AC2" i="37"/>
  <c r="N13" i="37"/>
  <c r="N20" i="37"/>
  <c r="E8" i="37"/>
  <c r="AC3" i="37"/>
  <c r="F8" i="37"/>
  <c r="N32" i="37"/>
  <c r="N27" i="37"/>
  <c r="N22" i="37"/>
  <c r="N17" i="37"/>
  <c r="N12" i="37"/>
  <c r="N23" i="37"/>
  <c r="N19" i="37"/>
  <c r="N31" i="37"/>
  <c r="N18" i="37"/>
  <c r="N14" i="37"/>
  <c r="N28" i="37"/>
  <c r="N24" i="37"/>
  <c r="N30" i="37"/>
  <c r="N15" i="37"/>
  <c r="N29" i="37"/>
  <c r="N11" i="37"/>
  <c r="N33" i="37"/>
  <c r="N26" i="37"/>
  <c r="N25" i="37"/>
  <c r="O7" i="37"/>
  <c r="AB7" i="37" s="1"/>
  <c r="N21" i="37"/>
  <c r="O7" i="36"/>
  <c r="AB7" i="36" s="1"/>
  <c r="AC2" i="36"/>
  <c r="AE3" i="36"/>
  <c r="AG3" i="36"/>
  <c r="AD3" i="36"/>
  <c r="AK3" i="36"/>
  <c r="AJ3" i="36"/>
  <c r="AI3" i="36"/>
  <c r="AC7" i="36"/>
  <c r="AF3" i="36"/>
  <c r="AL3" i="36"/>
  <c r="AC2" i="35"/>
  <c r="F10" i="35"/>
  <c r="F13" i="35"/>
  <c r="N7" i="35"/>
  <c r="F30" i="35"/>
  <c r="F25" i="35"/>
  <c r="F20" i="35"/>
  <c r="F15" i="35"/>
  <c r="F33" i="35"/>
  <c r="F28" i="35"/>
  <c r="F23" i="35"/>
  <c r="F32" i="35"/>
  <c r="F27" i="35"/>
  <c r="F22" i="35"/>
  <c r="F19" i="35"/>
  <c r="F11" i="35"/>
  <c r="F9" i="35"/>
  <c r="F31" i="35"/>
  <c r="F21" i="35"/>
  <c r="F14" i="35"/>
  <c r="F24" i="35"/>
  <c r="F29" i="35"/>
  <c r="F18" i="35"/>
  <c r="F17" i="35"/>
  <c r="F16" i="35"/>
  <c r="F12" i="35"/>
  <c r="F8" i="35"/>
  <c r="F30" i="34"/>
  <c r="F25" i="34"/>
  <c r="F20" i="34"/>
  <c r="F15" i="34"/>
  <c r="F33" i="34"/>
  <c r="F32" i="34"/>
  <c r="F31" i="34"/>
  <c r="F27" i="34"/>
  <c r="F18" i="34"/>
  <c r="F14" i="34"/>
  <c r="F26" i="34"/>
  <c r="F22" i="34"/>
  <c r="F17" i="34"/>
  <c r="F12" i="34"/>
  <c r="F8" i="34"/>
  <c r="F28" i="34"/>
  <c r="F24" i="34"/>
  <c r="F29" i="34"/>
  <c r="F10" i="34"/>
  <c r="F9" i="34"/>
  <c r="F13" i="34"/>
  <c r="F19" i="34"/>
  <c r="F23" i="34"/>
  <c r="F21" i="34"/>
  <c r="F16" i="34"/>
  <c r="F11" i="34"/>
  <c r="O7" i="34"/>
  <c r="AB7" i="34" s="1"/>
  <c r="N7" i="34"/>
  <c r="F8" i="33"/>
  <c r="F9" i="33"/>
  <c r="N7" i="33"/>
  <c r="O7" i="33"/>
  <c r="AB7" i="33" s="1"/>
  <c r="O7" i="32"/>
  <c r="AB7" i="32" s="1"/>
  <c r="N7" i="32"/>
  <c r="F10" i="31"/>
  <c r="F13" i="31"/>
  <c r="AC2" i="31"/>
  <c r="F14" i="31"/>
  <c r="F18" i="31"/>
  <c r="F24" i="31"/>
  <c r="F19" i="31"/>
  <c r="N7" i="31"/>
  <c r="F23" i="31"/>
  <c r="F22" i="31"/>
  <c r="F26" i="31"/>
  <c r="F30" i="31"/>
  <c r="F25" i="31"/>
  <c r="F20" i="31"/>
  <c r="F15" i="31"/>
  <c r="F33" i="31"/>
  <c r="F32" i="31"/>
  <c r="F16" i="31"/>
  <c r="F12" i="31"/>
  <c r="F31" i="31"/>
  <c r="F28" i="31"/>
  <c r="F27" i="31"/>
  <c r="F11" i="31"/>
  <c r="F9" i="31"/>
  <c r="F21" i="31"/>
  <c r="F17" i="31"/>
  <c r="F8" i="31"/>
  <c r="F30" i="30"/>
  <c r="F25" i="30"/>
  <c r="F20" i="30"/>
  <c r="F15" i="30"/>
  <c r="F29" i="30"/>
  <c r="F16" i="30"/>
  <c r="F12" i="30"/>
  <c r="F24" i="30"/>
  <c r="F31" i="30"/>
  <c r="F11" i="30"/>
  <c r="F33" i="30"/>
  <c r="F27" i="30"/>
  <c r="F17" i="30"/>
  <c r="F28" i="30"/>
  <c r="F19" i="30"/>
  <c r="F18" i="30"/>
  <c r="F14" i="30"/>
  <c r="F9" i="30"/>
  <c r="F8" i="30"/>
  <c r="F23" i="30"/>
  <c r="F21" i="30"/>
  <c r="F32" i="30"/>
  <c r="F26" i="30"/>
  <c r="N7" i="30"/>
  <c r="AC2" i="30"/>
  <c r="O7" i="30"/>
  <c r="AB7" i="30" s="1"/>
  <c r="F10" i="30"/>
  <c r="F22" i="30"/>
  <c r="O7" i="29"/>
  <c r="AB7" i="29" s="1"/>
  <c r="F30" i="29"/>
  <c r="F25" i="29"/>
  <c r="F20" i="29"/>
  <c r="F15" i="29"/>
  <c r="F33" i="29"/>
  <c r="F29" i="29"/>
  <c r="F24" i="29"/>
  <c r="F16" i="29"/>
  <c r="F12" i="29"/>
  <c r="F26" i="29"/>
  <c r="F19" i="29"/>
  <c r="F32" i="29"/>
  <c r="F28" i="29"/>
  <c r="F27" i="29"/>
  <c r="F18" i="29"/>
  <c r="F14" i="29"/>
  <c r="F21" i="29"/>
  <c r="F22" i="29"/>
  <c r="F8" i="29"/>
  <c r="F23" i="29"/>
  <c r="F17" i="29"/>
  <c r="F31" i="29"/>
  <c r="F11" i="29"/>
  <c r="F10" i="29"/>
  <c r="F13" i="29"/>
  <c r="F9" i="29"/>
  <c r="N7" i="29"/>
  <c r="AC2" i="28"/>
  <c r="F31" i="28"/>
  <c r="F26" i="28"/>
  <c r="F21" i="28"/>
  <c r="F16" i="28"/>
  <c r="F30" i="28"/>
  <c r="F22" i="28"/>
  <c r="F14" i="28"/>
  <c r="F13" i="28"/>
  <c r="F11" i="28"/>
  <c r="F32" i="28"/>
  <c r="F24" i="28"/>
  <c r="F23" i="28"/>
  <c r="F15" i="28"/>
  <c r="F27" i="28"/>
  <c r="F33" i="28"/>
  <c r="F25" i="28"/>
  <c r="F17" i="28"/>
  <c r="F10" i="28"/>
  <c r="F29" i="28"/>
  <c r="F28" i="28"/>
  <c r="F20" i="28"/>
  <c r="F8" i="28"/>
  <c r="F12" i="28"/>
  <c r="F9" i="28"/>
  <c r="F18" i="28"/>
  <c r="F19" i="28"/>
  <c r="N7" i="28"/>
  <c r="N7" i="27"/>
  <c r="AC3" i="27" s="1"/>
  <c r="O7" i="27"/>
  <c r="AB7" i="27" s="1"/>
  <c r="E8" i="27"/>
  <c r="E9" i="27"/>
  <c r="E10" i="27"/>
  <c r="F8" i="27"/>
  <c r="F11" i="27"/>
  <c r="F9" i="27"/>
  <c r="AC2" i="26"/>
  <c r="N7" i="26"/>
  <c r="F8" i="25"/>
  <c r="N7" i="25"/>
  <c r="AC2" i="25"/>
  <c r="F9" i="25"/>
  <c r="F10" i="25"/>
  <c r="E10" i="25"/>
  <c r="E8" i="25"/>
  <c r="E9" i="25"/>
  <c r="O7" i="24"/>
  <c r="AB7" i="24" s="1"/>
  <c r="N7" i="24"/>
  <c r="N7" i="23"/>
  <c r="O7" i="23"/>
  <c r="AB7" i="23" s="1"/>
  <c r="AC2" i="22"/>
  <c r="N7" i="22"/>
  <c r="E18" i="21"/>
  <c r="E19" i="21"/>
  <c r="N7" i="21"/>
  <c r="N22" i="21" s="1"/>
  <c r="E20" i="21"/>
  <c r="E29" i="21"/>
  <c r="F31" i="21"/>
  <c r="F26" i="21"/>
  <c r="F21" i="21"/>
  <c r="F16" i="21"/>
  <c r="F11" i="21"/>
  <c r="F17" i="21"/>
  <c r="F13" i="21"/>
  <c r="F8" i="21"/>
  <c r="F33" i="21"/>
  <c r="F25" i="21"/>
  <c r="F12" i="21"/>
  <c r="F27" i="21"/>
  <c r="F20" i="21"/>
  <c r="F22" i="21"/>
  <c r="F30" i="21"/>
  <c r="F9" i="21"/>
  <c r="F14" i="21"/>
  <c r="F23" i="21"/>
  <c r="F24" i="21"/>
  <c r="F15" i="21"/>
  <c r="F19" i="21"/>
  <c r="F18" i="21"/>
  <c r="F28" i="21"/>
  <c r="F10" i="21"/>
  <c r="F32" i="21"/>
  <c r="F29" i="21"/>
  <c r="N28" i="21"/>
  <c r="N23" i="21"/>
  <c r="N18" i="21"/>
  <c r="N13" i="21"/>
  <c r="N14" i="21"/>
  <c r="N10" i="21"/>
  <c r="N30" i="21"/>
  <c r="N24" i="21"/>
  <c r="N21" i="21"/>
  <c r="N17" i="21"/>
  <c r="E14" i="21"/>
  <c r="E33" i="21"/>
  <c r="E28" i="21"/>
  <c r="E23" i="21"/>
  <c r="E32" i="21"/>
  <c r="E24" i="21"/>
  <c r="E21" i="21"/>
  <c r="E17" i="21"/>
  <c r="E13" i="21"/>
  <c r="E8" i="21"/>
  <c r="E26" i="21"/>
  <c r="E25" i="21"/>
  <c r="E16" i="21"/>
  <c r="E12" i="21"/>
  <c r="N9" i="21"/>
  <c r="O7" i="21"/>
  <c r="AB7" i="21" s="1"/>
  <c r="N20" i="21"/>
  <c r="E31" i="21"/>
  <c r="E10" i="21"/>
  <c r="AC7" i="21"/>
  <c r="N25" i="21"/>
  <c r="N26" i="21"/>
  <c r="N8" i="21"/>
  <c r="E11" i="21"/>
  <c r="E9" i="21"/>
  <c r="N15" i="21"/>
  <c r="E27" i="21"/>
  <c r="E30" i="21"/>
  <c r="N16" i="21"/>
  <c r="E22" i="21"/>
  <c r="C2" i="20"/>
  <c r="E2" i="20" s="1"/>
  <c r="C3" i="20"/>
  <c r="E3" i="20" s="1"/>
  <c r="C4" i="20"/>
  <c r="E4" i="20" s="1"/>
  <c r="B2" i="20"/>
  <c r="C3" i="19"/>
  <c r="E3" i="19" s="1"/>
  <c r="C2" i="19"/>
  <c r="E2" i="19" s="1"/>
  <c r="C4" i="19"/>
  <c r="E4" i="19" s="1"/>
  <c r="B2" i="19"/>
  <c r="BA1" i="1"/>
  <c r="AX1" i="1"/>
  <c r="AO1" i="1"/>
  <c r="AN1" i="1"/>
  <c r="AY1" i="1"/>
  <c r="AP1" i="1"/>
  <c r="AZ1" i="1"/>
  <c r="AG1" i="1"/>
  <c r="AQ1" i="1"/>
  <c r="AH1" i="1"/>
  <c r="BB1" i="1"/>
  <c r="AR1" i="1"/>
  <c r="AI1" i="1"/>
  <c r="AS1" i="1"/>
  <c r="AJ1" i="1"/>
  <c r="AT1" i="1"/>
  <c r="AK1" i="1"/>
  <c r="AU1" i="1"/>
  <c r="AL1" i="1"/>
  <c r="AV1" i="1"/>
  <c r="AM1" i="1"/>
  <c r="AW1" i="1"/>
  <c r="C8" i="31" l="1"/>
  <c r="C9" i="31" s="1"/>
  <c r="D9" i="31" s="1"/>
  <c r="G9" i="31" s="1"/>
  <c r="J9" i="31" s="1"/>
  <c r="AF1" i="1"/>
  <c r="R13" i="51"/>
  <c r="CF3" i="1"/>
  <c r="EH3" i="1"/>
  <c r="Z14" i="47"/>
  <c r="X14" i="47"/>
  <c r="AC12" i="54"/>
  <c r="S14" i="47"/>
  <c r="V13" i="51"/>
  <c r="W13" i="51"/>
  <c r="R14" i="47"/>
  <c r="Y14" i="47"/>
  <c r="AC12" i="53"/>
  <c r="AB12" i="50"/>
  <c r="R13" i="49"/>
  <c r="X13" i="49"/>
  <c r="V13" i="49"/>
  <c r="W13" i="49"/>
  <c r="U13" i="49"/>
  <c r="S13" i="49"/>
  <c r="Z13" i="49"/>
  <c r="Y13" i="49"/>
  <c r="T13" i="49"/>
  <c r="T14" i="47"/>
  <c r="AA14" i="47"/>
  <c r="AC14" i="47" s="1"/>
  <c r="M15" i="49"/>
  <c r="V14" i="47"/>
  <c r="C17" i="49"/>
  <c r="F16" i="49"/>
  <c r="I16" i="49" s="1"/>
  <c r="L16" i="49" s="1"/>
  <c r="E16" i="49"/>
  <c r="H16" i="49" s="1"/>
  <c r="K16" i="49" s="1"/>
  <c r="D16" i="49"/>
  <c r="G16" i="49" s="1"/>
  <c r="J16" i="49" s="1"/>
  <c r="P14" i="49"/>
  <c r="Q14" i="49" s="1"/>
  <c r="N14" i="49"/>
  <c r="O14" i="49" s="1"/>
  <c r="AB11" i="62"/>
  <c r="AA13" i="49"/>
  <c r="AC13" i="49" s="1"/>
  <c r="X13" i="51"/>
  <c r="S12" i="64"/>
  <c r="AA13" i="51"/>
  <c r="AC13" i="51" s="1"/>
  <c r="Y13" i="51"/>
  <c r="Z13" i="51"/>
  <c r="U13" i="51"/>
  <c r="R12" i="64"/>
  <c r="V12" i="64"/>
  <c r="S13" i="51"/>
  <c r="W12" i="64"/>
  <c r="AB12" i="52"/>
  <c r="W13" i="52"/>
  <c r="C8" i="37"/>
  <c r="C8" i="36"/>
  <c r="C8" i="20"/>
  <c r="D9" i="44"/>
  <c r="G9" i="44" s="1"/>
  <c r="J9" i="44" s="1"/>
  <c r="D8" i="44"/>
  <c r="G8" i="44" s="1"/>
  <c r="J8" i="44" s="1"/>
  <c r="D10" i="44"/>
  <c r="G10" i="44" s="1"/>
  <c r="J10" i="44" s="1"/>
  <c r="D11" i="44"/>
  <c r="G11" i="44" s="1"/>
  <c r="J11" i="44" s="1"/>
  <c r="D12" i="44"/>
  <c r="G12" i="44" s="1"/>
  <c r="J12" i="44" s="1"/>
  <c r="D13" i="44"/>
  <c r="G13" i="44" s="1"/>
  <c r="J13" i="44" s="1"/>
  <c r="AC2" i="44"/>
  <c r="N7" i="44"/>
  <c r="O7" i="44"/>
  <c r="AB7" i="44" s="1"/>
  <c r="C8" i="33"/>
  <c r="F8" i="44"/>
  <c r="I8" i="44" s="1"/>
  <c r="L8" i="44" s="1"/>
  <c r="F9" i="44"/>
  <c r="I9" i="44" s="1"/>
  <c r="L9" i="44" s="1"/>
  <c r="F10" i="44"/>
  <c r="I10" i="44" s="1"/>
  <c r="L10" i="44" s="1"/>
  <c r="F11" i="44"/>
  <c r="I11" i="44" s="1"/>
  <c r="L11" i="44" s="1"/>
  <c r="F12" i="44"/>
  <c r="I12" i="44" s="1"/>
  <c r="L12" i="44" s="1"/>
  <c r="F13" i="44"/>
  <c r="I13" i="44" s="1"/>
  <c r="L13" i="44" s="1"/>
  <c r="C8" i="27"/>
  <c r="C9" i="27" s="1"/>
  <c r="I9" i="27" s="1"/>
  <c r="L9" i="27" s="1"/>
  <c r="F2" i="41"/>
  <c r="E8" i="44"/>
  <c r="H8" i="44" s="1"/>
  <c r="K8" i="44" s="1"/>
  <c r="E9" i="44"/>
  <c r="H9" i="44" s="1"/>
  <c r="K9" i="44" s="1"/>
  <c r="E10" i="44"/>
  <c r="H10" i="44" s="1"/>
  <c r="K10" i="44" s="1"/>
  <c r="E11" i="44"/>
  <c r="H11" i="44" s="1"/>
  <c r="K11" i="44" s="1"/>
  <c r="E12" i="44"/>
  <c r="H12" i="44" s="1"/>
  <c r="K12" i="44" s="1"/>
  <c r="E13" i="44"/>
  <c r="H13" i="44" s="1"/>
  <c r="K13" i="44" s="1"/>
  <c r="C8" i="32"/>
  <c r="C8" i="25"/>
  <c r="C8" i="21"/>
  <c r="D2" i="41"/>
  <c r="C8" i="34"/>
  <c r="W14" i="45"/>
  <c r="AB11" i="60"/>
  <c r="T12" i="64"/>
  <c r="C8" i="35"/>
  <c r="C8" i="38"/>
  <c r="C9" i="38" s="1"/>
  <c r="F9" i="38" s="1"/>
  <c r="I9" i="38" s="1"/>
  <c r="L9" i="38" s="1"/>
  <c r="E2" i="41"/>
  <c r="C2" i="41"/>
  <c r="C8" i="24"/>
  <c r="C8" i="29"/>
  <c r="C8" i="22"/>
  <c r="C8" i="28"/>
  <c r="X12" i="58"/>
  <c r="S14" i="45"/>
  <c r="Z12" i="64"/>
  <c r="R14" i="45"/>
  <c r="U14" i="45"/>
  <c r="O14" i="50"/>
  <c r="AA12" i="64"/>
  <c r="AC12" i="64" s="1"/>
  <c r="X12" i="64"/>
  <c r="R13" i="52"/>
  <c r="Y12" i="64"/>
  <c r="V14" i="45"/>
  <c r="P13" i="58"/>
  <c r="Q13" i="58" s="1"/>
  <c r="Z13" i="58" s="1"/>
  <c r="Y14" i="45"/>
  <c r="P13" i="56"/>
  <c r="Q13" i="56" s="1"/>
  <c r="S13" i="56" s="1"/>
  <c r="Z13" i="52"/>
  <c r="N13" i="60"/>
  <c r="O13" i="60" s="1"/>
  <c r="AC11" i="55"/>
  <c r="S13" i="52"/>
  <c r="AC13" i="54"/>
  <c r="S12" i="58"/>
  <c r="AB12" i="56"/>
  <c r="U12" i="58"/>
  <c r="AC12" i="60"/>
  <c r="M14" i="56"/>
  <c r="O14" i="56" s="1"/>
  <c r="AB13" i="48"/>
  <c r="T12" i="58"/>
  <c r="R12" i="58"/>
  <c r="AA12" i="43"/>
  <c r="AC12" i="43" s="1"/>
  <c r="Y13" i="52"/>
  <c r="P13" i="62"/>
  <c r="Q13" i="62" s="1"/>
  <c r="R13" i="62" s="1"/>
  <c r="Z14" i="45"/>
  <c r="T14" i="45"/>
  <c r="AA14" i="45"/>
  <c r="AC14" i="45" s="1"/>
  <c r="M14" i="55"/>
  <c r="P13" i="43"/>
  <c r="Q13" i="43" s="1"/>
  <c r="X13" i="43" s="1"/>
  <c r="U12" i="62"/>
  <c r="AB10" i="46"/>
  <c r="BN4" i="1" s="1"/>
  <c r="M14" i="43"/>
  <c r="O14" i="43" s="1"/>
  <c r="Y12" i="63"/>
  <c r="X12" i="63"/>
  <c r="M13" i="46"/>
  <c r="P13" i="55"/>
  <c r="Q13" i="55" s="1"/>
  <c r="N13" i="55"/>
  <c r="O13" i="55" s="1"/>
  <c r="C16" i="43"/>
  <c r="D15" i="43"/>
  <c r="G15" i="43" s="1"/>
  <c r="J15" i="43" s="1"/>
  <c r="F15" i="43"/>
  <c r="I15" i="43" s="1"/>
  <c r="L15" i="43" s="1"/>
  <c r="H15" i="43"/>
  <c r="K15" i="43" s="1"/>
  <c r="Y12" i="43"/>
  <c r="U12" i="43"/>
  <c r="W12" i="43"/>
  <c r="T12" i="43"/>
  <c r="S12" i="43"/>
  <c r="V12" i="43"/>
  <c r="X12" i="43"/>
  <c r="R12" i="43"/>
  <c r="Z12" i="43"/>
  <c r="E15" i="55"/>
  <c r="H15" i="55" s="1"/>
  <c r="K15" i="55" s="1"/>
  <c r="C16" i="55"/>
  <c r="D15" i="55"/>
  <c r="G15" i="55" s="1"/>
  <c r="J15" i="55" s="1"/>
  <c r="I15" i="55"/>
  <c r="L15" i="55" s="1"/>
  <c r="AA11" i="46"/>
  <c r="AC11" i="46" s="1"/>
  <c r="AA12" i="63"/>
  <c r="AC12" i="63" s="1"/>
  <c r="R12" i="63"/>
  <c r="T12" i="55"/>
  <c r="S12" i="55"/>
  <c r="R12" i="55"/>
  <c r="X12" i="55"/>
  <c r="Z12" i="55"/>
  <c r="Y12" i="55"/>
  <c r="W12" i="55"/>
  <c r="V12" i="55"/>
  <c r="U12" i="55"/>
  <c r="U11" i="46"/>
  <c r="R11" i="46"/>
  <c r="W11" i="46"/>
  <c r="S11" i="46"/>
  <c r="T11" i="46"/>
  <c r="Z11" i="46"/>
  <c r="Y11" i="46"/>
  <c r="X11" i="46"/>
  <c r="V11" i="46"/>
  <c r="S12" i="63"/>
  <c r="H14" i="46"/>
  <c r="K14" i="46" s="1"/>
  <c r="D14" i="46"/>
  <c r="G14" i="46" s="1"/>
  <c r="J14" i="46" s="1"/>
  <c r="C15" i="46"/>
  <c r="I14" i="46"/>
  <c r="L14" i="46" s="1"/>
  <c r="D15" i="56"/>
  <c r="G15" i="56" s="1"/>
  <c r="J15" i="56" s="1"/>
  <c r="E15" i="56"/>
  <c r="H15" i="56" s="1"/>
  <c r="K15" i="56" s="1"/>
  <c r="I15" i="56"/>
  <c r="L15" i="56" s="1"/>
  <c r="C16" i="56"/>
  <c r="P12" i="46"/>
  <c r="Q12" i="46" s="1"/>
  <c r="O12" i="46"/>
  <c r="AA12" i="55"/>
  <c r="AC12" i="55" s="1"/>
  <c r="AC12" i="59"/>
  <c r="T12" i="63"/>
  <c r="U12" i="63"/>
  <c r="AB12" i="65"/>
  <c r="AC13" i="48"/>
  <c r="X13" i="52"/>
  <c r="Y12" i="58"/>
  <c r="W12" i="63"/>
  <c r="AA13" i="52"/>
  <c r="AC13" i="52" s="1"/>
  <c r="AB13" i="65"/>
  <c r="AB11" i="63"/>
  <c r="T13" i="52"/>
  <c r="V12" i="58"/>
  <c r="V12" i="63"/>
  <c r="P14" i="48"/>
  <c r="Q14" i="48" s="1"/>
  <c r="Y14" i="48" s="1"/>
  <c r="U13" i="52"/>
  <c r="Y12" i="62"/>
  <c r="S12" i="62"/>
  <c r="N13" i="64"/>
  <c r="O13" i="64" s="1"/>
  <c r="O14" i="52"/>
  <c r="Z12" i="58"/>
  <c r="R12" i="62"/>
  <c r="AB13" i="51"/>
  <c r="N14" i="54"/>
  <c r="O14" i="54" s="1"/>
  <c r="AA12" i="58"/>
  <c r="AC12" i="58" s="1"/>
  <c r="N14" i="51"/>
  <c r="O14" i="51" s="1"/>
  <c r="W12" i="62"/>
  <c r="T12" i="62"/>
  <c r="M14" i="44"/>
  <c r="P14" i="44" s="1"/>
  <c r="Q14" i="44" s="1"/>
  <c r="AA15" i="47"/>
  <c r="AC15" i="47" s="1"/>
  <c r="M15" i="48"/>
  <c r="N15" i="48" s="1"/>
  <c r="O15" i="48" s="1"/>
  <c r="N13" i="53"/>
  <c r="O13" i="53" s="1"/>
  <c r="N13" i="59"/>
  <c r="O13" i="59" s="1"/>
  <c r="V12" i="62"/>
  <c r="P13" i="63"/>
  <c r="Q13" i="63" s="1"/>
  <c r="V13" i="63" s="1"/>
  <c r="P15" i="45"/>
  <c r="Q15" i="45" s="1"/>
  <c r="Z15" i="45" s="1"/>
  <c r="X12" i="62"/>
  <c r="M15" i="65"/>
  <c r="O15" i="65" s="1"/>
  <c r="P14" i="65"/>
  <c r="Q14" i="65" s="1"/>
  <c r="T14" i="65" s="1"/>
  <c r="C17" i="65"/>
  <c r="G16" i="65"/>
  <c r="J16" i="65" s="1"/>
  <c r="H16" i="65"/>
  <c r="K16" i="65" s="1"/>
  <c r="I16" i="65"/>
  <c r="L16" i="65" s="1"/>
  <c r="M14" i="64"/>
  <c r="N14" i="64" s="1"/>
  <c r="C16" i="64"/>
  <c r="F15" i="64"/>
  <c r="I15" i="64" s="1"/>
  <c r="L15" i="64" s="1"/>
  <c r="E15" i="64"/>
  <c r="H15" i="64" s="1"/>
  <c r="K15" i="64" s="1"/>
  <c r="D15" i="64"/>
  <c r="G15" i="64" s="1"/>
  <c r="J15" i="64" s="1"/>
  <c r="R13" i="64"/>
  <c r="U13" i="64"/>
  <c r="T13" i="64"/>
  <c r="S13" i="64"/>
  <c r="Z13" i="64"/>
  <c r="X13" i="64"/>
  <c r="W13" i="64"/>
  <c r="Y13" i="64"/>
  <c r="V13" i="64"/>
  <c r="AA13" i="64"/>
  <c r="M14" i="63"/>
  <c r="O14" i="63" s="1"/>
  <c r="C16" i="63"/>
  <c r="F15" i="63"/>
  <c r="I15" i="63" s="1"/>
  <c r="L15" i="63" s="1"/>
  <c r="D15" i="63"/>
  <c r="G15" i="63" s="1"/>
  <c r="J15" i="63" s="1"/>
  <c r="H15" i="63"/>
  <c r="K15" i="63" s="1"/>
  <c r="M14" i="62"/>
  <c r="O14" i="62" s="1"/>
  <c r="AA12" i="62"/>
  <c r="AC12" i="62" s="1"/>
  <c r="C16" i="62"/>
  <c r="D15" i="62"/>
  <c r="G15" i="62" s="1"/>
  <c r="J15" i="62" s="1"/>
  <c r="I15" i="62"/>
  <c r="L15" i="62" s="1"/>
  <c r="H15" i="62"/>
  <c r="K15" i="62" s="1"/>
  <c r="M14" i="61"/>
  <c r="C16" i="61"/>
  <c r="F15" i="61"/>
  <c r="L15" i="61" s="1"/>
  <c r="E15" i="61"/>
  <c r="K15" i="61" s="1"/>
  <c r="D15" i="61"/>
  <c r="AB12" i="60"/>
  <c r="M14" i="60"/>
  <c r="P14" i="60" s="1"/>
  <c r="Q14" i="60" s="1"/>
  <c r="C16" i="60"/>
  <c r="D15" i="60"/>
  <c r="G15" i="60" s="1"/>
  <c r="J15" i="60" s="1"/>
  <c r="E15" i="60"/>
  <c r="H15" i="60" s="1"/>
  <c r="K15" i="60" s="1"/>
  <c r="I15" i="60"/>
  <c r="L15" i="60" s="1"/>
  <c r="U13" i="60"/>
  <c r="Z13" i="60"/>
  <c r="Y13" i="60"/>
  <c r="X13" i="60"/>
  <c r="W13" i="60"/>
  <c r="V13" i="60"/>
  <c r="T13" i="60"/>
  <c r="R13" i="60"/>
  <c r="S13" i="60"/>
  <c r="AA13" i="60"/>
  <c r="M14" i="59"/>
  <c r="P14" i="59" s="1"/>
  <c r="Q14" i="59" s="1"/>
  <c r="AA13" i="59"/>
  <c r="AB12" i="59"/>
  <c r="C16" i="59"/>
  <c r="D15" i="59"/>
  <c r="G15" i="59" s="1"/>
  <c r="J15" i="59" s="1"/>
  <c r="E15" i="59"/>
  <c r="H15" i="59" s="1"/>
  <c r="K15" i="59" s="1"/>
  <c r="I15" i="59"/>
  <c r="L15" i="59" s="1"/>
  <c r="R13" i="59"/>
  <c r="Z13" i="59"/>
  <c r="Y13" i="59"/>
  <c r="X13" i="59"/>
  <c r="W13" i="59"/>
  <c r="V13" i="59"/>
  <c r="U13" i="59"/>
  <c r="T13" i="59"/>
  <c r="S13" i="59"/>
  <c r="M14" i="58"/>
  <c r="N14" i="58" s="1"/>
  <c r="O14" i="58" s="1"/>
  <c r="E15" i="58"/>
  <c r="H15" i="58" s="1"/>
  <c r="K15" i="58" s="1"/>
  <c r="C16" i="58"/>
  <c r="D15" i="58"/>
  <c r="G15" i="58" s="1"/>
  <c r="J15" i="58" s="1"/>
  <c r="I15" i="58"/>
  <c r="L15" i="58" s="1"/>
  <c r="M14" i="57"/>
  <c r="P14" i="57" s="1"/>
  <c r="Q14" i="57" s="1"/>
  <c r="P13" i="57"/>
  <c r="Q13" i="57" s="1"/>
  <c r="Z13" i="57" s="1"/>
  <c r="AB12" i="57"/>
  <c r="C16" i="57"/>
  <c r="D15" i="57"/>
  <c r="G15" i="57" s="1"/>
  <c r="J15" i="57" s="1"/>
  <c r="E15" i="57"/>
  <c r="H15" i="57" s="1"/>
  <c r="K15" i="57" s="1"/>
  <c r="F15" i="57"/>
  <c r="I15" i="57" s="1"/>
  <c r="L15" i="57" s="1"/>
  <c r="M15" i="54"/>
  <c r="N15" i="54" s="1"/>
  <c r="C17" i="54"/>
  <c r="E16" i="54"/>
  <c r="H16" i="54" s="1"/>
  <c r="K16" i="54" s="1"/>
  <c r="D16" i="54"/>
  <c r="G16" i="54" s="1"/>
  <c r="J16" i="54" s="1"/>
  <c r="I16" i="54"/>
  <c r="L16" i="54" s="1"/>
  <c r="AB13" i="54"/>
  <c r="V14" i="54"/>
  <c r="R14" i="54"/>
  <c r="Z14" i="54"/>
  <c r="Y14" i="54"/>
  <c r="X14" i="54"/>
  <c r="W14" i="54"/>
  <c r="U14" i="54"/>
  <c r="T14" i="54"/>
  <c r="S14" i="54"/>
  <c r="AA14" i="54"/>
  <c r="AB12" i="53"/>
  <c r="M14" i="53"/>
  <c r="P14" i="53" s="1"/>
  <c r="Q14" i="53" s="1"/>
  <c r="C16" i="53"/>
  <c r="E15" i="53"/>
  <c r="H15" i="53" s="1"/>
  <c r="K15" i="53" s="1"/>
  <c r="D15" i="53"/>
  <c r="G15" i="53" s="1"/>
  <c r="J15" i="53" s="1"/>
  <c r="I15" i="53"/>
  <c r="L15" i="53" s="1"/>
  <c r="R13" i="53"/>
  <c r="V13" i="53"/>
  <c r="U13" i="53"/>
  <c r="Z13" i="53"/>
  <c r="X13" i="53"/>
  <c r="W13" i="53"/>
  <c r="T13" i="53"/>
  <c r="S13" i="53"/>
  <c r="Y13" i="53"/>
  <c r="AA13" i="53"/>
  <c r="M15" i="52"/>
  <c r="O15" i="52" s="1"/>
  <c r="C17" i="52"/>
  <c r="D16" i="52"/>
  <c r="G16" i="52" s="1"/>
  <c r="J16" i="52" s="1"/>
  <c r="H16" i="52"/>
  <c r="K16" i="52" s="1"/>
  <c r="I16" i="52"/>
  <c r="L16" i="52" s="1"/>
  <c r="U14" i="52"/>
  <c r="V14" i="52"/>
  <c r="Z14" i="52"/>
  <c r="Y14" i="52"/>
  <c r="X14" i="52"/>
  <c r="W14" i="52"/>
  <c r="S14" i="52"/>
  <c r="R14" i="52"/>
  <c r="T14" i="52"/>
  <c r="AA14" i="52"/>
  <c r="AC14" i="52" s="1"/>
  <c r="M15" i="51"/>
  <c r="P15" i="51" s="1"/>
  <c r="Q15" i="51" s="1"/>
  <c r="AA14" i="51"/>
  <c r="C17" i="51"/>
  <c r="F16" i="51"/>
  <c r="I16" i="51" s="1"/>
  <c r="L16" i="51" s="1"/>
  <c r="E16" i="51"/>
  <c r="H16" i="51" s="1"/>
  <c r="K16" i="51" s="1"/>
  <c r="D16" i="51"/>
  <c r="G16" i="51" s="1"/>
  <c r="J16" i="51" s="1"/>
  <c r="V14" i="51"/>
  <c r="U14" i="51"/>
  <c r="T14" i="51"/>
  <c r="R14" i="51"/>
  <c r="Z14" i="51"/>
  <c r="Y14" i="51"/>
  <c r="X14" i="51"/>
  <c r="W14" i="51"/>
  <c r="S14" i="51"/>
  <c r="M15" i="50"/>
  <c r="O15" i="50" s="1"/>
  <c r="C17" i="50"/>
  <c r="D16" i="50"/>
  <c r="G16" i="50" s="1"/>
  <c r="J16" i="50" s="1"/>
  <c r="I16" i="50"/>
  <c r="L16" i="50" s="1"/>
  <c r="H16" i="50"/>
  <c r="K16" i="50" s="1"/>
  <c r="AB13" i="50"/>
  <c r="X14" i="50"/>
  <c r="U14" i="50"/>
  <c r="T14" i="50"/>
  <c r="S14" i="50"/>
  <c r="R14" i="50"/>
  <c r="Z14" i="50"/>
  <c r="Y14" i="50"/>
  <c r="W14" i="50"/>
  <c r="V14" i="50"/>
  <c r="AA14" i="50"/>
  <c r="AC14" i="50" s="1"/>
  <c r="C17" i="48"/>
  <c r="D16" i="48"/>
  <c r="G16" i="48" s="1"/>
  <c r="J16" i="48" s="1"/>
  <c r="F16" i="48"/>
  <c r="I16" i="48" s="1"/>
  <c r="L16" i="48" s="1"/>
  <c r="E16" i="48"/>
  <c r="H16" i="48" s="1"/>
  <c r="K16" i="48" s="1"/>
  <c r="O14" i="48"/>
  <c r="O15" i="47"/>
  <c r="M16" i="47"/>
  <c r="P16" i="47" s="1"/>
  <c r="Q16" i="47" s="1"/>
  <c r="C18" i="47"/>
  <c r="D17" i="47"/>
  <c r="G17" i="47" s="1"/>
  <c r="J17" i="47" s="1"/>
  <c r="F17" i="47"/>
  <c r="I17" i="47" s="1"/>
  <c r="L17" i="47" s="1"/>
  <c r="E17" i="47"/>
  <c r="H17" i="47" s="1"/>
  <c r="K17" i="47" s="1"/>
  <c r="R15" i="47"/>
  <c r="Y15" i="47"/>
  <c r="X15" i="47"/>
  <c r="W15" i="47"/>
  <c r="V15" i="47"/>
  <c r="U15" i="47"/>
  <c r="T15" i="47"/>
  <c r="S15" i="47"/>
  <c r="Z15" i="47"/>
  <c r="M16" i="45"/>
  <c r="P16" i="45" s="1"/>
  <c r="Q16" i="45" s="1"/>
  <c r="C18" i="45"/>
  <c r="D17" i="45"/>
  <c r="G17" i="45" s="1"/>
  <c r="J17" i="45" s="1"/>
  <c r="I17" i="45"/>
  <c r="L17" i="45" s="1"/>
  <c r="H17" i="45"/>
  <c r="K17" i="45" s="1"/>
  <c r="C16" i="44"/>
  <c r="E15" i="44"/>
  <c r="H15" i="44" s="1"/>
  <c r="K15" i="44" s="1"/>
  <c r="F15" i="44"/>
  <c r="I15" i="44" s="1"/>
  <c r="L15" i="44" s="1"/>
  <c r="D15" i="44"/>
  <c r="G15" i="44" s="1"/>
  <c r="J15" i="44" s="1"/>
  <c r="C8" i="40"/>
  <c r="C9" i="40" s="1"/>
  <c r="C10" i="40" s="1"/>
  <c r="G10" i="40" s="1"/>
  <c r="J10" i="40" s="1"/>
  <c r="C8" i="39"/>
  <c r="C9" i="39" s="1"/>
  <c r="C8" i="26"/>
  <c r="F8" i="26" s="1"/>
  <c r="I8" i="26" s="1"/>
  <c r="L8" i="26" s="1"/>
  <c r="C8" i="30"/>
  <c r="D8" i="30" s="1"/>
  <c r="G8" i="30" s="1"/>
  <c r="J8" i="30" s="1"/>
  <c r="C8" i="23"/>
  <c r="C9" i="23" s="1"/>
  <c r="F9" i="23" s="1"/>
  <c r="I9" i="23" s="1"/>
  <c r="L9" i="23" s="1"/>
  <c r="O2" i="41"/>
  <c r="O4" i="41"/>
  <c r="O3" i="41"/>
  <c r="O5" i="41"/>
  <c r="C4" i="8"/>
  <c r="E4" i="8" s="1"/>
  <c r="I8" i="27"/>
  <c r="L8" i="27" s="1"/>
  <c r="F8" i="38"/>
  <c r="I8" i="38" s="1"/>
  <c r="L8" i="38" s="1"/>
  <c r="D8" i="38"/>
  <c r="G8" i="38" s="1"/>
  <c r="J8" i="38" s="1"/>
  <c r="N29" i="21"/>
  <c r="N31" i="21"/>
  <c r="AC7" i="27"/>
  <c r="B2" i="8"/>
  <c r="AC2" i="8" s="1"/>
  <c r="N33" i="21"/>
  <c r="H8" i="38"/>
  <c r="K8" i="38" s="1"/>
  <c r="C2" i="8"/>
  <c r="E2" i="8" s="1"/>
  <c r="AC3" i="21"/>
  <c r="N19" i="21"/>
  <c r="N32" i="21"/>
  <c r="I8" i="31"/>
  <c r="L8" i="31" s="1"/>
  <c r="D8" i="27"/>
  <c r="G8" i="27" s="1"/>
  <c r="J8" i="27" s="1"/>
  <c r="E9" i="31"/>
  <c r="H9" i="31" s="1"/>
  <c r="K9" i="31" s="1"/>
  <c r="C10" i="31"/>
  <c r="I10" i="31" s="1"/>
  <c r="L10" i="31" s="1"/>
  <c r="D8" i="31"/>
  <c r="G8" i="31" s="1"/>
  <c r="J8" i="31" s="1"/>
  <c r="I9" i="31"/>
  <c r="L9" i="31" s="1"/>
  <c r="E8" i="31"/>
  <c r="H8" i="31" s="1"/>
  <c r="K8" i="31" s="1"/>
  <c r="B25" i="41"/>
  <c r="N43" i="14" s="1"/>
  <c r="E8" i="28"/>
  <c r="H8" i="28" s="1"/>
  <c r="K8" i="28" s="1"/>
  <c r="D8" i="28"/>
  <c r="G8" i="28" s="1"/>
  <c r="J8" i="28" s="1"/>
  <c r="C9" i="28"/>
  <c r="D9" i="28" s="1"/>
  <c r="G9" i="28" s="1"/>
  <c r="J9" i="28" s="1"/>
  <c r="C9" i="35"/>
  <c r="I9" i="35" s="1"/>
  <c r="L9" i="35" s="1"/>
  <c r="E8" i="35"/>
  <c r="H8" i="35" s="1"/>
  <c r="K8" i="35" s="1"/>
  <c r="D8" i="35"/>
  <c r="G8" i="35" s="1"/>
  <c r="J8" i="35" s="1"/>
  <c r="E8" i="22"/>
  <c r="H8" i="22" s="1"/>
  <c r="K8" i="22" s="1"/>
  <c r="F8" i="22"/>
  <c r="I8" i="22" s="1"/>
  <c r="L8" i="22" s="1"/>
  <c r="C9" i="22"/>
  <c r="D8" i="22"/>
  <c r="G8" i="22" s="1"/>
  <c r="J8" i="22" s="1"/>
  <c r="C9" i="24"/>
  <c r="E8" i="24"/>
  <c r="H8" i="24" s="1"/>
  <c r="K8" i="24" s="1"/>
  <c r="D8" i="24"/>
  <c r="G8" i="24" s="1"/>
  <c r="J8" i="24" s="1"/>
  <c r="F8" i="24"/>
  <c r="I8" i="24" s="1"/>
  <c r="L8" i="24" s="1"/>
  <c r="C9" i="33"/>
  <c r="I9" i="33" s="1"/>
  <c r="L9" i="33" s="1"/>
  <c r="D8" i="33"/>
  <c r="G8" i="33" s="1"/>
  <c r="J8" i="33" s="1"/>
  <c r="E8" i="33"/>
  <c r="H8" i="33" s="1"/>
  <c r="K8" i="33" s="1"/>
  <c r="D8" i="37"/>
  <c r="G8" i="37" s="1"/>
  <c r="J8" i="37" s="1"/>
  <c r="C9" i="37"/>
  <c r="C10" i="37" s="1"/>
  <c r="C9" i="32"/>
  <c r="D8" i="32"/>
  <c r="G8" i="32" s="1"/>
  <c r="J8" i="32" s="1"/>
  <c r="F8" i="32"/>
  <c r="I8" i="32" s="1"/>
  <c r="L8" i="32" s="1"/>
  <c r="E8" i="32"/>
  <c r="H8" i="32" s="1"/>
  <c r="K8" i="32" s="1"/>
  <c r="D8" i="34"/>
  <c r="G8" i="34" s="1"/>
  <c r="J8" i="34" s="1"/>
  <c r="C9" i="34"/>
  <c r="C10" i="34" s="1"/>
  <c r="I10" i="34" s="1"/>
  <c r="L10" i="34" s="1"/>
  <c r="E8" i="34"/>
  <c r="H8" i="34" s="1"/>
  <c r="K8" i="34" s="1"/>
  <c r="E8" i="36"/>
  <c r="H8" i="36" s="1"/>
  <c r="K8" i="36" s="1"/>
  <c r="D8" i="36"/>
  <c r="G8" i="36" s="1"/>
  <c r="J8" i="36" s="1"/>
  <c r="C9" i="36"/>
  <c r="F9" i="36" s="1"/>
  <c r="I9" i="36" s="1"/>
  <c r="L9" i="36" s="1"/>
  <c r="F8" i="36"/>
  <c r="I8" i="36" s="1"/>
  <c r="L8" i="36" s="1"/>
  <c r="D8" i="21"/>
  <c r="G8" i="21" s="1"/>
  <c r="J8" i="21" s="1"/>
  <c r="C9" i="21"/>
  <c r="D9" i="21" s="1"/>
  <c r="G9" i="21" s="1"/>
  <c r="J9" i="21" s="1"/>
  <c r="C9" i="25"/>
  <c r="I9" i="25" s="1"/>
  <c r="L9" i="25" s="1"/>
  <c r="D8" i="25"/>
  <c r="G8" i="25" s="1"/>
  <c r="J8" i="25" s="1"/>
  <c r="D8" i="29"/>
  <c r="G8" i="29" s="1"/>
  <c r="J8" i="29" s="1"/>
  <c r="E8" i="29"/>
  <c r="H8" i="29" s="1"/>
  <c r="K8" i="29" s="1"/>
  <c r="C9" i="29"/>
  <c r="D9" i="29" s="1"/>
  <c r="G9" i="29" s="1"/>
  <c r="J9" i="29" s="1"/>
  <c r="I8" i="21"/>
  <c r="L8" i="21" s="1"/>
  <c r="I8" i="25"/>
  <c r="L8" i="25" s="1"/>
  <c r="I8" i="28"/>
  <c r="L8" i="28" s="1"/>
  <c r="I8" i="29"/>
  <c r="L8" i="29" s="1"/>
  <c r="I8" i="34"/>
  <c r="L8" i="34" s="1"/>
  <c r="I8" i="35"/>
  <c r="L8" i="35" s="1"/>
  <c r="H9" i="38"/>
  <c r="K9" i="38" s="1"/>
  <c r="H8" i="21"/>
  <c r="K8" i="21" s="1"/>
  <c r="A2" i="12" a="1"/>
  <c r="A2" i="12" s="1"/>
  <c r="H8" i="25"/>
  <c r="K8" i="25" s="1"/>
  <c r="I8" i="37"/>
  <c r="L8" i="37" s="1"/>
  <c r="C8" i="8"/>
  <c r="C9" i="8" s="1"/>
  <c r="C10" i="8" s="1"/>
  <c r="E10" i="8" s="1"/>
  <c r="H10" i="8" s="1"/>
  <c r="K10" i="8" s="1"/>
  <c r="H8" i="37"/>
  <c r="K8" i="37" s="1"/>
  <c r="I8" i="33"/>
  <c r="L8" i="33" s="1"/>
  <c r="N9" i="40"/>
  <c r="AC7" i="40"/>
  <c r="N8" i="40"/>
  <c r="AC3" i="40"/>
  <c r="F10" i="40"/>
  <c r="N32" i="38"/>
  <c r="N27" i="38"/>
  <c r="N22" i="38"/>
  <c r="N17" i="38"/>
  <c r="N12" i="38"/>
  <c r="N31" i="38"/>
  <c r="N26" i="38"/>
  <c r="N21" i="38"/>
  <c r="N16" i="38"/>
  <c r="N11" i="38"/>
  <c r="N13" i="38"/>
  <c r="N29" i="38"/>
  <c r="N30" i="38"/>
  <c r="AC7" i="38"/>
  <c r="N25" i="38"/>
  <c r="N28" i="38"/>
  <c r="AC3" i="38"/>
  <c r="N24" i="38"/>
  <c r="N20" i="38"/>
  <c r="N9" i="38"/>
  <c r="N18" i="38"/>
  <c r="N14" i="38"/>
  <c r="N33" i="38"/>
  <c r="N23" i="38"/>
  <c r="N19" i="38"/>
  <c r="N8" i="38"/>
  <c r="N10" i="38"/>
  <c r="N15" i="38"/>
  <c r="AJ3" i="37"/>
  <c r="AI3" i="37"/>
  <c r="AG3" i="37"/>
  <c r="AF3" i="37"/>
  <c r="AE3" i="37"/>
  <c r="AK3" i="37"/>
  <c r="AH3" i="37"/>
  <c r="AD3" i="37"/>
  <c r="AL3" i="37"/>
  <c r="E9" i="37"/>
  <c r="F9" i="37"/>
  <c r="AC7" i="35"/>
  <c r="AC3" i="35"/>
  <c r="AC3" i="34"/>
  <c r="AC7" i="34"/>
  <c r="F10" i="33"/>
  <c r="AC3" i="33"/>
  <c r="AC7" i="33"/>
  <c r="N32" i="32"/>
  <c r="N27" i="32"/>
  <c r="N22" i="32"/>
  <c r="N17" i="32"/>
  <c r="N12" i="32"/>
  <c r="N30" i="32"/>
  <c r="N25" i="32"/>
  <c r="N31" i="32"/>
  <c r="N29" i="32"/>
  <c r="N28" i="32"/>
  <c r="N18" i="32"/>
  <c r="N14" i="32"/>
  <c r="N10" i="32"/>
  <c r="N33" i="32"/>
  <c r="N15" i="32"/>
  <c r="N11" i="32"/>
  <c r="N21" i="32"/>
  <c r="N20" i="32"/>
  <c r="N19" i="32"/>
  <c r="N8" i="32"/>
  <c r="N26" i="32"/>
  <c r="AC3" i="32"/>
  <c r="N23" i="32"/>
  <c r="N24" i="32"/>
  <c r="N13" i="32"/>
  <c r="AC7" i="32"/>
  <c r="N9" i="32"/>
  <c r="N16" i="32"/>
  <c r="N8" i="31"/>
  <c r="AC7" i="31"/>
  <c r="N10" i="31"/>
  <c r="N9" i="31"/>
  <c r="AC3" i="31"/>
  <c r="AC7" i="30"/>
  <c r="AC3" i="30"/>
  <c r="AC7" i="29"/>
  <c r="AC3" i="29"/>
  <c r="AC7" i="28"/>
  <c r="AC3" i="28"/>
  <c r="N9" i="27"/>
  <c r="N10" i="27"/>
  <c r="AH3" i="27"/>
  <c r="AE3" i="27"/>
  <c r="AG3" i="27"/>
  <c r="AF3" i="27"/>
  <c r="AD3" i="27"/>
  <c r="AI3" i="27"/>
  <c r="AL3" i="27"/>
  <c r="AK3" i="27"/>
  <c r="AJ3" i="27"/>
  <c r="E11" i="27"/>
  <c r="N8" i="27"/>
  <c r="AC7" i="26"/>
  <c r="AC3" i="26"/>
  <c r="E11" i="25"/>
  <c r="N10" i="25"/>
  <c r="N8" i="25"/>
  <c r="AC3" i="25"/>
  <c r="AC7" i="25"/>
  <c r="N9" i="25"/>
  <c r="AC3" i="24"/>
  <c r="AC7" i="24"/>
  <c r="AC7" i="23"/>
  <c r="AC3" i="23"/>
  <c r="N33" i="22"/>
  <c r="N28" i="22"/>
  <c r="N23" i="22"/>
  <c r="N18" i="22"/>
  <c r="N13" i="22"/>
  <c r="N31" i="22"/>
  <c r="N30" i="22"/>
  <c r="AC7" i="22"/>
  <c r="N21" i="22"/>
  <c r="N16" i="22"/>
  <c r="N12" i="22"/>
  <c r="AC3" i="22"/>
  <c r="N20" i="22"/>
  <c r="N9" i="22"/>
  <c r="N29" i="22"/>
  <c r="N22" i="22"/>
  <c r="N11" i="22"/>
  <c r="N19" i="22"/>
  <c r="N8" i="22"/>
  <c r="N27" i="22"/>
  <c r="N24" i="22"/>
  <c r="N17" i="22"/>
  <c r="N26" i="22"/>
  <c r="N15" i="22"/>
  <c r="N10" i="22"/>
  <c r="N25" i="22"/>
  <c r="N14" i="22"/>
  <c r="N32" i="22"/>
  <c r="N27" i="21"/>
  <c r="N12" i="21"/>
  <c r="N11" i="21"/>
  <c r="AH3" i="21"/>
  <c r="AG3" i="21"/>
  <c r="AE3" i="21"/>
  <c r="AD3" i="21"/>
  <c r="AL3" i="21"/>
  <c r="AI3" i="21"/>
  <c r="AK3" i="21"/>
  <c r="AJ3" i="21"/>
  <c r="AF3" i="21"/>
  <c r="D8" i="20"/>
  <c r="G8" i="20" s="1"/>
  <c r="J8" i="20" s="1"/>
  <c r="F9" i="20"/>
  <c r="F8" i="20"/>
  <c r="I8" i="20" s="1"/>
  <c r="L8" i="20" s="1"/>
  <c r="C9" i="20"/>
  <c r="D9" i="20" s="1"/>
  <c r="G9" i="20" s="1"/>
  <c r="J9" i="20" s="1"/>
  <c r="O7" i="20"/>
  <c r="AB7" i="20" s="1"/>
  <c r="AC2" i="20"/>
  <c r="N7" i="20"/>
  <c r="E9" i="20"/>
  <c r="E8" i="20"/>
  <c r="H8" i="20" s="1"/>
  <c r="K8" i="20" s="1"/>
  <c r="E10" i="19"/>
  <c r="E8" i="19"/>
  <c r="H8" i="19" s="1"/>
  <c r="K8" i="19" s="1"/>
  <c r="E9" i="19"/>
  <c r="H9" i="19" s="1"/>
  <c r="K9" i="19" s="1"/>
  <c r="AC2" i="19"/>
  <c r="N7" i="19"/>
  <c r="O7" i="19"/>
  <c r="AB7" i="19" s="1"/>
  <c r="D10" i="19"/>
  <c r="D8" i="19"/>
  <c r="G8" i="19" s="1"/>
  <c r="J8" i="19" s="1"/>
  <c r="D9" i="19"/>
  <c r="G9" i="19" s="1"/>
  <c r="J9" i="19" s="1"/>
  <c r="C11" i="19"/>
  <c r="D11" i="19" s="1"/>
  <c r="F8" i="19"/>
  <c r="I8" i="19" s="1"/>
  <c r="L8" i="19" s="1"/>
  <c r="F9" i="19"/>
  <c r="I9" i="19" s="1"/>
  <c r="L9" i="19" s="1"/>
  <c r="F10" i="19"/>
  <c r="A2" i="3" a="1"/>
  <c r="E8" i="39" l="1"/>
  <c r="H8" i="39" s="1"/>
  <c r="K8" i="39" s="1"/>
  <c r="H9" i="27"/>
  <c r="K9" i="27" s="1"/>
  <c r="H8" i="27"/>
  <c r="K8" i="27" s="1"/>
  <c r="C9" i="30"/>
  <c r="I9" i="30" s="1"/>
  <c r="L9" i="30" s="1"/>
  <c r="F8" i="39"/>
  <c r="I8" i="39" s="1"/>
  <c r="L8" i="39" s="1"/>
  <c r="F8" i="23"/>
  <c r="I8" i="23" s="1"/>
  <c r="L8" i="23" s="1"/>
  <c r="D8" i="39"/>
  <c r="G8" i="39" s="1"/>
  <c r="J8" i="39" s="1"/>
  <c r="D9" i="27"/>
  <c r="G9" i="27" s="1"/>
  <c r="J9" i="27" s="1"/>
  <c r="C10" i="27"/>
  <c r="C11" i="27" s="1"/>
  <c r="D11" i="27" s="1"/>
  <c r="G11" i="27" s="1"/>
  <c r="J11" i="27" s="1"/>
  <c r="CF4" i="1"/>
  <c r="EH4" i="1"/>
  <c r="AB12" i="64"/>
  <c r="C10" i="38"/>
  <c r="F10" i="38" s="1"/>
  <c r="I10" i="38" s="1"/>
  <c r="L10" i="38" s="1"/>
  <c r="D9" i="38"/>
  <c r="G9" i="38" s="1"/>
  <c r="J9" i="38" s="1"/>
  <c r="AB14" i="47"/>
  <c r="AC13" i="60"/>
  <c r="BO6" i="1"/>
  <c r="CG6" i="1" s="1"/>
  <c r="Y14" i="49"/>
  <c r="X14" i="49"/>
  <c r="W14" i="49"/>
  <c r="V14" i="49"/>
  <c r="U14" i="49"/>
  <c r="T14" i="49"/>
  <c r="Z14" i="49"/>
  <c r="S14" i="49"/>
  <c r="R14" i="49"/>
  <c r="M16" i="49"/>
  <c r="C18" i="49"/>
  <c r="D17" i="49"/>
  <c r="G17" i="49" s="1"/>
  <c r="J17" i="49" s="1"/>
  <c r="E17" i="49"/>
  <c r="H17" i="49" s="1"/>
  <c r="K17" i="49" s="1"/>
  <c r="F17" i="49"/>
  <c r="I17" i="49" s="1"/>
  <c r="L17" i="49" s="1"/>
  <c r="N15" i="49"/>
  <c r="O15" i="49" s="1"/>
  <c r="P15" i="49"/>
  <c r="Q15" i="49" s="1"/>
  <c r="AA14" i="49"/>
  <c r="AC14" i="49" s="1"/>
  <c r="AB13" i="49"/>
  <c r="P15" i="48"/>
  <c r="Q15" i="48" s="1"/>
  <c r="W13" i="56"/>
  <c r="AB14" i="45"/>
  <c r="T14" i="48"/>
  <c r="AB12" i="63"/>
  <c r="X13" i="62"/>
  <c r="Z13" i="56"/>
  <c r="V13" i="62"/>
  <c r="W13" i="62"/>
  <c r="S14" i="48"/>
  <c r="Z13" i="62"/>
  <c r="X14" i="48"/>
  <c r="V14" i="48"/>
  <c r="T13" i="62"/>
  <c r="U13" i="62"/>
  <c r="AA13" i="62"/>
  <c r="AC13" i="62" s="1"/>
  <c r="AA14" i="48"/>
  <c r="AC14" i="48" s="1"/>
  <c r="H8" i="40"/>
  <c r="K8" i="40" s="1"/>
  <c r="V13" i="56"/>
  <c r="AC14" i="51"/>
  <c r="S13" i="58"/>
  <c r="V13" i="58"/>
  <c r="U13" i="58"/>
  <c r="W13" i="58"/>
  <c r="W14" i="48"/>
  <c r="X13" i="58"/>
  <c r="R13" i="58"/>
  <c r="S13" i="62"/>
  <c r="E8" i="30"/>
  <c r="H8" i="30" s="1"/>
  <c r="K8" i="30" s="1"/>
  <c r="X15" i="45"/>
  <c r="I8" i="40"/>
  <c r="L8" i="40" s="1"/>
  <c r="E8" i="23"/>
  <c r="H8" i="23" s="1"/>
  <c r="K8" i="23" s="1"/>
  <c r="N14" i="44"/>
  <c r="Y13" i="58"/>
  <c r="AI2" i="26"/>
  <c r="AI2" i="52"/>
  <c r="AJ2" i="48"/>
  <c r="AL2" i="64"/>
  <c r="AL2" i="54"/>
  <c r="AK2" i="64"/>
  <c r="AI2" i="54"/>
  <c r="AK2" i="65"/>
  <c r="AI2" i="64"/>
  <c r="AL2" i="63"/>
  <c r="AI2" i="58"/>
  <c r="AD2" i="54"/>
  <c r="AD2" i="62"/>
  <c r="AL2" i="61"/>
  <c r="AF2" i="58"/>
  <c r="AK2" i="52"/>
  <c r="AK13" i="52" s="1"/>
  <c r="AE2" i="61"/>
  <c r="AD2" i="58"/>
  <c r="AJ2" i="52"/>
  <c r="AH2" i="52"/>
  <c r="AK2" i="50"/>
  <c r="AK14" i="50" s="1"/>
  <c r="AI2" i="48"/>
  <c r="AJ2" i="65"/>
  <c r="AF2" i="62"/>
  <c r="AG2" i="61"/>
  <c r="AG2" i="59"/>
  <c r="AG2" i="58"/>
  <c r="AJ2" i="57"/>
  <c r="AG2" i="54"/>
  <c r="AE2" i="52"/>
  <c r="AE13" i="52" s="1"/>
  <c r="AD2" i="50"/>
  <c r="AL2" i="48"/>
  <c r="AF2" i="47"/>
  <c r="AF2" i="46"/>
  <c r="AK2" i="61"/>
  <c r="AJ2" i="50"/>
  <c r="AI2" i="65"/>
  <c r="AH2" i="63"/>
  <c r="AE2" i="62"/>
  <c r="AE2" i="58"/>
  <c r="AI2" i="57"/>
  <c r="AL2" i="56"/>
  <c r="AD2" i="53"/>
  <c r="AF2" i="52"/>
  <c r="AF13" i="52" s="1"/>
  <c r="AE2" i="50"/>
  <c r="AD2" i="48"/>
  <c r="AE2" i="47"/>
  <c r="AE2" i="46"/>
  <c r="AG2" i="50"/>
  <c r="AE2" i="48"/>
  <c r="AL2" i="47"/>
  <c r="AK2" i="46"/>
  <c r="AK11" i="46" s="1"/>
  <c r="AL2" i="46"/>
  <c r="AL11" i="46" s="1"/>
  <c r="AH2" i="54"/>
  <c r="AG2" i="52"/>
  <c r="AH2" i="65"/>
  <c r="AJ2" i="64"/>
  <c r="AI2" i="63"/>
  <c r="AH2" i="61"/>
  <c r="AH2" i="57"/>
  <c r="AK2" i="56"/>
  <c r="AL2" i="53"/>
  <c r="AF2" i="50"/>
  <c r="AD2" i="47"/>
  <c r="AD2" i="46"/>
  <c r="AK2" i="63"/>
  <c r="AK12" i="63" s="1"/>
  <c r="AG2" i="65"/>
  <c r="AD2" i="64"/>
  <c r="AJ2" i="63"/>
  <c r="AI2" i="61"/>
  <c r="AE2" i="59"/>
  <c r="AG2" i="57"/>
  <c r="AJ2" i="56"/>
  <c r="AK2" i="53"/>
  <c r="AH2" i="64"/>
  <c r="AF2" i="65"/>
  <c r="AE2" i="64"/>
  <c r="AL2" i="62"/>
  <c r="AJ2" i="61"/>
  <c r="AL2" i="60"/>
  <c r="AD2" i="59"/>
  <c r="AF2" i="57"/>
  <c r="AI2" i="56"/>
  <c r="AJ2" i="53"/>
  <c r="AH2" i="50"/>
  <c r="AF2" i="48"/>
  <c r="AI2" i="47"/>
  <c r="AF2" i="64"/>
  <c r="AD2" i="63"/>
  <c r="AK2" i="62"/>
  <c r="AK12" i="62" s="1"/>
  <c r="AK2" i="60"/>
  <c r="AL2" i="59"/>
  <c r="AH2" i="56"/>
  <c r="AI2" i="53"/>
  <c r="AG2" i="48"/>
  <c r="AK2" i="47"/>
  <c r="AJ2" i="47"/>
  <c r="AJ2" i="46"/>
  <c r="AH2" i="48"/>
  <c r="AH2" i="47"/>
  <c r="AI2" i="46"/>
  <c r="AG2" i="64"/>
  <c r="AE2" i="63"/>
  <c r="AJ2" i="62"/>
  <c r="AJ2" i="60"/>
  <c r="AK2" i="59"/>
  <c r="AL2" i="58"/>
  <c r="AG2" i="56"/>
  <c r="AJ2" i="54"/>
  <c r="AH2" i="53"/>
  <c r="AI2" i="50"/>
  <c r="AL2" i="52"/>
  <c r="AL2" i="50"/>
  <c r="AG2" i="47"/>
  <c r="AF2" i="60"/>
  <c r="AE2" i="65"/>
  <c r="AF2" i="63"/>
  <c r="AI2" i="62"/>
  <c r="AD2" i="60"/>
  <c r="AI2" i="60"/>
  <c r="AJ2" i="59"/>
  <c r="AF2" i="59"/>
  <c r="AK2" i="58"/>
  <c r="AD2" i="57"/>
  <c r="AE2" i="57"/>
  <c r="AF2" i="56"/>
  <c r="AK2" i="54"/>
  <c r="AG2" i="53"/>
  <c r="AH2" i="46"/>
  <c r="AD2" i="65"/>
  <c r="AG2" i="63"/>
  <c r="AG12" i="63" s="1"/>
  <c r="AH2" i="62"/>
  <c r="AH12" i="62" s="1"/>
  <c r="AD2" i="61"/>
  <c r="AE2" i="60"/>
  <c r="AH2" i="60"/>
  <c r="AI2" i="59"/>
  <c r="AJ2" i="58"/>
  <c r="AL2" i="57"/>
  <c r="AE2" i="56"/>
  <c r="AE2" i="54"/>
  <c r="AF2" i="53"/>
  <c r="AL2" i="65"/>
  <c r="AG2" i="62"/>
  <c r="AF2" i="61"/>
  <c r="AG2" i="60"/>
  <c r="AH2" i="59"/>
  <c r="AH2" i="58"/>
  <c r="AK2" i="57"/>
  <c r="AD2" i="56"/>
  <c r="AF2" i="54"/>
  <c r="AE2" i="53"/>
  <c r="AD2" i="52"/>
  <c r="AK2" i="48"/>
  <c r="AG2" i="46"/>
  <c r="AK3" i="55"/>
  <c r="AI2" i="51"/>
  <c r="AI14" i="51" s="1"/>
  <c r="AL2" i="49"/>
  <c r="AE2" i="45"/>
  <c r="AI2" i="43"/>
  <c r="AK2" i="45"/>
  <c r="AK14" i="45" s="1"/>
  <c r="AJ2" i="43"/>
  <c r="AJ12" i="43" s="1"/>
  <c r="AD2" i="55"/>
  <c r="AF2" i="51"/>
  <c r="AG2" i="49"/>
  <c r="AD2" i="45"/>
  <c r="AD14" i="45" s="1"/>
  <c r="AH2" i="43"/>
  <c r="AH12" i="43" s="1"/>
  <c r="AI2" i="55"/>
  <c r="AH2" i="51"/>
  <c r="AI2" i="49"/>
  <c r="AH3" i="55"/>
  <c r="AL2" i="55"/>
  <c r="AL2" i="45"/>
  <c r="AF2" i="43"/>
  <c r="AG3" i="55"/>
  <c r="AK2" i="55"/>
  <c r="AK2" i="51"/>
  <c r="AK2" i="49"/>
  <c r="AE3" i="55"/>
  <c r="AF2" i="45"/>
  <c r="AG2" i="51"/>
  <c r="AH2" i="49"/>
  <c r="AH2" i="45"/>
  <c r="AL3" i="55"/>
  <c r="AE2" i="55"/>
  <c r="AE2" i="51"/>
  <c r="AF2" i="49"/>
  <c r="AJ2" i="45"/>
  <c r="AE2" i="43"/>
  <c r="AG2" i="45"/>
  <c r="AL2" i="43"/>
  <c r="AL12" i="43" s="1"/>
  <c r="AF3" i="55"/>
  <c r="AJ2" i="55"/>
  <c r="AJ2" i="51"/>
  <c r="AJ2" i="49"/>
  <c r="AI2" i="45"/>
  <c r="AD2" i="43"/>
  <c r="AG2" i="43"/>
  <c r="AG12" i="43" s="1"/>
  <c r="AD3" i="55"/>
  <c r="AH2" i="55"/>
  <c r="AJ3" i="55"/>
  <c r="AD2" i="51"/>
  <c r="AE2" i="49"/>
  <c r="AG2" i="55"/>
  <c r="AK2" i="43"/>
  <c r="AK12" i="43" s="1"/>
  <c r="AI3" i="55"/>
  <c r="AF2" i="55"/>
  <c r="AF12" i="55" s="1"/>
  <c r="AL2" i="51"/>
  <c r="AD2" i="49"/>
  <c r="AE3" i="64"/>
  <c r="AD3" i="60"/>
  <c r="AE3" i="59"/>
  <c r="AJ3" i="58"/>
  <c r="AE3" i="54"/>
  <c r="AL3" i="53"/>
  <c r="AD3" i="64"/>
  <c r="AL3" i="60"/>
  <c r="AL13" i="60" s="1"/>
  <c r="AD3" i="59"/>
  <c r="AH3" i="58"/>
  <c r="AH12" i="58" s="1"/>
  <c r="AD3" i="54"/>
  <c r="AK3" i="53"/>
  <c r="AL3" i="51"/>
  <c r="AH3" i="49"/>
  <c r="AH3" i="48"/>
  <c r="AF3" i="64"/>
  <c r="AK3" i="60"/>
  <c r="AL3" i="59"/>
  <c r="AL13" i="59" s="1"/>
  <c r="AJ3" i="53"/>
  <c r="AK3" i="51"/>
  <c r="AG3" i="49"/>
  <c r="AG3" i="48"/>
  <c r="AI3" i="59"/>
  <c r="AJ3" i="60"/>
  <c r="AK3" i="59"/>
  <c r="AG3" i="58"/>
  <c r="AL3" i="54"/>
  <c r="AI3" i="53"/>
  <c r="AI13" i="53" s="1"/>
  <c r="AI3" i="51"/>
  <c r="AF3" i="49"/>
  <c r="AF3" i="48"/>
  <c r="AK3" i="54"/>
  <c r="AL3" i="64"/>
  <c r="AI3" i="60"/>
  <c r="AJ3" i="59"/>
  <c r="AJ13" i="59" s="1"/>
  <c r="AF3" i="58"/>
  <c r="AH3" i="53"/>
  <c r="AH3" i="51"/>
  <c r="AH14" i="51" s="1"/>
  <c r="AK3" i="49"/>
  <c r="AE3" i="48"/>
  <c r="AD3" i="58"/>
  <c r="AI3" i="54"/>
  <c r="AK3" i="64"/>
  <c r="AH3" i="60"/>
  <c r="AE3" i="58"/>
  <c r="AJ3" i="54"/>
  <c r="AG3" i="51"/>
  <c r="AD3" i="48"/>
  <c r="AE3" i="49"/>
  <c r="AI3" i="48"/>
  <c r="AJ3" i="64"/>
  <c r="AG3" i="53"/>
  <c r="AF3" i="51"/>
  <c r="AI3" i="64"/>
  <c r="AG3" i="60"/>
  <c r="AG13" i="60" s="1"/>
  <c r="AH3" i="59"/>
  <c r="AL3" i="58"/>
  <c r="AL13" i="58" s="1"/>
  <c r="AH3" i="54"/>
  <c r="AH14" i="54" s="1"/>
  <c r="AF3" i="53"/>
  <c r="AJ3" i="51"/>
  <c r="AD3" i="49"/>
  <c r="AL3" i="48"/>
  <c r="AH3" i="64"/>
  <c r="AF3" i="60"/>
  <c r="AG3" i="59"/>
  <c r="AK3" i="58"/>
  <c r="AK12" i="58" s="1"/>
  <c r="AG3" i="54"/>
  <c r="AG14" i="54" s="1"/>
  <c r="AE3" i="53"/>
  <c r="AE13" i="53" s="1"/>
  <c r="AL3" i="49"/>
  <c r="AK3" i="48"/>
  <c r="AI3" i="49"/>
  <c r="AG3" i="64"/>
  <c r="AE3" i="60"/>
  <c r="AF3" i="59"/>
  <c r="AI3" i="58"/>
  <c r="AF3" i="54"/>
  <c r="AD3" i="53"/>
  <c r="AE3" i="51"/>
  <c r="AE14" i="51" s="1"/>
  <c r="AJ3" i="49"/>
  <c r="AJ3" i="48"/>
  <c r="AD3" i="51"/>
  <c r="AD14" i="51" s="1"/>
  <c r="AD14" i="50"/>
  <c r="AI12" i="63"/>
  <c r="AF11" i="46"/>
  <c r="AL14" i="45"/>
  <c r="AI14" i="45"/>
  <c r="M13" i="44"/>
  <c r="N13" i="44" s="1"/>
  <c r="I8" i="30"/>
  <c r="L8" i="30" s="1"/>
  <c r="D8" i="23"/>
  <c r="G8" i="23" s="1"/>
  <c r="J8" i="23" s="1"/>
  <c r="AE14" i="50"/>
  <c r="AA13" i="58"/>
  <c r="AB13" i="58" s="1"/>
  <c r="AE12" i="43"/>
  <c r="AD13" i="62"/>
  <c r="AC7" i="44"/>
  <c r="AC3" i="44"/>
  <c r="M12" i="44"/>
  <c r="AF14" i="50"/>
  <c r="AJ12" i="62"/>
  <c r="AL12" i="58"/>
  <c r="AJ13" i="52"/>
  <c r="AI11" i="46"/>
  <c r="AF12" i="43"/>
  <c r="AI2" i="44"/>
  <c r="AH2" i="44"/>
  <c r="AJ2" i="44"/>
  <c r="AG2" i="44"/>
  <c r="AF2" i="44"/>
  <c r="AE2" i="44"/>
  <c r="AL2" i="44"/>
  <c r="AD2" i="44"/>
  <c r="AK2" i="44"/>
  <c r="M11" i="44"/>
  <c r="AL15" i="45"/>
  <c r="AD11" i="46"/>
  <c r="AI12" i="43"/>
  <c r="AL13" i="52"/>
  <c r="M10" i="44"/>
  <c r="N10" i="44" s="1"/>
  <c r="E8" i="26"/>
  <c r="H8" i="26" s="1"/>
  <c r="K8" i="26" s="1"/>
  <c r="AJ14" i="50"/>
  <c r="AF12" i="62"/>
  <c r="AE12" i="63"/>
  <c r="AG11" i="46"/>
  <c r="AD12" i="63"/>
  <c r="AJ13" i="43"/>
  <c r="AD12" i="58"/>
  <c r="AH14" i="45"/>
  <c r="M8" i="44"/>
  <c r="N8" i="44" s="1"/>
  <c r="G8" i="40"/>
  <c r="J8" i="40" s="1"/>
  <c r="C9" i="26"/>
  <c r="E9" i="26" s="1"/>
  <c r="H9" i="26" s="1"/>
  <c r="K9" i="26" s="1"/>
  <c r="AL13" i="57"/>
  <c r="T13" i="58"/>
  <c r="AH13" i="63"/>
  <c r="AD12" i="62"/>
  <c r="AF12" i="58"/>
  <c r="AE12" i="58"/>
  <c r="AE13" i="56"/>
  <c r="M9" i="44"/>
  <c r="U14" i="48"/>
  <c r="AG14" i="48" s="1"/>
  <c r="Y15" i="45"/>
  <c r="AK15" i="45" s="1"/>
  <c r="R14" i="48"/>
  <c r="AA13" i="56"/>
  <c r="AC13" i="56" s="1"/>
  <c r="Y13" i="62"/>
  <c r="X13" i="56"/>
  <c r="AJ13" i="56" s="1"/>
  <c r="Y13" i="56"/>
  <c r="AK13" i="56" s="1"/>
  <c r="AA13" i="43"/>
  <c r="AC13" i="43" s="1"/>
  <c r="Z13" i="43"/>
  <c r="U13" i="56"/>
  <c r="AG13" i="56" s="1"/>
  <c r="W13" i="43"/>
  <c r="AI13" i="43" s="1"/>
  <c r="T13" i="56"/>
  <c r="Z14" i="48"/>
  <c r="R13" i="56"/>
  <c r="AD13" i="56" s="1"/>
  <c r="P14" i="43"/>
  <c r="Q14" i="43" s="1"/>
  <c r="Y14" i="43" s="1"/>
  <c r="H11" i="27"/>
  <c r="K11" i="27" s="1"/>
  <c r="AA13" i="55"/>
  <c r="AC13" i="55" s="1"/>
  <c r="AA12" i="46"/>
  <c r="AC12" i="46" s="1"/>
  <c r="AL14" i="52"/>
  <c r="R13" i="43"/>
  <c r="AB12" i="43"/>
  <c r="P14" i="56"/>
  <c r="Q14" i="56" s="1"/>
  <c r="Z14" i="56" s="1"/>
  <c r="AL14" i="56" s="1"/>
  <c r="AH14" i="52"/>
  <c r="M15" i="56"/>
  <c r="O15" i="56" s="1"/>
  <c r="T13" i="43"/>
  <c r="AF13" i="43" s="1"/>
  <c r="AG14" i="52"/>
  <c r="Y13" i="43"/>
  <c r="AK13" i="43" s="1"/>
  <c r="AF14" i="52"/>
  <c r="S13" i="43"/>
  <c r="AE13" i="43" s="1"/>
  <c r="AE14" i="52"/>
  <c r="M15" i="43"/>
  <c r="P15" i="43" s="1"/>
  <c r="Q15" i="43" s="1"/>
  <c r="AI14" i="52"/>
  <c r="AJ14" i="52"/>
  <c r="W15" i="45"/>
  <c r="AI15" i="45" s="1"/>
  <c r="AC14" i="54"/>
  <c r="R15" i="45"/>
  <c r="AD15" i="45" s="1"/>
  <c r="U15" i="45"/>
  <c r="AG15" i="45" s="1"/>
  <c r="V15" i="45"/>
  <c r="AH15" i="45" s="1"/>
  <c r="S15" i="45"/>
  <c r="AE15" i="45" s="1"/>
  <c r="P14" i="55"/>
  <c r="Q14" i="55" s="1"/>
  <c r="N14" i="55"/>
  <c r="AC13" i="64"/>
  <c r="Y14" i="65"/>
  <c r="AK14" i="65" s="1"/>
  <c r="U13" i="43"/>
  <c r="V13" i="43"/>
  <c r="Z13" i="63"/>
  <c r="AL13" i="63" s="1"/>
  <c r="C16" i="46"/>
  <c r="D15" i="46"/>
  <c r="G15" i="46" s="1"/>
  <c r="J15" i="46" s="1"/>
  <c r="I15" i="46"/>
  <c r="L15" i="46" s="1"/>
  <c r="H15" i="46"/>
  <c r="K15" i="46" s="1"/>
  <c r="AB13" i="52"/>
  <c r="M14" i="46"/>
  <c r="T15" i="45"/>
  <c r="AF15" i="45" s="1"/>
  <c r="D16" i="43"/>
  <c r="G16" i="43" s="1"/>
  <c r="J16" i="43" s="1"/>
  <c r="C17" i="43"/>
  <c r="F16" i="43"/>
  <c r="I16" i="43" s="1"/>
  <c r="L16" i="43" s="1"/>
  <c r="H16" i="43"/>
  <c r="K16" i="43" s="1"/>
  <c r="AC13" i="53"/>
  <c r="Y12" i="46"/>
  <c r="AK12" i="46" s="1"/>
  <c r="W12" i="46"/>
  <c r="AI12" i="46" s="1"/>
  <c r="V12" i="46"/>
  <c r="AH12" i="46" s="1"/>
  <c r="S12" i="46"/>
  <c r="AE12" i="46" s="1"/>
  <c r="T12" i="46"/>
  <c r="AF12" i="46" s="1"/>
  <c r="U12" i="46"/>
  <c r="AG12" i="46" s="1"/>
  <c r="R12" i="46"/>
  <c r="AD12" i="46" s="1"/>
  <c r="X12" i="46"/>
  <c r="AJ12" i="46" s="1"/>
  <c r="Z12" i="46"/>
  <c r="AL12" i="46" s="1"/>
  <c r="D16" i="56"/>
  <c r="G16" i="56" s="1"/>
  <c r="J16" i="56" s="1"/>
  <c r="E16" i="56"/>
  <c r="H16" i="56" s="1"/>
  <c r="K16" i="56" s="1"/>
  <c r="I16" i="56"/>
  <c r="L16" i="56" s="1"/>
  <c r="C17" i="56"/>
  <c r="M15" i="55"/>
  <c r="S13" i="55"/>
  <c r="AE13" i="55" s="1"/>
  <c r="R13" i="55"/>
  <c r="AD13" i="55" s="1"/>
  <c r="Z13" i="55"/>
  <c r="AL13" i="55" s="1"/>
  <c r="Y13" i="55"/>
  <c r="AK13" i="55" s="1"/>
  <c r="X13" i="55"/>
  <c r="V13" i="55"/>
  <c r="U13" i="55"/>
  <c r="T13" i="55"/>
  <c r="W13" i="55"/>
  <c r="AI13" i="55" s="1"/>
  <c r="AB11" i="46"/>
  <c r="BN5" i="1" s="1"/>
  <c r="C17" i="55"/>
  <c r="E16" i="55"/>
  <c r="H16" i="55" s="1"/>
  <c r="K16" i="55" s="1"/>
  <c r="D16" i="55"/>
  <c r="G16" i="55" s="1"/>
  <c r="J16" i="55" s="1"/>
  <c r="I16" i="55"/>
  <c r="L16" i="55" s="1"/>
  <c r="P13" i="46"/>
  <c r="Q13" i="46" s="1"/>
  <c r="O13" i="46"/>
  <c r="AB12" i="55"/>
  <c r="C12" i="27"/>
  <c r="C13" i="27" s="1"/>
  <c r="P15" i="54"/>
  <c r="Q15" i="54" s="1"/>
  <c r="U15" i="54" s="1"/>
  <c r="AA15" i="48"/>
  <c r="AC15" i="48" s="1"/>
  <c r="P15" i="65"/>
  <c r="Q15" i="65" s="1"/>
  <c r="X15" i="65" s="1"/>
  <c r="AJ15" i="65" s="1"/>
  <c r="R13" i="63"/>
  <c r="AD13" i="63" s="1"/>
  <c r="H10" i="40"/>
  <c r="K10" i="40" s="1"/>
  <c r="AB12" i="58"/>
  <c r="N14" i="59"/>
  <c r="O14" i="59" s="1"/>
  <c r="AA15" i="45"/>
  <c r="AC15" i="45" s="1"/>
  <c r="AB13" i="59"/>
  <c r="I10" i="40"/>
  <c r="L10" i="40" s="1"/>
  <c r="O16" i="45"/>
  <c r="X13" i="63"/>
  <c r="AJ13" i="63" s="1"/>
  <c r="M15" i="64"/>
  <c r="P15" i="64" s="1"/>
  <c r="Q15" i="64" s="1"/>
  <c r="I9" i="40"/>
  <c r="L9" i="40" s="1"/>
  <c r="O16" i="47"/>
  <c r="AD13" i="59"/>
  <c r="AA13" i="57"/>
  <c r="AC13" i="57" s="1"/>
  <c r="C11" i="40"/>
  <c r="C12" i="40" s="1"/>
  <c r="H9" i="40"/>
  <c r="K9" i="40" s="1"/>
  <c r="Y13" i="57"/>
  <c r="AK13" i="57" s="1"/>
  <c r="AE13" i="59"/>
  <c r="AC13" i="59"/>
  <c r="AB15" i="47"/>
  <c r="AF13" i="59"/>
  <c r="AG13" i="59"/>
  <c r="AA13" i="63"/>
  <c r="AC13" i="63" s="1"/>
  <c r="N15" i="51"/>
  <c r="O15" i="51" s="1"/>
  <c r="S13" i="63"/>
  <c r="AE13" i="63" s="1"/>
  <c r="AB13" i="62"/>
  <c r="P14" i="64"/>
  <c r="Q14" i="64" s="1"/>
  <c r="X14" i="64" s="1"/>
  <c r="W14" i="65"/>
  <c r="AI14" i="65" s="1"/>
  <c r="X14" i="65"/>
  <c r="AJ14" i="65" s="1"/>
  <c r="AA14" i="65"/>
  <c r="AL15" i="47"/>
  <c r="S13" i="57"/>
  <c r="AE13" i="57" s="1"/>
  <c r="P14" i="58"/>
  <c r="Q14" i="58" s="1"/>
  <c r="X14" i="58" s="1"/>
  <c r="AJ14" i="58" s="1"/>
  <c r="Z14" i="65"/>
  <c r="AL14" i="65" s="1"/>
  <c r="T13" i="57"/>
  <c r="AF13" i="57" s="1"/>
  <c r="V14" i="65"/>
  <c r="AH14" i="65" s="1"/>
  <c r="AK15" i="47"/>
  <c r="G9" i="40"/>
  <c r="J9" i="40" s="1"/>
  <c r="AG15" i="47"/>
  <c r="AB14" i="50"/>
  <c r="R13" i="57"/>
  <c r="AD13" i="57" s="1"/>
  <c r="U14" i="65"/>
  <c r="AG14" i="65" s="1"/>
  <c r="AH15" i="47"/>
  <c r="P14" i="62"/>
  <c r="Q14" i="62" s="1"/>
  <c r="V14" i="62" s="1"/>
  <c r="AH14" i="62" s="1"/>
  <c r="R14" i="65"/>
  <c r="AD14" i="65" s="1"/>
  <c r="S14" i="65"/>
  <c r="AJ15" i="47"/>
  <c r="AD15" i="47"/>
  <c r="P15" i="50"/>
  <c r="Q15" i="50" s="1"/>
  <c r="U15" i="50" s="1"/>
  <c r="AG15" i="50" s="1"/>
  <c r="W13" i="63"/>
  <c r="AI13" i="63" s="1"/>
  <c r="AB14" i="51"/>
  <c r="AF14" i="51"/>
  <c r="N14" i="53"/>
  <c r="O14" i="53" s="1"/>
  <c r="M16" i="65"/>
  <c r="O16" i="65" s="1"/>
  <c r="AF15" i="47"/>
  <c r="N14" i="60"/>
  <c r="O14" i="60" s="1"/>
  <c r="Y13" i="63"/>
  <c r="AK13" i="63" s="1"/>
  <c r="P15" i="52"/>
  <c r="Q15" i="52" s="1"/>
  <c r="X15" i="52" s="1"/>
  <c r="AJ15" i="52" s="1"/>
  <c r="AA16" i="47"/>
  <c r="AC16" i="47" s="1"/>
  <c r="AH13" i="53"/>
  <c r="T13" i="63"/>
  <c r="AF13" i="63" s="1"/>
  <c r="U13" i="63"/>
  <c r="AG13" i="63" s="1"/>
  <c r="M15" i="60"/>
  <c r="P15" i="60" s="1"/>
  <c r="Q15" i="60" s="1"/>
  <c r="C18" i="65"/>
  <c r="H17" i="65"/>
  <c r="K17" i="65" s="1"/>
  <c r="I17" i="65"/>
  <c r="L17" i="65" s="1"/>
  <c r="G17" i="65"/>
  <c r="J17" i="65" s="1"/>
  <c r="AB13" i="64"/>
  <c r="AH13" i="64"/>
  <c r="AK13" i="64"/>
  <c r="AI13" i="64"/>
  <c r="C17" i="64"/>
  <c r="D16" i="64"/>
  <c r="G16" i="64" s="1"/>
  <c r="J16" i="64" s="1"/>
  <c r="E16" i="64"/>
  <c r="H16" i="64" s="1"/>
  <c r="K16" i="64" s="1"/>
  <c r="F16" i="64"/>
  <c r="I16" i="64" s="1"/>
  <c r="L16" i="64" s="1"/>
  <c r="AL13" i="64"/>
  <c r="AE13" i="64"/>
  <c r="AF13" i="64"/>
  <c r="AG13" i="64"/>
  <c r="O14" i="64"/>
  <c r="AD13" i="64"/>
  <c r="M15" i="63"/>
  <c r="O15" i="63" s="1"/>
  <c r="P14" i="63"/>
  <c r="Q14" i="63" s="1"/>
  <c r="V14" i="63" s="1"/>
  <c r="AH14" i="63" s="1"/>
  <c r="C17" i="63"/>
  <c r="F16" i="63"/>
  <c r="I16" i="63" s="1"/>
  <c r="L16" i="63" s="1"/>
  <c r="D16" i="63"/>
  <c r="G16" i="63" s="1"/>
  <c r="J16" i="63" s="1"/>
  <c r="H16" i="63"/>
  <c r="K16" i="63" s="1"/>
  <c r="M15" i="62"/>
  <c r="O15" i="62" s="1"/>
  <c r="AB12" i="62"/>
  <c r="C17" i="62"/>
  <c r="D16" i="62"/>
  <c r="G16" i="62" s="1"/>
  <c r="J16" i="62" s="1"/>
  <c r="H16" i="62"/>
  <c r="K16" i="62" s="1"/>
  <c r="I16" i="62"/>
  <c r="L16" i="62" s="1"/>
  <c r="M15" i="61"/>
  <c r="C17" i="61"/>
  <c r="E16" i="61"/>
  <c r="K16" i="61" s="1"/>
  <c r="D16" i="61"/>
  <c r="F16" i="61"/>
  <c r="L16" i="61" s="1"/>
  <c r="AK13" i="60"/>
  <c r="AE13" i="60"/>
  <c r="AD13" i="60"/>
  <c r="AA14" i="60"/>
  <c r="AB13" i="60"/>
  <c r="C17" i="60"/>
  <c r="D16" i="60"/>
  <c r="G16" i="60" s="1"/>
  <c r="J16" i="60" s="1"/>
  <c r="E16" i="60"/>
  <c r="H16" i="60" s="1"/>
  <c r="K16" i="60" s="1"/>
  <c r="I16" i="60"/>
  <c r="L16" i="60" s="1"/>
  <c r="AF13" i="60"/>
  <c r="AH13" i="60"/>
  <c r="AI13" i="60"/>
  <c r="Y14" i="60"/>
  <c r="X14" i="60"/>
  <c r="W14" i="60"/>
  <c r="V14" i="60"/>
  <c r="U14" i="60"/>
  <c r="T14" i="60"/>
  <c r="S14" i="60"/>
  <c r="R14" i="60"/>
  <c r="Z14" i="60"/>
  <c r="AJ13" i="60"/>
  <c r="AA14" i="59"/>
  <c r="M15" i="59"/>
  <c r="P15" i="59" s="1"/>
  <c r="Q15" i="59" s="1"/>
  <c r="C17" i="59"/>
  <c r="E16" i="59"/>
  <c r="H16" i="59" s="1"/>
  <c r="K16" i="59" s="1"/>
  <c r="D16" i="59"/>
  <c r="G16" i="59" s="1"/>
  <c r="J16" i="59" s="1"/>
  <c r="I16" i="59"/>
  <c r="L16" i="59" s="1"/>
  <c r="V14" i="59"/>
  <c r="Z14" i="59"/>
  <c r="Y14" i="59"/>
  <c r="X14" i="59"/>
  <c r="W14" i="59"/>
  <c r="U14" i="59"/>
  <c r="T14" i="59"/>
  <c r="S14" i="59"/>
  <c r="R14" i="59"/>
  <c r="M15" i="58"/>
  <c r="P15" i="58" s="1"/>
  <c r="Q15" i="58" s="1"/>
  <c r="C17" i="58"/>
  <c r="E16" i="58"/>
  <c r="H16" i="58" s="1"/>
  <c r="K16" i="58" s="1"/>
  <c r="D16" i="58"/>
  <c r="G16" i="58" s="1"/>
  <c r="J16" i="58" s="1"/>
  <c r="I16" i="58"/>
  <c r="L16" i="58" s="1"/>
  <c r="M15" i="57"/>
  <c r="O15" i="57" s="1"/>
  <c r="U13" i="57"/>
  <c r="AG13" i="57" s="1"/>
  <c r="V13" i="57"/>
  <c r="AH13" i="57" s="1"/>
  <c r="W13" i="57"/>
  <c r="AI13" i="57" s="1"/>
  <c r="O14" i="57"/>
  <c r="X13" i="57"/>
  <c r="AJ13" i="57" s="1"/>
  <c r="C17" i="57"/>
  <c r="E16" i="57"/>
  <c r="H16" i="57" s="1"/>
  <c r="K16" i="57" s="1"/>
  <c r="D16" i="57"/>
  <c r="G16" i="57" s="1"/>
  <c r="J16" i="57" s="1"/>
  <c r="F16" i="57"/>
  <c r="I16" i="57" s="1"/>
  <c r="L16" i="57" s="1"/>
  <c r="V14" i="57"/>
  <c r="Y14" i="57"/>
  <c r="X14" i="57"/>
  <c r="W14" i="57"/>
  <c r="U14" i="57"/>
  <c r="T14" i="57"/>
  <c r="S14" i="57"/>
  <c r="R14" i="57"/>
  <c r="Z14" i="57"/>
  <c r="AA14" i="57"/>
  <c r="AC14" i="57" s="1"/>
  <c r="AI14" i="54"/>
  <c r="AJ14" i="54"/>
  <c r="AK14" i="54"/>
  <c r="AL14" i="54"/>
  <c r="AF14" i="54"/>
  <c r="AE14" i="54"/>
  <c r="M16" i="54"/>
  <c r="P16" i="54" s="1"/>
  <c r="Q16" i="54" s="1"/>
  <c r="C18" i="54"/>
  <c r="D17" i="54"/>
  <c r="G17" i="54" s="1"/>
  <c r="J17" i="54" s="1"/>
  <c r="E17" i="54"/>
  <c r="H17" i="54" s="1"/>
  <c r="K17" i="54" s="1"/>
  <c r="I17" i="54"/>
  <c r="L17" i="54" s="1"/>
  <c r="AD14" i="54"/>
  <c r="AB14" i="54"/>
  <c r="O15" i="54"/>
  <c r="AK13" i="53"/>
  <c r="M15" i="53"/>
  <c r="N15" i="53" s="1"/>
  <c r="AF13" i="53"/>
  <c r="AJ13" i="53"/>
  <c r="AA14" i="53"/>
  <c r="AL13" i="53"/>
  <c r="AG13" i="53"/>
  <c r="C17" i="53"/>
  <c r="E16" i="53"/>
  <c r="H16" i="53" s="1"/>
  <c r="K16" i="53" s="1"/>
  <c r="D16" i="53"/>
  <c r="G16" i="53" s="1"/>
  <c r="J16" i="53" s="1"/>
  <c r="I16" i="53"/>
  <c r="L16" i="53" s="1"/>
  <c r="AB13" i="53"/>
  <c r="AD13" i="53"/>
  <c r="V14" i="53"/>
  <c r="S14" i="53"/>
  <c r="R14" i="53"/>
  <c r="X14" i="53"/>
  <c r="T14" i="53"/>
  <c r="U14" i="53"/>
  <c r="Z14" i="53"/>
  <c r="Y14" i="53"/>
  <c r="W14" i="53"/>
  <c r="M16" i="52"/>
  <c r="O16" i="52" s="1"/>
  <c r="AB14" i="52"/>
  <c r="C18" i="52"/>
  <c r="D17" i="52"/>
  <c r="G17" i="52" s="1"/>
  <c r="J17" i="52" s="1"/>
  <c r="I17" i="52"/>
  <c r="L17" i="52" s="1"/>
  <c r="H17" i="52"/>
  <c r="K17" i="52" s="1"/>
  <c r="M16" i="51"/>
  <c r="P16" i="51" s="1"/>
  <c r="Q16" i="51" s="1"/>
  <c r="AJ14" i="51"/>
  <c r="AK14" i="51"/>
  <c r="AL14" i="51"/>
  <c r="AG14" i="51"/>
  <c r="C18" i="51"/>
  <c r="F17" i="51"/>
  <c r="I17" i="51" s="1"/>
  <c r="L17" i="51" s="1"/>
  <c r="D17" i="51"/>
  <c r="G17" i="51" s="1"/>
  <c r="J17" i="51" s="1"/>
  <c r="E17" i="51"/>
  <c r="H17" i="51" s="1"/>
  <c r="K17" i="51" s="1"/>
  <c r="AA15" i="51"/>
  <c r="Z15" i="51"/>
  <c r="S15" i="51"/>
  <c r="R15" i="51"/>
  <c r="Y15" i="51"/>
  <c r="W15" i="51"/>
  <c r="V15" i="51"/>
  <c r="U15" i="51"/>
  <c r="T15" i="51"/>
  <c r="X15" i="51"/>
  <c r="M16" i="50"/>
  <c r="O16" i="50" s="1"/>
  <c r="C18" i="50"/>
  <c r="D17" i="50"/>
  <c r="G17" i="50" s="1"/>
  <c r="J17" i="50" s="1"/>
  <c r="I17" i="50"/>
  <c r="L17" i="50" s="1"/>
  <c r="H17" i="50"/>
  <c r="K17" i="50" s="1"/>
  <c r="AE14" i="48"/>
  <c r="M16" i="48"/>
  <c r="P16" i="48" s="1"/>
  <c r="Q16" i="48" s="1"/>
  <c r="AF14" i="48"/>
  <c r="AI14" i="48"/>
  <c r="AK14" i="48"/>
  <c r="C18" i="48"/>
  <c r="E17" i="48"/>
  <c r="H17" i="48" s="1"/>
  <c r="K17" i="48" s="1"/>
  <c r="F17" i="48"/>
  <c r="I17" i="48" s="1"/>
  <c r="L17" i="48" s="1"/>
  <c r="D17" i="48"/>
  <c r="G17" i="48" s="1"/>
  <c r="J17" i="48" s="1"/>
  <c r="AJ14" i="48"/>
  <c r="AH14" i="48"/>
  <c r="Z15" i="48"/>
  <c r="AL15" i="48" s="1"/>
  <c r="R15" i="48"/>
  <c r="Y15" i="48"/>
  <c r="AK15" i="48" s="1"/>
  <c r="X15" i="48"/>
  <c r="AJ15" i="48" s="1"/>
  <c r="W15" i="48"/>
  <c r="AI15" i="48" s="1"/>
  <c r="V15" i="48"/>
  <c r="AH15" i="48" s="1"/>
  <c r="U15" i="48"/>
  <c r="T15" i="48"/>
  <c r="AF15" i="48" s="1"/>
  <c r="S15" i="48"/>
  <c r="AE15" i="48" s="1"/>
  <c r="AB14" i="48"/>
  <c r="M17" i="47"/>
  <c r="O17" i="47" s="1"/>
  <c r="C19" i="47"/>
  <c r="E18" i="47"/>
  <c r="H18" i="47" s="1"/>
  <c r="K18" i="47" s="1"/>
  <c r="F18" i="47"/>
  <c r="I18" i="47" s="1"/>
  <c r="L18" i="47" s="1"/>
  <c r="D18" i="47"/>
  <c r="G18" i="47" s="1"/>
  <c r="J18" i="47" s="1"/>
  <c r="V16" i="47"/>
  <c r="W16" i="47"/>
  <c r="U16" i="47"/>
  <c r="T16" i="47"/>
  <c r="S16" i="47"/>
  <c r="R16" i="47"/>
  <c r="Z16" i="47"/>
  <c r="Y16" i="47"/>
  <c r="X16" i="47"/>
  <c r="M17" i="45"/>
  <c r="O17" i="45" s="1"/>
  <c r="C19" i="45"/>
  <c r="D18" i="45"/>
  <c r="G18" i="45" s="1"/>
  <c r="J18" i="45" s="1"/>
  <c r="H18" i="45"/>
  <c r="K18" i="45" s="1"/>
  <c r="I18" i="45"/>
  <c r="L18" i="45" s="1"/>
  <c r="T16" i="45"/>
  <c r="Z16" i="45"/>
  <c r="Y16" i="45"/>
  <c r="X16" i="45"/>
  <c r="W16" i="45"/>
  <c r="S16" i="45"/>
  <c r="V16" i="45"/>
  <c r="U16" i="45"/>
  <c r="R16" i="45"/>
  <c r="AA16" i="45"/>
  <c r="AC16" i="45" s="1"/>
  <c r="M15" i="44"/>
  <c r="P15" i="44" s="1"/>
  <c r="Q15" i="44" s="1"/>
  <c r="C17" i="44"/>
  <c r="F16" i="44"/>
  <c r="I16" i="44" s="1"/>
  <c r="L16" i="44" s="1"/>
  <c r="E16" i="44"/>
  <c r="H16" i="44" s="1"/>
  <c r="K16" i="44" s="1"/>
  <c r="D16" i="44"/>
  <c r="G16" i="44" s="1"/>
  <c r="J16" i="44" s="1"/>
  <c r="V14" i="44"/>
  <c r="T14" i="44"/>
  <c r="S14" i="44"/>
  <c r="Y14" i="44"/>
  <c r="X14" i="44"/>
  <c r="W14" i="44"/>
  <c r="U14" i="44"/>
  <c r="Z14" i="44"/>
  <c r="R14" i="44"/>
  <c r="O14" i="44"/>
  <c r="AA14" i="44"/>
  <c r="I11" i="27"/>
  <c r="L11" i="27" s="1"/>
  <c r="E9" i="23"/>
  <c r="H9" i="23" s="1"/>
  <c r="K9" i="23" s="1"/>
  <c r="D8" i="26"/>
  <c r="G8" i="26" s="1"/>
  <c r="J8" i="26" s="1"/>
  <c r="C10" i="23"/>
  <c r="D10" i="23" s="1"/>
  <c r="G10" i="23" s="1"/>
  <c r="J10" i="23" s="1"/>
  <c r="D9" i="23"/>
  <c r="G9" i="23" s="1"/>
  <c r="J9" i="23" s="1"/>
  <c r="D10" i="27"/>
  <c r="G10" i="27" s="1"/>
  <c r="J10" i="27" s="1"/>
  <c r="I10" i="19"/>
  <c r="L10" i="19" s="1"/>
  <c r="H10" i="19"/>
  <c r="K10" i="19" s="1"/>
  <c r="G11" i="19"/>
  <c r="J11" i="19" s="1"/>
  <c r="G10" i="19"/>
  <c r="J10" i="19" s="1"/>
  <c r="I10" i="27"/>
  <c r="L10" i="27" s="1"/>
  <c r="H10" i="27"/>
  <c r="K10" i="27" s="1"/>
  <c r="O6" i="41"/>
  <c r="P2" i="41" s="1"/>
  <c r="M8" i="27"/>
  <c r="P8" i="27" s="1"/>
  <c r="Q8" i="27" s="1"/>
  <c r="N7" i="8"/>
  <c r="AC7" i="8" s="1"/>
  <c r="O7" i="8"/>
  <c r="AB7" i="8" s="1"/>
  <c r="E8" i="8"/>
  <c r="H8" i="8" s="1"/>
  <c r="K8" i="8" s="1"/>
  <c r="AG2" i="26"/>
  <c r="AF2" i="22"/>
  <c r="F8" i="8"/>
  <c r="I8" i="8" s="1"/>
  <c r="L8" i="8" s="1"/>
  <c r="AI2" i="8"/>
  <c r="AK2" i="22"/>
  <c r="AE2" i="8"/>
  <c r="AH2" i="30"/>
  <c r="AG2" i="8"/>
  <c r="AJ2" i="28"/>
  <c r="AK2" i="30"/>
  <c r="AD2" i="8"/>
  <c r="AL2" i="22"/>
  <c r="AF2" i="26"/>
  <c r="AD2" i="28"/>
  <c r="AL2" i="30"/>
  <c r="AG2" i="25"/>
  <c r="AD2" i="26"/>
  <c r="AI2" i="28"/>
  <c r="AJ2" i="8"/>
  <c r="AF2" i="25"/>
  <c r="AJ2" i="26"/>
  <c r="AH2" i="28"/>
  <c r="AK2" i="8"/>
  <c r="AK2" i="25"/>
  <c r="AH2" i="36"/>
  <c r="AH2" i="8"/>
  <c r="AI2" i="36"/>
  <c r="AL2" i="25"/>
  <c r="AL2" i="8"/>
  <c r="AE2" i="25"/>
  <c r="AD2" i="36"/>
  <c r="AL2" i="31"/>
  <c r="AK2" i="39"/>
  <c r="AE2" i="22"/>
  <c r="AE2" i="30"/>
  <c r="AK2" i="31"/>
  <c r="AJ2" i="37"/>
  <c r="D8" i="8"/>
  <c r="G8" i="8" s="1"/>
  <c r="J8" i="8" s="1"/>
  <c r="E9" i="29"/>
  <c r="H9" i="29" s="1"/>
  <c r="K9" i="29" s="1"/>
  <c r="I9" i="29"/>
  <c r="L9" i="29" s="1"/>
  <c r="I9" i="37"/>
  <c r="L9" i="37" s="1"/>
  <c r="C10" i="28"/>
  <c r="E10" i="28" s="1"/>
  <c r="H10" i="28" s="1"/>
  <c r="K10" i="28" s="1"/>
  <c r="M9" i="27"/>
  <c r="P9" i="27" s="1"/>
  <c r="Q9" i="27" s="1"/>
  <c r="X9" i="27" s="1"/>
  <c r="H9" i="21"/>
  <c r="K9" i="21" s="1"/>
  <c r="H9" i="37"/>
  <c r="K9" i="37" s="1"/>
  <c r="H10" i="38"/>
  <c r="K10" i="38" s="1"/>
  <c r="I9" i="28"/>
  <c r="L9" i="28" s="1"/>
  <c r="D9" i="36"/>
  <c r="G9" i="36" s="1"/>
  <c r="J9" i="36" s="1"/>
  <c r="E9" i="28"/>
  <c r="H9" i="28" s="1"/>
  <c r="K9" i="28" s="1"/>
  <c r="C10" i="29"/>
  <c r="E10" i="29" s="1"/>
  <c r="H10" i="29" s="1"/>
  <c r="K10" i="29" s="1"/>
  <c r="I9" i="34"/>
  <c r="L9" i="34" s="1"/>
  <c r="F9" i="8"/>
  <c r="I9" i="8" s="1"/>
  <c r="L9" i="8" s="1"/>
  <c r="D9" i="37"/>
  <c r="G9" i="37" s="1"/>
  <c r="J9" i="37" s="1"/>
  <c r="E9" i="8"/>
  <c r="H9" i="8" s="1"/>
  <c r="K9" i="8" s="1"/>
  <c r="C10" i="36"/>
  <c r="F10" i="36" s="1"/>
  <c r="I10" i="36" s="1"/>
  <c r="L10" i="36" s="1"/>
  <c r="E9" i="36"/>
  <c r="H9" i="36" s="1"/>
  <c r="K9" i="36" s="1"/>
  <c r="D9" i="8"/>
  <c r="G9" i="8" s="1"/>
  <c r="J9" i="8" s="1"/>
  <c r="M8" i="38"/>
  <c r="P8" i="38" s="1"/>
  <c r="Q8" i="38" s="1"/>
  <c r="Y8" i="38" s="1"/>
  <c r="AH2" i="25"/>
  <c r="AK2" i="26"/>
  <c r="AG2" i="30"/>
  <c r="AF2" i="31"/>
  <c r="AF2" i="37"/>
  <c r="AI2" i="25"/>
  <c r="AE2" i="26"/>
  <c r="AF2" i="30"/>
  <c r="AG2" i="31"/>
  <c r="AL2" i="37"/>
  <c r="AG2" i="37"/>
  <c r="AE2" i="28"/>
  <c r="AD2" i="30"/>
  <c r="M8" i="21"/>
  <c r="O8" i="21" s="1"/>
  <c r="M8" i="24"/>
  <c r="P8" i="24" s="1"/>
  <c r="M8" i="39"/>
  <c r="N8" i="39" s="1"/>
  <c r="O8" i="39" s="1"/>
  <c r="M8" i="28"/>
  <c r="P8" i="28" s="1"/>
  <c r="Q8" i="28" s="1"/>
  <c r="R8" i="28" s="1"/>
  <c r="M8" i="30"/>
  <c r="P8" i="30" s="1"/>
  <c r="Q8" i="30" s="1"/>
  <c r="Y8" i="30" s="1"/>
  <c r="M8" i="23"/>
  <c r="P8" i="23" s="1"/>
  <c r="Q8" i="23" s="1"/>
  <c r="Y8" i="23" s="1"/>
  <c r="M8" i="29"/>
  <c r="P8" i="29" s="1"/>
  <c r="Q8" i="29" s="1"/>
  <c r="Y8" i="29" s="1"/>
  <c r="M8" i="34"/>
  <c r="P8" i="34" s="1"/>
  <c r="Q8" i="34" s="1"/>
  <c r="M8" i="35"/>
  <c r="P8" i="35" s="1"/>
  <c r="Q8" i="35" s="1"/>
  <c r="M8" i="31"/>
  <c r="P8" i="31" s="1"/>
  <c r="Q8" i="31" s="1"/>
  <c r="R8" i="31" s="1"/>
  <c r="M8" i="22"/>
  <c r="P8" i="22" s="1"/>
  <c r="Q8" i="22" s="1"/>
  <c r="M9" i="31"/>
  <c r="P9" i="31" s="1"/>
  <c r="Q9" i="31" s="1"/>
  <c r="M8" i="36"/>
  <c r="P8" i="36" s="1"/>
  <c r="M9" i="38"/>
  <c r="P9" i="38" s="1"/>
  <c r="Q9" i="38" s="1"/>
  <c r="S9" i="38" s="1"/>
  <c r="M8" i="32"/>
  <c r="P8" i="32" s="1"/>
  <c r="M8" i="25"/>
  <c r="P8" i="25" s="1"/>
  <c r="Q8" i="25" s="1"/>
  <c r="Y8" i="25" s="1"/>
  <c r="AK2" i="36"/>
  <c r="AK2" i="37"/>
  <c r="AI2" i="22"/>
  <c r="C11" i="31"/>
  <c r="D10" i="31"/>
  <c r="G10" i="31" s="1"/>
  <c r="J10" i="31" s="1"/>
  <c r="E10" i="31"/>
  <c r="H10" i="31" s="1"/>
  <c r="K10" i="31" s="1"/>
  <c r="AF2" i="8"/>
  <c r="I9" i="21"/>
  <c r="L9" i="21" s="1"/>
  <c r="AJ2" i="25"/>
  <c r="AK2" i="28"/>
  <c r="AI2" i="30"/>
  <c r="AL2" i="36"/>
  <c r="C11" i="38"/>
  <c r="F11" i="38" s="1"/>
  <c r="I11" i="38" s="1"/>
  <c r="L11" i="38" s="1"/>
  <c r="C10" i="21"/>
  <c r="C11" i="21" s="1"/>
  <c r="AD2" i="25"/>
  <c r="AL2" i="28"/>
  <c r="AJ2" i="30"/>
  <c r="D10" i="38"/>
  <c r="G10" i="38" s="1"/>
  <c r="J10" i="38" s="1"/>
  <c r="AE2" i="39"/>
  <c r="M8" i="33"/>
  <c r="N8" i="33" s="1"/>
  <c r="AJ2" i="39"/>
  <c r="M8" i="37"/>
  <c r="O8" i="37" s="1"/>
  <c r="AI2" i="39"/>
  <c r="AG2" i="33"/>
  <c r="AI2" i="23"/>
  <c r="AK2" i="23"/>
  <c r="AH2" i="23"/>
  <c r="AJ2" i="33"/>
  <c r="AI2" i="33"/>
  <c r="AL2" i="38"/>
  <c r="AH2" i="27"/>
  <c r="AL3" i="39"/>
  <c r="AD2" i="39"/>
  <c r="AE3" i="39"/>
  <c r="AD2" i="35"/>
  <c r="AE2" i="33"/>
  <c r="AJ2" i="32"/>
  <c r="AL2" i="39"/>
  <c r="AH2" i="39"/>
  <c r="AD2" i="38"/>
  <c r="AG2" i="35"/>
  <c r="AE2" i="34"/>
  <c r="AD2" i="34"/>
  <c r="AD2" i="33"/>
  <c r="AH2" i="32"/>
  <c r="AI2" i="21"/>
  <c r="AG2" i="39"/>
  <c r="AF3" i="39"/>
  <c r="AL2" i="34"/>
  <c r="AF2" i="34"/>
  <c r="AE2" i="32"/>
  <c r="AD2" i="29"/>
  <c r="AD2" i="23"/>
  <c r="AD2" i="40"/>
  <c r="AF2" i="39"/>
  <c r="AK2" i="38"/>
  <c r="AD2" i="32"/>
  <c r="AI2" i="32"/>
  <c r="AE2" i="29"/>
  <c r="AL2" i="24"/>
  <c r="AJ2" i="23"/>
  <c r="AD2" i="22"/>
  <c r="AJ2" i="21"/>
  <c r="AK2" i="32"/>
  <c r="AF2" i="28"/>
  <c r="AJ2" i="35"/>
  <c r="AJ2" i="31"/>
  <c r="AE2" i="40"/>
  <c r="AJ2" i="38"/>
  <c r="AD2" i="37"/>
  <c r="AJ2" i="36"/>
  <c r="AH2" i="33"/>
  <c r="AG2" i="32"/>
  <c r="AD2" i="24"/>
  <c r="AH2" i="21"/>
  <c r="AL2" i="29"/>
  <c r="AF2" i="36"/>
  <c r="AL2" i="33"/>
  <c r="AH2" i="29"/>
  <c r="AH2" i="34"/>
  <c r="AK2" i="40"/>
  <c r="AI3" i="39"/>
  <c r="AI2" i="38"/>
  <c r="AH2" i="37"/>
  <c r="AG2" i="36"/>
  <c r="AG2" i="34"/>
  <c r="AE2" i="35"/>
  <c r="AL2" i="32"/>
  <c r="AD2" i="21"/>
  <c r="AH2" i="40"/>
  <c r="AH3" i="39"/>
  <c r="AF2" i="38"/>
  <c r="AG2" i="23"/>
  <c r="AD3" i="39"/>
  <c r="AG2" i="40"/>
  <c r="AI2" i="40"/>
  <c r="AK3" i="39"/>
  <c r="AH2" i="38"/>
  <c r="AE2" i="37"/>
  <c r="AI2" i="37"/>
  <c r="AE2" i="36"/>
  <c r="AI2" i="35"/>
  <c r="AF2" i="35"/>
  <c r="AI2" i="34"/>
  <c r="AD2" i="31"/>
  <c r="AF2" i="29"/>
  <c r="AG2" i="29"/>
  <c r="AD2" i="27"/>
  <c r="AL2" i="23"/>
  <c r="AJ2" i="27"/>
  <c r="AI2" i="24"/>
  <c r="AE2" i="24"/>
  <c r="AG2" i="28"/>
  <c r="AF2" i="40"/>
  <c r="AL2" i="40"/>
  <c r="AJ3" i="39"/>
  <c r="AG2" i="38"/>
  <c r="AH2" i="35"/>
  <c r="AK2" i="35"/>
  <c r="AJ2" i="34"/>
  <c r="AE2" i="31"/>
  <c r="AI2" i="29"/>
  <c r="AK2" i="27"/>
  <c r="AL2" i="26"/>
  <c r="AH2" i="24"/>
  <c r="AF2" i="23"/>
  <c r="AK2" i="21"/>
  <c r="AE2" i="21"/>
  <c r="AH2" i="22"/>
  <c r="AG2" i="21"/>
  <c r="AF2" i="24"/>
  <c r="AK2" i="29"/>
  <c r="AK2" i="33"/>
  <c r="AJ2" i="40"/>
  <c r="AG3" i="39"/>
  <c r="AE2" i="38"/>
  <c r="AL2" i="35"/>
  <c r="AK2" i="34"/>
  <c r="AF2" i="33"/>
  <c r="AF2" i="32"/>
  <c r="AI2" i="31"/>
  <c r="AJ2" i="29"/>
  <c r="AG2" i="27"/>
  <c r="AL2" i="27"/>
  <c r="AE2" i="27"/>
  <c r="AH2" i="26"/>
  <c r="AJ2" i="24"/>
  <c r="AI2" i="27"/>
  <c r="AJ2" i="22"/>
  <c r="AF2" i="21"/>
  <c r="AF2" i="27"/>
  <c r="AG2" i="24"/>
  <c r="AK2" i="24"/>
  <c r="AE2" i="23"/>
  <c r="AG2" i="22"/>
  <c r="AL2" i="21"/>
  <c r="D9" i="34"/>
  <c r="G9" i="34" s="1"/>
  <c r="J9" i="34" s="1"/>
  <c r="E9" i="34"/>
  <c r="H9" i="34" s="1"/>
  <c r="K9" i="34" s="1"/>
  <c r="D9" i="22"/>
  <c r="G9" i="22" s="1"/>
  <c r="J9" i="22" s="1"/>
  <c r="E9" i="22"/>
  <c r="H9" i="22" s="1"/>
  <c r="K9" i="22" s="1"/>
  <c r="F9" i="22"/>
  <c r="I9" i="22" s="1"/>
  <c r="L9" i="22" s="1"/>
  <c r="C10" i="22"/>
  <c r="C10" i="39"/>
  <c r="F9" i="39"/>
  <c r="I9" i="39" s="1"/>
  <c r="L9" i="39" s="1"/>
  <c r="E9" i="39"/>
  <c r="H9" i="39" s="1"/>
  <c r="K9" i="39" s="1"/>
  <c r="D9" i="39"/>
  <c r="G9" i="39" s="1"/>
  <c r="J9" i="39" s="1"/>
  <c r="D9" i="35"/>
  <c r="G9" i="35" s="1"/>
  <c r="J9" i="35" s="1"/>
  <c r="E9" i="35"/>
  <c r="H9" i="35" s="1"/>
  <c r="K9" i="35" s="1"/>
  <c r="C10" i="35"/>
  <c r="C10" i="25"/>
  <c r="D9" i="25"/>
  <c r="G9" i="25" s="1"/>
  <c r="J9" i="25" s="1"/>
  <c r="AH2" i="31"/>
  <c r="D9" i="33"/>
  <c r="G9" i="33" s="1"/>
  <c r="J9" i="33" s="1"/>
  <c r="C10" i="33"/>
  <c r="E9" i="33"/>
  <c r="H9" i="33" s="1"/>
  <c r="K9" i="33" s="1"/>
  <c r="H9" i="25"/>
  <c r="K9" i="25" s="1"/>
  <c r="E9" i="32"/>
  <c r="H9" i="32" s="1"/>
  <c r="K9" i="32" s="1"/>
  <c r="D9" i="32"/>
  <c r="G9" i="32" s="1"/>
  <c r="J9" i="32" s="1"/>
  <c r="C10" i="32"/>
  <c r="F9" i="32"/>
  <c r="I9" i="32" s="1"/>
  <c r="L9" i="32" s="1"/>
  <c r="C10" i="24"/>
  <c r="D9" i="24"/>
  <c r="G9" i="24" s="1"/>
  <c r="J9" i="24" s="1"/>
  <c r="E9" i="24"/>
  <c r="H9" i="24" s="1"/>
  <c r="K9" i="24" s="1"/>
  <c r="F9" i="24"/>
  <c r="I9" i="24" s="1"/>
  <c r="L9" i="24" s="1"/>
  <c r="C10" i="30"/>
  <c r="D9" i="30"/>
  <c r="G9" i="30" s="1"/>
  <c r="J9" i="30" s="1"/>
  <c r="E9" i="30"/>
  <c r="H9" i="30" s="1"/>
  <c r="K9" i="30" s="1"/>
  <c r="D9" i="26"/>
  <c r="G9" i="26" s="1"/>
  <c r="J9" i="26" s="1"/>
  <c r="C10" i="26"/>
  <c r="F9" i="26"/>
  <c r="I9" i="26" s="1"/>
  <c r="L9" i="26" s="1"/>
  <c r="N10" i="40"/>
  <c r="AL3" i="40"/>
  <c r="AK3" i="40"/>
  <c r="AJ3" i="40"/>
  <c r="AD3" i="40"/>
  <c r="AG3" i="40"/>
  <c r="AF3" i="40"/>
  <c r="AE3" i="40"/>
  <c r="AI3" i="40"/>
  <c r="AH3" i="40"/>
  <c r="D11" i="40"/>
  <c r="F11" i="40"/>
  <c r="E11" i="40"/>
  <c r="AE3" i="38"/>
  <c r="AD3" i="38"/>
  <c r="AJ3" i="38"/>
  <c r="AL3" i="38"/>
  <c r="AK3" i="38"/>
  <c r="AI3" i="38"/>
  <c r="AH3" i="38"/>
  <c r="AG3" i="38"/>
  <c r="AF3" i="38"/>
  <c r="C11" i="37"/>
  <c r="F10" i="37"/>
  <c r="I10" i="37" s="1"/>
  <c r="L10" i="37" s="1"/>
  <c r="E10" i="37"/>
  <c r="H10" i="37" s="1"/>
  <c r="K10" i="37" s="1"/>
  <c r="D10" i="37"/>
  <c r="G10" i="37" s="1"/>
  <c r="J10" i="37" s="1"/>
  <c r="N9" i="36"/>
  <c r="N8" i="36"/>
  <c r="AD3" i="35"/>
  <c r="AL3" i="35"/>
  <c r="AF3" i="35"/>
  <c r="AG3" i="35"/>
  <c r="AK3" i="35"/>
  <c r="AJ3" i="35"/>
  <c r="AH3" i="35"/>
  <c r="AE3" i="35"/>
  <c r="AI3" i="35"/>
  <c r="C11" i="34"/>
  <c r="D10" i="34"/>
  <c r="G10" i="34" s="1"/>
  <c r="J10" i="34" s="1"/>
  <c r="E10" i="34"/>
  <c r="H10" i="34" s="1"/>
  <c r="K10" i="34" s="1"/>
  <c r="AL3" i="34"/>
  <c r="AE3" i="34"/>
  <c r="AD3" i="34"/>
  <c r="AJ3" i="34"/>
  <c r="AK3" i="34"/>
  <c r="AI3" i="34"/>
  <c r="AH3" i="34"/>
  <c r="AG3" i="34"/>
  <c r="AF3" i="34"/>
  <c r="AJ3" i="33"/>
  <c r="AI3" i="33"/>
  <c r="AH3" i="33"/>
  <c r="AG3" i="33"/>
  <c r="AF3" i="33"/>
  <c r="AL3" i="33"/>
  <c r="AK3" i="33"/>
  <c r="AE3" i="33"/>
  <c r="AD3" i="33"/>
  <c r="F11" i="33"/>
  <c r="AI3" i="32"/>
  <c r="AH3" i="32"/>
  <c r="AG3" i="32"/>
  <c r="AK3" i="32"/>
  <c r="AD3" i="32"/>
  <c r="AL3" i="32"/>
  <c r="AJ3" i="32"/>
  <c r="AF3" i="32"/>
  <c r="AE3" i="32"/>
  <c r="AF3" i="31"/>
  <c r="AE3" i="31"/>
  <c r="AD3" i="31"/>
  <c r="AH3" i="31"/>
  <c r="AL3" i="31"/>
  <c r="AJ3" i="31"/>
  <c r="AK3" i="31"/>
  <c r="AG3" i="31"/>
  <c r="AI3" i="31"/>
  <c r="AF3" i="30"/>
  <c r="AE3" i="30"/>
  <c r="AK3" i="30"/>
  <c r="AJ3" i="30"/>
  <c r="AI3" i="30"/>
  <c r="AG3" i="30"/>
  <c r="AH3" i="30"/>
  <c r="AD3" i="30"/>
  <c r="AL3" i="30"/>
  <c r="AG3" i="29"/>
  <c r="AF3" i="29"/>
  <c r="AE3" i="29"/>
  <c r="AK3" i="29"/>
  <c r="AL3" i="29"/>
  <c r="AJ3" i="29"/>
  <c r="AD3" i="29"/>
  <c r="AI3" i="29"/>
  <c r="AH3" i="29"/>
  <c r="AL3" i="28"/>
  <c r="AK3" i="28"/>
  <c r="AJ3" i="28"/>
  <c r="AG3" i="28"/>
  <c r="AI3" i="28"/>
  <c r="AE3" i="28"/>
  <c r="AD3" i="28"/>
  <c r="AH3" i="28"/>
  <c r="AF3" i="28"/>
  <c r="N11" i="27"/>
  <c r="F12" i="27"/>
  <c r="E12" i="27"/>
  <c r="AE3" i="26"/>
  <c r="AD3" i="26"/>
  <c r="AG3" i="26"/>
  <c r="AK3" i="26"/>
  <c r="AJ3" i="26"/>
  <c r="AI3" i="26"/>
  <c r="AH3" i="26"/>
  <c r="AF3" i="26"/>
  <c r="AL3" i="26"/>
  <c r="AI3" i="25"/>
  <c r="AH3" i="25"/>
  <c r="AK3" i="25"/>
  <c r="AJ3" i="25"/>
  <c r="AF3" i="25"/>
  <c r="AG3" i="25"/>
  <c r="AL3" i="25"/>
  <c r="AE3" i="25"/>
  <c r="AD3" i="25"/>
  <c r="N11" i="25"/>
  <c r="E12" i="25"/>
  <c r="F12" i="25"/>
  <c r="AL3" i="24"/>
  <c r="AK3" i="24"/>
  <c r="AD3" i="24"/>
  <c r="AF3" i="24"/>
  <c r="AI3" i="24"/>
  <c r="AH3" i="24"/>
  <c r="AJ3" i="24"/>
  <c r="AG3" i="24"/>
  <c r="AE3" i="24"/>
  <c r="AI3" i="23"/>
  <c r="AH3" i="23"/>
  <c r="AG3" i="23"/>
  <c r="AJ3" i="23"/>
  <c r="AL3" i="23"/>
  <c r="AK3" i="23"/>
  <c r="AF3" i="23"/>
  <c r="AE3" i="23"/>
  <c r="AD3" i="23"/>
  <c r="H9" i="20"/>
  <c r="K9" i="20" s="1"/>
  <c r="M8" i="20"/>
  <c r="P8" i="20" s="1"/>
  <c r="AD3" i="22"/>
  <c r="AL3" i="22"/>
  <c r="AK3" i="22"/>
  <c r="AE3" i="22"/>
  <c r="AG3" i="22"/>
  <c r="AJ3" i="22"/>
  <c r="AI3" i="22"/>
  <c r="AH3" i="22"/>
  <c r="AF3" i="22"/>
  <c r="I9" i="20"/>
  <c r="L9" i="20" s="1"/>
  <c r="AK2" i="20"/>
  <c r="AJ2" i="20"/>
  <c r="AI2" i="20"/>
  <c r="AF2" i="20"/>
  <c r="AH2" i="20"/>
  <c r="AE2" i="20"/>
  <c r="AD2" i="20"/>
  <c r="AL2" i="20"/>
  <c r="AG2" i="20"/>
  <c r="AC7" i="20"/>
  <c r="AC3" i="20"/>
  <c r="N8" i="20"/>
  <c r="C10" i="20"/>
  <c r="F11" i="19"/>
  <c r="N10" i="19"/>
  <c r="AC7" i="19"/>
  <c r="N9" i="19"/>
  <c r="AC3" i="19"/>
  <c r="M8" i="19"/>
  <c r="C12" i="19"/>
  <c r="M9" i="19"/>
  <c r="AE2" i="19"/>
  <c r="AD2" i="19"/>
  <c r="AL2" i="19"/>
  <c r="AI2" i="19"/>
  <c r="AG2" i="19"/>
  <c r="AJ2" i="19"/>
  <c r="AK2" i="19"/>
  <c r="AH2" i="19"/>
  <c r="AF2" i="19"/>
  <c r="E11" i="19"/>
  <c r="D10" i="8"/>
  <c r="G10" i="8" s="1"/>
  <c r="J10" i="8" s="1"/>
  <c r="C11" i="8"/>
  <c r="E11" i="8" s="1"/>
  <c r="H11" i="8" s="1"/>
  <c r="K11" i="8" s="1"/>
  <c r="F10" i="8"/>
  <c r="I10" i="8" s="1"/>
  <c r="L10" i="8" s="1"/>
  <c r="A2" i="3"/>
  <c r="C3" i="3"/>
  <c r="C4" i="3"/>
  <c r="C5" i="3"/>
  <c r="B5" i="3"/>
  <c r="B3" i="3"/>
  <c r="B4" i="3"/>
  <c r="AK14" i="52" l="1"/>
  <c r="AD15" i="48"/>
  <c r="AE12" i="55"/>
  <c r="AK13" i="62"/>
  <c r="AH13" i="62"/>
  <c r="AG12" i="55"/>
  <c r="AL13" i="56"/>
  <c r="AD14" i="48"/>
  <c r="AE14" i="65"/>
  <c r="AL12" i="55"/>
  <c r="AH13" i="58"/>
  <c r="AI13" i="56"/>
  <c r="AL13" i="62"/>
  <c r="AH13" i="56"/>
  <c r="AI13" i="62"/>
  <c r="M8" i="40"/>
  <c r="P8" i="40" s="1"/>
  <c r="Q8" i="40" s="1"/>
  <c r="R8" i="40" s="1"/>
  <c r="D12" i="27"/>
  <c r="G12" i="27" s="1"/>
  <c r="J12" i="27" s="1"/>
  <c r="CF5" i="1"/>
  <c r="EH5" i="1"/>
  <c r="I11" i="40"/>
  <c r="L11" i="40" s="1"/>
  <c r="M8" i="26"/>
  <c r="N8" i="26" s="1"/>
  <c r="O8" i="26" s="1"/>
  <c r="AC14" i="44"/>
  <c r="M10" i="40"/>
  <c r="P10" i="40" s="1"/>
  <c r="AA15" i="49"/>
  <c r="AB15" i="49" s="1"/>
  <c r="I12" i="27"/>
  <c r="L12" i="27" s="1"/>
  <c r="F10" i="23"/>
  <c r="I10" i="23" s="1"/>
  <c r="L10" i="23" s="1"/>
  <c r="E10" i="23"/>
  <c r="H10" i="23" s="1"/>
  <c r="K10" i="23" s="1"/>
  <c r="M9" i="40"/>
  <c r="P9" i="40" s="1"/>
  <c r="Q9" i="40" s="1"/>
  <c r="W9" i="40" s="1"/>
  <c r="V15" i="49"/>
  <c r="U15" i="49"/>
  <c r="T15" i="49"/>
  <c r="Y15" i="49"/>
  <c r="AK15" i="49" s="1"/>
  <c r="Z15" i="49"/>
  <c r="AL15" i="49" s="1"/>
  <c r="S15" i="49"/>
  <c r="R15" i="49"/>
  <c r="X15" i="49"/>
  <c r="W15" i="49"/>
  <c r="AI15" i="49" s="1"/>
  <c r="H11" i="40"/>
  <c r="K11" i="40" s="1"/>
  <c r="M17" i="49"/>
  <c r="C19" i="49"/>
  <c r="F18" i="49"/>
  <c r="I18" i="49" s="1"/>
  <c r="L18" i="49" s="1"/>
  <c r="E18" i="49"/>
  <c r="H18" i="49" s="1"/>
  <c r="K18" i="49" s="1"/>
  <c r="D18" i="49"/>
  <c r="G18" i="49" s="1"/>
  <c r="J18" i="49" s="1"/>
  <c r="P16" i="49"/>
  <c r="Q16" i="49" s="1"/>
  <c r="N16" i="49"/>
  <c r="O16" i="49" s="1"/>
  <c r="AB14" i="49"/>
  <c r="AJ13" i="62"/>
  <c r="O15" i="43"/>
  <c r="W15" i="50"/>
  <c r="AI15" i="50" s="1"/>
  <c r="S14" i="56"/>
  <c r="AE14" i="56" s="1"/>
  <c r="M11" i="27"/>
  <c r="P11" i="27" s="1"/>
  <c r="AF13" i="62"/>
  <c r="AC13" i="58"/>
  <c r="AF16" i="45"/>
  <c r="AB15" i="48"/>
  <c r="V14" i="56"/>
  <c r="AH14" i="56" s="1"/>
  <c r="AG16" i="45"/>
  <c r="AH16" i="45"/>
  <c r="X15" i="54"/>
  <c r="AI16" i="45"/>
  <c r="AC14" i="53"/>
  <c r="U14" i="56"/>
  <c r="AG14" i="56" s="1"/>
  <c r="AB13" i="56"/>
  <c r="BO7" i="1" s="1"/>
  <c r="CG7" i="1" s="1"/>
  <c r="AE13" i="58"/>
  <c r="AJ16" i="45"/>
  <c r="Z14" i="43"/>
  <c r="AL14" i="43" s="1"/>
  <c r="AL16" i="45"/>
  <c r="AD16" i="47"/>
  <c r="R14" i="56"/>
  <c r="AD14" i="56" s="1"/>
  <c r="T14" i="56"/>
  <c r="AF14" i="56" s="1"/>
  <c r="G11" i="40"/>
  <c r="J11" i="40" s="1"/>
  <c r="AD16" i="45"/>
  <c r="AG16" i="47"/>
  <c r="AF16" i="47"/>
  <c r="AB13" i="55"/>
  <c r="AD12" i="55"/>
  <c r="AJ13" i="58"/>
  <c r="AJ13" i="64"/>
  <c r="AK16" i="47"/>
  <c r="AK15" i="51"/>
  <c r="Z15" i="54"/>
  <c r="AK14" i="43"/>
  <c r="AG13" i="55"/>
  <c r="AG13" i="43"/>
  <c r="AJ12" i="55"/>
  <c r="H12" i="27"/>
  <c r="K12" i="27" s="1"/>
  <c r="AL16" i="47"/>
  <c r="Y15" i="50"/>
  <c r="AK15" i="50" s="1"/>
  <c r="AH13" i="55"/>
  <c r="AH13" i="43"/>
  <c r="AF13" i="58"/>
  <c r="AH8" i="55"/>
  <c r="AH9" i="55"/>
  <c r="AH10" i="55"/>
  <c r="AH11" i="55"/>
  <c r="AG9" i="45"/>
  <c r="AG10" i="45"/>
  <c r="AG8" i="45"/>
  <c r="AG11" i="45"/>
  <c r="AG12" i="45"/>
  <c r="AG13" i="45"/>
  <c r="AF8" i="45"/>
  <c r="AF9" i="45"/>
  <c r="AF10" i="45"/>
  <c r="AF11" i="45"/>
  <c r="AF12" i="45"/>
  <c r="AF13" i="45"/>
  <c r="AI9" i="49"/>
  <c r="AI8" i="49"/>
  <c r="AI11" i="49"/>
  <c r="AI12" i="49"/>
  <c r="AI13" i="49"/>
  <c r="AI14" i="49"/>
  <c r="AI10" i="49"/>
  <c r="AI8" i="43"/>
  <c r="AI9" i="43"/>
  <c r="AI11" i="43"/>
  <c r="AI10" i="43"/>
  <c r="AD8" i="56"/>
  <c r="AD9" i="56"/>
  <c r="AD10" i="56"/>
  <c r="AD11" i="56"/>
  <c r="AD12" i="56"/>
  <c r="AE8" i="56"/>
  <c r="AE9" i="56"/>
  <c r="AE11" i="56"/>
  <c r="AE10" i="56"/>
  <c r="AE12" i="56"/>
  <c r="AH8" i="46"/>
  <c r="AH10" i="46"/>
  <c r="AH9" i="46"/>
  <c r="AD8" i="60"/>
  <c r="AD9" i="60"/>
  <c r="AD10" i="60"/>
  <c r="AD11" i="60"/>
  <c r="AD12" i="60"/>
  <c r="AJ8" i="54"/>
  <c r="AJ9" i="54"/>
  <c r="AJ10" i="54"/>
  <c r="AJ11" i="54"/>
  <c r="AJ12" i="54"/>
  <c r="AJ13" i="54"/>
  <c r="AH9" i="48"/>
  <c r="AH8" i="48"/>
  <c r="AH10" i="48"/>
  <c r="AH11" i="48"/>
  <c r="AH12" i="48"/>
  <c r="AH13" i="48"/>
  <c r="AD8" i="63"/>
  <c r="AD9" i="63"/>
  <c r="AD10" i="63"/>
  <c r="AD11" i="63"/>
  <c r="AJ8" i="63"/>
  <c r="AJ9" i="63"/>
  <c r="AJ10" i="63"/>
  <c r="AJ11" i="63"/>
  <c r="AG9" i="50"/>
  <c r="AG10" i="50"/>
  <c r="AG8" i="50"/>
  <c r="AG11" i="50"/>
  <c r="AG12" i="50"/>
  <c r="AG13" i="50"/>
  <c r="AE8" i="62"/>
  <c r="AE9" i="62"/>
  <c r="AE10" i="62"/>
  <c r="AE11" i="62"/>
  <c r="AG8" i="54"/>
  <c r="AG9" i="54"/>
  <c r="AG10" i="54"/>
  <c r="AG11" i="54"/>
  <c r="AG12" i="54"/>
  <c r="AG13" i="54"/>
  <c r="AJ9" i="52"/>
  <c r="AJ10" i="52"/>
  <c r="AJ8" i="52"/>
  <c r="AJ11" i="52"/>
  <c r="AJ12" i="52"/>
  <c r="AI8" i="64"/>
  <c r="AI10" i="64"/>
  <c r="AI9" i="64"/>
  <c r="AI11" i="64"/>
  <c r="AI12" i="64"/>
  <c r="AF14" i="45"/>
  <c r="AJ15" i="45"/>
  <c r="AJ13" i="55"/>
  <c r="AL13" i="43"/>
  <c r="N9" i="44"/>
  <c r="P9" i="44"/>
  <c r="Q9" i="44" s="1"/>
  <c r="AI3" i="44"/>
  <c r="AH3" i="44"/>
  <c r="AE3" i="44"/>
  <c r="AF3" i="44"/>
  <c r="AG3" i="44"/>
  <c r="AD3" i="44"/>
  <c r="AJ3" i="44"/>
  <c r="AL3" i="44"/>
  <c r="AK3" i="44"/>
  <c r="AD8" i="49"/>
  <c r="AD11" i="49"/>
  <c r="AD9" i="49"/>
  <c r="AD12" i="49"/>
  <c r="AD13" i="49"/>
  <c r="AD14" i="49"/>
  <c r="AD10" i="49"/>
  <c r="AD15" i="49"/>
  <c r="AE8" i="43"/>
  <c r="AE9" i="43"/>
  <c r="AE11" i="43"/>
  <c r="AE10" i="43"/>
  <c r="AH9" i="51"/>
  <c r="AH8" i="51"/>
  <c r="AH10" i="51"/>
  <c r="AH11" i="51"/>
  <c r="AH12" i="51"/>
  <c r="AH13" i="51"/>
  <c r="AE10" i="45"/>
  <c r="AE9" i="45"/>
  <c r="AE8" i="45"/>
  <c r="AE11" i="45"/>
  <c r="AE12" i="45"/>
  <c r="AE13" i="45"/>
  <c r="AK8" i="57"/>
  <c r="AK9" i="57"/>
  <c r="AK10" i="57"/>
  <c r="AK12" i="57"/>
  <c r="AK11" i="57"/>
  <c r="AL8" i="57"/>
  <c r="AL9" i="57"/>
  <c r="AL10" i="57"/>
  <c r="AL11" i="57"/>
  <c r="AL12" i="57"/>
  <c r="AG9" i="53"/>
  <c r="AG8" i="53"/>
  <c r="AG10" i="53"/>
  <c r="AG11" i="53"/>
  <c r="AG12" i="53"/>
  <c r="AI8" i="62"/>
  <c r="AI9" i="62"/>
  <c r="AI10" i="62"/>
  <c r="AI11" i="62"/>
  <c r="AG8" i="56"/>
  <c r="AG9" i="56"/>
  <c r="AG10" i="56"/>
  <c r="AG11" i="56"/>
  <c r="AG12" i="56"/>
  <c r="AJ8" i="46"/>
  <c r="AJ10" i="46"/>
  <c r="AJ9" i="46"/>
  <c r="AF8" i="64"/>
  <c r="AF9" i="64"/>
  <c r="AF10" i="64"/>
  <c r="AF11" i="64"/>
  <c r="AF12" i="64"/>
  <c r="AL8" i="62"/>
  <c r="AL9" i="62"/>
  <c r="AL10" i="62"/>
  <c r="AL11" i="62"/>
  <c r="AL12" i="62"/>
  <c r="AD8" i="64"/>
  <c r="AD10" i="64"/>
  <c r="AD9" i="64"/>
  <c r="AD11" i="64"/>
  <c r="AD12" i="64"/>
  <c r="AI8" i="63"/>
  <c r="AI9" i="63"/>
  <c r="AI10" i="63"/>
  <c r="AI11" i="63"/>
  <c r="AE8" i="46"/>
  <c r="AE9" i="46"/>
  <c r="AE10" i="46"/>
  <c r="AH8" i="63"/>
  <c r="AH9" i="63"/>
  <c r="AH10" i="63"/>
  <c r="AH11" i="63"/>
  <c r="AJ8" i="57"/>
  <c r="AJ9" i="57"/>
  <c r="AJ10" i="57"/>
  <c r="AJ11" i="57"/>
  <c r="AJ12" i="57"/>
  <c r="AD8" i="58"/>
  <c r="AD9" i="58"/>
  <c r="AD10" i="58"/>
  <c r="AD11" i="58"/>
  <c r="AK9" i="65"/>
  <c r="AK8" i="65"/>
  <c r="AK11" i="65"/>
  <c r="AK10" i="65"/>
  <c r="AK12" i="65"/>
  <c r="AK13" i="65"/>
  <c r="AG14" i="45"/>
  <c r="AE16" i="47"/>
  <c r="V14" i="43"/>
  <c r="AH14" i="43" s="1"/>
  <c r="AL9" i="51"/>
  <c r="AL8" i="51"/>
  <c r="AL10" i="51"/>
  <c r="AL11" i="51"/>
  <c r="AL12" i="51"/>
  <c r="AL13" i="51"/>
  <c r="AG8" i="43"/>
  <c r="AG9" i="43"/>
  <c r="AG10" i="43"/>
  <c r="AG11" i="43"/>
  <c r="AJ10" i="45"/>
  <c r="AJ9" i="45"/>
  <c r="AJ8" i="45"/>
  <c r="AJ11" i="45"/>
  <c r="AJ12" i="45"/>
  <c r="AJ13" i="45"/>
  <c r="AJ14" i="45"/>
  <c r="AK11" i="49"/>
  <c r="AK9" i="49"/>
  <c r="AK8" i="49"/>
  <c r="AK12" i="49"/>
  <c r="AK13" i="49"/>
  <c r="AK14" i="49"/>
  <c r="AK10" i="49"/>
  <c r="AI8" i="55"/>
  <c r="AI9" i="55"/>
  <c r="AI10" i="55"/>
  <c r="AI11" i="55"/>
  <c r="AL9" i="49"/>
  <c r="AL11" i="49"/>
  <c r="AL8" i="49"/>
  <c r="AL12" i="49"/>
  <c r="AL13" i="49"/>
  <c r="AL10" i="49"/>
  <c r="AL14" i="49"/>
  <c r="AH8" i="58"/>
  <c r="AH9" i="58"/>
  <c r="AH10" i="58"/>
  <c r="AH11" i="58"/>
  <c r="AJ9" i="58"/>
  <c r="AJ8" i="58"/>
  <c r="AJ10" i="58"/>
  <c r="AJ11" i="58"/>
  <c r="AJ12" i="58"/>
  <c r="AK8" i="54"/>
  <c r="AK9" i="54"/>
  <c r="AK11" i="54"/>
  <c r="AK10" i="54"/>
  <c r="AK12" i="54"/>
  <c r="AK13" i="54"/>
  <c r="AF8" i="63"/>
  <c r="AF9" i="63"/>
  <c r="AF10" i="63"/>
  <c r="AF11" i="63"/>
  <c r="AL8" i="58"/>
  <c r="AL9" i="58"/>
  <c r="AL11" i="58"/>
  <c r="AL10" i="58"/>
  <c r="AJ8" i="47"/>
  <c r="AJ9" i="47"/>
  <c r="AJ10" i="47"/>
  <c r="AJ11" i="47"/>
  <c r="AJ12" i="47"/>
  <c r="AJ13" i="47"/>
  <c r="AJ14" i="47"/>
  <c r="AI10" i="47"/>
  <c r="AI8" i="47"/>
  <c r="AI9" i="47"/>
  <c r="AI11" i="47"/>
  <c r="AI13" i="47"/>
  <c r="AI12" i="47"/>
  <c r="AI14" i="47"/>
  <c r="AE8" i="64"/>
  <c r="AE9" i="64"/>
  <c r="AE10" i="64"/>
  <c r="AE11" i="64"/>
  <c r="AE12" i="64"/>
  <c r="AG9" i="65"/>
  <c r="AG8" i="65"/>
  <c r="AG11" i="65"/>
  <c r="AG10" i="65"/>
  <c r="AG12" i="65"/>
  <c r="AG13" i="65"/>
  <c r="AJ8" i="64"/>
  <c r="AJ10" i="64"/>
  <c r="AJ9" i="64"/>
  <c r="AJ11" i="64"/>
  <c r="AJ12" i="64"/>
  <c r="AE10" i="47"/>
  <c r="AE8" i="47"/>
  <c r="AE9" i="47"/>
  <c r="AE11" i="47"/>
  <c r="AE13" i="47"/>
  <c r="AE12" i="47"/>
  <c r="AE14" i="47"/>
  <c r="AI9" i="65"/>
  <c r="AI8" i="65"/>
  <c r="AI10" i="65"/>
  <c r="AI11" i="65"/>
  <c r="AI13" i="65"/>
  <c r="AI12" i="65"/>
  <c r="AG8" i="58"/>
  <c r="AG9" i="58"/>
  <c r="AG11" i="58"/>
  <c r="AG10" i="58"/>
  <c r="AG12" i="58"/>
  <c r="AI8" i="54"/>
  <c r="AI9" i="54"/>
  <c r="AI10" i="54"/>
  <c r="AI11" i="54"/>
  <c r="AI12" i="54"/>
  <c r="AI13" i="54"/>
  <c r="AH12" i="55"/>
  <c r="O8" i="44"/>
  <c r="AF8" i="55"/>
  <c r="AF9" i="55"/>
  <c r="AF10" i="55"/>
  <c r="AF11" i="55"/>
  <c r="AD8" i="43"/>
  <c r="AD9" i="43"/>
  <c r="AD11" i="43"/>
  <c r="AD10" i="43"/>
  <c r="AF9" i="49"/>
  <c r="AF8" i="49"/>
  <c r="AF11" i="49"/>
  <c r="AF12" i="49"/>
  <c r="AF13" i="49"/>
  <c r="AF10" i="49"/>
  <c r="AF14" i="49"/>
  <c r="AF15" i="49"/>
  <c r="AK8" i="51"/>
  <c r="AK9" i="51"/>
  <c r="AK10" i="51"/>
  <c r="AK11" i="51"/>
  <c r="AK12" i="51"/>
  <c r="AK13" i="51"/>
  <c r="AH8" i="43"/>
  <c r="AH9" i="43"/>
  <c r="AH10" i="43"/>
  <c r="AH11" i="43"/>
  <c r="AI8" i="51"/>
  <c r="AI10" i="51"/>
  <c r="AI9" i="51"/>
  <c r="AI11" i="51"/>
  <c r="AI12" i="51"/>
  <c r="AI13" i="51"/>
  <c r="AH8" i="59"/>
  <c r="AH9" i="59"/>
  <c r="AH10" i="59"/>
  <c r="AH11" i="59"/>
  <c r="AH12" i="59"/>
  <c r="AI8" i="59"/>
  <c r="AI10" i="59"/>
  <c r="AI9" i="59"/>
  <c r="AI11" i="59"/>
  <c r="AI12" i="59"/>
  <c r="AF9" i="56"/>
  <c r="AF8" i="56"/>
  <c r="AF11" i="56"/>
  <c r="AF10" i="56"/>
  <c r="AF12" i="56"/>
  <c r="AE9" i="65"/>
  <c r="AE10" i="65"/>
  <c r="AE8" i="65"/>
  <c r="AE11" i="65"/>
  <c r="AE12" i="65"/>
  <c r="AE13" i="65"/>
  <c r="AK8" i="59"/>
  <c r="AK9" i="59"/>
  <c r="AK11" i="59"/>
  <c r="AK10" i="59"/>
  <c r="AK12" i="59"/>
  <c r="AK10" i="47"/>
  <c r="AK9" i="47"/>
  <c r="AK8" i="47"/>
  <c r="AK11" i="47"/>
  <c r="AK12" i="47"/>
  <c r="AK13" i="47"/>
  <c r="AK14" i="47"/>
  <c r="AF9" i="48"/>
  <c r="AF8" i="48"/>
  <c r="AF10" i="48"/>
  <c r="AF11" i="48"/>
  <c r="AF13" i="48"/>
  <c r="AF12" i="48"/>
  <c r="AF9" i="65"/>
  <c r="AF8" i="65"/>
  <c r="AF11" i="65"/>
  <c r="AF10" i="65"/>
  <c r="AF12" i="65"/>
  <c r="AF13" i="65"/>
  <c r="AK8" i="63"/>
  <c r="AK9" i="63"/>
  <c r="AK10" i="63"/>
  <c r="AK11" i="63"/>
  <c r="AH9" i="65"/>
  <c r="AH8" i="65"/>
  <c r="AH11" i="65"/>
  <c r="AH10" i="65"/>
  <c r="AH12" i="65"/>
  <c r="AH13" i="65"/>
  <c r="AD9" i="48"/>
  <c r="AD8" i="48"/>
  <c r="AD10" i="48"/>
  <c r="AD11" i="48"/>
  <c r="AD12" i="48"/>
  <c r="AD13" i="48"/>
  <c r="AJ8" i="50"/>
  <c r="AJ9" i="50"/>
  <c r="AJ10" i="50"/>
  <c r="AJ11" i="50"/>
  <c r="AJ12" i="50"/>
  <c r="AJ13" i="50"/>
  <c r="AG8" i="59"/>
  <c r="AG9" i="59"/>
  <c r="AG10" i="59"/>
  <c r="AG11" i="59"/>
  <c r="AG12" i="59"/>
  <c r="AK9" i="52"/>
  <c r="AK8" i="52"/>
  <c r="AK10" i="52"/>
  <c r="AK11" i="52"/>
  <c r="AK12" i="52"/>
  <c r="AK8" i="64"/>
  <c r="AK9" i="64"/>
  <c r="AK10" i="64"/>
  <c r="AK11" i="64"/>
  <c r="AK12" i="64"/>
  <c r="AH11" i="46"/>
  <c r="AL15" i="51"/>
  <c r="AA14" i="43"/>
  <c r="AC14" i="43" s="1"/>
  <c r="P8" i="44"/>
  <c r="Q8" i="44" s="1"/>
  <c r="AI10" i="45"/>
  <c r="AI8" i="45"/>
  <c r="AI9" i="45"/>
  <c r="AI11" i="45"/>
  <c r="AI12" i="45"/>
  <c r="AI13" i="45"/>
  <c r="AE9" i="51"/>
  <c r="AE8" i="51"/>
  <c r="AE10" i="51"/>
  <c r="AE11" i="51"/>
  <c r="AE12" i="51"/>
  <c r="AE13" i="51"/>
  <c r="AK8" i="55"/>
  <c r="AK9" i="55"/>
  <c r="AK10" i="55"/>
  <c r="AK11" i="55"/>
  <c r="AD8" i="45"/>
  <c r="AD9" i="45"/>
  <c r="AD10" i="45"/>
  <c r="AD11" i="45"/>
  <c r="AD12" i="45"/>
  <c r="AD13" i="45"/>
  <c r="AG8" i="60"/>
  <c r="AG9" i="60"/>
  <c r="AG10" i="60"/>
  <c r="AG11" i="60"/>
  <c r="AG12" i="60"/>
  <c r="AH8" i="60"/>
  <c r="AH9" i="60"/>
  <c r="AH11" i="60"/>
  <c r="AH10" i="60"/>
  <c r="AH12" i="60"/>
  <c r="AE8" i="57"/>
  <c r="AE9" i="57"/>
  <c r="AE11" i="57"/>
  <c r="AE10" i="57"/>
  <c r="AE12" i="57"/>
  <c r="AF8" i="60"/>
  <c r="AF9" i="60"/>
  <c r="AF10" i="60"/>
  <c r="AF11" i="60"/>
  <c r="AF12" i="60"/>
  <c r="AJ8" i="60"/>
  <c r="AJ9" i="60"/>
  <c r="AJ10" i="60"/>
  <c r="AJ11" i="60"/>
  <c r="AJ12" i="60"/>
  <c r="AG8" i="48"/>
  <c r="AG9" i="48"/>
  <c r="AG10" i="48"/>
  <c r="AG11" i="48"/>
  <c r="AG12" i="48"/>
  <c r="AG13" i="48"/>
  <c r="AH9" i="50"/>
  <c r="AH10" i="50"/>
  <c r="AH8" i="50"/>
  <c r="AH11" i="50"/>
  <c r="AH12" i="50"/>
  <c r="AH13" i="50"/>
  <c r="AH8" i="64"/>
  <c r="AH9" i="64"/>
  <c r="AH10" i="64"/>
  <c r="AH11" i="64"/>
  <c r="AH12" i="64"/>
  <c r="AD8" i="46"/>
  <c r="AD10" i="46"/>
  <c r="AD9" i="46"/>
  <c r="AG9" i="52"/>
  <c r="AG10" i="52"/>
  <c r="AG8" i="52"/>
  <c r="AG11" i="52"/>
  <c r="AG12" i="52"/>
  <c r="AE9" i="50"/>
  <c r="AE8" i="50"/>
  <c r="AE10" i="50"/>
  <c r="AE11" i="50"/>
  <c r="AE12" i="50"/>
  <c r="AE13" i="50"/>
  <c r="AF8" i="58"/>
  <c r="AF9" i="58"/>
  <c r="AF10" i="58"/>
  <c r="AF11" i="58"/>
  <c r="AL8" i="54"/>
  <c r="AL9" i="54"/>
  <c r="AL10" i="54"/>
  <c r="AL11" i="54"/>
  <c r="AL12" i="54"/>
  <c r="AL13" i="54"/>
  <c r="AF12" i="63"/>
  <c r="AD12" i="43"/>
  <c r="AG13" i="52"/>
  <c r="N11" i="44"/>
  <c r="O11" i="44" s="1"/>
  <c r="P11" i="44"/>
  <c r="Q11" i="44" s="1"/>
  <c r="AK8" i="43"/>
  <c r="AK9" i="43"/>
  <c r="AK10" i="43"/>
  <c r="AK11" i="43"/>
  <c r="AJ8" i="49"/>
  <c r="AJ9" i="49"/>
  <c r="AJ11" i="49"/>
  <c r="AJ12" i="49"/>
  <c r="AJ13" i="49"/>
  <c r="AJ10" i="49"/>
  <c r="AJ14" i="49"/>
  <c r="AJ15" i="49"/>
  <c r="AE8" i="55"/>
  <c r="AE9" i="55"/>
  <c r="AE10" i="55"/>
  <c r="AE11" i="55"/>
  <c r="AG8" i="49"/>
  <c r="AG11" i="49"/>
  <c r="AG9" i="49"/>
  <c r="AG12" i="49"/>
  <c r="AG13" i="49"/>
  <c r="AG10" i="49"/>
  <c r="AG14" i="49"/>
  <c r="AG15" i="49"/>
  <c r="AG8" i="46"/>
  <c r="AG9" i="46"/>
  <c r="AG10" i="46"/>
  <c r="AE8" i="60"/>
  <c r="AE9" i="60"/>
  <c r="AE11" i="60"/>
  <c r="AE10" i="60"/>
  <c r="AE12" i="60"/>
  <c r="AD8" i="57"/>
  <c r="AD9" i="57"/>
  <c r="AD11" i="57"/>
  <c r="AD10" i="57"/>
  <c r="AD12" i="57"/>
  <c r="AG10" i="47"/>
  <c r="AG8" i="47"/>
  <c r="AG9" i="47"/>
  <c r="AG11" i="47"/>
  <c r="AG12" i="47"/>
  <c r="AG13" i="47"/>
  <c r="AG14" i="47"/>
  <c r="AJ8" i="62"/>
  <c r="AJ10" i="62"/>
  <c r="AJ9" i="62"/>
  <c r="AJ11" i="62"/>
  <c r="AI8" i="53"/>
  <c r="AI9" i="53"/>
  <c r="AI10" i="53"/>
  <c r="AI11" i="53"/>
  <c r="AI12" i="53"/>
  <c r="AJ8" i="53"/>
  <c r="AJ9" i="53"/>
  <c r="AJ10" i="53"/>
  <c r="AJ11" i="53"/>
  <c r="AJ12" i="53"/>
  <c r="AK8" i="53"/>
  <c r="AK9" i="53"/>
  <c r="AK10" i="53"/>
  <c r="AK11" i="53"/>
  <c r="AK12" i="53"/>
  <c r="AD8" i="47"/>
  <c r="AD9" i="47"/>
  <c r="AD10" i="47"/>
  <c r="AD11" i="47"/>
  <c r="AD12" i="47"/>
  <c r="AD13" i="47"/>
  <c r="AD14" i="47"/>
  <c r="AH8" i="54"/>
  <c r="AH9" i="54"/>
  <c r="AH11" i="54"/>
  <c r="AH10" i="54"/>
  <c r="AH12" i="54"/>
  <c r="AH13" i="54"/>
  <c r="AF9" i="52"/>
  <c r="AF10" i="52"/>
  <c r="AF8" i="52"/>
  <c r="AF11" i="52"/>
  <c r="AF12" i="52"/>
  <c r="AF8" i="46"/>
  <c r="AF10" i="46"/>
  <c r="AF9" i="46"/>
  <c r="AF8" i="62"/>
  <c r="AF9" i="62"/>
  <c r="AF10" i="62"/>
  <c r="AF11" i="62"/>
  <c r="AL8" i="64"/>
  <c r="AL9" i="64"/>
  <c r="AL10" i="64"/>
  <c r="AL11" i="64"/>
  <c r="AL12" i="64"/>
  <c r="AH12" i="63"/>
  <c r="AK12" i="55"/>
  <c r="AI12" i="55"/>
  <c r="AC3" i="8"/>
  <c r="AL3" i="8" s="1"/>
  <c r="AH16" i="47"/>
  <c r="AG15" i="48"/>
  <c r="R14" i="58"/>
  <c r="AD14" i="58" s="1"/>
  <c r="N15" i="60"/>
  <c r="O15" i="60" s="1"/>
  <c r="AI15" i="47"/>
  <c r="AE15" i="47"/>
  <c r="P13" i="44"/>
  <c r="Q13" i="44" s="1"/>
  <c r="O13" i="44"/>
  <c r="AF14" i="65"/>
  <c r="AG8" i="55"/>
  <c r="AG9" i="55"/>
  <c r="AG10" i="55"/>
  <c r="AG11" i="55"/>
  <c r="AJ8" i="51"/>
  <c r="AJ9" i="51"/>
  <c r="AJ10" i="51"/>
  <c r="AJ11" i="51"/>
  <c r="AJ12" i="51"/>
  <c r="AJ13" i="51"/>
  <c r="AF8" i="43"/>
  <c r="AF9" i="43"/>
  <c r="AF10" i="43"/>
  <c r="AF11" i="43"/>
  <c r="AF8" i="51"/>
  <c r="AF9" i="51"/>
  <c r="AF10" i="51"/>
  <c r="AF11" i="51"/>
  <c r="AF12" i="51"/>
  <c r="AF13" i="51"/>
  <c r="AK8" i="48"/>
  <c r="AK9" i="48"/>
  <c r="AK10" i="48"/>
  <c r="AK11" i="48"/>
  <c r="AK12" i="48"/>
  <c r="AK13" i="48"/>
  <c r="AG8" i="62"/>
  <c r="AG9" i="62"/>
  <c r="AG10" i="62"/>
  <c r="AG12" i="62"/>
  <c r="AG11" i="62"/>
  <c r="AK8" i="58"/>
  <c r="AK9" i="58"/>
  <c r="AK11" i="58"/>
  <c r="AK10" i="58"/>
  <c r="AL9" i="50"/>
  <c r="AL10" i="50"/>
  <c r="AL8" i="50"/>
  <c r="AL11" i="50"/>
  <c r="AL12" i="50"/>
  <c r="AL13" i="50"/>
  <c r="AE8" i="63"/>
  <c r="AE10" i="63"/>
  <c r="AE9" i="63"/>
  <c r="AE11" i="63"/>
  <c r="AH9" i="56"/>
  <c r="AH8" i="56"/>
  <c r="AH10" i="56"/>
  <c r="AH11" i="56"/>
  <c r="AH12" i="56"/>
  <c r="AI9" i="56"/>
  <c r="AI8" i="56"/>
  <c r="AI10" i="56"/>
  <c r="AI11" i="56"/>
  <c r="AI12" i="56"/>
  <c r="AJ9" i="56"/>
  <c r="AJ8" i="56"/>
  <c r="AJ11" i="56"/>
  <c r="AJ10" i="56"/>
  <c r="AJ12" i="56"/>
  <c r="AF9" i="50"/>
  <c r="AF8" i="50"/>
  <c r="AF10" i="50"/>
  <c r="AF11" i="50"/>
  <c r="AF12" i="50"/>
  <c r="AF13" i="50"/>
  <c r="AL8" i="46"/>
  <c r="AL9" i="46"/>
  <c r="AL10" i="46"/>
  <c r="AD8" i="53"/>
  <c r="AD9" i="53"/>
  <c r="AD10" i="53"/>
  <c r="AD11" i="53"/>
  <c r="AD12" i="53"/>
  <c r="AF8" i="47"/>
  <c r="AF10" i="47"/>
  <c r="AF9" i="47"/>
  <c r="AF11" i="47"/>
  <c r="AF13" i="47"/>
  <c r="AF12" i="47"/>
  <c r="AF14" i="47"/>
  <c r="AJ9" i="65"/>
  <c r="AJ8" i="65"/>
  <c r="AJ10" i="65"/>
  <c r="AJ11" i="65"/>
  <c r="AJ12" i="65"/>
  <c r="AJ13" i="65"/>
  <c r="AD8" i="62"/>
  <c r="AD9" i="62"/>
  <c r="AD10" i="62"/>
  <c r="AD11" i="62"/>
  <c r="AJ9" i="48"/>
  <c r="AJ8" i="48"/>
  <c r="AJ10" i="48"/>
  <c r="AJ11" i="48"/>
  <c r="AJ13" i="48"/>
  <c r="AJ12" i="48"/>
  <c r="AG13" i="62"/>
  <c r="AJ11" i="46"/>
  <c r="AG13" i="58"/>
  <c r="AB15" i="45"/>
  <c r="AK13" i="59"/>
  <c r="AH13" i="59"/>
  <c r="AL14" i="48"/>
  <c r="P10" i="44"/>
  <c r="Q10" i="44" s="1"/>
  <c r="O10" i="44"/>
  <c r="P12" i="44"/>
  <c r="Q12" i="44" s="1"/>
  <c r="AE11" i="49"/>
  <c r="AE9" i="49"/>
  <c r="AE8" i="49"/>
  <c r="AE12" i="49"/>
  <c r="AE13" i="49"/>
  <c r="AE14" i="49"/>
  <c r="AE10" i="49"/>
  <c r="AE15" i="49"/>
  <c r="AJ8" i="55"/>
  <c r="AJ9" i="55"/>
  <c r="AJ10" i="55"/>
  <c r="AJ11" i="55"/>
  <c r="AH9" i="45"/>
  <c r="AH8" i="45"/>
  <c r="AH10" i="45"/>
  <c r="AH11" i="45"/>
  <c r="AH12" i="45"/>
  <c r="AH13" i="45"/>
  <c r="AL10" i="45"/>
  <c r="AL9" i="45"/>
  <c r="AL8" i="45"/>
  <c r="AL11" i="45"/>
  <c r="AL12" i="45"/>
  <c r="AL13" i="45"/>
  <c r="AD8" i="55"/>
  <c r="AD9" i="55"/>
  <c r="AD10" i="55"/>
  <c r="AD11" i="55"/>
  <c r="AD9" i="52"/>
  <c r="AD8" i="52"/>
  <c r="AD10" i="52"/>
  <c r="AD11" i="52"/>
  <c r="AD12" i="52"/>
  <c r="AL8" i="65"/>
  <c r="AL9" i="65"/>
  <c r="AL11" i="65"/>
  <c r="AL10" i="65"/>
  <c r="AL12" i="65"/>
  <c r="AL13" i="65"/>
  <c r="AH8" i="62"/>
  <c r="AH10" i="62"/>
  <c r="AH9" i="62"/>
  <c r="AH11" i="62"/>
  <c r="AF8" i="59"/>
  <c r="AF9" i="59"/>
  <c r="AF10" i="59"/>
  <c r="AF11" i="59"/>
  <c r="AF12" i="59"/>
  <c r="AL9" i="52"/>
  <c r="AL10" i="52"/>
  <c r="AL8" i="52"/>
  <c r="AL11" i="52"/>
  <c r="AL12" i="52"/>
  <c r="AG8" i="64"/>
  <c r="AG10" i="64"/>
  <c r="AG9" i="64"/>
  <c r="AG11" i="64"/>
  <c r="AG12" i="64"/>
  <c r="AL8" i="59"/>
  <c r="AL10" i="59"/>
  <c r="AL9" i="59"/>
  <c r="AL11" i="59"/>
  <c r="AL12" i="59"/>
  <c r="AF8" i="57"/>
  <c r="AF9" i="57"/>
  <c r="AF10" i="57"/>
  <c r="AF11" i="57"/>
  <c r="AF12" i="57"/>
  <c r="AG8" i="57"/>
  <c r="AG9" i="57"/>
  <c r="AG10" i="57"/>
  <c r="AG11" i="57"/>
  <c r="AG12" i="57"/>
  <c r="AL8" i="53"/>
  <c r="AL9" i="53"/>
  <c r="AL10" i="53"/>
  <c r="AL11" i="53"/>
  <c r="AL12" i="53"/>
  <c r="AK8" i="46"/>
  <c r="AK10" i="46"/>
  <c r="AK9" i="46"/>
  <c r="AL9" i="56"/>
  <c r="AL8" i="56"/>
  <c r="AL11" i="56"/>
  <c r="AL10" i="56"/>
  <c r="AL12" i="56"/>
  <c r="AL9" i="48"/>
  <c r="AL8" i="48"/>
  <c r="AL10" i="48"/>
  <c r="AL11" i="48"/>
  <c r="AL12" i="48"/>
  <c r="AL13" i="48"/>
  <c r="AI9" i="48"/>
  <c r="AI8" i="48"/>
  <c r="AI10" i="48"/>
  <c r="AI11" i="48"/>
  <c r="AI12" i="48"/>
  <c r="AI13" i="48"/>
  <c r="AD8" i="54"/>
  <c r="AD9" i="54"/>
  <c r="AD10" i="54"/>
  <c r="AD11" i="54"/>
  <c r="AD12" i="54"/>
  <c r="AD13" i="54"/>
  <c r="AI9" i="52"/>
  <c r="AI8" i="52"/>
  <c r="AI10" i="52"/>
  <c r="AI11" i="52"/>
  <c r="AI13" i="52"/>
  <c r="AI12" i="52"/>
  <c r="AK13" i="58"/>
  <c r="AE13" i="62"/>
  <c r="AH14" i="50"/>
  <c r="AJ16" i="47"/>
  <c r="AG15" i="51"/>
  <c r="AI13" i="59"/>
  <c r="AF13" i="55"/>
  <c r="AD14" i="52"/>
  <c r="AD13" i="43"/>
  <c r="AF13" i="56"/>
  <c r="AJ12" i="63"/>
  <c r="N12" i="44"/>
  <c r="O12" i="44" s="1"/>
  <c r="AE11" i="46"/>
  <c r="AE14" i="45"/>
  <c r="AD13" i="58"/>
  <c r="AD8" i="51"/>
  <c r="AD9" i="51"/>
  <c r="AD10" i="51"/>
  <c r="AD11" i="51"/>
  <c r="AD12" i="51"/>
  <c r="AD13" i="51"/>
  <c r="AH8" i="49"/>
  <c r="AH9" i="49"/>
  <c r="AH11" i="49"/>
  <c r="AH12" i="49"/>
  <c r="AH13" i="49"/>
  <c r="AH10" i="49"/>
  <c r="AH14" i="49"/>
  <c r="AH15" i="49"/>
  <c r="AL8" i="55"/>
  <c r="AL9" i="55"/>
  <c r="AL10" i="55"/>
  <c r="AL11" i="55"/>
  <c r="AJ8" i="43"/>
  <c r="AJ9" i="43"/>
  <c r="AJ10" i="43"/>
  <c r="AJ11" i="43"/>
  <c r="AE8" i="53"/>
  <c r="AE9" i="53"/>
  <c r="AE10" i="53"/>
  <c r="AE11" i="53"/>
  <c r="AE12" i="53"/>
  <c r="AF8" i="53"/>
  <c r="AF9" i="53"/>
  <c r="AF10" i="53"/>
  <c r="AF11" i="53"/>
  <c r="AF12" i="53"/>
  <c r="AG8" i="63"/>
  <c r="AG10" i="63"/>
  <c r="AG9" i="63"/>
  <c r="AG11" i="63"/>
  <c r="AJ8" i="59"/>
  <c r="AJ9" i="59"/>
  <c r="AJ11" i="59"/>
  <c r="AJ10" i="59"/>
  <c r="AJ12" i="59"/>
  <c r="AI9" i="50"/>
  <c r="AI10" i="50"/>
  <c r="AI8" i="50"/>
  <c r="AI11" i="50"/>
  <c r="AI12" i="50"/>
  <c r="AI13" i="50"/>
  <c r="AI8" i="46"/>
  <c r="AI9" i="46"/>
  <c r="AI10" i="46"/>
  <c r="AK8" i="60"/>
  <c r="AK9" i="60"/>
  <c r="AK11" i="60"/>
  <c r="AK10" i="60"/>
  <c r="AK12" i="60"/>
  <c r="AD8" i="59"/>
  <c r="AD9" i="59"/>
  <c r="AD11" i="59"/>
  <c r="AD10" i="59"/>
  <c r="AD12" i="59"/>
  <c r="AE8" i="59"/>
  <c r="AE9" i="59"/>
  <c r="AE10" i="59"/>
  <c r="AE11" i="59"/>
  <c r="AE12" i="59"/>
  <c r="AK9" i="56"/>
  <c r="AK8" i="56"/>
  <c r="AK10" i="56"/>
  <c r="AK11" i="56"/>
  <c r="AK12" i="56"/>
  <c r="AL9" i="47"/>
  <c r="AL8" i="47"/>
  <c r="AL10" i="47"/>
  <c r="AL12" i="47"/>
  <c r="AL11" i="47"/>
  <c r="AL13" i="47"/>
  <c r="AL14" i="47"/>
  <c r="AI8" i="57"/>
  <c r="AI9" i="57"/>
  <c r="AI10" i="57"/>
  <c r="AI11" i="57"/>
  <c r="AI12" i="57"/>
  <c r="AD9" i="50"/>
  <c r="AD8" i="50"/>
  <c r="AD10" i="50"/>
  <c r="AD11" i="50"/>
  <c r="AD12" i="50"/>
  <c r="AD13" i="50"/>
  <c r="AK9" i="50"/>
  <c r="AK8" i="50"/>
  <c r="AK10" i="50"/>
  <c r="AK11" i="50"/>
  <c r="AK12" i="50"/>
  <c r="AK13" i="50"/>
  <c r="AI9" i="58"/>
  <c r="AI8" i="58"/>
  <c r="AI10" i="58"/>
  <c r="AI11" i="58"/>
  <c r="AI12" i="58"/>
  <c r="AL14" i="50"/>
  <c r="AE12" i="62"/>
  <c r="AI13" i="58"/>
  <c r="AL8" i="43"/>
  <c r="AL9" i="43"/>
  <c r="AL11" i="43"/>
  <c r="AL10" i="43"/>
  <c r="AG8" i="51"/>
  <c r="AG10" i="51"/>
  <c r="AG9" i="51"/>
  <c r="AG11" i="51"/>
  <c r="AG12" i="51"/>
  <c r="AG13" i="51"/>
  <c r="AK8" i="45"/>
  <c r="AK9" i="45"/>
  <c r="AK10" i="45"/>
  <c r="AK11" i="45"/>
  <c r="AK12" i="45"/>
  <c r="AK13" i="45"/>
  <c r="AF8" i="54"/>
  <c r="AF9" i="54"/>
  <c r="AF11" i="54"/>
  <c r="AF10" i="54"/>
  <c r="AF12" i="54"/>
  <c r="AF13" i="54"/>
  <c r="AE8" i="54"/>
  <c r="AE9" i="54"/>
  <c r="AE10" i="54"/>
  <c r="AE11" i="54"/>
  <c r="AE12" i="54"/>
  <c r="AE13" i="54"/>
  <c r="AD8" i="65"/>
  <c r="AD9" i="65"/>
  <c r="AD11" i="65"/>
  <c r="AD10" i="65"/>
  <c r="AD13" i="65"/>
  <c r="AD12" i="65"/>
  <c r="AI8" i="60"/>
  <c r="AI9" i="60"/>
  <c r="AI10" i="60"/>
  <c r="AI11" i="60"/>
  <c r="AI12" i="60"/>
  <c r="AH8" i="53"/>
  <c r="AH9" i="53"/>
  <c r="AH10" i="53"/>
  <c r="AH11" i="53"/>
  <c r="AH12" i="53"/>
  <c r="AH8" i="47"/>
  <c r="AH10" i="47"/>
  <c r="AH11" i="47"/>
  <c r="AH9" i="47"/>
  <c r="AH13" i="47"/>
  <c r="AH12" i="47"/>
  <c r="AH14" i="47"/>
  <c r="AK8" i="62"/>
  <c r="AK9" i="62"/>
  <c r="AK10" i="62"/>
  <c r="AK11" i="62"/>
  <c r="AL8" i="60"/>
  <c r="AL9" i="60"/>
  <c r="AL10" i="60"/>
  <c r="AL11" i="60"/>
  <c r="AL12" i="60"/>
  <c r="AH8" i="57"/>
  <c r="AH9" i="57"/>
  <c r="AH10" i="57"/>
  <c r="AH11" i="57"/>
  <c r="AH12" i="57"/>
  <c r="AE8" i="48"/>
  <c r="AE9" i="48"/>
  <c r="AE10" i="48"/>
  <c r="AE11" i="48"/>
  <c r="AE12" i="48"/>
  <c r="AE13" i="48"/>
  <c r="AE8" i="58"/>
  <c r="AE9" i="58"/>
  <c r="AE11" i="58"/>
  <c r="AE10" i="58"/>
  <c r="AE9" i="52"/>
  <c r="AE8" i="52"/>
  <c r="AE10" i="52"/>
  <c r="AE11" i="52"/>
  <c r="AE12" i="52"/>
  <c r="AH9" i="52"/>
  <c r="AH8" i="52"/>
  <c r="AH10" i="52"/>
  <c r="AH11" i="52"/>
  <c r="AH13" i="52"/>
  <c r="AH12" i="52"/>
  <c r="AL8" i="63"/>
  <c r="AL10" i="63"/>
  <c r="AL9" i="63"/>
  <c r="AL12" i="63"/>
  <c r="AL11" i="63"/>
  <c r="AD13" i="52"/>
  <c r="AI12" i="62"/>
  <c r="AI14" i="50"/>
  <c r="AG14" i="50"/>
  <c r="X14" i="43"/>
  <c r="AJ14" i="43" s="1"/>
  <c r="S14" i="43"/>
  <c r="AE14" i="43" s="1"/>
  <c r="AA15" i="65"/>
  <c r="AC15" i="65" s="1"/>
  <c r="T14" i="43"/>
  <c r="AF14" i="43" s="1"/>
  <c r="AE16" i="45"/>
  <c r="T15" i="65"/>
  <c r="AF15" i="65" s="1"/>
  <c r="W14" i="43"/>
  <c r="AI14" i="43" s="1"/>
  <c r="P15" i="56"/>
  <c r="Q15" i="56" s="1"/>
  <c r="U15" i="56" s="1"/>
  <c r="AG15" i="56" s="1"/>
  <c r="X14" i="56"/>
  <c r="AJ14" i="56" s="1"/>
  <c r="R14" i="43"/>
  <c r="AD14" i="43" s="1"/>
  <c r="Z14" i="58"/>
  <c r="AL14" i="58" s="1"/>
  <c r="Y15" i="54"/>
  <c r="AK15" i="54" s="1"/>
  <c r="Y14" i="56"/>
  <c r="AK14" i="56" s="1"/>
  <c r="U14" i="43"/>
  <c r="AG14" i="43" s="1"/>
  <c r="S15" i="52"/>
  <c r="AE15" i="52" s="1"/>
  <c r="AB13" i="43"/>
  <c r="W14" i="56"/>
  <c r="AI14" i="56" s="1"/>
  <c r="R15" i="54"/>
  <c r="AD15" i="54" s="1"/>
  <c r="T14" i="58"/>
  <c r="AF14" i="58" s="1"/>
  <c r="V15" i="54"/>
  <c r="AH15" i="54" s="1"/>
  <c r="V14" i="58"/>
  <c r="AH14" i="58" s="1"/>
  <c r="AC14" i="59"/>
  <c r="U14" i="64"/>
  <c r="AG14" i="64" s="1"/>
  <c r="Z15" i="65"/>
  <c r="AL15" i="65" s="1"/>
  <c r="W15" i="54"/>
  <c r="AI15" i="54" s="1"/>
  <c r="U14" i="58"/>
  <c r="AG14" i="58" s="1"/>
  <c r="AB12" i="46"/>
  <c r="BN6" i="1" s="1"/>
  <c r="Y15" i="65"/>
  <c r="AK15" i="65" s="1"/>
  <c r="V15" i="50"/>
  <c r="AH15" i="50" s="1"/>
  <c r="AA15" i="54"/>
  <c r="AC15" i="54" s="1"/>
  <c r="R15" i="65"/>
  <c r="AD15" i="65" s="1"/>
  <c r="W14" i="64"/>
  <c r="AI14" i="64" s="1"/>
  <c r="W15" i="65"/>
  <c r="AI15" i="65" s="1"/>
  <c r="M16" i="56"/>
  <c r="P16" i="56" s="1"/>
  <c r="Q16" i="56" s="1"/>
  <c r="AA14" i="56"/>
  <c r="AC14" i="56" s="1"/>
  <c r="R14" i="55"/>
  <c r="Z14" i="55"/>
  <c r="V14" i="55"/>
  <c r="Y14" i="55"/>
  <c r="X14" i="55"/>
  <c r="W14" i="55"/>
  <c r="U14" i="55"/>
  <c r="T14" i="55"/>
  <c r="S14" i="55"/>
  <c r="Z15" i="50"/>
  <c r="AL15" i="50" s="1"/>
  <c r="W15" i="52"/>
  <c r="AI15" i="52" s="1"/>
  <c r="S15" i="65"/>
  <c r="AE15" i="65" s="1"/>
  <c r="M15" i="46"/>
  <c r="M16" i="43"/>
  <c r="O16" i="43" s="1"/>
  <c r="AA15" i="43"/>
  <c r="AC15" i="43" s="1"/>
  <c r="AK16" i="45"/>
  <c r="S15" i="50"/>
  <c r="AE15" i="50" s="1"/>
  <c r="X15" i="50"/>
  <c r="AJ15" i="50" s="1"/>
  <c r="AA15" i="50"/>
  <c r="AC15" i="50" s="1"/>
  <c r="T15" i="50"/>
  <c r="AF15" i="50" s="1"/>
  <c r="O14" i="55"/>
  <c r="AA14" i="55"/>
  <c r="AC14" i="55" s="1"/>
  <c r="Z14" i="63"/>
  <c r="AL14" i="63" s="1"/>
  <c r="C18" i="55"/>
  <c r="D17" i="55"/>
  <c r="G17" i="55" s="1"/>
  <c r="J17" i="55" s="1"/>
  <c r="E17" i="55"/>
  <c r="H17" i="55" s="1"/>
  <c r="K17" i="55" s="1"/>
  <c r="I17" i="55"/>
  <c r="L17" i="55" s="1"/>
  <c r="AB13" i="63"/>
  <c r="N15" i="55"/>
  <c r="O15" i="55" s="1"/>
  <c r="P15" i="55"/>
  <c r="Q15" i="55" s="1"/>
  <c r="F17" i="43"/>
  <c r="I17" i="43" s="1"/>
  <c r="L17" i="43" s="1"/>
  <c r="C18" i="43"/>
  <c r="D17" i="43"/>
  <c r="G17" i="43" s="1"/>
  <c r="J17" i="43" s="1"/>
  <c r="H17" i="43"/>
  <c r="K17" i="43" s="1"/>
  <c r="C17" i="46"/>
  <c r="D16" i="46"/>
  <c r="G16" i="46" s="1"/>
  <c r="J16" i="46" s="1"/>
  <c r="I16" i="46"/>
  <c r="L16" i="46" s="1"/>
  <c r="H16" i="46"/>
  <c r="K16" i="46" s="1"/>
  <c r="AI16" i="47"/>
  <c r="R15" i="50"/>
  <c r="AD15" i="50" s="1"/>
  <c r="AF15" i="51"/>
  <c r="S15" i="54"/>
  <c r="AE15" i="54" s="1"/>
  <c r="S14" i="58"/>
  <c r="AE14" i="58" s="1"/>
  <c r="W14" i="62"/>
  <c r="AI14" i="62" s="1"/>
  <c r="D17" i="56"/>
  <c r="G17" i="56" s="1"/>
  <c r="J17" i="56" s="1"/>
  <c r="C18" i="56"/>
  <c r="E17" i="56"/>
  <c r="H17" i="56" s="1"/>
  <c r="K17" i="56" s="1"/>
  <c r="I17" i="56"/>
  <c r="L17" i="56" s="1"/>
  <c r="T15" i="52"/>
  <c r="AF15" i="52" s="1"/>
  <c r="T15" i="54"/>
  <c r="AF15" i="54" s="1"/>
  <c r="Y14" i="58"/>
  <c r="AK14" i="58" s="1"/>
  <c r="N15" i="64"/>
  <c r="O15" i="64" s="1"/>
  <c r="AA13" i="46"/>
  <c r="AC13" i="46" s="1"/>
  <c r="T15" i="43"/>
  <c r="AF15" i="43" s="1"/>
  <c r="W15" i="43"/>
  <c r="AI15" i="43" s="1"/>
  <c r="X15" i="43"/>
  <c r="AJ15" i="43" s="1"/>
  <c r="S15" i="43"/>
  <c r="AE15" i="43" s="1"/>
  <c r="U15" i="43"/>
  <c r="AG15" i="43" s="1"/>
  <c r="R15" i="43"/>
  <c r="AD15" i="43" s="1"/>
  <c r="Z15" i="43"/>
  <c r="AL15" i="43" s="1"/>
  <c r="V15" i="43"/>
  <c r="AH15" i="43" s="1"/>
  <c r="Y15" i="43"/>
  <c r="AK15" i="43" s="1"/>
  <c r="U15" i="52"/>
  <c r="AG15" i="52" s="1"/>
  <c r="Z13" i="46"/>
  <c r="AL13" i="46" s="1"/>
  <c r="W13" i="46"/>
  <c r="AI13" i="46" s="1"/>
  <c r="R13" i="46"/>
  <c r="AD13" i="46" s="1"/>
  <c r="Y13" i="46"/>
  <c r="AK13" i="46" s="1"/>
  <c r="X13" i="46"/>
  <c r="AJ13" i="46" s="1"/>
  <c r="V13" i="46"/>
  <c r="AH13" i="46" s="1"/>
  <c r="T13" i="46"/>
  <c r="AF13" i="46" s="1"/>
  <c r="S13" i="46"/>
  <c r="AE13" i="46" s="1"/>
  <c r="U13" i="46"/>
  <c r="AG13" i="46" s="1"/>
  <c r="P14" i="46"/>
  <c r="Q14" i="46" s="1"/>
  <c r="O14" i="46"/>
  <c r="M16" i="55"/>
  <c r="Z14" i="62"/>
  <c r="AL14" i="62" s="1"/>
  <c r="Y15" i="52"/>
  <c r="AK15" i="52" s="1"/>
  <c r="S14" i="62"/>
  <c r="AE14" i="62" s="1"/>
  <c r="S14" i="64"/>
  <c r="AE14" i="64" s="1"/>
  <c r="T14" i="62"/>
  <c r="AF14" i="62" s="1"/>
  <c r="AA15" i="52"/>
  <c r="AC15" i="52" s="1"/>
  <c r="X14" i="62"/>
  <c r="AJ14" i="62" s="1"/>
  <c r="Z14" i="64"/>
  <c r="AL14" i="64" s="1"/>
  <c r="R15" i="52"/>
  <c r="AD15" i="52" s="1"/>
  <c r="U14" i="62"/>
  <c r="AG14" i="62" s="1"/>
  <c r="V14" i="64"/>
  <c r="AH14" i="64" s="1"/>
  <c r="U15" i="65"/>
  <c r="AG15" i="65" s="1"/>
  <c r="AL14" i="44"/>
  <c r="AD15" i="51"/>
  <c r="V15" i="52"/>
  <c r="AH15" i="52" s="1"/>
  <c r="AB13" i="57"/>
  <c r="V15" i="65"/>
  <c r="AH15" i="65" s="1"/>
  <c r="AE14" i="44"/>
  <c r="AA14" i="58"/>
  <c r="AC14" i="58" s="1"/>
  <c r="AG14" i="44"/>
  <c r="M9" i="23"/>
  <c r="P9" i="23" s="1"/>
  <c r="Q9" i="23" s="1"/>
  <c r="V9" i="23" s="1"/>
  <c r="AA14" i="64"/>
  <c r="AC14" i="64" s="1"/>
  <c r="AI14" i="44"/>
  <c r="N16" i="48"/>
  <c r="O16" i="48" s="1"/>
  <c r="T14" i="64"/>
  <c r="AF14" i="64" s="1"/>
  <c r="AK14" i="44"/>
  <c r="Y14" i="64"/>
  <c r="AK14" i="64" s="1"/>
  <c r="AF14" i="44"/>
  <c r="P15" i="57"/>
  <c r="Q15" i="57" s="1"/>
  <c r="X15" i="57" s="1"/>
  <c r="AJ15" i="57" s="1"/>
  <c r="R14" i="64"/>
  <c r="AD14" i="64" s="1"/>
  <c r="Z15" i="52"/>
  <c r="AL15" i="52" s="1"/>
  <c r="R14" i="62"/>
  <c r="AD14" i="62" s="1"/>
  <c r="N15" i="58"/>
  <c r="O15" i="58" s="1"/>
  <c r="Y14" i="62"/>
  <c r="AK14" i="62" s="1"/>
  <c r="AK14" i="53"/>
  <c r="W14" i="58"/>
  <c r="AI14" i="58" s="1"/>
  <c r="AA14" i="62"/>
  <c r="AC14" i="62" s="1"/>
  <c r="P17" i="47"/>
  <c r="Q17" i="47" s="1"/>
  <c r="Y17" i="47" s="1"/>
  <c r="AK17" i="47" s="1"/>
  <c r="AB14" i="60"/>
  <c r="AB16" i="47"/>
  <c r="AH15" i="51"/>
  <c r="AI15" i="51"/>
  <c r="M17" i="65"/>
  <c r="O17" i="65" s="1"/>
  <c r="AE15" i="51"/>
  <c r="AJ14" i="57"/>
  <c r="R14" i="63"/>
  <c r="AD14" i="63" s="1"/>
  <c r="P16" i="65"/>
  <c r="Q16" i="65" s="1"/>
  <c r="T16" i="65" s="1"/>
  <c r="AF16" i="65" s="1"/>
  <c r="AJ15" i="51"/>
  <c r="AC15" i="51"/>
  <c r="S14" i="63"/>
  <c r="AE14" i="63" s="1"/>
  <c r="AK14" i="57"/>
  <c r="AC14" i="60"/>
  <c r="M18" i="47"/>
  <c r="O18" i="47" s="1"/>
  <c r="P16" i="50"/>
  <c r="Q16" i="50" s="1"/>
  <c r="V16" i="50" s="1"/>
  <c r="AH16" i="50" s="1"/>
  <c r="N16" i="51"/>
  <c r="O16" i="51" s="1"/>
  <c r="P15" i="53"/>
  <c r="Q15" i="53" s="1"/>
  <c r="U15" i="53" s="1"/>
  <c r="AB14" i="59"/>
  <c r="P15" i="63"/>
  <c r="Q15" i="63" s="1"/>
  <c r="X15" i="63" s="1"/>
  <c r="AJ15" i="63" s="1"/>
  <c r="AC14" i="65"/>
  <c r="AB14" i="65"/>
  <c r="P16" i="52"/>
  <c r="Q16" i="52" s="1"/>
  <c r="X16" i="52" s="1"/>
  <c r="AJ16" i="52" s="1"/>
  <c r="N15" i="44"/>
  <c r="O15" i="44" s="1"/>
  <c r="M10" i="19"/>
  <c r="P10" i="19" s="1"/>
  <c r="Q10" i="19" s="1"/>
  <c r="V10" i="19" s="1"/>
  <c r="AF14" i="57"/>
  <c r="AD14" i="57"/>
  <c r="M17" i="51"/>
  <c r="N17" i="51" s="1"/>
  <c r="O17" i="51" s="1"/>
  <c r="AE14" i="57"/>
  <c r="M16" i="60"/>
  <c r="P16" i="60" s="1"/>
  <c r="Q16" i="60" s="1"/>
  <c r="M16" i="64"/>
  <c r="N16" i="64" s="1"/>
  <c r="AJ14" i="44"/>
  <c r="AG14" i="57"/>
  <c r="M16" i="58"/>
  <c r="N16" i="58" s="1"/>
  <c r="T14" i="63"/>
  <c r="AF14" i="63" s="1"/>
  <c r="M17" i="48"/>
  <c r="N17" i="48" s="1"/>
  <c r="O17" i="48" s="1"/>
  <c r="AI14" i="57"/>
  <c r="AJ14" i="60"/>
  <c r="M16" i="61"/>
  <c r="U14" i="63"/>
  <c r="AG14" i="63" s="1"/>
  <c r="W14" i="63"/>
  <c r="AI14" i="63" s="1"/>
  <c r="M16" i="63"/>
  <c r="O16" i="63" s="1"/>
  <c r="AH14" i="59"/>
  <c r="X14" i="63"/>
  <c r="AJ14" i="63" s="1"/>
  <c r="AL14" i="57"/>
  <c r="M16" i="57"/>
  <c r="P16" i="57" s="1"/>
  <c r="Q16" i="57" s="1"/>
  <c r="Y14" i="63"/>
  <c r="AK14" i="63" s="1"/>
  <c r="C19" i="65"/>
  <c r="H18" i="65"/>
  <c r="K18" i="65" s="1"/>
  <c r="I18" i="65"/>
  <c r="L18" i="65" s="1"/>
  <c r="G18" i="65"/>
  <c r="J18" i="65" s="1"/>
  <c r="C18" i="64"/>
  <c r="F17" i="64"/>
  <c r="I17" i="64" s="1"/>
  <c r="L17" i="64" s="1"/>
  <c r="E17" i="64"/>
  <c r="H17" i="64" s="1"/>
  <c r="K17" i="64" s="1"/>
  <c r="D17" i="64"/>
  <c r="G17" i="64" s="1"/>
  <c r="J17" i="64" s="1"/>
  <c r="AJ14" i="64"/>
  <c r="Z15" i="64"/>
  <c r="Y15" i="64"/>
  <c r="X15" i="64"/>
  <c r="W15" i="64"/>
  <c r="V15" i="64"/>
  <c r="U15" i="64"/>
  <c r="S15" i="64"/>
  <c r="R15" i="64"/>
  <c r="T15" i="64"/>
  <c r="AA15" i="64"/>
  <c r="AA14" i="63"/>
  <c r="C18" i="63"/>
  <c r="F17" i="63"/>
  <c r="I17" i="63" s="1"/>
  <c r="L17" i="63" s="1"/>
  <c r="D17" i="63"/>
  <c r="G17" i="63" s="1"/>
  <c r="J17" i="63" s="1"/>
  <c r="H17" i="63"/>
  <c r="K17" i="63" s="1"/>
  <c r="M16" i="62"/>
  <c r="O16" i="62" s="1"/>
  <c r="P15" i="62"/>
  <c r="Q15" i="62" s="1"/>
  <c r="Y15" i="62" s="1"/>
  <c r="AK15" i="62" s="1"/>
  <c r="C18" i="62"/>
  <c r="D17" i="62"/>
  <c r="G17" i="62" s="1"/>
  <c r="J17" i="62" s="1"/>
  <c r="I17" i="62"/>
  <c r="L17" i="62" s="1"/>
  <c r="H17" i="62"/>
  <c r="K17" i="62" s="1"/>
  <c r="C18" i="61"/>
  <c r="F17" i="61"/>
  <c r="L17" i="61" s="1"/>
  <c r="D17" i="61"/>
  <c r="E17" i="61"/>
  <c r="K17" i="61" s="1"/>
  <c r="AD14" i="60"/>
  <c r="AE14" i="60"/>
  <c r="AF14" i="60"/>
  <c r="AG14" i="60"/>
  <c r="AH14" i="60"/>
  <c r="AI14" i="60"/>
  <c r="AK14" i="60"/>
  <c r="C18" i="60"/>
  <c r="D17" i="60"/>
  <c r="G17" i="60" s="1"/>
  <c r="J17" i="60" s="1"/>
  <c r="E17" i="60"/>
  <c r="H17" i="60" s="1"/>
  <c r="K17" i="60" s="1"/>
  <c r="I17" i="60"/>
  <c r="L17" i="60" s="1"/>
  <c r="AL14" i="60"/>
  <c r="S15" i="60"/>
  <c r="V15" i="60"/>
  <c r="U15" i="60"/>
  <c r="T15" i="60"/>
  <c r="R15" i="60"/>
  <c r="Z15" i="60"/>
  <c r="W15" i="60"/>
  <c r="X15" i="60"/>
  <c r="Y15" i="60"/>
  <c r="AA15" i="60"/>
  <c r="N15" i="59"/>
  <c r="O15" i="59" s="1"/>
  <c r="AL14" i="59"/>
  <c r="M16" i="59"/>
  <c r="P16" i="59" s="1"/>
  <c r="Q16" i="59" s="1"/>
  <c r="AJ14" i="59"/>
  <c r="AK14" i="59"/>
  <c r="AD14" i="59"/>
  <c r="AE14" i="59"/>
  <c r="AF14" i="59"/>
  <c r="AG14" i="59"/>
  <c r="C18" i="59"/>
  <c r="E17" i="59"/>
  <c r="H17" i="59" s="1"/>
  <c r="K17" i="59" s="1"/>
  <c r="D17" i="59"/>
  <c r="G17" i="59" s="1"/>
  <c r="J17" i="59" s="1"/>
  <c r="I17" i="59"/>
  <c r="L17" i="59" s="1"/>
  <c r="AI14" i="59"/>
  <c r="Z15" i="59"/>
  <c r="W15" i="59"/>
  <c r="V15" i="59"/>
  <c r="U15" i="59"/>
  <c r="T15" i="59"/>
  <c r="S15" i="59"/>
  <c r="R15" i="59"/>
  <c r="Y15" i="59"/>
  <c r="X15" i="59"/>
  <c r="AA15" i="59"/>
  <c r="C18" i="58"/>
  <c r="E17" i="58"/>
  <c r="H17" i="58" s="1"/>
  <c r="K17" i="58" s="1"/>
  <c r="D17" i="58"/>
  <c r="G17" i="58" s="1"/>
  <c r="J17" i="58" s="1"/>
  <c r="I17" i="58"/>
  <c r="L17" i="58" s="1"/>
  <c r="Z15" i="58"/>
  <c r="U15" i="58"/>
  <c r="T15" i="58"/>
  <c r="S15" i="58"/>
  <c r="R15" i="58"/>
  <c r="Y15" i="58"/>
  <c r="W15" i="58"/>
  <c r="X15" i="58"/>
  <c r="V15" i="58"/>
  <c r="AA15" i="58"/>
  <c r="AH14" i="57"/>
  <c r="AB14" i="57"/>
  <c r="C18" i="57"/>
  <c r="F17" i="57"/>
  <c r="I17" i="57" s="1"/>
  <c r="L17" i="57" s="1"/>
  <c r="D17" i="57"/>
  <c r="G17" i="57" s="1"/>
  <c r="J17" i="57" s="1"/>
  <c r="E17" i="57"/>
  <c r="H17" i="57" s="1"/>
  <c r="K17" i="57" s="1"/>
  <c r="AG15" i="54"/>
  <c r="M17" i="54"/>
  <c r="P17" i="54" s="1"/>
  <c r="Q17" i="54" s="1"/>
  <c r="N16" i="54"/>
  <c r="O16" i="54" s="1"/>
  <c r="AJ15" i="54"/>
  <c r="AL15" i="54"/>
  <c r="C19" i="54"/>
  <c r="D18" i="54"/>
  <c r="G18" i="54" s="1"/>
  <c r="J18" i="54" s="1"/>
  <c r="E18" i="54"/>
  <c r="H18" i="54" s="1"/>
  <c r="K18" i="54" s="1"/>
  <c r="I18" i="54"/>
  <c r="L18" i="54" s="1"/>
  <c r="T16" i="54"/>
  <c r="X16" i="54"/>
  <c r="W16" i="54"/>
  <c r="V16" i="54"/>
  <c r="U16" i="54"/>
  <c r="S16" i="54"/>
  <c r="R16" i="54"/>
  <c r="Z16" i="54"/>
  <c r="Y16" i="54"/>
  <c r="AA16" i="54"/>
  <c r="AB14" i="53"/>
  <c r="M16" i="53"/>
  <c r="P16" i="53" s="1"/>
  <c r="Q16" i="53" s="1"/>
  <c r="AL14" i="53"/>
  <c r="AG14" i="53"/>
  <c r="AF14" i="53"/>
  <c r="AJ14" i="53"/>
  <c r="C18" i="53"/>
  <c r="D17" i="53"/>
  <c r="G17" i="53" s="1"/>
  <c r="J17" i="53" s="1"/>
  <c r="E17" i="53"/>
  <c r="H17" i="53" s="1"/>
  <c r="K17" i="53" s="1"/>
  <c r="I17" i="53"/>
  <c r="L17" i="53" s="1"/>
  <c r="AE14" i="53"/>
  <c r="AH14" i="53"/>
  <c r="AD14" i="53"/>
  <c r="O15" i="53"/>
  <c r="AI14" i="53"/>
  <c r="M17" i="52"/>
  <c r="O17" i="52" s="1"/>
  <c r="C19" i="52"/>
  <c r="D18" i="52"/>
  <c r="G18" i="52" s="1"/>
  <c r="J18" i="52" s="1"/>
  <c r="I18" i="52"/>
  <c r="L18" i="52" s="1"/>
  <c r="H18" i="52"/>
  <c r="K18" i="52" s="1"/>
  <c r="AA16" i="51"/>
  <c r="C19" i="51"/>
  <c r="E18" i="51"/>
  <c r="H18" i="51" s="1"/>
  <c r="K18" i="51" s="1"/>
  <c r="D18" i="51"/>
  <c r="G18" i="51" s="1"/>
  <c r="J18" i="51" s="1"/>
  <c r="F18" i="51"/>
  <c r="I18" i="51" s="1"/>
  <c r="L18" i="51" s="1"/>
  <c r="AB15" i="51"/>
  <c r="T16" i="51"/>
  <c r="Z16" i="51"/>
  <c r="X16" i="51"/>
  <c r="W16" i="51"/>
  <c r="U16" i="51"/>
  <c r="S16" i="51"/>
  <c r="R16" i="51"/>
  <c r="Y16" i="51"/>
  <c r="V16" i="51"/>
  <c r="M17" i="50"/>
  <c r="O17" i="50" s="1"/>
  <c r="C19" i="50"/>
  <c r="D18" i="50"/>
  <c r="G18" i="50" s="1"/>
  <c r="J18" i="50" s="1"/>
  <c r="I18" i="50"/>
  <c r="L18" i="50" s="1"/>
  <c r="H18" i="50"/>
  <c r="K18" i="50" s="1"/>
  <c r="C19" i="48"/>
  <c r="D18" i="48"/>
  <c r="G18" i="48" s="1"/>
  <c r="J18" i="48" s="1"/>
  <c r="E18" i="48"/>
  <c r="H18" i="48" s="1"/>
  <c r="K18" i="48" s="1"/>
  <c r="F18" i="48"/>
  <c r="I18" i="48" s="1"/>
  <c r="L18" i="48" s="1"/>
  <c r="T16" i="48"/>
  <c r="S16" i="48"/>
  <c r="V16" i="48"/>
  <c r="Z16" i="48"/>
  <c r="Y16" i="48"/>
  <c r="X16" i="48"/>
  <c r="W16" i="48"/>
  <c r="U16" i="48"/>
  <c r="R16" i="48"/>
  <c r="AA16" i="48"/>
  <c r="C20" i="47"/>
  <c r="E19" i="47"/>
  <c r="H19" i="47" s="1"/>
  <c r="K19" i="47" s="1"/>
  <c r="D19" i="47"/>
  <c r="G19" i="47" s="1"/>
  <c r="J19" i="47" s="1"/>
  <c r="F19" i="47"/>
  <c r="I19" i="47" s="1"/>
  <c r="L19" i="47" s="1"/>
  <c r="M18" i="45"/>
  <c r="O18" i="45" s="1"/>
  <c r="P17" i="45"/>
  <c r="Q17" i="45" s="1"/>
  <c r="X17" i="45" s="1"/>
  <c r="AJ17" i="45" s="1"/>
  <c r="C20" i="45"/>
  <c r="D19" i="45"/>
  <c r="G19" i="45" s="1"/>
  <c r="J19" i="45" s="1"/>
  <c r="H19" i="45"/>
  <c r="K19" i="45" s="1"/>
  <c r="I19" i="45"/>
  <c r="L19" i="45" s="1"/>
  <c r="AB16" i="45"/>
  <c r="AD14" i="44"/>
  <c r="M16" i="44"/>
  <c r="N16" i="44" s="1"/>
  <c r="C18" i="44"/>
  <c r="F17" i="44"/>
  <c r="I17" i="44" s="1"/>
  <c r="L17" i="44" s="1"/>
  <c r="E17" i="44"/>
  <c r="H17" i="44" s="1"/>
  <c r="K17" i="44" s="1"/>
  <c r="D17" i="44"/>
  <c r="G17" i="44" s="1"/>
  <c r="J17" i="44" s="1"/>
  <c r="S15" i="44"/>
  <c r="R15" i="44"/>
  <c r="V15" i="44"/>
  <c r="U15" i="44"/>
  <c r="T15" i="44"/>
  <c r="Z15" i="44"/>
  <c r="X15" i="44"/>
  <c r="W15" i="44"/>
  <c r="Y15" i="44"/>
  <c r="AA15" i="44"/>
  <c r="AB14" i="44"/>
  <c r="AH14" i="44"/>
  <c r="C11" i="23"/>
  <c r="D11" i="23" s="1"/>
  <c r="G11" i="23" s="1"/>
  <c r="J11" i="23" s="1"/>
  <c r="H11" i="19"/>
  <c r="K11" i="19" s="1"/>
  <c r="I11" i="19"/>
  <c r="L11" i="19" s="1"/>
  <c r="M10" i="27"/>
  <c r="P10" i="27" s="1"/>
  <c r="Q10" i="27" s="1"/>
  <c r="W10" i="27" s="1"/>
  <c r="C12" i="38"/>
  <c r="F12" i="38" s="1"/>
  <c r="I12" i="38" s="1"/>
  <c r="L12" i="38" s="1"/>
  <c r="C11" i="28"/>
  <c r="E11" i="28" s="1"/>
  <c r="H11" i="28" s="1"/>
  <c r="K11" i="28" s="1"/>
  <c r="I10" i="28"/>
  <c r="L10" i="28" s="1"/>
  <c r="O8" i="27"/>
  <c r="P5" i="41"/>
  <c r="P4" i="41"/>
  <c r="P3" i="41"/>
  <c r="M8" i="8"/>
  <c r="N8" i="8" s="1"/>
  <c r="O8" i="8" s="1"/>
  <c r="AA8" i="27"/>
  <c r="M10" i="23"/>
  <c r="N10" i="23" s="1"/>
  <c r="C11" i="29"/>
  <c r="C12" i="29" s="1"/>
  <c r="D10" i="28"/>
  <c r="G10" i="28" s="1"/>
  <c r="J10" i="28" s="1"/>
  <c r="M9" i="37"/>
  <c r="O9" i="37" s="1"/>
  <c r="AA9" i="27"/>
  <c r="AC9" i="27" s="1"/>
  <c r="M10" i="38"/>
  <c r="O10" i="38" s="1"/>
  <c r="M9" i="21"/>
  <c r="P9" i="21" s="1"/>
  <c r="Q9" i="21" s="1"/>
  <c r="U9" i="21" s="1"/>
  <c r="M9" i="29"/>
  <c r="N9" i="29" s="1"/>
  <c r="O9" i="29" s="1"/>
  <c r="E10" i="36"/>
  <c r="H10" i="36" s="1"/>
  <c r="K10" i="36" s="1"/>
  <c r="D10" i="36"/>
  <c r="G10" i="36" s="1"/>
  <c r="J10" i="36" s="1"/>
  <c r="O9" i="27"/>
  <c r="AJ9" i="27" s="1"/>
  <c r="C11" i="36"/>
  <c r="F11" i="36" s="1"/>
  <c r="I11" i="36" s="1"/>
  <c r="L11" i="36" s="1"/>
  <c r="M9" i="28"/>
  <c r="N9" i="28" s="1"/>
  <c r="O9" i="28" s="1"/>
  <c r="I10" i="29"/>
  <c r="L10" i="29" s="1"/>
  <c r="D10" i="29"/>
  <c r="G10" i="29" s="1"/>
  <c r="J10" i="29" s="1"/>
  <c r="H11" i="38"/>
  <c r="K11" i="38" s="1"/>
  <c r="D11" i="38"/>
  <c r="G11" i="38" s="1"/>
  <c r="J11" i="38" s="1"/>
  <c r="AA8" i="38"/>
  <c r="AC8" i="38" s="1"/>
  <c r="M9" i="8"/>
  <c r="P9" i="8" s="1"/>
  <c r="C12" i="21"/>
  <c r="I12" i="21" s="1"/>
  <c r="L12" i="21" s="1"/>
  <c r="D11" i="21"/>
  <c r="G11" i="21" s="1"/>
  <c r="J11" i="21" s="1"/>
  <c r="I11" i="21"/>
  <c r="L11" i="21" s="1"/>
  <c r="H11" i="21"/>
  <c r="K11" i="21" s="1"/>
  <c r="M9" i="36"/>
  <c r="P9" i="36" s="1"/>
  <c r="Q9" i="36" s="1"/>
  <c r="U9" i="36" s="1"/>
  <c r="O9" i="31"/>
  <c r="O8" i="38"/>
  <c r="AK8" i="38" s="1"/>
  <c r="P8" i="39"/>
  <c r="Q8" i="39" s="1"/>
  <c r="R8" i="39" s="1"/>
  <c r="AD8" i="39" s="1"/>
  <c r="AA9" i="31"/>
  <c r="AC9" i="31" s="1"/>
  <c r="AA8" i="29"/>
  <c r="AA8" i="28"/>
  <c r="P8" i="21"/>
  <c r="Q8" i="21" s="1"/>
  <c r="T8" i="21" s="1"/>
  <c r="AF8" i="21" s="1"/>
  <c r="N8" i="24"/>
  <c r="O8" i="24" s="1"/>
  <c r="AA8" i="22"/>
  <c r="AC8" i="22" s="1"/>
  <c r="N8" i="30"/>
  <c r="O8" i="30" s="1"/>
  <c r="AK8" i="30" s="1"/>
  <c r="N8" i="29"/>
  <c r="O8" i="29" s="1"/>
  <c r="AK8" i="29" s="1"/>
  <c r="O9" i="38"/>
  <c r="AE9" i="38" s="1"/>
  <c r="AA8" i="23"/>
  <c r="O9" i="40"/>
  <c r="AI9" i="40" s="1"/>
  <c r="N8" i="35"/>
  <c r="O8" i="35" s="1"/>
  <c r="N8" i="28"/>
  <c r="O8" i="28" s="1"/>
  <c r="AD8" i="28" s="1"/>
  <c r="AA8" i="30"/>
  <c r="O8" i="32"/>
  <c r="P8" i="33"/>
  <c r="Q8" i="33" s="1"/>
  <c r="Z8" i="33" s="1"/>
  <c r="AA8" i="31"/>
  <c r="AC8" i="31" s="1"/>
  <c r="N8" i="34"/>
  <c r="O8" i="34" s="1"/>
  <c r="AA8" i="40"/>
  <c r="AC8" i="40" s="1"/>
  <c r="O8" i="40"/>
  <c r="AD8" i="40" s="1"/>
  <c r="N8" i="23"/>
  <c r="O8" i="23" s="1"/>
  <c r="AK8" i="23" s="1"/>
  <c r="AA8" i="35"/>
  <c r="O8" i="31"/>
  <c r="AD8" i="31" s="1"/>
  <c r="AA8" i="25"/>
  <c r="AC8" i="25" s="1"/>
  <c r="O8" i="33"/>
  <c r="P8" i="37"/>
  <c r="AA8" i="37" s="1"/>
  <c r="AC8" i="37" s="1"/>
  <c r="O8" i="22"/>
  <c r="V8" i="25"/>
  <c r="Z8" i="25"/>
  <c r="W8" i="25"/>
  <c r="Y9" i="27"/>
  <c r="AA8" i="34"/>
  <c r="Z8" i="23"/>
  <c r="U8" i="25"/>
  <c r="S8" i="25"/>
  <c r="T8" i="25"/>
  <c r="T8" i="34"/>
  <c r="Y8" i="34"/>
  <c r="W8" i="34"/>
  <c r="S8" i="29"/>
  <c r="X8" i="29"/>
  <c r="S8" i="30"/>
  <c r="R8" i="23"/>
  <c r="S8" i="23"/>
  <c r="V9" i="31"/>
  <c r="R9" i="31"/>
  <c r="T9" i="31"/>
  <c r="Z8" i="31"/>
  <c r="X8" i="31"/>
  <c r="X9" i="38"/>
  <c r="V9" i="38"/>
  <c r="T9" i="38"/>
  <c r="T8" i="29"/>
  <c r="V8" i="29"/>
  <c r="P8" i="26"/>
  <c r="U9" i="38"/>
  <c r="W9" i="38"/>
  <c r="M10" i="31"/>
  <c r="Z9" i="38"/>
  <c r="X8" i="23"/>
  <c r="R9" i="38"/>
  <c r="AA9" i="38"/>
  <c r="M9" i="35"/>
  <c r="N9" i="35" s="1"/>
  <c r="M9" i="34"/>
  <c r="P9" i="34" s="1"/>
  <c r="Y9" i="38"/>
  <c r="U9" i="27"/>
  <c r="T8" i="28"/>
  <c r="V9" i="27"/>
  <c r="W9" i="27"/>
  <c r="S8" i="28"/>
  <c r="Z9" i="27"/>
  <c r="R9" i="27"/>
  <c r="S9" i="27"/>
  <c r="T9" i="27"/>
  <c r="U8" i="28"/>
  <c r="X8" i="30"/>
  <c r="O8" i="25"/>
  <c r="AK8" i="25" s="1"/>
  <c r="V8" i="28"/>
  <c r="Z8" i="28"/>
  <c r="U8" i="31"/>
  <c r="AA9" i="40"/>
  <c r="AC9" i="40" s="1"/>
  <c r="Y8" i="31"/>
  <c r="Z8" i="29"/>
  <c r="U8" i="29"/>
  <c r="V8" i="31"/>
  <c r="M9" i="30"/>
  <c r="M9" i="32"/>
  <c r="D10" i="21"/>
  <c r="G10" i="21" s="1"/>
  <c r="J10" i="21" s="1"/>
  <c r="H10" i="21"/>
  <c r="K10" i="21" s="1"/>
  <c r="I10" i="21"/>
  <c r="L10" i="21" s="1"/>
  <c r="D11" i="31"/>
  <c r="G11" i="31" s="1"/>
  <c r="J11" i="31" s="1"/>
  <c r="I11" i="31"/>
  <c r="L11" i="31" s="1"/>
  <c r="E11" i="31"/>
  <c r="H11" i="31" s="1"/>
  <c r="K11" i="31" s="1"/>
  <c r="C12" i="31"/>
  <c r="R8" i="29"/>
  <c r="E10" i="35"/>
  <c r="H10" i="35" s="1"/>
  <c r="K10" i="35" s="1"/>
  <c r="C11" i="35"/>
  <c r="D10" i="35"/>
  <c r="G10" i="35" s="1"/>
  <c r="J10" i="35" s="1"/>
  <c r="I10" i="35"/>
  <c r="L10" i="35" s="1"/>
  <c r="M9" i="22"/>
  <c r="M9" i="24"/>
  <c r="C11" i="24"/>
  <c r="D10" i="24"/>
  <c r="G10" i="24" s="1"/>
  <c r="J10" i="24" s="1"/>
  <c r="E10" i="24"/>
  <c r="H10" i="24" s="1"/>
  <c r="K10" i="24" s="1"/>
  <c r="F10" i="24"/>
  <c r="I10" i="24" s="1"/>
  <c r="L10" i="24" s="1"/>
  <c r="AI3" i="8"/>
  <c r="W8" i="29"/>
  <c r="E10" i="26"/>
  <c r="H10" i="26" s="1"/>
  <c r="K10" i="26" s="1"/>
  <c r="C11" i="26"/>
  <c r="F10" i="26"/>
  <c r="I10" i="26" s="1"/>
  <c r="L10" i="26" s="1"/>
  <c r="D10" i="26"/>
  <c r="G10" i="26" s="1"/>
  <c r="J10" i="26" s="1"/>
  <c r="E10" i="33"/>
  <c r="H10" i="33" s="1"/>
  <c r="K10" i="33" s="1"/>
  <c r="C11" i="33"/>
  <c r="I11" i="33" s="1"/>
  <c r="L11" i="33" s="1"/>
  <c r="D10" i="33"/>
  <c r="G10" i="33" s="1"/>
  <c r="J10" i="33" s="1"/>
  <c r="M9" i="39"/>
  <c r="Z8" i="40"/>
  <c r="M9" i="26"/>
  <c r="M9" i="33"/>
  <c r="Y9" i="31"/>
  <c r="S9" i="31"/>
  <c r="I10" i="33"/>
  <c r="L10" i="33" s="1"/>
  <c r="E10" i="39"/>
  <c r="H10" i="39" s="1"/>
  <c r="K10" i="39" s="1"/>
  <c r="F10" i="39"/>
  <c r="I10" i="39" s="1"/>
  <c r="L10" i="39" s="1"/>
  <c r="D10" i="39"/>
  <c r="G10" i="39" s="1"/>
  <c r="J10" i="39" s="1"/>
  <c r="C11" i="39"/>
  <c r="U9" i="31"/>
  <c r="F10" i="32"/>
  <c r="I10" i="32" s="1"/>
  <c r="L10" i="32" s="1"/>
  <c r="E10" i="32"/>
  <c r="H10" i="32" s="1"/>
  <c r="K10" i="32" s="1"/>
  <c r="D10" i="32"/>
  <c r="G10" i="32" s="1"/>
  <c r="J10" i="32" s="1"/>
  <c r="C11" i="32"/>
  <c r="M9" i="25"/>
  <c r="D10" i="22"/>
  <c r="G10" i="22" s="1"/>
  <c r="J10" i="22" s="1"/>
  <c r="E10" i="22"/>
  <c r="H10" i="22" s="1"/>
  <c r="K10" i="22" s="1"/>
  <c r="F10" i="22"/>
  <c r="I10" i="22" s="1"/>
  <c r="L10" i="22" s="1"/>
  <c r="C11" i="22"/>
  <c r="C11" i="30"/>
  <c r="D10" i="30"/>
  <c r="G10" i="30" s="1"/>
  <c r="J10" i="30" s="1"/>
  <c r="E10" i="30"/>
  <c r="H10" i="30" s="1"/>
  <c r="K10" i="30" s="1"/>
  <c r="I10" i="30"/>
  <c r="L10" i="30" s="1"/>
  <c r="D10" i="25"/>
  <c r="G10" i="25" s="1"/>
  <c r="J10" i="25" s="1"/>
  <c r="C11" i="25"/>
  <c r="I10" i="25"/>
  <c r="L10" i="25" s="1"/>
  <c r="H10" i="25"/>
  <c r="K10" i="25" s="1"/>
  <c r="V8" i="30"/>
  <c r="Z9" i="31"/>
  <c r="R8" i="30"/>
  <c r="U8" i="30"/>
  <c r="V8" i="34"/>
  <c r="W8" i="23"/>
  <c r="Z8" i="30"/>
  <c r="T8" i="31"/>
  <c r="W8" i="30"/>
  <c r="S8" i="31"/>
  <c r="Y8" i="28"/>
  <c r="W8" i="31"/>
  <c r="W9" i="31"/>
  <c r="Z8" i="38"/>
  <c r="U8" i="34"/>
  <c r="S8" i="38"/>
  <c r="U8" i="38"/>
  <c r="X8" i="34"/>
  <c r="R8" i="34"/>
  <c r="R8" i="38"/>
  <c r="X8" i="40"/>
  <c r="V8" i="23"/>
  <c r="R8" i="25"/>
  <c r="X8" i="28"/>
  <c r="T8" i="30"/>
  <c r="X9" i="31"/>
  <c r="T8" i="38"/>
  <c r="X8" i="25"/>
  <c r="W8" i="28"/>
  <c r="S8" i="34"/>
  <c r="Y8" i="40"/>
  <c r="W8" i="40"/>
  <c r="S8" i="40"/>
  <c r="M10" i="34"/>
  <c r="P10" i="34" s="1"/>
  <c r="V8" i="38"/>
  <c r="T8" i="40"/>
  <c r="T8" i="23"/>
  <c r="W8" i="38"/>
  <c r="R9" i="40"/>
  <c r="U8" i="23"/>
  <c r="S9" i="40"/>
  <c r="X8" i="38"/>
  <c r="Z9" i="40"/>
  <c r="U8" i="40"/>
  <c r="Q8" i="20"/>
  <c r="U8" i="20" s="1"/>
  <c r="Q8" i="32"/>
  <c r="S8" i="32" s="1"/>
  <c r="X9" i="40"/>
  <c r="V8" i="35"/>
  <c r="U8" i="35"/>
  <c r="T8" i="35"/>
  <c r="X8" i="35"/>
  <c r="Y8" i="35"/>
  <c r="R8" i="35"/>
  <c r="W8" i="35"/>
  <c r="S8" i="35"/>
  <c r="Z8" i="35"/>
  <c r="O8" i="20"/>
  <c r="U9" i="40"/>
  <c r="Q11" i="27"/>
  <c r="X11" i="27" s="1"/>
  <c r="Q8" i="36"/>
  <c r="W8" i="36" s="1"/>
  <c r="M12" i="27"/>
  <c r="P12" i="27" s="1"/>
  <c r="Y9" i="40"/>
  <c r="M9" i="20"/>
  <c r="P9" i="20" s="1"/>
  <c r="Z8" i="34"/>
  <c r="T9" i="40"/>
  <c r="Q8" i="24"/>
  <c r="Z8" i="24" s="1"/>
  <c r="Q10" i="40"/>
  <c r="U10" i="40" s="1"/>
  <c r="W8" i="27"/>
  <c r="X8" i="27"/>
  <c r="V8" i="27"/>
  <c r="S8" i="27"/>
  <c r="R8" i="27"/>
  <c r="U8" i="27"/>
  <c r="T8" i="27"/>
  <c r="Z8" i="27"/>
  <c r="Y8" i="27"/>
  <c r="V8" i="40"/>
  <c r="V9" i="40"/>
  <c r="M11" i="40"/>
  <c r="P11" i="40" s="1"/>
  <c r="N11" i="40"/>
  <c r="C13" i="40"/>
  <c r="E12" i="40"/>
  <c r="H12" i="40" s="1"/>
  <c r="K12" i="40" s="1"/>
  <c r="D12" i="40"/>
  <c r="G12" i="40" s="1"/>
  <c r="J12" i="40" s="1"/>
  <c r="F12" i="40"/>
  <c r="I12" i="40" s="1"/>
  <c r="L12" i="40" s="1"/>
  <c r="O10" i="40"/>
  <c r="AA10" i="40"/>
  <c r="AC10" i="40" s="1"/>
  <c r="M10" i="37"/>
  <c r="O10" i="37" s="1"/>
  <c r="C12" i="37"/>
  <c r="F11" i="37"/>
  <c r="I11" i="37" s="1"/>
  <c r="L11" i="37" s="1"/>
  <c r="D11" i="37"/>
  <c r="G11" i="37" s="1"/>
  <c r="J11" i="37" s="1"/>
  <c r="E11" i="37"/>
  <c r="H11" i="37" s="1"/>
  <c r="K11" i="37" s="1"/>
  <c r="AA8" i="36"/>
  <c r="AC8" i="36" s="1"/>
  <c r="O8" i="36"/>
  <c r="N10" i="36"/>
  <c r="C12" i="34"/>
  <c r="D11" i="34"/>
  <c r="G11" i="34" s="1"/>
  <c r="J11" i="34" s="1"/>
  <c r="E11" i="34"/>
  <c r="H11" i="34" s="1"/>
  <c r="K11" i="34" s="1"/>
  <c r="I11" i="34"/>
  <c r="L11" i="34" s="1"/>
  <c r="F12" i="33"/>
  <c r="AA8" i="32"/>
  <c r="AC8" i="32" s="1"/>
  <c r="N12" i="31"/>
  <c r="N12" i="27"/>
  <c r="C14" i="27"/>
  <c r="D13" i="27"/>
  <c r="G13" i="27" s="1"/>
  <c r="J13" i="27" s="1"/>
  <c r="E13" i="27"/>
  <c r="H13" i="27" s="1"/>
  <c r="K13" i="27" s="1"/>
  <c r="F13" i="27"/>
  <c r="I13" i="27" s="1"/>
  <c r="L13" i="27" s="1"/>
  <c r="O11" i="27"/>
  <c r="AA11" i="27"/>
  <c r="AC11" i="27" s="1"/>
  <c r="F13" i="25"/>
  <c r="E13" i="25"/>
  <c r="N12" i="25"/>
  <c r="AA8" i="24"/>
  <c r="V8" i="22"/>
  <c r="U8" i="22"/>
  <c r="T8" i="22"/>
  <c r="S8" i="22"/>
  <c r="Z8" i="22"/>
  <c r="Y8" i="22"/>
  <c r="R8" i="22"/>
  <c r="X8" i="22"/>
  <c r="W8" i="22"/>
  <c r="AA8" i="20"/>
  <c r="C11" i="20"/>
  <c r="E10" i="20"/>
  <c r="F10" i="20"/>
  <c r="I10" i="20" s="1"/>
  <c r="L10" i="20" s="1"/>
  <c r="D10" i="20"/>
  <c r="G10" i="20" s="1"/>
  <c r="J10" i="20" s="1"/>
  <c r="N9" i="20"/>
  <c r="AE3" i="20"/>
  <c r="AD3" i="20"/>
  <c r="AK3" i="20"/>
  <c r="AF3" i="20"/>
  <c r="AL3" i="20"/>
  <c r="AI3" i="20"/>
  <c r="AJ3" i="20"/>
  <c r="AH3" i="20"/>
  <c r="AG3" i="20"/>
  <c r="N11" i="19"/>
  <c r="C13" i="19"/>
  <c r="F12" i="19"/>
  <c r="D12" i="19"/>
  <c r="E12" i="19"/>
  <c r="AI3" i="19"/>
  <c r="AH3" i="19"/>
  <c r="AG3" i="19"/>
  <c r="AF3" i="19"/>
  <c r="AE3" i="19"/>
  <c r="AD3" i="19"/>
  <c r="AL3" i="19"/>
  <c r="AK3" i="19"/>
  <c r="AJ3" i="19"/>
  <c r="P8" i="19"/>
  <c r="N8" i="19"/>
  <c r="O8" i="19" s="1"/>
  <c r="O9" i="19"/>
  <c r="P9" i="19"/>
  <c r="AJ3" i="8"/>
  <c r="AK3" i="8"/>
  <c r="AD3" i="8"/>
  <c r="AG3" i="8"/>
  <c r="AF3" i="8"/>
  <c r="AE3" i="8"/>
  <c r="AH3" i="8"/>
  <c r="M10" i="8"/>
  <c r="C12" i="8"/>
  <c r="E12" i="8" s="1"/>
  <c r="F11" i="8"/>
  <c r="I11" i="8" s="1"/>
  <c r="L11" i="8" s="1"/>
  <c r="D11" i="8"/>
  <c r="C2" i="3"/>
  <c r="B2" i="3"/>
  <c r="CF6" i="1" l="1"/>
  <c r="EH6" i="1"/>
  <c r="U9" i="23"/>
  <c r="AC15" i="49"/>
  <c r="AB14" i="43"/>
  <c r="AA16" i="49"/>
  <c r="AC16" i="49" s="1"/>
  <c r="C12" i="28"/>
  <c r="E12" i="28" s="1"/>
  <c r="X9" i="23"/>
  <c r="Y16" i="49"/>
  <c r="AK16" i="49" s="1"/>
  <c r="X16" i="49"/>
  <c r="AJ16" i="49" s="1"/>
  <c r="V16" i="49"/>
  <c r="AH16" i="49" s="1"/>
  <c r="U16" i="49"/>
  <c r="AG16" i="49" s="1"/>
  <c r="S16" i="49"/>
  <c r="AE16" i="49" s="1"/>
  <c r="R16" i="49"/>
  <c r="AD16" i="49" s="1"/>
  <c r="W16" i="49"/>
  <c r="AI16" i="49" s="1"/>
  <c r="T16" i="49"/>
  <c r="AF16" i="49" s="1"/>
  <c r="Z16" i="49"/>
  <c r="AL16" i="49" s="1"/>
  <c r="M18" i="49"/>
  <c r="C20" i="49"/>
  <c r="D19" i="49"/>
  <c r="G19" i="49" s="1"/>
  <c r="J19" i="49" s="1"/>
  <c r="F19" i="49"/>
  <c r="I19" i="49" s="1"/>
  <c r="L19" i="49" s="1"/>
  <c r="E19" i="49"/>
  <c r="H19" i="49" s="1"/>
  <c r="K19" i="49" s="1"/>
  <c r="P17" i="49"/>
  <c r="Q17" i="49" s="1"/>
  <c r="N17" i="49"/>
  <c r="O17" i="49" s="1"/>
  <c r="R9" i="23"/>
  <c r="AA9" i="23"/>
  <c r="Y9" i="23"/>
  <c r="W9" i="23"/>
  <c r="AF9" i="31"/>
  <c r="AA10" i="19"/>
  <c r="AC10" i="19" s="1"/>
  <c r="S15" i="56"/>
  <c r="AE15" i="56" s="1"/>
  <c r="AE15" i="58"/>
  <c r="AC15" i="58"/>
  <c r="N9" i="23"/>
  <c r="O9" i="23" s="1"/>
  <c r="AH9" i="23" s="1"/>
  <c r="AK8" i="27"/>
  <c r="V15" i="56"/>
  <c r="AH15" i="56" s="1"/>
  <c r="U17" i="47"/>
  <c r="AG17" i="47" s="1"/>
  <c r="AC15" i="60"/>
  <c r="T15" i="56"/>
  <c r="AF15" i="56" s="1"/>
  <c r="R15" i="56"/>
  <c r="AD15" i="56" s="1"/>
  <c r="Y15" i="56"/>
  <c r="AK15" i="56" s="1"/>
  <c r="AJ16" i="48"/>
  <c r="AI16" i="48"/>
  <c r="V10" i="27"/>
  <c r="S9" i="23"/>
  <c r="T10" i="27"/>
  <c r="Z17" i="47"/>
  <c r="AL17" i="47" s="1"/>
  <c r="AI15" i="58"/>
  <c r="AA8" i="44"/>
  <c r="AB8" i="44" s="1"/>
  <c r="BK2" i="1" s="1"/>
  <c r="T9" i="23"/>
  <c r="AA10" i="44"/>
  <c r="AC10" i="44" s="1"/>
  <c r="BL4" i="1" s="1"/>
  <c r="X15" i="53"/>
  <c r="Z15" i="57"/>
  <c r="AL15" i="57" s="1"/>
  <c r="AA13" i="44"/>
  <c r="AC13" i="44" s="1"/>
  <c r="BL7" i="1" s="1"/>
  <c r="AA9" i="44"/>
  <c r="AC9" i="44" s="1"/>
  <c r="BL3" i="1" s="1"/>
  <c r="W17" i="47"/>
  <c r="AI17" i="47" s="1"/>
  <c r="AB15" i="54"/>
  <c r="AH16" i="48"/>
  <c r="T15" i="63"/>
  <c r="AF15" i="63" s="1"/>
  <c r="AA11" i="44"/>
  <c r="AC11" i="44" s="1"/>
  <c r="BL5" i="1" s="1"/>
  <c r="AB16" i="48"/>
  <c r="T15" i="57"/>
  <c r="AF15" i="57" s="1"/>
  <c r="S11" i="44"/>
  <c r="AE11" i="44" s="1"/>
  <c r="BQ5" i="1" s="1"/>
  <c r="Y11" i="44"/>
  <c r="AK11" i="44" s="1"/>
  <c r="BW5" i="1" s="1"/>
  <c r="T11" i="44"/>
  <c r="AF11" i="44" s="1"/>
  <c r="BR5" i="1" s="1"/>
  <c r="W11" i="44"/>
  <c r="AI11" i="44" s="1"/>
  <c r="BU5" i="1" s="1"/>
  <c r="Z11" i="44"/>
  <c r="AL11" i="44" s="1"/>
  <c r="BX5" i="1" s="1"/>
  <c r="ER5" i="1" s="1"/>
  <c r="R11" i="44"/>
  <c r="AD11" i="44" s="1"/>
  <c r="BP5" i="1" s="1"/>
  <c r="V11" i="44"/>
  <c r="AH11" i="44" s="1"/>
  <c r="BT5" i="1" s="1"/>
  <c r="U11" i="44"/>
  <c r="AG11" i="44" s="1"/>
  <c r="BS5" i="1" s="1"/>
  <c r="X11" i="44"/>
  <c r="AJ11" i="44" s="1"/>
  <c r="BV5" i="1" s="1"/>
  <c r="P8" i="8"/>
  <c r="AB15" i="65"/>
  <c r="O10" i="19"/>
  <c r="X17" i="47"/>
  <c r="AJ17" i="47" s="1"/>
  <c r="Z15" i="56"/>
  <c r="AL15" i="56" s="1"/>
  <c r="U10" i="44"/>
  <c r="AG10" i="44" s="1"/>
  <c r="BS4" i="1" s="1"/>
  <c r="Z10" i="44"/>
  <c r="AL10" i="44" s="1"/>
  <c r="BX4" i="1" s="1"/>
  <c r="ER4" i="1" s="1"/>
  <c r="T10" i="44"/>
  <c r="AF10" i="44" s="1"/>
  <c r="BR4" i="1" s="1"/>
  <c r="S10" i="44"/>
  <c r="AE10" i="44" s="1"/>
  <c r="BQ4" i="1" s="1"/>
  <c r="W10" i="44"/>
  <c r="AI10" i="44" s="1"/>
  <c r="BU4" i="1" s="1"/>
  <c r="V10" i="44"/>
  <c r="AH10" i="44" s="1"/>
  <c r="BT4" i="1" s="1"/>
  <c r="R10" i="44"/>
  <c r="AD10" i="44" s="1"/>
  <c r="BP4" i="1" s="1"/>
  <c r="X10" i="44"/>
  <c r="AJ10" i="44" s="1"/>
  <c r="BV4" i="1" s="1"/>
  <c r="Y10" i="44"/>
  <c r="AK10" i="44" s="1"/>
  <c r="BW4" i="1" s="1"/>
  <c r="S13" i="44"/>
  <c r="AE13" i="44" s="1"/>
  <c r="BQ7" i="1" s="1"/>
  <c r="T13" i="44"/>
  <c r="AF13" i="44" s="1"/>
  <c r="BR7" i="1" s="1"/>
  <c r="U13" i="44"/>
  <c r="AG13" i="44" s="1"/>
  <c r="BS7" i="1" s="1"/>
  <c r="X13" i="44"/>
  <c r="AJ13" i="44" s="1"/>
  <c r="BV7" i="1" s="1"/>
  <c r="W13" i="44"/>
  <c r="AI13" i="44" s="1"/>
  <c r="BU7" i="1" s="1"/>
  <c r="V13" i="44"/>
  <c r="AH13" i="44" s="1"/>
  <c r="BT7" i="1" s="1"/>
  <c r="Z13" i="44"/>
  <c r="AL13" i="44" s="1"/>
  <c r="BX7" i="1" s="1"/>
  <c r="ER7" i="1" s="1"/>
  <c r="Y13" i="44"/>
  <c r="AK13" i="44" s="1"/>
  <c r="BW7" i="1" s="1"/>
  <c r="R13" i="44"/>
  <c r="AD13" i="44" s="1"/>
  <c r="BP7" i="1" s="1"/>
  <c r="Z9" i="44"/>
  <c r="T9" i="44"/>
  <c r="U9" i="44"/>
  <c r="R9" i="44"/>
  <c r="S9" i="44"/>
  <c r="Y9" i="44"/>
  <c r="X9" i="44"/>
  <c r="W9" i="44"/>
  <c r="V9" i="44"/>
  <c r="AK16" i="48"/>
  <c r="AI16" i="51"/>
  <c r="X15" i="56"/>
  <c r="AJ15" i="56" s="1"/>
  <c r="O9" i="44"/>
  <c r="S8" i="44"/>
  <c r="AE8" i="44" s="1"/>
  <c r="BQ2" i="1" s="1"/>
  <c r="W8" i="44"/>
  <c r="AI8" i="44" s="1"/>
  <c r="BU2" i="1" s="1"/>
  <c r="U8" i="44"/>
  <c r="AG8" i="44" s="1"/>
  <c r="BS2" i="1" s="1"/>
  <c r="X8" i="44"/>
  <c r="AJ8" i="44" s="1"/>
  <c r="BV2" i="1" s="1"/>
  <c r="Z8" i="44"/>
  <c r="AL8" i="44" s="1"/>
  <c r="BX2" i="1" s="1"/>
  <c r="ER2" i="1" s="1"/>
  <c r="R8" i="44"/>
  <c r="AD8" i="44" s="1"/>
  <c r="BP2" i="1" s="1"/>
  <c r="Y8" i="44"/>
  <c r="AK8" i="44" s="1"/>
  <c r="BW2" i="1" s="1"/>
  <c r="T8" i="44"/>
  <c r="AF8" i="44" s="1"/>
  <c r="BR2" i="1" s="1"/>
  <c r="V8" i="44"/>
  <c r="AH8" i="44" s="1"/>
  <c r="BT2" i="1" s="1"/>
  <c r="AA12" i="44"/>
  <c r="AC12" i="44" s="1"/>
  <c r="BL6" i="1" s="1"/>
  <c r="D11" i="28"/>
  <c r="G11" i="28" s="1"/>
  <c r="J11" i="28" s="1"/>
  <c r="Z9" i="23"/>
  <c r="AD16" i="48"/>
  <c r="W15" i="56"/>
  <c r="AI15" i="56" s="1"/>
  <c r="X12" i="44"/>
  <c r="AJ12" i="44" s="1"/>
  <c r="BV6" i="1" s="1"/>
  <c r="U12" i="44"/>
  <c r="AG12" i="44" s="1"/>
  <c r="BS6" i="1" s="1"/>
  <c r="V12" i="44"/>
  <c r="AH12" i="44" s="1"/>
  <c r="BT6" i="1" s="1"/>
  <c r="R12" i="44"/>
  <c r="AD12" i="44" s="1"/>
  <c r="BP6" i="1" s="1"/>
  <c r="W12" i="44"/>
  <c r="AI12" i="44" s="1"/>
  <c r="BU6" i="1" s="1"/>
  <c r="Z12" i="44"/>
  <c r="AL12" i="44" s="1"/>
  <c r="BX6" i="1" s="1"/>
  <c r="ER6" i="1" s="1"/>
  <c r="Y12" i="44"/>
  <c r="AK12" i="44" s="1"/>
  <c r="BW6" i="1" s="1"/>
  <c r="S12" i="44"/>
  <c r="AE12" i="44" s="1"/>
  <c r="BQ6" i="1" s="1"/>
  <c r="T12" i="44"/>
  <c r="AF12" i="44" s="1"/>
  <c r="BR6" i="1" s="1"/>
  <c r="T17" i="47"/>
  <c r="AF17" i="47" s="1"/>
  <c r="AA15" i="56"/>
  <c r="AC15" i="56" s="1"/>
  <c r="P17" i="48"/>
  <c r="Q17" i="48" s="1"/>
  <c r="W17" i="48" s="1"/>
  <c r="AI17" i="48" s="1"/>
  <c r="AL16" i="48"/>
  <c r="D11" i="29"/>
  <c r="G11" i="29" s="1"/>
  <c r="J11" i="29" s="1"/>
  <c r="R17" i="47"/>
  <c r="AD17" i="47" s="1"/>
  <c r="AA17" i="47"/>
  <c r="AC17" i="47" s="1"/>
  <c r="I11" i="28"/>
  <c r="L11" i="28" s="1"/>
  <c r="C13" i="38"/>
  <c r="F13" i="38" s="1"/>
  <c r="W15" i="53"/>
  <c r="AI15" i="53" s="1"/>
  <c r="R15" i="57"/>
  <c r="AD15" i="57" s="1"/>
  <c r="AB14" i="56"/>
  <c r="BO8" i="1" s="1"/>
  <c r="CG8" i="1" s="1"/>
  <c r="O16" i="56"/>
  <c r="AH16" i="51"/>
  <c r="AJ16" i="51"/>
  <c r="U15" i="57"/>
  <c r="AG15" i="57" s="1"/>
  <c r="AJ15" i="58"/>
  <c r="AF15" i="58"/>
  <c r="W16" i="50"/>
  <c r="AI16" i="50" s="1"/>
  <c r="N9" i="8"/>
  <c r="S17" i="47"/>
  <c r="AE17" i="47" s="1"/>
  <c r="P18" i="47"/>
  <c r="Q18" i="47" s="1"/>
  <c r="W18" i="47" s="1"/>
  <c r="AI18" i="47" s="1"/>
  <c r="X16" i="50"/>
  <c r="AJ16" i="50" s="1"/>
  <c r="S15" i="53"/>
  <c r="AE15" i="53" s="1"/>
  <c r="AL15" i="58"/>
  <c r="AB14" i="62"/>
  <c r="T16" i="50"/>
  <c r="AF16" i="50" s="1"/>
  <c r="T16" i="52"/>
  <c r="AF16" i="52" s="1"/>
  <c r="P17" i="65"/>
  <c r="Q17" i="65" s="1"/>
  <c r="T17" i="65" s="1"/>
  <c r="AF17" i="65" s="1"/>
  <c r="P16" i="43"/>
  <c r="Q16" i="43" s="1"/>
  <c r="W16" i="43" s="1"/>
  <c r="AI16" i="43" s="1"/>
  <c r="AB15" i="52"/>
  <c r="AC15" i="44"/>
  <c r="I11" i="29"/>
  <c r="L11" i="29" s="1"/>
  <c r="AB15" i="50"/>
  <c r="AI14" i="55"/>
  <c r="V17" i="47"/>
  <c r="AH17" i="47" s="1"/>
  <c r="S16" i="50"/>
  <c r="AE16" i="50" s="1"/>
  <c r="V15" i="57"/>
  <c r="AH15" i="57" s="1"/>
  <c r="AB14" i="58"/>
  <c r="AB14" i="55"/>
  <c r="AA15" i="57"/>
  <c r="AC15" i="57" s="1"/>
  <c r="W15" i="57"/>
  <c r="AI15" i="57" s="1"/>
  <c r="AA16" i="50"/>
  <c r="AC16" i="50" s="1"/>
  <c r="W16" i="52"/>
  <c r="AI16" i="52" s="1"/>
  <c r="S15" i="57"/>
  <c r="AE15" i="57" s="1"/>
  <c r="Z16" i="50"/>
  <c r="AL16" i="50" s="1"/>
  <c r="AD16" i="51"/>
  <c r="AE16" i="51"/>
  <c r="AC15" i="64"/>
  <c r="AB15" i="43"/>
  <c r="AE14" i="55"/>
  <c r="AG16" i="51"/>
  <c r="AB16" i="51"/>
  <c r="M17" i="56"/>
  <c r="P17" i="56" s="1"/>
  <c r="Q17" i="56" s="1"/>
  <c r="AA15" i="55"/>
  <c r="AC15" i="55" s="1"/>
  <c r="AF14" i="55"/>
  <c r="AG14" i="55"/>
  <c r="AE16" i="48"/>
  <c r="R16" i="50"/>
  <c r="AD16" i="50" s="1"/>
  <c r="AL16" i="51"/>
  <c r="AK15" i="58"/>
  <c r="S15" i="63"/>
  <c r="AE15" i="63" s="1"/>
  <c r="AJ14" i="55"/>
  <c r="AF16" i="48"/>
  <c r="U16" i="50"/>
  <c r="AG16" i="50" s="1"/>
  <c r="AF16" i="51"/>
  <c r="T15" i="53"/>
  <c r="AF15" i="53" s="1"/>
  <c r="AD15" i="58"/>
  <c r="N16" i="60"/>
  <c r="O16" i="60" s="1"/>
  <c r="M16" i="46"/>
  <c r="AK14" i="55"/>
  <c r="O15" i="46"/>
  <c r="P15" i="46"/>
  <c r="Q15" i="46" s="1"/>
  <c r="AH14" i="55"/>
  <c r="M17" i="55"/>
  <c r="AL14" i="55"/>
  <c r="AG16" i="48"/>
  <c r="Y16" i="50"/>
  <c r="AK16" i="50" s="1"/>
  <c r="AK16" i="51"/>
  <c r="V16" i="52"/>
  <c r="AH16" i="52" s="1"/>
  <c r="Z15" i="53"/>
  <c r="AL15" i="53" s="1"/>
  <c r="AG15" i="58"/>
  <c r="AA14" i="46"/>
  <c r="AC14" i="46" s="1"/>
  <c r="M17" i="43"/>
  <c r="O17" i="43" s="1"/>
  <c r="AD14" i="55"/>
  <c r="P16" i="55"/>
  <c r="Q16" i="55" s="1"/>
  <c r="N16" i="55"/>
  <c r="Y15" i="63"/>
  <c r="AK15" i="63" s="1"/>
  <c r="C18" i="46"/>
  <c r="H17" i="46"/>
  <c r="K17" i="46" s="1"/>
  <c r="D17" i="46"/>
  <c r="G17" i="46" s="1"/>
  <c r="J17" i="46" s="1"/>
  <c r="I17" i="46"/>
  <c r="L17" i="46" s="1"/>
  <c r="Z14" i="46"/>
  <c r="AL14" i="46" s="1"/>
  <c r="X14" i="46"/>
  <c r="AJ14" i="46" s="1"/>
  <c r="T14" i="46"/>
  <c r="AF14" i="46" s="1"/>
  <c r="S14" i="46"/>
  <c r="AE14" i="46" s="1"/>
  <c r="R14" i="46"/>
  <c r="AD14" i="46" s="1"/>
  <c r="V14" i="46"/>
  <c r="AH14" i="46" s="1"/>
  <c r="W14" i="46"/>
  <c r="AI14" i="46" s="1"/>
  <c r="U14" i="46"/>
  <c r="AG14" i="46" s="1"/>
  <c r="Y14" i="46"/>
  <c r="AK14" i="46" s="1"/>
  <c r="AB13" i="46"/>
  <c r="BN7" i="1" s="1"/>
  <c r="E18" i="56"/>
  <c r="H18" i="56" s="1"/>
  <c r="K18" i="56" s="1"/>
  <c r="I18" i="56"/>
  <c r="L18" i="56" s="1"/>
  <c r="C19" i="56"/>
  <c r="D18" i="56"/>
  <c r="G18" i="56" s="1"/>
  <c r="J18" i="56" s="1"/>
  <c r="R16" i="56"/>
  <c r="T16" i="56"/>
  <c r="Z16" i="56"/>
  <c r="Y16" i="56"/>
  <c r="X16" i="56"/>
  <c r="W16" i="56"/>
  <c r="V16" i="56"/>
  <c r="U16" i="56"/>
  <c r="S16" i="56"/>
  <c r="D18" i="43"/>
  <c r="G18" i="43" s="1"/>
  <c r="J18" i="43" s="1"/>
  <c r="F18" i="43"/>
  <c r="I18" i="43" s="1"/>
  <c r="L18" i="43" s="1"/>
  <c r="H18" i="43"/>
  <c r="K18" i="43" s="1"/>
  <c r="C19" i="43"/>
  <c r="C19" i="55"/>
  <c r="D18" i="55"/>
  <c r="G18" i="55" s="1"/>
  <c r="J18" i="55" s="1"/>
  <c r="E18" i="55"/>
  <c r="H18" i="55" s="1"/>
  <c r="K18" i="55" s="1"/>
  <c r="I18" i="55"/>
  <c r="L18" i="55" s="1"/>
  <c r="AA16" i="56"/>
  <c r="AC16" i="56" s="1"/>
  <c r="P17" i="51"/>
  <c r="Q17" i="51" s="1"/>
  <c r="V17" i="51" s="1"/>
  <c r="AH17" i="51" s="1"/>
  <c r="Y15" i="57"/>
  <c r="AK15" i="57" s="1"/>
  <c r="T15" i="55"/>
  <c r="AF15" i="55" s="1"/>
  <c r="W15" i="55"/>
  <c r="AI15" i="55" s="1"/>
  <c r="Z15" i="55"/>
  <c r="AL15" i="55" s="1"/>
  <c r="U15" i="55"/>
  <c r="AG15" i="55" s="1"/>
  <c r="V15" i="55"/>
  <c r="AH15" i="55" s="1"/>
  <c r="R15" i="55"/>
  <c r="AD15" i="55" s="1"/>
  <c r="X15" i="55"/>
  <c r="AJ15" i="55" s="1"/>
  <c r="S15" i="55"/>
  <c r="AE15" i="55" s="1"/>
  <c r="Y15" i="55"/>
  <c r="AK15" i="55" s="1"/>
  <c r="S16" i="52"/>
  <c r="AE16" i="52" s="1"/>
  <c r="AL15" i="59"/>
  <c r="P16" i="44"/>
  <c r="Q16" i="44" s="1"/>
  <c r="R16" i="44" s="1"/>
  <c r="AB14" i="64"/>
  <c r="E11" i="29"/>
  <c r="H11" i="29" s="1"/>
  <c r="K11" i="29" s="1"/>
  <c r="Y10" i="27"/>
  <c r="U16" i="52"/>
  <c r="AG16" i="52" s="1"/>
  <c r="R15" i="53"/>
  <c r="AD15" i="53" s="1"/>
  <c r="R15" i="63"/>
  <c r="AD15" i="63" s="1"/>
  <c r="R16" i="52"/>
  <c r="AD16" i="52" s="1"/>
  <c r="Z15" i="63"/>
  <c r="AL15" i="63" s="1"/>
  <c r="AA16" i="65"/>
  <c r="AC16" i="65" s="1"/>
  <c r="V16" i="65"/>
  <c r="AH16" i="65" s="1"/>
  <c r="C12" i="36"/>
  <c r="F12" i="36" s="1"/>
  <c r="X16" i="65"/>
  <c r="AJ16" i="65" s="1"/>
  <c r="Y16" i="52"/>
  <c r="AK16" i="52" s="1"/>
  <c r="U15" i="63"/>
  <c r="AG15" i="63" s="1"/>
  <c r="Y16" i="65"/>
  <c r="AK16" i="65" s="1"/>
  <c r="Z16" i="52"/>
  <c r="AL16" i="52" s="1"/>
  <c r="V15" i="63"/>
  <c r="AH15" i="63" s="1"/>
  <c r="Z16" i="65"/>
  <c r="AL16" i="65" s="1"/>
  <c r="AA16" i="52"/>
  <c r="AC16" i="52" s="1"/>
  <c r="W15" i="63"/>
  <c r="AI15" i="63" s="1"/>
  <c r="S16" i="65"/>
  <c r="AE16" i="65" s="1"/>
  <c r="AA15" i="63"/>
  <c r="AC15" i="63" s="1"/>
  <c r="U16" i="65"/>
  <c r="AG16" i="65" s="1"/>
  <c r="AL8" i="27"/>
  <c r="P10" i="23"/>
  <c r="Q10" i="23" s="1"/>
  <c r="S15" i="62"/>
  <c r="AE15" i="62" s="1"/>
  <c r="W16" i="65"/>
  <c r="AI16" i="65" s="1"/>
  <c r="U15" i="62"/>
  <c r="AG15" i="62" s="1"/>
  <c r="X10" i="27"/>
  <c r="U10" i="27"/>
  <c r="O16" i="57"/>
  <c r="V15" i="62"/>
  <c r="AH15" i="62" s="1"/>
  <c r="S10" i="27"/>
  <c r="AJ15" i="44"/>
  <c r="M17" i="53"/>
  <c r="N17" i="53" s="1"/>
  <c r="V15" i="53"/>
  <c r="AH15" i="53" s="1"/>
  <c r="AH15" i="58"/>
  <c r="R16" i="65"/>
  <c r="AD16" i="65" s="1"/>
  <c r="R10" i="27"/>
  <c r="M11" i="19"/>
  <c r="P11" i="19" s="1"/>
  <c r="Q11" i="19" s="1"/>
  <c r="X11" i="19" s="1"/>
  <c r="AE15" i="44"/>
  <c r="P16" i="58"/>
  <c r="Q16" i="58" s="1"/>
  <c r="X16" i="58" s="1"/>
  <c r="N16" i="59"/>
  <c r="O16" i="59" s="1"/>
  <c r="M17" i="64"/>
  <c r="P17" i="64" s="1"/>
  <c r="Q17" i="64" s="1"/>
  <c r="BL8" i="1"/>
  <c r="P17" i="52"/>
  <c r="Q17" i="52" s="1"/>
  <c r="S17" i="52" s="1"/>
  <c r="AE17" i="52" s="1"/>
  <c r="AA15" i="53"/>
  <c r="AC15" i="53" s="1"/>
  <c r="Y15" i="53"/>
  <c r="AK15" i="53" s="1"/>
  <c r="AB15" i="58"/>
  <c r="P16" i="64"/>
  <c r="Q16" i="64" s="1"/>
  <c r="S16" i="64" s="1"/>
  <c r="AA15" i="62"/>
  <c r="AB15" i="62" s="1"/>
  <c r="N17" i="54"/>
  <c r="O17" i="54" s="1"/>
  <c r="N16" i="53"/>
  <c r="O16" i="53" s="1"/>
  <c r="W15" i="62"/>
  <c r="AI15" i="62" s="1"/>
  <c r="Z15" i="62"/>
  <c r="AL15" i="62" s="1"/>
  <c r="Y17" i="45"/>
  <c r="AK17" i="45" s="1"/>
  <c r="AF15" i="59"/>
  <c r="R15" i="62"/>
  <c r="AD15" i="62" s="1"/>
  <c r="P16" i="63"/>
  <c r="Q16" i="63" s="1"/>
  <c r="V16" i="63" s="1"/>
  <c r="AH16" i="63" s="1"/>
  <c r="M18" i="65"/>
  <c r="P18" i="65" s="1"/>
  <c r="Q18" i="65" s="1"/>
  <c r="T15" i="62"/>
  <c r="AF15" i="62" s="1"/>
  <c r="M10" i="28"/>
  <c r="N10" i="28" s="1"/>
  <c r="AF15" i="44"/>
  <c r="X15" i="62"/>
  <c r="AJ15" i="62" s="1"/>
  <c r="E11" i="36"/>
  <c r="H11" i="36" s="1"/>
  <c r="K11" i="36" s="1"/>
  <c r="O10" i="23"/>
  <c r="D11" i="36"/>
  <c r="G11" i="36" s="1"/>
  <c r="J11" i="36" s="1"/>
  <c r="AC16" i="48"/>
  <c r="P17" i="50"/>
  <c r="Q17" i="50" s="1"/>
  <c r="X17" i="50" s="1"/>
  <c r="AJ17" i="50" s="1"/>
  <c r="AH15" i="59"/>
  <c r="AD15" i="44"/>
  <c r="AI15" i="59"/>
  <c r="H12" i="21"/>
  <c r="K12" i="21" s="1"/>
  <c r="D12" i="21"/>
  <c r="G12" i="21" s="1"/>
  <c r="J12" i="21" s="1"/>
  <c r="M17" i="44"/>
  <c r="P17" i="44" s="1"/>
  <c r="Q17" i="44" s="1"/>
  <c r="AG15" i="64"/>
  <c r="AK15" i="44"/>
  <c r="AF16" i="54"/>
  <c r="M17" i="59"/>
  <c r="P17" i="59" s="1"/>
  <c r="Q17" i="59" s="1"/>
  <c r="M17" i="61"/>
  <c r="P16" i="62"/>
  <c r="Q16" i="62" s="1"/>
  <c r="S16" i="62" s="1"/>
  <c r="AE16" i="62" s="1"/>
  <c r="AH15" i="64"/>
  <c r="C13" i="21"/>
  <c r="C14" i="21" s="1"/>
  <c r="H12" i="38"/>
  <c r="K12" i="38" s="1"/>
  <c r="AI15" i="44"/>
  <c r="D12" i="38"/>
  <c r="G12" i="38" s="1"/>
  <c r="J12" i="38" s="1"/>
  <c r="AL15" i="44"/>
  <c r="M17" i="58"/>
  <c r="P17" i="58" s="1"/>
  <c r="Q17" i="58" s="1"/>
  <c r="AE15" i="59"/>
  <c r="AH15" i="60"/>
  <c r="AG15" i="44"/>
  <c r="AG15" i="59"/>
  <c r="C20" i="65"/>
  <c r="H19" i="65"/>
  <c r="K19" i="65" s="1"/>
  <c r="G19" i="65"/>
  <c r="J19" i="65" s="1"/>
  <c r="I19" i="65"/>
  <c r="L19" i="65" s="1"/>
  <c r="AI15" i="64"/>
  <c r="AJ15" i="64"/>
  <c r="AK15" i="64"/>
  <c r="AE15" i="64"/>
  <c r="AB15" i="64"/>
  <c r="AL15" i="64"/>
  <c r="C19" i="64"/>
  <c r="E18" i="64"/>
  <c r="H18" i="64" s="1"/>
  <c r="K18" i="64" s="1"/>
  <c r="D18" i="64"/>
  <c r="G18" i="64" s="1"/>
  <c r="J18" i="64" s="1"/>
  <c r="F18" i="64"/>
  <c r="I18" i="64" s="1"/>
  <c r="L18" i="64" s="1"/>
  <c r="AF15" i="64"/>
  <c r="O16" i="64"/>
  <c r="AD15" i="64"/>
  <c r="M17" i="63"/>
  <c r="P17" i="63" s="1"/>
  <c r="Q17" i="63" s="1"/>
  <c r="AC14" i="63"/>
  <c r="AB14" i="63"/>
  <c r="C19" i="63"/>
  <c r="D18" i="63"/>
  <c r="G18" i="63" s="1"/>
  <c r="J18" i="63" s="1"/>
  <c r="F18" i="63"/>
  <c r="I18" i="63" s="1"/>
  <c r="L18" i="63" s="1"/>
  <c r="H18" i="63"/>
  <c r="K18" i="63" s="1"/>
  <c r="M17" i="62"/>
  <c r="P17" i="62" s="1"/>
  <c r="Q17" i="62" s="1"/>
  <c r="D18" i="62"/>
  <c r="G18" i="62" s="1"/>
  <c r="J18" i="62" s="1"/>
  <c r="C19" i="62"/>
  <c r="H18" i="62"/>
  <c r="K18" i="62" s="1"/>
  <c r="I18" i="62"/>
  <c r="L18" i="62" s="1"/>
  <c r="C19" i="61"/>
  <c r="F18" i="61"/>
  <c r="L18" i="61" s="1"/>
  <c r="E18" i="61"/>
  <c r="K18" i="61" s="1"/>
  <c r="D18" i="61"/>
  <c r="AD15" i="60"/>
  <c r="AF15" i="60"/>
  <c r="AG15" i="60"/>
  <c r="AE15" i="60"/>
  <c r="AJ15" i="60"/>
  <c r="AI15" i="60"/>
  <c r="AL15" i="60"/>
  <c r="M17" i="60"/>
  <c r="P17" i="60" s="1"/>
  <c r="Q17" i="60" s="1"/>
  <c r="C19" i="60"/>
  <c r="D18" i="60"/>
  <c r="G18" i="60" s="1"/>
  <c r="J18" i="60" s="1"/>
  <c r="E18" i="60"/>
  <c r="H18" i="60" s="1"/>
  <c r="K18" i="60" s="1"/>
  <c r="I18" i="60"/>
  <c r="L18" i="60" s="1"/>
  <c r="AB15" i="60"/>
  <c r="X16" i="60"/>
  <c r="W16" i="60"/>
  <c r="S16" i="60"/>
  <c r="R16" i="60"/>
  <c r="Z16" i="60"/>
  <c r="Y16" i="60"/>
  <c r="U16" i="60"/>
  <c r="T16" i="60"/>
  <c r="V16" i="60"/>
  <c r="AK15" i="60"/>
  <c r="AA16" i="60"/>
  <c r="AC15" i="59"/>
  <c r="AJ15" i="59"/>
  <c r="AK15" i="59"/>
  <c r="AD15" i="59"/>
  <c r="C19" i="59"/>
  <c r="E18" i="59"/>
  <c r="H18" i="59" s="1"/>
  <c r="K18" i="59" s="1"/>
  <c r="D18" i="59"/>
  <c r="G18" i="59" s="1"/>
  <c r="J18" i="59" s="1"/>
  <c r="I18" i="59"/>
  <c r="L18" i="59" s="1"/>
  <c r="AB15" i="59"/>
  <c r="T16" i="59"/>
  <c r="U16" i="59"/>
  <c r="S16" i="59"/>
  <c r="R16" i="59"/>
  <c r="Z16" i="59"/>
  <c r="Y16" i="59"/>
  <c r="X16" i="59"/>
  <c r="W16" i="59"/>
  <c r="V16" i="59"/>
  <c r="AA16" i="59"/>
  <c r="O16" i="58"/>
  <c r="C19" i="58"/>
  <c r="D18" i="58"/>
  <c r="G18" i="58" s="1"/>
  <c r="J18" i="58" s="1"/>
  <c r="E18" i="58"/>
  <c r="H18" i="58" s="1"/>
  <c r="K18" i="58" s="1"/>
  <c r="I18" i="58"/>
  <c r="L18" i="58" s="1"/>
  <c r="M17" i="57"/>
  <c r="P17" i="57" s="1"/>
  <c r="Q17" i="57" s="1"/>
  <c r="C19" i="57"/>
  <c r="E18" i="57"/>
  <c r="H18" i="57" s="1"/>
  <c r="K18" i="57" s="1"/>
  <c r="D18" i="57"/>
  <c r="G18" i="57" s="1"/>
  <c r="J18" i="57" s="1"/>
  <c r="F18" i="57"/>
  <c r="I18" i="57" s="1"/>
  <c r="L18" i="57" s="1"/>
  <c r="T16" i="57"/>
  <c r="S16" i="57"/>
  <c r="R16" i="57"/>
  <c r="Z16" i="57"/>
  <c r="Y16" i="57"/>
  <c r="X16" i="57"/>
  <c r="W16" i="57"/>
  <c r="V16" i="57"/>
  <c r="U16" i="57"/>
  <c r="AA16" i="57"/>
  <c r="AC16" i="57" s="1"/>
  <c r="AK16" i="54"/>
  <c r="AC16" i="54"/>
  <c r="AJ16" i="54"/>
  <c r="AL16" i="54"/>
  <c r="AD16" i="54"/>
  <c r="AE16" i="54"/>
  <c r="AG16" i="54"/>
  <c r="AH16" i="54"/>
  <c r="AI16" i="54"/>
  <c r="M18" i="54"/>
  <c r="N18" i="54" s="1"/>
  <c r="C20" i="54"/>
  <c r="I19" i="54"/>
  <c r="L19" i="54" s="1"/>
  <c r="E19" i="54"/>
  <c r="H19" i="54" s="1"/>
  <c r="K19" i="54" s="1"/>
  <c r="D19" i="54"/>
  <c r="G19" i="54" s="1"/>
  <c r="J19" i="54" s="1"/>
  <c r="AB16" i="54"/>
  <c r="X17" i="54"/>
  <c r="U17" i="54"/>
  <c r="T17" i="54"/>
  <c r="S17" i="54"/>
  <c r="R17" i="54"/>
  <c r="Z17" i="54"/>
  <c r="Y17" i="54"/>
  <c r="W17" i="54"/>
  <c r="V17" i="54"/>
  <c r="AA17" i="54"/>
  <c r="AJ15" i="53"/>
  <c r="AG15" i="53"/>
  <c r="T16" i="53"/>
  <c r="Y16" i="53"/>
  <c r="X16" i="53"/>
  <c r="R16" i="53"/>
  <c r="W16" i="53"/>
  <c r="Z16" i="53"/>
  <c r="V16" i="53"/>
  <c r="U16" i="53"/>
  <c r="S16" i="53"/>
  <c r="C19" i="53"/>
  <c r="D18" i="53"/>
  <c r="G18" i="53" s="1"/>
  <c r="J18" i="53" s="1"/>
  <c r="E18" i="53"/>
  <c r="H18" i="53" s="1"/>
  <c r="K18" i="53" s="1"/>
  <c r="I18" i="53"/>
  <c r="L18" i="53" s="1"/>
  <c r="AA16" i="53"/>
  <c r="M18" i="52"/>
  <c r="O18" i="52" s="1"/>
  <c r="C20" i="52"/>
  <c r="D19" i="52"/>
  <c r="G19" i="52" s="1"/>
  <c r="J19" i="52" s="1"/>
  <c r="I19" i="52"/>
  <c r="L19" i="52" s="1"/>
  <c r="H19" i="52"/>
  <c r="K19" i="52" s="1"/>
  <c r="M18" i="51"/>
  <c r="P18" i="51" s="1"/>
  <c r="Q18" i="51" s="1"/>
  <c r="AC16" i="51"/>
  <c r="C20" i="51"/>
  <c r="D19" i="51"/>
  <c r="G19" i="51" s="1"/>
  <c r="J19" i="51" s="1"/>
  <c r="E19" i="51"/>
  <c r="H19" i="51" s="1"/>
  <c r="K19" i="51" s="1"/>
  <c r="F19" i="51"/>
  <c r="I19" i="51" s="1"/>
  <c r="L19" i="51" s="1"/>
  <c r="M18" i="50"/>
  <c r="P18" i="50" s="1"/>
  <c r="Q18" i="50" s="1"/>
  <c r="C20" i="50"/>
  <c r="D19" i="50"/>
  <c r="G19" i="50" s="1"/>
  <c r="J19" i="50" s="1"/>
  <c r="I19" i="50"/>
  <c r="L19" i="50" s="1"/>
  <c r="H19" i="50"/>
  <c r="K19" i="50" s="1"/>
  <c r="M18" i="48"/>
  <c r="N18" i="48" s="1"/>
  <c r="C20" i="48"/>
  <c r="E19" i="48"/>
  <c r="H19" i="48" s="1"/>
  <c r="K19" i="48" s="1"/>
  <c r="D19" i="48"/>
  <c r="G19" i="48" s="1"/>
  <c r="J19" i="48" s="1"/>
  <c r="F19" i="48"/>
  <c r="I19" i="48" s="1"/>
  <c r="L19" i="48" s="1"/>
  <c r="AA17" i="48"/>
  <c r="AC17" i="48" s="1"/>
  <c r="M19" i="47"/>
  <c r="O19" i="47" s="1"/>
  <c r="C21" i="47"/>
  <c r="D20" i="47"/>
  <c r="G20" i="47" s="1"/>
  <c r="J20" i="47" s="1"/>
  <c r="F20" i="47"/>
  <c r="I20" i="47" s="1"/>
  <c r="L20" i="47" s="1"/>
  <c r="E20" i="47"/>
  <c r="H20" i="47" s="1"/>
  <c r="K20" i="47" s="1"/>
  <c r="AA17" i="45"/>
  <c r="AC17" i="45" s="1"/>
  <c r="S17" i="45"/>
  <c r="AE17" i="45" s="1"/>
  <c r="T17" i="45"/>
  <c r="AF17" i="45" s="1"/>
  <c r="R17" i="45"/>
  <c r="AD17" i="45" s="1"/>
  <c r="U17" i="45"/>
  <c r="AG17" i="45" s="1"/>
  <c r="P18" i="45"/>
  <c r="Q18" i="45" s="1"/>
  <c r="U18" i="45" s="1"/>
  <c r="AG18" i="45" s="1"/>
  <c r="M19" i="45"/>
  <c r="O19" i="45" s="1"/>
  <c r="V17" i="45"/>
  <c r="AH17" i="45" s="1"/>
  <c r="Z17" i="45"/>
  <c r="AL17" i="45" s="1"/>
  <c r="W17" i="45"/>
  <c r="AI17" i="45" s="1"/>
  <c r="C21" i="45"/>
  <c r="D20" i="45"/>
  <c r="G20" i="45" s="1"/>
  <c r="J20" i="45" s="1"/>
  <c r="H20" i="45"/>
  <c r="K20" i="45" s="1"/>
  <c r="I20" i="45"/>
  <c r="L20" i="45" s="1"/>
  <c r="C19" i="44"/>
  <c r="E18" i="44"/>
  <c r="H18" i="44" s="1"/>
  <c r="K18" i="44" s="1"/>
  <c r="F18" i="44"/>
  <c r="I18" i="44" s="1"/>
  <c r="L18" i="44" s="1"/>
  <c r="D18" i="44"/>
  <c r="G18" i="44" s="1"/>
  <c r="J18" i="44" s="1"/>
  <c r="AB15" i="44"/>
  <c r="AH15" i="44"/>
  <c r="O16" i="44"/>
  <c r="E11" i="23"/>
  <c r="H11" i="23" s="1"/>
  <c r="K11" i="23" s="1"/>
  <c r="C12" i="23"/>
  <c r="F11" i="23"/>
  <c r="I11" i="23" s="1"/>
  <c r="L11" i="23" s="1"/>
  <c r="G11" i="8"/>
  <c r="J11" i="8" s="1"/>
  <c r="M11" i="8" s="1"/>
  <c r="H12" i="19"/>
  <c r="K12" i="19" s="1"/>
  <c r="G12" i="19"/>
  <c r="J12" i="19" s="1"/>
  <c r="I12" i="19"/>
  <c r="L12" i="19" s="1"/>
  <c r="BE4" i="1"/>
  <c r="H10" i="20"/>
  <c r="K10" i="20" s="1"/>
  <c r="M10" i="20" s="1"/>
  <c r="P10" i="20" s="1"/>
  <c r="BD4" i="1"/>
  <c r="BC4" i="1"/>
  <c r="AJ8" i="27"/>
  <c r="AI8" i="27"/>
  <c r="AF8" i="27"/>
  <c r="Z10" i="27"/>
  <c r="O10" i="27"/>
  <c r="AG9" i="27"/>
  <c r="AA10" i="27"/>
  <c r="AC10" i="27" s="1"/>
  <c r="AC8" i="24"/>
  <c r="AB8" i="27"/>
  <c r="AG8" i="27"/>
  <c r="AD8" i="27"/>
  <c r="AE8" i="27"/>
  <c r="AH8" i="27"/>
  <c r="AA9" i="36"/>
  <c r="AC9" i="36" s="1"/>
  <c r="Z9" i="21"/>
  <c r="AC8" i="27"/>
  <c r="S9" i="21"/>
  <c r="AA8" i="21"/>
  <c r="AC8" i="21" s="1"/>
  <c r="W9" i="21"/>
  <c r="T9" i="21"/>
  <c r="V9" i="21"/>
  <c r="X9" i="21"/>
  <c r="P9" i="37"/>
  <c r="AA9" i="37" s="1"/>
  <c r="AC9" i="37" s="1"/>
  <c r="AK9" i="40"/>
  <c r="Y9" i="21"/>
  <c r="AB9" i="27"/>
  <c r="R9" i="21"/>
  <c r="V8" i="39"/>
  <c r="AH8" i="39" s="1"/>
  <c r="AD9" i="40"/>
  <c r="P9" i="29"/>
  <c r="AA9" i="29" s="1"/>
  <c r="AB9" i="29" s="1"/>
  <c r="P10" i="38"/>
  <c r="Q10" i="38" s="1"/>
  <c r="T10" i="38" s="1"/>
  <c r="AF10" i="38" s="1"/>
  <c r="AF9" i="27"/>
  <c r="W8" i="39"/>
  <c r="AI8" i="39" s="1"/>
  <c r="M10" i="36"/>
  <c r="P10" i="36" s="1"/>
  <c r="Q10" i="36" s="1"/>
  <c r="X10" i="36" s="1"/>
  <c r="AH9" i="27"/>
  <c r="AK9" i="27"/>
  <c r="AE9" i="27"/>
  <c r="AI9" i="27"/>
  <c r="AD9" i="31"/>
  <c r="O9" i="21"/>
  <c r="O9" i="36"/>
  <c r="AG9" i="36" s="1"/>
  <c r="M11" i="38"/>
  <c r="O11" i="38" s="1"/>
  <c r="AE8" i="29"/>
  <c r="AL9" i="27"/>
  <c r="AA9" i="21"/>
  <c r="AC9" i="21" s="1"/>
  <c r="P9" i="28"/>
  <c r="AB9" i="23"/>
  <c r="T8" i="39"/>
  <c r="AF8" i="39" s="1"/>
  <c r="Y8" i="39"/>
  <c r="AK8" i="39" s="1"/>
  <c r="AD9" i="27"/>
  <c r="AB8" i="29"/>
  <c r="AF8" i="34"/>
  <c r="AE8" i="25"/>
  <c r="AE9" i="40"/>
  <c r="AL8" i="23"/>
  <c r="M10" i="29"/>
  <c r="P10" i="29" s="1"/>
  <c r="Q10" i="29" s="1"/>
  <c r="S10" i="29" s="1"/>
  <c r="AH8" i="40"/>
  <c r="X8" i="39"/>
  <c r="AJ8" i="39" s="1"/>
  <c r="S8" i="39"/>
  <c r="AE8" i="39" s="1"/>
  <c r="AI8" i="28"/>
  <c r="AB9" i="31"/>
  <c r="U8" i="39"/>
  <c r="AG8" i="39" s="1"/>
  <c r="M11" i="21"/>
  <c r="O11" i="21" s="1"/>
  <c r="AH9" i="31"/>
  <c r="AK8" i="22"/>
  <c r="AL8" i="22"/>
  <c r="AE8" i="22"/>
  <c r="AI8" i="38"/>
  <c r="AH8" i="38"/>
  <c r="AB8" i="38"/>
  <c r="AH8" i="22"/>
  <c r="AD8" i="22"/>
  <c r="AJ8" i="38"/>
  <c r="AF8" i="38"/>
  <c r="AD8" i="38"/>
  <c r="AK9" i="23"/>
  <c r="AF8" i="22"/>
  <c r="AC8" i="28"/>
  <c r="AG8" i="22"/>
  <c r="AG9" i="31"/>
  <c r="AI9" i="31"/>
  <c r="AE8" i="38"/>
  <c r="AL8" i="34"/>
  <c r="AE8" i="28"/>
  <c r="AF8" i="30"/>
  <c r="AB8" i="37"/>
  <c r="AG8" i="38"/>
  <c r="AL8" i="38"/>
  <c r="AJ9" i="23"/>
  <c r="AG8" i="31"/>
  <c r="AJ8" i="23"/>
  <c r="AI8" i="30"/>
  <c r="AH8" i="30"/>
  <c r="AH9" i="40"/>
  <c r="AI9" i="23"/>
  <c r="AF8" i="28"/>
  <c r="AH8" i="25"/>
  <c r="AF8" i="25"/>
  <c r="Q8" i="37"/>
  <c r="U8" i="37" s="1"/>
  <c r="AG8" i="37" s="1"/>
  <c r="AB8" i="22"/>
  <c r="V8" i="33"/>
  <c r="AH8" i="33" s="1"/>
  <c r="AJ8" i="22"/>
  <c r="AD8" i="23"/>
  <c r="Z8" i="39"/>
  <c r="AL8" i="39" s="1"/>
  <c r="AI8" i="22"/>
  <c r="AL9" i="31"/>
  <c r="AJ9" i="31"/>
  <c r="AE9" i="31"/>
  <c r="AB8" i="40"/>
  <c r="AL8" i="25"/>
  <c r="AD9" i="23"/>
  <c r="AG8" i="40"/>
  <c r="AE9" i="23"/>
  <c r="AK9" i="31"/>
  <c r="AG9" i="23"/>
  <c r="AE8" i="30"/>
  <c r="AE8" i="40"/>
  <c r="AC9" i="23"/>
  <c r="AB8" i="25"/>
  <c r="AF9" i="23"/>
  <c r="AL9" i="23"/>
  <c r="AA8" i="39"/>
  <c r="AG9" i="40"/>
  <c r="AH8" i="28"/>
  <c r="AF8" i="31"/>
  <c r="AL8" i="28"/>
  <c r="AI8" i="40"/>
  <c r="AG8" i="35"/>
  <c r="AE8" i="32"/>
  <c r="AL9" i="40"/>
  <c r="AF8" i="40"/>
  <c r="AE8" i="23"/>
  <c r="AF8" i="29"/>
  <c r="AH8" i="35"/>
  <c r="AG8" i="29"/>
  <c r="AL8" i="29"/>
  <c r="AH8" i="29"/>
  <c r="AC8" i="30"/>
  <c r="AI8" i="35"/>
  <c r="AG8" i="30"/>
  <c r="AD8" i="35"/>
  <c r="AC8" i="35"/>
  <c r="AD8" i="30"/>
  <c r="AJ8" i="30"/>
  <c r="AD8" i="29"/>
  <c r="AH9" i="38"/>
  <c r="AJ8" i="29"/>
  <c r="AB8" i="28"/>
  <c r="Y8" i="33"/>
  <c r="AK8" i="33" s="1"/>
  <c r="U8" i="33"/>
  <c r="AG8" i="33" s="1"/>
  <c r="X8" i="33"/>
  <c r="AJ8" i="33" s="1"/>
  <c r="AB8" i="30"/>
  <c r="T8" i="33"/>
  <c r="AF8" i="33" s="1"/>
  <c r="R8" i="33"/>
  <c r="AD8" i="33" s="1"/>
  <c r="AA8" i="33"/>
  <c r="AG8" i="28"/>
  <c r="AF9" i="38"/>
  <c r="AB8" i="34"/>
  <c r="AB8" i="31"/>
  <c r="AC8" i="29"/>
  <c r="AB8" i="20"/>
  <c r="AJ9" i="38"/>
  <c r="AL8" i="30"/>
  <c r="AB8" i="35"/>
  <c r="AD9" i="38"/>
  <c r="AH8" i="23"/>
  <c r="AB8" i="23"/>
  <c r="AK8" i="35"/>
  <c r="AG8" i="23"/>
  <c r="AJ8" i="40"/>
  <c r="AF8" i="35"/>
  <c r="AI8" i="23"/>
  <c r="AF8" i="23"/>
  <c r="AI8" i="29"/>
  <c r="AF9" i="40"/>
  <c r="AE8" i="35"/>
  <c r="AE8" i="34"/>
  <c r="AL8" i="31"/>
  <c r="AJ8" i="35"/>
  <c r="AJ8" i="25"/>
  <c r="AH8" i="31"/>
  <c r="AJ8" i="31"/>
  <c r="AL8" i="35"/>
  <c r="AJ8" i="28"/>
  <c r="AL8" i="40"/>
  <c r="AG8" i="34"/>
  <c r="AL9" i="38"/>
  <c r="AJ8" i="34"/>
  <c r="AK9" i="38"/>
  <c r="AI9" i="38"/>
  <c r="AK8" i="34"/>
  <c r="AI8" i="34"/>
  <c r="AJ9" i="40"/>
  <c r="AK8" i="40"/>
  <c r="AE8" i="31"/>
  <c r="Y8" i="20"/>
  <c r="AK8" i="20" s="1"/>
  <c r="S8" i="33"/>
  <c r="AE8" i="33" s="1"/>
  <c r="T10" i="19"/>
  <c r="AF10" i="19" s="1"/>
  <c r="AI8" i="31"/>
  <c r="AL8" i="33"/>
  <c r="AD8" i="34"/>
  <c r="AH8" i="34"/>
  <c r="AG9" i="38"/>
  <c r="W8" i="33"/>
  <c r="AI8" i="33" s="1"/>
  <c r="AK8" i="28"/>
  <c r="AC8" i="34"/>
  <c r="Z8" i="21"/>
  <c r="AL8" i="21" s="1"/>
  <c r="AK8" i="31"/>
  <c r="AC8" i="23"/>
  <c r="N10" i="34"/>
  <c r="O10" i="34" s="1"/>
  <c r="W8" i="20"/>
  <c r="AI8" i="20" s="1"/>
  <c r="N9" i="34"/>
  <c r="O9" i="34" s="1"/>
  <c r="W8" i="21"/>
  <c r="AI8" i="21" s="1"/>
  <c r="Y8" i="21"/>
  <c r="AK8" i="21" s="1"/>
  <c r="Z8" i="20"/>
  <c r="AL8" i="20" s="1"/>
  <c r="R8" i="20"/>
  <c r="AD8" i="20" s="1"/>
  <c r="AB9" i="40"/>
  <c r="U8" i="21"/>
  <c r="AG8" i="21" s="1"/>
  <c r="X8" i="21"/>
  <c r="AJ8" i="21" s="1"/>
  <c r="Z10" i="19"/>
  <c r="AL10" i="19" s="1"/>
  <c r="R8" i="21"/>
  <c r="AD8" i="21" s="1"/>
  <c r="X10" i="19"/>
  <c r="AJ10" i="19" s="1"/>
  <c r="Y10" i="19"/>
  <c r="AK10" i="19" s="1"/>
  <c r="R10" i="19"/>
  <c r="AD10" i="19" s="1"/>
  <c r="Z11" i="27"/>
  <c r="AL11" i="27" s="1"/>
  <c r="V8" i="20"/>
  <c r="AH8" i="20" s="1"/>
  <c r="S8" i="21"/>
  <c r="AE8" i="21" s="1"/>
  <c r="X8" i="20"/>
  <c r="AJ8" i="20" s="1"/>
  <c r="W10" i="19"/>
  <c r="AI10" i="19" s="1"/>
  <c r="AB9" i="38"/>
  <c r="Z8" i="32"/>
  <c r="AL8" i="32" s="1"/>
  <c r="AG8" i="25"/>
  <c r="AD8" i="25"/>
  <c r="AI8" i="25"/>
  <c r="Q8" i="26"/>
  <c r="AA8" i="26"/>
  <c r="U10" i="19"/>
  <c r="AG10" i="19" s="1"/>
  <c r="U8" i="24"/>
  <c r="AG8" i="24" s="1"/>
  <c r="Q9" i="34"/>
  <c r="W9" i="34" s="1"/>
  <c r="AA9" i="34"/>
  <c r="P10" i="31"/>
  <c r="Q10" i="31" s="1"/>
  <c r="O10" i="31"/>
  <c r="M10" i="32"/>
  <c r="P10" i="32" s="1"/>
  <c r="Q10" i="32" s="1"/>
  <c r="S10" i="32" s="1"/>
  <c r="M10" i="30"/>
  <c r="N10" i="30" s="1"/>
  <c r="O10" i="30" s="1"/>
  <c r="AC9" i="38"/>
  <c r="P9" i="35"/>
  <c r="AA9" i="35" s="1"/>
  <c r="AC9" i="35" s="1"/>
  <c r="O9" i="35"/>
  <c r="V8" i="21"/>
  <c r="AH8" i="21" s="1"/>
  <c r="T8" i="24"/>
  <c r="AF8" i="24" s="1"/>
  <c r="V8" i="32"/>
  <c r="AH8" i="32" s="1"/>
  <c r="Z9" i="36"/>
  <c r="D12" i="31"/>
  <c r="G12" i="31" s="1"/>
  <c r="J12" i="31" s="1"/>
  <c r="I12" i="31"/>
  <c r="L12" i="31" s="1"/>
  <c r="E12" i="31"/>
  <c r="H12" i="31" s="1"/>
  <c r="K12" i="31" s="1"/>
  <c r="C13" i="31"/>
  <c r="Y8" i="32"/>
  <c r="AK8" i="32" s="1"/>
  <c r="M10" i="35"/>
  <c r="P10" i="35" s="1"/>
  <c r="M10" i="24"/>
  <c r="N10" i="24" s="1"/>
  <c r="O10" i="24" s="1"/>
  <c r="M11" i="31"/>
  <c r="M10" i="21"/>
  <c r="P9" i="32"/>
  <c r="O9" i="32"/>
  <c r="R8" i="24"/>
  <c r="AD8" i="24" s="1"/>
  <c r="M10" i="25"/>
  <c r="O10" i="25" s="1"/>
  <c r="M10" i="39"/>
  <c r="N10" i="39" s="1"/>
  <c r="O10" i="39" s="1"/>
  <c r="P9" i="30"/>
  <c r="N9" i="30"/>
  <c r="O9" i="30" s="1"/>
  <c r="Y8" i="24"/>
  <c r="AK8" i="24" s="1"/>
  <c r="S8" i="24"/>
  <c r="AE8" i="24" s="1"/>
  <c r="W8" i="32"/>
  <c r="AI8" i="32" s="1"/>
  <c r="M10" i="22"/>
  <c r="O10" i="22" s="1"/>
  <c r="W8" i="24"/>
  <c r="AI8" i="24" s="1"/>
  <c r="T11" i="27"/>
  <c r="AF11" i="27" s="1"/>
  <c r="F11" i="22"/>
  <c r="I11" i="22" s="1"/>
  <c r="L11" i="22" s="1"/>
  <c r="D11" i="22"/>
  <c r="G11" i="22" s="1"/>
  <c r="J11" i="22" s="1"/>
  <c r="C12" i="22"/>
  <c r="E11" i="22"/>
  <c r="H11" i="22" s="1"/>
  <c r="K11" i="22" s="1"/>
  <c r="N9" i="39"/>
  <c r="O9" i="39" s="1"/>
  <c r="P9" i="39"/>
  <c r="M10" i="33"/>
  <c r="C12" i="33"/>
  <c r="I12" i="33" s="1"/>
  <c r="L12" i="33" s="1"/>
  <c r="E11" i="33"/>
  <c r="H11" i="33" s="1"/>
  <c r="K11" i="33" s="1"/>
  <c r="D11" i="33"/>
  <c r="G11" i="33" s="1"/>
  <c r="J11" i="33" s="1"/>
  <c r="F11" i="25"/>
  <c r="I11" i="25" s="1"/>
  <c r="L11" i="25" s="1"/>
  <c r="D11" i="25"/>
  <c r="G11" i="25" s="1"/>
  <c r="J11" i="25" s="1"/>
  <c r="C12" i="25"/>
  <c r="H11" i="25"/>
  <c r="K11" i="25" s="1"/>
  <c r="P9" i="22"/>
  <c r="Q9" i="22" s="1"/>
  <c r="O9" i="22"/>
  <c r="P9" i="25"/>
  <c r="AA9" i="25" s="1"/>
  <c r="AC9" i="25" s="1"/>
  <c r="O9" i="25"/>
  <c r="E11" i="39"/>
  <c r="H11" i="39" s="1"/>
  <c r="K11" i="39" s="1"/>
  <c r="D11" i="39"/>
  <c r="G11" i="39" s="1"/>
  <c r="J11" i="39" s="1"/>
  <c r="C12" i="39"/>
  <c r="F11" i="39"/>
  <c r="I11" i="39" s="1"/>
  <c r="L11" i="39" s="1"/>
  <c r="M10" i="26"/>
  <c r="F11" i="32"/>
  <c r="I11" i="32" s="1"/>
  <c r="L11" i="32" s="1"/>
  <c r="C12" i="32"/>
  <c r="D11" i="32"/>
  <c r="G11" i="32" s="1"/>
  <c r="J11" i="32" s="1"/>
  <c r="E11" i="32"/>
  <c r="H11" i="32" s="1"/>
  <c r="K11" i="32" s="1"/>
  <c r="S10" i="19"/>
  <c r="AE10" i="19" s="1"/>
  <c r="P9" i="33"/>
  <c r="Q9" i="33" s="1"/>
  <c r="N9" i="33"/>
  <c r="D11" i="26"/>
  <c r="G11" i="26" s="1"/>
  <c r="J11" i="26" s="1"/>
  <c r="E11" i="26"/>
  <c r="H11" i="26" s="1"/>
  <c r="K11" i="26" s="1"/>
  <c r="C12" i="26"/>
  <c r="F11" i="26"/>
  <c r="I11" i="26" s="1"/>
  <c r="L11" i="26" s="1"/>
  <c r="E11" i="24"/>
  <c r="H11" i="24" s="1"/>
  <c r="K11" i="24" s="1"/>
  <c r="D11" i="24"/>
  <c r="G11" i="24" s="1"/>
  <c r="J11" i="24" s="1"/>
  <c r="F11" i="24"/>
  <c r="I11" i="24" s="1"/>
  <c r="L11" i="24" s="1"/>
  <c r="C12" i="24"/>
  <c r="I11" i="35"/>
  <c r="L11" i="35" s="1"/>
  <c r="C12" i="35"/>
  <c r="D11" i="35"/>
  <c r="G11" i="35" s="1"/>
  <c r="J11" i="35" s="1"/>
  <c r="E11" i="35"/>
  <c r="H11" i="35" s="1"/>
  <c r="K11" i="35" s="1"/>
  <c r="N9" i="26"/>
  <c r="O9" i="26" s="1"/>
  <c r="P9" i="26"/>
  <c r="N9" i="24"/>
  <c r="O9" i="24" s="1"/>
  <c r="P9" i="24"/>
  <c r="E11" i="30"/>
  <c r="H11" i="30" s="1"/>
  <c r="K11" i="30" s="1"/>
  <c r="I11" i="30"/>
  <c r="L11" i="30" s="1"/>
  <c r="C12" i="30"/>
  <c r="D11" i="30"/>
  <c r="G11" i="30" s="1"/>
  <c r="J11" i="30" s="1"/>
  <c r="S8" i="20"/>
  <c r="AE8" i="20" s="1"/>
  <c r="U8" i="36"/>
  <c r="AG8" i="36" s="1"/>
  <c r="T8" i="20"/>
  <c r="AF8" i="20" s="1"/>
  <c r="X8" i="32"/>
  <c r="AJ8" i="32" s="1"/>
  <c r="Y9" i="36"/>
  <c r="X9" i="36"/>
  <c r="R9" i="36"/>
  <c r="T9" i="36"/>
  <c r="V9" i="36"/>
  <c r="T8" i="36"/>
  <c r="AF8" i="36" s="1"/>
  <c r="Z10" i="40"/>
  <c r="AL10" i="40" s="1"/>
  <c r="X8" i="36"/>
  <c r="AJ8" i="36" s="1"/>
  <c r="T8" i="32"/>
  <c r="AF8" i="32" s="1"/>
  <c r="U8" i="32"/>
  <c r="AG8" i="32" s="1"/>
  <c r="R8" i="32"/>
  <c r="AD8" i="32" s="1"/>
  <c r="W9" i="36"/>
  <c r="X8" i="24"/>
  <c r="AJ8" i="24" s="1"/>
  <c r="R11" i="27"/>
  <c r="AD11" i="27" s="1"/>
  <c r="V10" i="40"/>
  <c r="AH10" i="40" s="1"/>
  <c r="W11" i="27"/>
  <c r="AI11" i="27" s="1"/>
  <c r="V8" i="24"/>
  <c r="AH8" i="24" s="1"/>
  <c r="U11" i="27"/>
  <c r="AG11" i="27" s="1"/>
  <c r="S9" i="36"/>
  <c r="V8" i="36"/>
  <c r="AH8" i="36" s="1"/>
  <c r="V11" i="27"/>
  <c r="AH11" i="27" s="1"/>
  <c r="R8" i="36"/>
  <c r="AD8" i="36" s="1"/>
  <c r="S8" i="36"/>
  <c r="AE8" i="36" s="1"/>
  <c r="R10" i="40"/>
  <c r="AD10" i="40" s="1"/>
  <c r="Y11" i="27"/>
  <c r="AK11" i="27" s="1"/>
  <c r="Z8" i="36"/>
  <c r="AL8" i="36" s="1"/>
  <c r="P10" i="37"/>
  <c r="Q10" i="37" s="1"/>
  <c r="S10" i="40"/>
  <c r="AE10" i="40" s="1"/>
  <c r="S11" i="27"/>
  <c r="AE11" i="27" s="1"/>
  <c r="W10" i="40"/>
  <c r="AI10" i="40" s="1"/>
  <c r="Y8" i="36"/>
  <c r="AK8" i="36" s="1"/>
  <c r="Y10" i="40"/>
  <c r="AK10" i="40" s="1"/>
  <c r="T10" i="40"/>
  <c r="AF10" i="40" s="1"/>
  <c r="AG10" i="40"/>
  <c r="X10" i="40"/>
  <c r="AJ10" i="40" s="1"/>
  <c r="Q8" i="8"/>
  <c r="Y8" i="8" s="1"/>
  <c r="AK8" i="8" s="1"/>
  <c r="M11" i="28"/>
  <c r="N11" i="28" s="1"/>
  <c r="Q11" i="40"/>
  <c r="Y11" i="40" s="1"/>
  <c r="Q12" i="27"/>
  <c r="X12" i="27" s="1"/>
  <c r="Q9" i="8"/>
  <c r="R9" i="8" s="1"/>
  <c r="Q9" i="19"/>
  <c r="R9" i="19" s="1"/>
  <c r="AD9" i="19" s="1"/>
  <c r="Q10" i="34"/>
  <c r="W10" i="34" s="1"/>
  <c r="AI8" i="36"/>
  <c r="Q9" i="20"/>
  <c r="V9" i="20" s="1"/>
  <c r="Q8" i="19"/>
  <c r="T8" i="19" s="1"/>
  <c r="AF8" i="19" s="1"/>
  <c r="AJ11" i="27"/>
  <c r="M13" i="27"/>
  <c r="P13" i="27" s="1"/>
  <c r="M12" i="40"/>
  <c r="P12" i="40" s="1"/>
  <c r="AB10" i="40"/>
  <c r="N12" i="40"/>
  <c r="C14" i="40"/>
  <c r="F13" i="40"/>
  <c r="I13" i="40" s="1"/>
  <c r="L13" i="40" s="1"/>
  <c r="D13" i="40"/>
  <c r="G13" i="40" s="1"/>
  <c r="J13" i="40" s="1"/>
  <c r="E13" i="40"/>
  <c r="H13" i="40" s="1"/>
  <c r="K13" i="40" s="1"/>
  <c r="AA11" i="40"/>
  <c r="AC11" i="40" s="1"/>
  <c r="O11" i="40"/>
  <c r="C14" i="38"/>
  <c r="F14" i="38" s="1"/>
  <c r="D13" i="38"/>
  <c r="G13" i="38" s="1"/>
  <c r="J13" i="38" s="1"/>
  <c r="I13" i="38"/>
  <c r="L13" i="38" s="1"/>
  <c r="M11" i="37"/>
  <c r="O11" i="37" s="1"/>
  <c r="C13" i="37"/>
  <c r="F12" i="37"/>
  <c r="I12" i="37" s="1"/>
  <c r="L12" i="37" s="1"/>
  <c r="E12" i="37"/>
  <c r="H12" i="37" s="1"/>
  <c r="K12" i="37" s="1"/>
  <c r="D12" i="37"/>
  <c r="G12" i="37" s="1"/>
  <c r="J12" i="37" s="1"/>
  <c r="AB8" i="36"/>
  <c r="N11" i="36"/>
  <c r="C13" i="36"/>
  <c r="F13" i="36" s="1"/>
  <c r="E12" i="36"/>
  <c r="H12" i="36" s="1"/>
  <c r="K12" i="36" s="1"/>
  <c r="I12" i="36"/>
  <c r="L12" i="36" s="1"/>
  <c r="M11" i="34"/>
  <c r="P11" i="34" s="1"/>
  <c r="C13" i="34"/>
  <c r="E12" i="34"/>
  <c r="H12" i="34" s="1"/>
  <c r="K12" i="34" s="1"/>
  <c r="D12" i="34"/>
  <c r="G12" i="34" s="1"/>
  <c r="J12" i="34" s="1"/>
  <c r="I12" i="34"/>
  <c r="L12" i="34" s="1"/>
  <c r="AA10" i="34"/>
  <c r="F13" i="33"/>
  <c r="AB8" i="32"/>
  <c r="N13" i="31"/>
  <c r="C13" i="29"/>
  <c r="E12" i="29"/>
  <c r="H12" i="29" s="1"/>
  <c r="K12" i="29" s="1"/>
  <c r="D12" i="29"/>
  <c r="G12" i="29" s="1"/>
  <c r="J12" i="29" s="1"/>
  <c r="I12" i="29"/>
  <c r="L12" i="29" s="1"/>
  <c r="C13" i="28"/>
  <c r="E13" i="28" s="1"/>
  <c r="D12" i="28"/>
  <c r="G12" i="28" s="1"/>
  <c r="J12" i="28" s="1"/>
  <c r="I12" i="28"/>
  <c r="L12" i="28" s="1"/>
  <c r="H12" i="28"/>
  <c r="K12" i="28" s="1"/>
  <c r="N13" i="27"/>
  <c r="AB11" i="27"/>
  <c r="C15" i="27"/>
  <c r="F14" i="27"/>
  <c r="I14" i="27" s="1"/>
  <c r="L14" i="27" s="1"/>
  <c r="D14" i="27"/>
  <c r="G14" i="27" s="1"/>
  <c r="J14" i="27" s="1"/>
  <c r="E14" i="27"/>
  <c r="H14" i="27" s="1"/>
  <c r="K14" i="27" s="1"/>
  <c r="O12" i="27"/>
  <c r="AA12" i="27"/>
  <c r="AC12" i="27" s="1"/>
  <c r="N13" i="25"/>
  <c r="F14" i="25"/>
  <c r="E14" i="25"/>
  <c r="AB8" i="24"/>
  <c r="AL8" i="24"/>
  <c r="O9" i="8"/>
  <c r="H13" i="21"/>
  <c r="K13" i="21" s="1"/>
  <c r="I13" i="21"/>
  <c r="L13" i="21" s="1"/>
  <c r="AG8" i="20"/>
  <c r="N10" i="20"/>
  <c r="AC8" i="20"/>
  <c r="O9" i="20"/>
  <c r="AA9" i="20"/>
  <c r="AC9" i="20" s="1"/>
  <c r="C12" i="20"/>
  <c r="D11" i="20"/>
  <c r="G11" i="20" s="1"/>
  <c r="J11" i="20" s="1"/>
  <c r="F11" i="20"/>
  <c r="I11" i="20" s="1"/>
  <c r="L11" i="20" s="1"/>
  <c r="E11" i="20"/>
  <c r="AB10" i="19"/>
  <c r="N12" i="19"/>
  <c r="AA8" i="19"/>
  <c r="AB8" i="19" s="1"/>
  <c r="AA9" i="19"/>
  <c r="AC9" i="19" s="1"/>
  <c r="AH10" i="19"/>
  <c r="C14" i="19"/>
  <c r="E13" i="19"/>
  <c r="D13" i="19"/>
  <c r="F13" i="19"/>
  <c r="O11" i="19"/>
  <c r="P10" i="8"/>
  <c r="N10" i="8"/>
  <c r="AA9" i="8"/>
  <c r="AC9" i="8" s="1"/>
  <c r="AA8" i="8"/>
  <c r="AC8" i="8" s="1"/>
  <c r="C13" i="8"/>
  <c r="E13" i="8" s="1"/>
  <c r="F12" i="8"/>
  <c r="I12" i="8" s="1"/>
  <c r="L12" i="8" s="1"/>
  <c r="D12" i="8"/>
  <c r="G12" i="8" s="1"/>
  <c r="J12" i="8" s="1"/>
  <c r="H12" i="8"/>
  <c r="K12" i="8" s="1"/>
  <c r="D12" i="36" l="1"/>
  <c r="G12" i="36" s="1"/>
  <c r="J12" i="36" s="1"/>
  <c r="H13" i="38"/>
  <c r="K13" i="38" s="1"/>
  <c r="R17" i="48"/>
  <c r="AD17" i="48" s="1"/>
  <c r="CD8" i="1"/>
  <c r="EF8" i="1"/>
  <c r="CH6" i="1"/>
  <c r="EJ6" i="1"/>
  <c r="CJ2" i="1"/>
  <c r="EL2" i="1"/>
  <c r="CI7" i="1"/>
  <c r="EK7" i="1"/>
  <c r="CL6" i="1"/>
  <c r="EN6" i="1"/>
  <c r="CO2" i="1"/>
  <c r="EQ2" i="1"/>
  <c r="CO4" i="1"/>
  <c r="EQ4" i="1"/>
  <c r="CM5" i="1"/>
  <c r="EO5" i="1"/>
  <c r="CK6" i="1"/>
  <c r="EM6" i="1"/>
  <c r="CH2" i="1"/>
  <c r="EJ2" i="1"/>
  <c r="CH7" i="1"/>
  <c r="EJ7" i="1"/>
  <c r="CN4" i="1"/>
  <c r="EP4" i="1"/>
  <c r="CJ5" i="1"/>
  <c r="EL5" i="1"/>
  <c r="CD3" i="1"/>
  <c r="EF3" i="1"/>
  <c r="CN6" i="1"/>
  <c r="EP6" i="1"/>
  <c r="CO7" i="1"/>
  <c r="EQ7" i="1"/>
  <c r="CH4" i="1"/>
  <c r="EJ4" i="1"/>
  <c r="CO5" i="1"/>
  <c r="EQ5" i="1"/>
  <c r="CD7" i="1"/>
  <c r="EF7" i="1"/>
  <c r="CN2" i="1"/>
  <c r="EP2" i="1"/>
  <c r="CL4" i="1"/>
  <c r="EN4" i="1"/>
  <c r="CI5" i="1"/>
  <c r="EK5" i="1"/>
  <c r="CJ6" i="1"/>
  <c r="EL6" i="1"/>
  <c r="CK2" i="1"/>
  <c r="EM2" i="1"/>
  <c r="CL7" i="1"/>
  <c r="EN7" i="1"/>
  <c r="CM4" i="1"/>
  <c r="EO4" i="1"/>
  <c r="S17" i="48"/>
  <c r="AE17" i="48" s="1"/>
  <c r="CI6" i="1"/>
  <c r="EK6" i="1"/>
  <c r="CM2" i="1"/>
  <c r="EO2" i="1"/>
  <c r="CM7" i="1"/>
  <c r="EO7" i="1"/>
  <c r="CI4" i="1"/>
  <c r="EK4" i="1"/>
  <c r="CN5" i="1"/>
  <c r="EP5" i="1"/>
  <c r="CD4" i="1"/>
  <c r="EF4" i="1"/>
  <c r="CO6" i="1"/>
  <c r="EQ6" i="1"/>
  <c r="CI2" i="1"/>
  <c r="EK2" i="1"/>
  <c r="CN7" i="1"/>
  <c r="EP7" i="1"/>
  <c r="CJ4" i="1"/>
  <c r="EL4" i="1"/>
  <c r="CK5" i="1"/>
  <c r="EM5" i="1"/>
  <c r="CD5" i="1"/>
  <c r="EF5" i="1"/>
  <c r="CF7" i="1"/>
  <c r="EH7" i="1"/>
  <c r="CD6" i="1"/>
  <c r="EF6" i="1"/>
  <c r="CK7" i="1"/>
  <c r="EM7" i="1"/>
  <c r="CL5" i="1"/>
  <c r="EN5" i="1"/>
  <c r="CC2" i="1"/>
  <c r="EE2" i="1"/>
  <c r="CM6" i="1"/>
  <c r="EO6" i="1"/>
  <c r="CL2" i="1"/>
  <c r="EN2" i="1"/>
  <c r="CJ7" i="1"/>
  <c r="EL7" i="1"/>
  <c r="CK4" i="1"/>
  <c r="EM4" i="1"/>
  <c r="CH5" i="1"/>
  <c r="EJ5" i="1"/>
  <c r="Y18" i="47"/>
  <c r="AK18" i="47" s="1"/>
  <c r="T17" i="48"/>
  <c r="AF17" i="48" s="1"/>
  <c r="T18" i="47"/>
  <c r="AF18" i="47" s="1"/>
  <c r="U17" i="48"/>
  <c r="AG17" i="48" s="1"/>
  <c r="AA11" i="19"/>
  <c r="AC11" i="19" s="1"/>
  <c r="Y17" i="48"/>
  <c r="AK17" i="48" s="1"/>
  <c r="V17" i="48"/>
  <c r="AH17" i="48" s="1"/>
  <c r="Z17" i="48"/>
  <c r="AL17" i="48" s="1"/>
  <c r="X17" i="48"/>
  <c r="AJ17" i="48" s="1"/>
  <c r="R17" i="65"/>
  <c r="AD17" i="65" s="1"/>
  <c r="Y17" i="65"/>
  <c r="AK17" i="65" s="1"/>
  <c r="M11" i="29"/>
  <c r="P11" i="29" s="1"/>
  <c r="AA10" i="23"/>
  <c r="AC10" i="23" s="1"/>
  <c r="AA17" i="49"/>
  <c r="AB17" i="49" s="1"/>
  <c r="Y16" i="44"/>
  <c r="AF16" i="57"/>
  <c r="O10" i="28"/>
  <c r="S17" i="49"/>
  <c r="AE17" i="49" s="1"/>
  <c r="R17" i="49"/>
  <c r="AD17" i="49" s="1"/>
  <c r="Z17" i="49"/>
  <c r="AL17" i="49" s="1"/>
  <c r="T17" i="49"/>
  <c r="AF17" i="49" s="1"/>
  <c r="X17" i="49"/>
  <c r="AJ17" i="49" s="1"/>
  <c r="Y17" i="49"/>
  <c r="AK17" i="49" s="1"/>
  <c r="W17" i="49"/>
  <c r="AI17" i="49" s="1"/>
  <c r="V17" i="49"/>
  <c r="AH17" i="49" s="1"/>
  <c r="U17" i="49"/>
  <c r="AG17" i="49" s="1"/>
  <c r="M19" i="49"/>
  <c r="F20" i="49"/>
  <c r="I20" i="49" s="1"/>
  <c r="L20" i="49" s="1"/>
  <c r="C21" i="49"/>
  <c r="D20" i="49"/>
  <c r="G20" i="49" s="1"/>
  <c r="J20" i="49" s="1"/>
  <c r="E20" i="49"/>
  <c r="H20" i="49" s="1"/>
  <c r="K20" i="49" s="1"/>
  <c r="AA18" i="47"/>
  <c r="AC18" i="47" s="1"/>
  <c r="N18" i="49"/>
  <c r="P18" i="49"/>
  <c r="U18" i="47"/>
  <c r="AG18" i="47" s="1"/>
  <c r="AB16" i="49"/>
  <c r="M12" i="21"/>
  <c r="P12" i="21" s="1"/>
  <c r="X18" i="47"/>
  <c r="AJ18" i="47" s="1"/>
  <c r="Z17" i="65"/>
  <c r="AL17" i="65" s="1"/>
  <c r="AB9" i="44"/>
  <c r="BK3" i="1" s="1"/>
  <c r="V17" i="65"/>
  <c r="AH17" i="65" s="1"/>
  <c r="W17" i="65"/>
  <c r="AI17" i="65" s="1"/>
  <c r="X17" i="65"/>
  <c r="AJ17" i="65" s="1"/>
  <c r="AB15" i="57"/>
  <c r="BL9" i="1" s="1"/>
  <c r="AC16" i="60"/>
  <c r="AJ16" i="56"/>
  <c r="S17" i="65"/>
  <c r="AE17" i="65" s="1"/>
  <c r="D13" i="21"/>
  <c r="G13" i="21" s="1"/>
  <c r="J13" i="21" s="1"/>
  <c r="U17" i="65"/>
  <c r="AG17" i="65" s="1"/>
  <c r="AA17" i="65"/>
  <c r="AC17" i="65" s="1"/>
  <c r="S18" i="47"/>
  <c r="AE18" i="47" s="1"/>
  <c r="U16" i="44"/>
  <c r="AG16" i="44" s="1"/>
  <c r="Z18" i="47"/>
  <c r="AL18" i="47" s="1"/>
  <c r="X16" i="44"/>
  <c r="V16" i="44"/>
  <c r="AH16" i="44" s="1"/>
  <c r="R18" i="47"/>
  <c r="AD18" i="47" s="1"/>
  <c r="V17" i="52"/>
  <c r="AH17" i="52" s="1"/>
  <c r="V18" i="47"/>
  <c r="AH18" i="47" s="1"/>
  <c r="S16" i="44"/>
  <c r="AC8" i="44"/>
  <c r="BL2" i="1" s="1"/>
  <c r="AJ16" i="57"/>
  <c r="AB17" i="47"/>
  <c r="T16" i="44"/>
  <c r="AF16" i="44" s="1"/>
  <c r="Y17" i="52"/>
  <c r="AK17" i="52" s="1"/>
  <c r="Z16" i="44"/>
  <c r="P17" i="53"/>
  <c r="Q17" i="53" s="1"/>
  <c r="W16" i="44"/>
  <c r="AI16" i="44" s="1"/>
  <c r="Y17" i="50"/>
  <c r="AK17" i="50" s="1"/>
  <c r="AA16" i="44"/>
  <c r="AC16" i="44" s="1"/>
  <c r="V17" i="50"/>
  <c r="AH17" i="50" s="1"/>
  <c r="M11" i="36"/>
  <c r="P11" i="36" s="1"/>
  <c r="U17" i="50"/>
  <c r="AG17" i="50" s="1"/>
  <c r="AI16" i="56"/>
  <c r="AB10" i="44"/>
  <c r="BK4" i="1" s="1"/>
  <c r="EE4" i="1" s="1"/>
  <c r="P10" i="28"/>
  <c r="Q10" i="28" s="1"/>
  <c r="Y10" i="28" s="1"/>
  <c r="AB15" i="63"/>
  <c r="M12" i="19"/>
  <c r="P12" i="19" s="1"/>
  <c r="M12" i="38"/>
  <c r="P12" i="38" s="1"/>
  <c r="AG9" i="44"/>
  <c r="BS3" i="1" s="1"/>
  <c r="AB13" i="44"/>
  <c r="BK7" i="1" s="1"/>
  <c r="EE7" i="1" s="1"/>
  <c r="AF9" i="44"/>
  <c r="BR3" i="1" s="1"/>
  <c r="AL9" i="44"/>
  <c r="BX3" i="1" s="1"/>
  <c r="ER3" i="1" s="1"/>
  <c r="AF16" i="56"/>
  <c r="BZ6" i="1"/>
  <c r="AI9" i="44"/>
  <c r="BU3" i="1" s="1"/>
  <c r="AD16" i="56"/>
  <c r="AJ9" i="44"/>
  <c r="BV3" i="1" s="1"/>
  <c r="AK9" i="44"/>
  <c r="BW3" i="1" s="1"/>
  <c r="AE16" i="56"/>
  <c r="AE9" i="44"/>
  <c r="BQ3" i="1" s="1"/>
  <c r="AB16" i="52"/>
  <c r="N17" i="59"/>
  <c r="O17" i="59" s="1"/>
  <c r="AG16" i="56"/>
  <c r="AD9" i="44"/>
  <c r="BP3" i="1" s="1"/>
  <c r="AB11" i="44"/>
  <c r="BK5" i="1" s="1"/>
  <c r="EE5" i="1" s="1"/>
  <c r="BZ7" i="1"/>
  <c r="W17" i="50"/>
  <c r="AI17" i="50" s="1"/>
  <c r="BZ2" i="1"/>
  <c r="BZ4" i="1"/>
  <c r="BZ5" i="1"/>
  <c r="R17" i="50"/>
  <c r="AD17" i="50" s="1"/>
  <c r="X17" i="51"/>
  <c r="AJ17" i="51" s="1"/>
  <c r="AE16" i="57"/>
  <c r="AH16" i="56"/>
  <c r="BX8" i="1"/>
  <c r="ER8" i="1" s="1"/>
  <c r="AH9" i="44"/>
  <c r="BT3" i="1" s="1"/>
  <c r="S17" i="50"/>
  <c r="AE17" i="50" s="1"/>
  <c r="X16" i="62"/>
  <c r="AJ16" i="62" s="1"/>
  <c r="AB16" i="50"/>
  <c r="AB15" i="56"/>
  <c r="BO9" i="1" s="1"/>
  <c r="CG9" i="1" s="1"/>
  <c r="T17" i="50"/>
  <c r="AF17" i="50" s="1"/>
  <c r="AB12" i="44"/>
  <c r="BK6" i="1" s="1"/>
  <c r="EE6" i="1" s="1"/>
  <c r="W17" i="51"/>
  <c r="AI17" i="51" s="1"/>
  <c r="AC17" i="54"/>
  <c r="Y17" i="51"/>
  <c r="AK17" i="51" s="1"/>
  <c r="BR8" i="1"/>
  <c r="S17" i="51"/>
  <c r="AE17" i="51" s="1"/>
  <c r="Z17" i="51"/>
  <c r="AL17" i="51" s="1"/>
  <c r="AA17" i="51"/>
  <c r="AC17" i="51" s="1"/>
  <c r="N17" i="44"/>
  <c r="O17" i="44" s="1"/>
  <c r="R17" i="51"/>
  <c r="AD17" i="51" s="1"/>
  <c r="AC16" i="53"/>
  <c r="T17" i="51"/>
  <c r="AF17" i="51" s="1"/>
  <c r="Z16" i="43"/>
  <c r="AL16" i="43" s="1"/>
  <c r="AG10" i="27"/>
  <c r="Z17" i="50"/>
  <c r="AL17" i="50" s="1"/>
  <c r="BK8" i="1"/>
  <c r="EE8" i="1" s="1"/>
  <c r="AK16" i="56"/>
  <c r="BS8" i="1"/>
  <c r="AL16" i="56"/>
  <c r="BU8" i="1"/>
  <c r="BW8" i="1"/>
  <c r="W16" i="58"/>
  <c r="AI16" i="58" s="1"/>
  <c r="X16" i="64"/>
  <c r="AJ16" i="64" s="1"/>
  <c r="Z16" i="62"/>
  <c r="AL16" i="62" s="1"/>
  <c r="T17" i="52"/>
  <c r="AF17" i="52" s="1"/>
  <c r="R16" i="43"/>
  <c r="AD16" i="43" s="1"/>
  <c r="BQ8" i="1"/>
  <c r="R17" i="52"/>
  <c r="AD17" i="52" s="1"/>
  <c r="Z17" i="52"/>
  <c r="AL17" i="52" s="1"/>
  <c r="W17" i="52"/>
  <c r="AI17" i="52" s="1"/>
  <c r="Y16" i="64"/>
  <c r="AK16" i="64" s="1"/>
  <c r="Y16" i="43"/>
  <c r="AK16" i="43" s="1"/>
  <c r="O17" i="56"/>
  <c r="AA17" i="50"/>
  <c r="AC17" i="50" s="1"/>
  <c r="U16" i="64"/>
  <c r="AG16" i="64" s="1"/>
  <c r="S16" i="43"/>
  <c r="AE16" i="43" s="1"/>
  <c r="V16" i="64"/>
  <c r="AH16" i="64" s="1"/>
  <c r="W16" i="64"/>
  <c r="AI16" i="64" s="1"/>
  <c r="U16" i="43"/>
  <c r="AG16" i="43" s="1"/>
  <c r="U16" i="58"/>
  <c r="AG16" i="58" s="1"/>
  <c r="T16" i="64"/>
  <c r="AF16" i="64" s="1"/>
  <c r="X16" i="43"/>
  <c r="AJ16" i="43" s="1"/>
  <c r="Z16" i="64"/>
  <c r="AL16" i="64" s="1"/>
  <c r="V16" i="43"/>
  <c r="AH16" i="43" s="1"/>
  <c r="R16" i="64"/>
  <c r="AD16" i="64" s="1"/>
  <c r="T16" i="43"/>
  <c r="AF16" i="43" s="1"/>
  <c r="BT8" i="1"/>
  <c r="AB14" i="46"/>
  <c r="BN8" i="1" s="1"/>
  <c r="AA16" i="43"/>
  <c r="AC16" i="43" s="1"/>
  <c r="V16" i="58"/>
  <c r="AH16" i="58" s="1"/>
  <c r="Y16" i="62"/>
  <c r="AK16" i="62" s="1"/>
  <c r="Z16" i="58"/>
  <c r="AL16" i="58" s="1"/>
  <c r="T16" i="58"/>
  <c r="AF16" i="58" s="1"/>
  <c r="U17" i="51"/>
  <c r="AG17" i="51" s="1"/>
  <c r="X17" i="52"/>
  <c r="AJ17" i="52" s="1"/>
  <c r="AK16" i="57"/>
  <c r="AA16" i="58"/>
  <c r="AC16" i="58" s="1"/>
  <c r="BP8" i="1"/>
  <c r="AB15" i="55"/>
  <c r="S16" i="58"/>
  <c r="AE16" i="58" s="1"/>
  <c r="U16" i="63"/>
  <c r="AG16" i="63" s="1"/>
  <c r="AA17" i="52"/>
  <c r="AC17" i="52" s="1"/>
  <c r="AD16" i="57"/>
  <c r="Y16" i="58"/>
  <c r="AK16" i="58" s="1"/>
  <c r="R16" i="58"/>
  <c r="AD16" i="58" s="1"/>
  <c r="BV8" i="1"/>
  <c r="AB8" i="21"/>
  <c r="K2" i="1" s="1"/>
  <c r="AC16" i="59"/>
  <c r="AA15" i="46"/>
  <c r="AC15" i="46" s="1"/>
  <c r="M18" i="56"/>
  <c r="O18" i="56" s="1"/>
  <c r="U17" i="52"/>
  <c r="AG17" i="52" s="1"/>
  <c r="M18" i="55"/>
  <c r="P19" i="47"/>
  <c r="Q19" i="47" s="1"/>
  <c r="V19" i="47" s="1"/>
  <c r="AH19" i="47" s="1"/>
  <c r="P17" i="43"/>
  <c r="O16" i="46"/>
  <c r="P16" i="46"/>
  <c r="AB16" i="56"/>
  <c r="M18" i="43"/>
  <c r="O18" i="43" s="1"/>
  <c r="N17" i="55"/>
  <c r="P17" i="55"/>
  <c r="Q17" i="55" s="1"/>
  <c r="AG16" i="57"/>
  <c r="W16" i="62"/>
  <c r="AI16" i="62" s="1"/>
  <c r="W16" i="63"/>
  <c r="AI16" i="63" s="1"/>
  <c r="S15" i="46"/>
  <c r="AE15" i="46" s="1"/>
  <c r="BQ9" i="1" s="1"/>
  <c r="R15" i="46"/>
  <c r="AD15" i="46" s="1"/>
  <c r="BP9" i="1" s="1"/>
  <c r="V15" i="46"/>
  <c r="AH15" i="46" s="1"/>
  <c r="BT9" i="1" s="1"/>
  <c r="Z15" i="46"/>
  <c r="AL15" i="46" s="1"/>
  <c r="BX9" i="1" s="1"/>
  <c r="ER9" i="1" s="1"/>
  <c r="Y15" i="46"/>
  <c r="AK15" i="46" s="1"/>
  <c r="BW9" i="1" s="1"/>
  <c r="T15" i="46"/>
  <c r="AF15" i="46" s="1"/>
  <c r="BR9" i="1" s="1"/>
  <c r="X15" i="46"/>
  <c r="AJ15" i="46" s="1"/>
  <c r="BV9" i="1" s="1"/>
  <c r="U15" i="46"/>
  <c r="AG15" i="46" s="1"/>
  <c r="BS9" i="1" s="1"/>
  <c r="W15" i="46"/>
  <c r="AI15" i="46" s="1"/>
  <c r="BU9" i="1" s="1"/>
  <c r="D19" i="56"/>
  <c r="G19" i="56" s="1"/>
  <c r="J19" i="56" s="1"/>
  <c r="I19" i="56"/>
  <c r="L19" i="56" s="1"/>
  <c r="C20" i="56"/>
  <c r="E19" i="56"/>
  <c r="H19" i="56" s="1"/>
  <c r="K19" i="56" s="1"/>
  <c r="AA16" i="55"/>
  <c r="AC16" i="55" s="1"/>
  <c r="O16" i="55"/>
  <c r="C20" i="55"/>
  <c r="D19" i="55"/>
  <c r="G19" i="55" s="1"/>
  <c r="J19" i="55" s="1"/>
  <c r="E19" i="55"/>
  <c r="H19" i="55" s="1"/>
  <c r="K19" i="55" s="1"/>
  <c r="I19" i="55"/>
  <c r="L19" i="55" s="1"/>
  <c r="T16" i="55"/>
  <c r="S16" i="55"/>
  <c r="R16" i="55"/>
  <c r="W16" i="55"/>
  <c r="Z16" i="55"/>
  <c r="V16" i="55"/>
  <c r="Y16" i="55"/>
  <c r="X16" i="55"/>
  <c r="U16" i="55"/>
  <c r="AB16" i="65"/>
  <c r="AA17" i="56"/>
  <c r="AC17" i="56" s="1"/>
  <c r="H19" i="43"/>
  <c r="K19" i="43" s="1"/>
  <c r="C20" i="43"/>
  <c r="D19" i="43"/>
  <c r="G19" i="43" s="1"/>
  <c r="J19" i="43" s="1"/>
  <c r="F19" i="43"/>
  <c r="I19" i="43" s="1"/>
  <c r="L19" i="43" s="1"/>
  <c r="M17" i="46"/>
  <c r="S17" i="56"/>
  <c r="R17" i="56"/>
  <c r="X17" i="56"/>
  <c r="Z17" i="56"/>
  <c r="Y17" i="56"/>
  <c r="W17" i="56"/>
  <c r="V17" i="56"/>
  <c r="U17" i="56"/>
  <c r="T17" i="56"/>
  <c r="D18" i="46"/>
  <c r="G18" i="46" s="1"/>
  <c r="J18" i="46" s="1"/>
  <c r="C19" i="46"/>
  <c r="I18" i="46"/>
  <c r="L18" i="46" s="1"/>
  <c r="H18" i="46"/>
  <c r="K18" i="46" s="1"/>
  <c r="R18" i="45"/>
  <c r="AD18" i="45" s="1"/>
  <c r="R16" i="63"/>
  <c r="AD16" i="63" s="1"/>
  <c r="AA16" i="64"/>
  <c r="AC16" i="64" s="1"/>
  <c r="V18" i="45"/>
  <c r="AH18" i="45" s="1"/>
  <c r="AA16" i="63"/>
  <c r="AC16" i="63" s="1"/>
  <c r="AL16" i="57"/>
  <c r="S16" i="63"/>
  <c r="AE16" i="63" s="1"/>
  <c r="X16" i="63"/>
  <c r="AJ16" i="63" s="1"/>
  <c r="Y16" i="63"/>
  <c r="AK16" i="63" s="1"/>
  <c r="N17" i="64"/>
  <c r="O17" i="64" s="1"/>
  <c r="Z16" i="63"/>
  <c r="AL16" i="63" s="1"/>
  <c r="AA18" i="45"/>
  <c r="AC18" i="45" s="1"/>
  <c r="AH16" i="57"/>
  <c r="AA16" i="62"/>
  <c r="AC16" i="62" s="1"/>
  <c r="AC15" i="62"/>
  <c r="T16" i="63"/>
  <c r="AF16" i="63" s="1"/>
  <c r="AI16" i="57"/>
  <c r="V16" i="62"/>
  <c r="AH16" i="62" s="1"/>
  <c r="T16" i="62"/>
  <c r="AF16" i="62" s="1"/>
  <c r="N18" i="51"/>
  <c r="O18" i="51" s="1"/>
  <c r="R16" i="62"/>
  <c r="AD16" i="62" s="1"/>
  <c r="O18" i="65"/>
  <c r="U16" i="62"/>
  <c r="AG16" i="62" s="1"/>
  <c r="Q9" i="37"/>
  <c r="U9" i="37" s="1"/>
  <c r="AG9" i="37" s="1"/>
  <c r="AB17" i="45"/>
  <c r="L2" i="1"/>
  <c r="AB15" i="53"/>
  <c r="AJ16" i="58"/>
  <c r="P18" i="52"/>
  <c r="Q18" i="52" s="1"/>
  <c r="W18" i="52" s="1"/>
  <c r="AI18" i="52" s="1"/>
  <c r="O17" i="57"/>
  <c r="Y10" i="38"/>
  <c r="AK10" i="38" s="1"/>
  <c r="O17" i="62"/>
  <c r="AF16" i="59"/>
  <c r="O18" i="50"/>
  <c r="N17" i="60"/>
  <c r="O17" i="60" s="1"/>
  <c r="AD16" i="60"/>
  <c r="M18" i="61"/>
  <c r="M18" i="44"/>
  <c r="N18" i="44" s="1"/>
  <c r="N17" i="58"/>
  <c r="O17" i="58" s="1"/>
  <c r="P18" i="48"/>
  <c r="Q18" i="48" s="1"/>
  <c r="R18" i="48" s="1"/>
  <c r="M18" i="63"/>
  <c r="O18" i="63" s="1"/>
  <c r="AF16" i="53"/>
  <c r="M18" i="60"/>
  <c r="N18" i="60" s="1"/>
  <c r="M19" i="65"/>
  <c r="P19" i="65" s="1"/>
  <c r="Q19" i="65" s="1"/>
  <c r="C21" i="65"/>
  <c r="G20" i="65"/>
  <c r="J20" i="65" s="1"/>
  <c r="H20" i="65"/>
  <c r="K20" i="65" s="1"/>
  <c r="I20" i="65"/>
  <c r="L20" i="65" s="1"/>
  <c r="R18" i="65"/>
  <c r="Z18" i="65"/>
  <c r="Y18" i="65"/>
  <c r="X18" i="65"/>
  <c r="W18" i="65"/>
  <c r="U18" i="65"/>
  <c r="T18" i="65"/>
  <c r="S18" i="65"/>
  <c r="V18" i="65"/>
  <c r="AA18" i="65"/>
  <c r="AC18" i="65" s="1"/>
  <c r="AE16" i="64"/>
  <c r="M18" i="64"/>
  <c r="N18" i="64" s="1"/>
  <c r="O18" i="64" s="1"/>
  <c r="C20" i="64"/>
  <c r="D19" i="64"/>
  <c r="G19" i="64" s="1"/>
  <c r="J19" i="64" s="1"/>
  <c r="E19" i="64"/>
  <c r="H19" i="64" s="1"/>
  <c r="K19" i="64" s="1"/>
  <c r="F19" i="64"/>
  <c r="I19" i="64" s="1"/>
  <c r="L19" i="64" s="1"/>
  <c r="X17" i="64"/>
  <c r="U17" i="64"/>
  <c r="T17" i="64"/>
  <c r="S17" i="64"/>
  <c r="Z17" i="64"/>
  <c r="R17" i="64"/>
  <c r="Y17" i="64"/>
  <c r="W17" i="64"/>
  <c r="V17" i="64"/>
  <c r="AA17" i="64"/>
  <c r="O17" i="63"/>
  <c r="C20" i="63"/>
  <c r="D19" i="63"/>
  <c r="G19" i="63" s="1"/>
  <c r="J19" i="63" s="1"/>
  <c r="F19" i="63"/>
  <c r="I19" i="63" s="1"/>
  <c r="L19" i="63" s="1"/>
  <c r="H19" i="63"/>
  <c r="K19" i="63" s="1"/>
  <c r="X17" i="63"/>
  <c r="Y17" i="63"/>
  <c r="W17" i="63"/>
  <c r="V17" i="63"/>
  <c r="U17" i="63"/>
  <c r="T17" i="63"/>
  <c r="S17" i="63"/>
  <c r="R17" i="63"/>
  <c r="Z17" i="63"/>
  <c r="AA17" i="63"/>
  <c r="AC17" i="63" s="1"/>
  <c r="M18" i="62"/>
  <c r="P18" i="62" s="1"/>
  <c r="Q18" i="62" s="1"/>
  <c r="AA17" i="62"/>
  <c r="AC17" i="62" s="1"/>
  <c r="C20" i="62"/>
  <c r="D19" i="62"/>
  <c r="G19" i="62" s="1"/>
  <c r="J19" i="62" s="1"/>
  <c r="I19" i="62"/>
  <c r="L19" i="62" s="1"/>
  <c r="H19" i="62"/>
  <c r="K19" i="62" s="1"/>
  <c r="X17" i="62"/>
  <c r="W17" i="62"/>
  <c r="Z17" i="62"/>
  <c r="Y17" i="62"/>
  <c r="V17" i="62"/>
  <c r="U17" i="62"/>
  <c r="T17" i="62"/>
  <c r="S17" i="62"/>
  <c r="R17" i="62"/>
  <c r="C20" i="61"/>
  <c r="E19" i="61"/>
  <c r="K19" i="61" s="1"/>
  <c r="D19" i="61"/>
  <c r="F19" i="61"/>
  <c r="L19" i="61" s="1"/>
  <c r="AB16" i="60"/>
  <c r="AH16" i="60"/>
  <c r="AF16" i="60"/>
  <c r="AG16" i="60"/>
  <c r="AK16" i="60"/>
  <c r="AL16" i="60"/>
  <c r="C20" i="60"/>
  <c r="D19" i="60"/>
  <c r="G19" i="60" s="1"/>
  <c r="J19" i="60" s="1"/>
  <c r="E19" i="60"/>
  <c r="H19" i="60" s="1"/>
  <c r="K19" i="60" s="1"/>
  <c r="I19" i="60"/>
  <c r="L19" i="60" s="1"/>
  <c r="AE16" i="60"/>
  <c r="AI16" i="60"/>
  <c r="AJ16" i="60"/>
  <c r="W17" i="60"/>
  <c r="R17" i="60"/>
  <c r="X17" i="60"/>
  <c r="V17" i="60"/>
  <c r="U17" i="60"/>
  <c r="T17" i="60"/>
  <c r="S17" i="60"/>
  <c r="Z17" i="60"/>
  <c r="Y17" i="60"/>
  <c r="AA17" i="60"/>
  <c r="AB16" i="59"/>
  <c r="M18" i="59"/>
  <c r="P18" i="59" s="1"/>
  <c r="Q18" i="59" s="1"/>
  <c r="AA17" i="59"/>
  <c r="AK16" i="59"/>
  <c r="AL16" i="59"/>
  <c r="AD16" i="59"/>
  <c r="C20" i="59"/>
  <c r="E19" i="59"/>
  <c r="H19" i="59" s="1"/>
  <c r="K19" i="59" s="1"/>
  <c r="D19" i="59"/>
  <c r="G19" i="59" s="1"/>
  <c r="J19" i="59" s="1"/>
  <c r="I19" i="59"/>
  <c r="L19" i="59" s="1"/>
  <c r="AJ16" i="59"/>
  <c r="AE16" i="59"/>
  <c r="AH16" i="59"/>
  <c r="AI16" i="59"/>
  <c r="AG16" i="59"/>
  <c r="X17" i="59"/>
  <c r="R17" i="59"/>
  <c r="Z17" i="59"/>
  <c r="Y17" i="59"/>
  <c r="AK17" i="59" s="1"/>
  <c r="W17" i="59"/>
  <c r="V17" i="59"/>
  <c r="U17" i="59"/>
  <c r="T17" i="59"/>
  <c r="S17" i="59"/>
  <c r="AA17" i="58"/>
  <c r="M18" i="58"/>
  <c r="P18" i="58" s="1"/>
  <c r="Q18" i="58" s="1"/>
  <c r="X17" i="58"/>
  <c r="W17" i="58"/>
  <c r="R17" i="58"/>
  <c r="Y17" i="58"/>
  <c r="V17" i="58"/>
  <c r="U17" i="58"/>
  <c r="T17" i="58"/>
  <c r="Z17" i="58"/>
  <c r="S17" i="58"/>
  <c r="C20" i="58"/>
  <c r="D19" i="58"/>
  <c r="G19" i="58" s="1"/>
  <c r="J19" i="58" s="1"/>
  <c r="E19" i="58"/>
  <c r="H19" i="58" s="1"/>
  <c r="K19" i="58" s="1"/>
  <c r="I19" i="58"/>
  <c r="L19" i="58" s="1"/>
  <c r="M18" i="57"/>
  <c r="P18" i="57" s="1"/>
  <c r="Q18" i="57" s="1"/>
  <c r="C20" i="57"/>
  <c r="D19" i="57"/>
  <c r="G19" i="57" s="1"/>
  <c r="J19" i="57" s="1"/>
  <c r="E19" i="57"/>
  <c r="H19" i="57" s="1"/>
  <c r="K19" i="57" s="1"/>
  <c r="F19" i="57"/>
  <c r="I19" i="57" s="1"/>
  <c r="L19" i="57" s="1"/>
  <c r="X17" i="57"/>
  <c r="Z17" i="57"/>
  <c r="Y17" i="57"/>
  <c r="W17" i="57"/>
  <c r="V17" i="57"/>
  <c r="U17" i="57"/>
  <c r="T17" i="57"/>
  <c r="S17" i="57"/>
  <c r="R17" i="57"/>
  <c r="AB16" i="57"/>
  <c r="AA17" i="57"/>
  <c r="AC17" i="57" s="1"/>
  <c r="P18" i="54"/>
  <c r="Q18" i="54" s="1"/>
  <c r="X18" i="54" s="1"/>
  <c r="M19" i="54"/>
  <c r="N19" i="54" s="1"/>
  <c r="AH17" i="54"/>
  <c r="AI17" i="54"/>
  <c r="AK17" i="54"/>
  <c r="AL17" i="54"/>
  <c r="AD17" i="54"/>
  <c r="AE17" i="54"/>
  <c r="AF17" i="54"/>
  <c r="AG17" i="54"/>
  <c r="AJ17" i="54"/>
  <c r="P19" i="54"/>
  <c r="Q19" i="54" s="1"/>
  <c r="C21" i="54"/>
  <c r="E20" i="54"/>
  <c r="H20" i="54" s="1"/>
  <c r="K20" i="54" s="1"/>
  <c r="D20" i="54"/>
  <c r="G20" i="54" s="1"/>
  <c r="J20" i="54" s="1"/>
  <c r="I20" i="54"/>
  <c r="L20" i="54" s="1"/>
  <c r="AB17" i="54"/>
  <c r="O18" i="54"/>
  <c r="M18" i="53"/>
  <c r="P18" i="53" s="1"/>
  <c r="Q18" i="53" s="1"/>
  <c r="AJ16" i="53"/>
  <c r="AK16" i="53"/>
  <c r="AI16" i="53"/>
  <c r="AD16" i="53"/>
  <c r="X17" i="53"/>
  <c r="V17" i="53"/>
  <c r="U17" i="53"/>
  <c r="W17" i="53"/>
  <c r="S17" i="53"/>
  <c r="T17" i="53"/>
  <c r="R17" i="53"/>
  <c r="Y17" i="53"/>
  <c r="Z17" i="53"/>
  <c r="AB16" i="53"/>
  <c r="AA17" i="53"/>
  <c r="AC17" i="53" s="1"/>
  <c r="AE16" i="53"/>
  <c r="C20" i="53"/>
  <c r="E19" i="53"/>
  <c r="H19" i="53" s="1"/>
  <c r="K19" i="53" s="1"/>
  <c r="D19" i="53"/>
  <c r="G19" i="53" s="1"/>
  <c r="J19" i="53" s="1"/>
  <c r="I19" i="53"/>
  <c r="L19" i="53" s="1"/>
  <c r="O17" i="53"/>
  <c r="AG16" i="53"/>
  <c r="AH16" i="53"/>
  <c r="AL16" i="53"/>
  <c r="M19" i="52"/>
  <c r="C21" i="52"/>
  <c r="D20" i="52"/>
  <c r="G20" i="52" s="1"/>
  <c r="J20" i="52" s="1"/>
  <c r="H20" i="52"/>
  <c r="K20" i="52" s="1"/>
  <c r="I20" i="52"/>
  <c r="L20" i="52" s="1"/>
  <c r="M19" i="51"/>
  <c r="P19" i="51" s="1"/>
  <c r="Q19" i="51" s="1"/>
  <c r="C21" i="51"/>
  <c r="F20" i="51"/>
  <c r="I20" i="51" s="1"/>
  <c r="L20" i="51" s="1"/>
  <c r="D20" i="51"/>
  <c r="G20" i="51" s="1"/>
  <c r="J20" i="51" s="1"/>
  <c r="E20" i="51"/>
  <c r="H20" i="51" s="1"/>
  <c r="K20" i="51" s="1"/>
  <c r="R18" i="51"/>
  <c r="V18" i="51"/>
  <c r="U18" i="51"/>
  <c r="S18" i="51"/>
  <c r="Z18" i="51"/>
  <c r="Y18" i="51"/>
  <c r="T18" i="51"/>
  <c r="X18" i="51"/>
  <c r="W18" i="51"/>
  <c r="AA18" i="51"/>
  <c r="M19" i="50"/>
  <c r="O19" i="50" s="1"/>
  <c r="C21" i="50"/>
  <c r="D20" i="50"/>
  <c r="G20" i="50" s="1"/>
  <c r="J20" i="50" s="1"/>
  <c r="H20" i="50"/>
  <c r="K20" i="50" s="1"/>
  <c r="I20" i="50"/>
  <c r="L20" i="50" s="1"/>
  <c r="R18" i="50"/>
  <c r="T18" i="50"/>
  <c r="Z18" i="50"/>
  <c r="Y18" i="50"/>
  <c r="X18" i="50"/>
  <c r="W18" i="50"/>
  <c r="V18" i="50"/>
  <c r="U18" i="50"/>
  <c r="S18" i="50"/>
  <c r="AA18" i="50"/>
  <c r="AC18" i="50" s="1"/>
  <c r="M19" i="48"/>
  <c r="P19" i="48" s="1"/>
  <c r="Q19" i="48" s="1"/>
  <c r="AB17" i="48"/>
  <c r="C21" i="48"/>
  <c r="E20" i="48"/>
  <c r="H20" i="48" s="1"/>
  <c r="K20" i="48" s="1"/>
  <c r="D20" i="48"/>
  <c r="G20" i="48" s="1"/>
  <c r="J20" i="48" s="1"/>
  <c r="F20" i="48"/>
  <c r="I20" i="48" s="1"/>
  <c r="L20" i="48" s="1"/>
  <c r="O18" i="48"/>
  <c r="M20" i="47"/>
  <c r="O20" i="47" s="1"/>
  <c r="C22" i="47"/>
  <c r="E21" i="47"/>
  <c r="H21" i="47" s="1"/>
  <c r="K21" i="47" s="1"/>
  <c r="F21" i="47"/>
  <c r="I21" i="47" s="1"/>
  <c r="L21" i="47" s="1"/>
  <c r="D21" i="47"/>
  <c r="G21" i="47" s="1"/>
  <c r="J21" i="47" s="1"/>
  <c r="AB18" i="47"/>
  <c r="X18" i="45"/>
  <c r="AJ18" i="45" s="1"/>
  <c r="M20" i="45"/>
  <c r="P20" i="45" s="1"/>
  <c r="Q20" i="45" s="1"/>
  <c r="Z18" i="45"/>
  <c r="AL18" i="45" s="1"/>
  <c r="W18" i="45"/>
  <c r="AI18" i="45" s="1"/>
  <c r="Y18" i="45"/>
  <c r="AK18" i="45" s="1"/>
  <c r="P19" i="45"/>
  <c r="Q19" i="45" s="1"/>
  <c r="U19" i="45" s="1"/>
  <c r="AG19" i="45" s="1"/>
  <c r="S18" i="45"/>
  <c r="AE18" i="45" s="1"/>
  <c r="T18" i="45"/>
  <c r="AF18" i="45" s="1"/>
  <c r="C22" i="45"/>
  <c r="D21" i="45"/>
  <c r="G21" i="45" s="1"/>
  <c r="J21" i="45" s="1"/>
  <c r="I21" i="45"/>
  <c r="L21" i="45" s="1"/>
  <c r="H21" i="45"/>
  <c r="K21" i="45" s="1"/>
  <c r="AJ16" i="44"/>
  <c r="AD16" i="44"/>
  <c r="AK16" i="44"/>
  <c r="AL16" i="44"/>
  <c r="C20" i="44"/>
  <c r="E19" i="44"/>
  <c r="H19" i="44" s="1"/>
  <c r="K19" i="44" s="1"/>
  <c r="F19" i="44"/>
  <c r="I19" i="44" s="1"/>
  <c r="L19" i="44" s="1"/>
  <c r="D19" i="44"/>
  <c r="G19" i="44" s="1"/>
  <c r="J19" i="44" s="1"/>
  <c r="AB16" i="44"/>
  <c r="T17" i="44"/>
  <c r="S17" i="44"/>
  <c r="R17" i="44"/>
  <c r="Y17" i="44"/>
  <c r="V17" i="44"/>
  <c r="U17" i="44"/>
  <c r="Z17" i="44"/>
  <c r="X17" i="44"/>
  <c r="W17" i="44"/>
  <c r="AE16" i="44"/>
  <c r="AA17" i="44"/>
  <c r="AA10" i="36"/>
  <c r="AC10" i="36" s="1"/>
  <c r="F12" i="23"/>
  <c r="I12" i="23" s="1"/>
  <c r="L12" i="23" s="1"/>
  <c r="E12" i="23"/>
  <c r="H12" i="23" s="1"/>
  <c r="K12" i="23" s="1"/>
  <c r="D12" i="23"/>
  <c r="G12" i="23" s="1"/>
  <c r="J12" i="23" s="1"/>
  <c r="C13" i="23"/>
  <c r="M11" i="23"/>
  <c r="I13" i="19"/>
  <c r="L13" i="19" s="1"/>
  <c r="BE5" i="1"/>
  <c r="G13" i="19"/>
  <c r="J13" i="19" s="1"/>
  <c r="H13" i="19"/>
  <c r="K13" i="19" s="1"/>
  <c r="BC5" i="1"/>
  <c r="H11" i="20"/>
  <c r="K11" i="20" s="1"/>
  <c r="M11" i="20" s="1"/>
  <c r="P11" i="20" s="1"/>
  <c r="BD5" i="1"/>
  <c r="AE10" i="27"/>
  <c r="AK10" i="27"/>
  <c r="AL10" i="27"/>
  <c r="AH10" i="27"/>
  <c r="AJ10" i="27"/>
  <c r="AF10" i="27"/>
  <c r="AI10" i="27"/>
  <c r="AD10" i="27"/>
  <c r="AH9" i="36"/>
  <c r="AB10" i="27"/>
  <c r="S10" i="38"/>
  <c r="AE10" i="38" s="1"/>
  <c r="AE9" i="36"/>
  <c r="AJ9" i="36"/>
  <c r="AB9" i="36"/>
  <c r="AK9" i="36"/>
  <c r="AD9" i="36"/>
  <c r="V10" i="38"/>
  <c r="AH10" i="38" s="1"/>
  <c r="W10" i="38"/>
  <c r="AI10" i="38" s="1"/>
  <c r="U10" i="38"/>
  <c r="AG10" i="38" s="1"/>
  <c r="X10" i="38"/>
  <c r="AJ10" i="38" s="1"/>
  <c r="AO2" i="1"/>
  <c r="N10" i="29"/>
  <c r="O10" i="29" s="1"/>
  <c r="AE10" i="29" s="1"/>
  <c r="O10" i="36"/>
  <c r="AI9" i="21"/>
  <c r="AB9" i="37"/>
  <c r="AC9" i="29"/>
  <c r="AL9" i="36"/>
  <c r="Z10" i="38"/>
  <c r="AL10" i="38" s="1"/>
  <c r="R10" i="38"/>
  <c r="AD10" i="38" s="1"/>
  <c r="T8" i="37"/>
  <c r="AF8" i="37" s="1"/>
  <c r="Q9" i="29"/>
  <c r="X9" i="29" s="1"/>
  <c r="AJ9" i="29" s="1"/>
  <c r="AA10" i="29"/>
  <c r="AJ9" i="21"/>
  <c r="AI9" i="36"/>
  <c r="AF9" i="36"/>
  <c r="P11" i="38"/>
  <c r="Q11" i="38" s="1"/>
  <c r="R11" i="38" s="1"/>
  <c r="AD11" i="38" s="1"/>
  <c r="AA10" i="38"/>
  <c r="AC10" i="38" s="1"/>
  <c r="AE9" i="21"/>
  <c r="AD9" i="21"/>
  <c r="P11" i="21"/>
  <c r="AA11" i="21" s="1"/>
  <c r="AC11" i="21" s="1"/>
  <c r="AF9" i="21"/>
  <c r="AH9" i="21"/>
  <c r="AB9" i="21"/>
  <c r="AK9" i="21"/>
  <c r="AL9" i="21"/>
  <c r="AG9" i="21"/>
  <c r="S8" i="37"/>
  <c r="AE8" i="37" s="1"/>
  <c r="AO3" i="1"/>
  <c r="AA9" i="28"/>
  <c r="Q9" i="28"/>
  <c r="W8" i="37"/>
  <c r="AI8" i="37" s="1"/>
  <c r="R8" i="37"/>
  <c r="AD8" i="37" s="1"/>
  <c r="Y8" i="37"/>
  <c r="AK8" i="37" s="1"/>
  <c r="Z8" i="37"/>
  <c r="AL8" i="37" s="1"/>
  <c r="AZ2" i="1"/>
  <c r="AJ2" i="1"/>
  <c r="BA2" i="1"/>
  <c r="AS3" i="1"/>
  <c r="BB2" i="1"/>
  <c r="AS2" i="1"/>
  <c r="AP2" i="1"/>
  <c r="BB3" i="1"/>
  <c r="AI2" i="1"/>
  <c r="BB4" i="1"/>
  <c r="AW2" i="1"/>
  <c r="AK3" i="1"/>
  <c r="AX2" i="1"/>
  <c r="AT2" i="1"/>
  <c r="AL2" i="1"/>
  <c r="AZ3" i="1"/>
  <c r="AU2" i="1"/>
  <c r="AQ2" i="1"/>
  <c r="AO5" i="1"/>
  <c r="AH2" i="1"/>
  <c r="AF4" i="1"/>
  <c r="AR2" i="1"/>
  <c r="AK2" i="1"/>
  <c r="AM2" i="1"/>
  <c r="AV2" i="1"/>
  <c r="X8" i="37"/>
  <c r="AJ8" i="37" s="1"/>
  <c r="V8" i="37"/>
  <c r="AH8" i="37" s="1"/>
  <c r="AC8" i="39"/>
  <c r="AB8" i="39"/>
  <c r="AB8" i="33"/>
  <c r="AC8" i="33"/>
  <c r="U10" i="29"/>
  <c r="AC10" i="34"/>
  <c r="S9" i="8"/>
  <c r="AE9" i="8" s="1"/>
  <c r="AK10" i="28"/>
  <c r="AB9" i="34"/>
  <c r="P10" i="22"/>
  <c r="AA10" i="22" s="1"/>
  <c r="AC10" i="22" s="1"/>
  <c r="X10" i="29"/>
  <c r="P10" i="30"/>
  <c r="Q10" i="30" s="1"/>
  <c r="Y9" i="8"/>
  <c r="AK9" i="8" s="1"/>
  <c r="T9" i="34"/>
  <c r="AF9" i="34" s="1"/>
  <c r="AI9" i="34"/>
  <c r="Y11" i="19"/>
  <c r="AK11" i="19" s="1"/>
  <c r="O10" i="32"/>
  <c r="AE10" i="32" s="1"/>
  <c r="W9" i="20"/>
  <c r="AI9" i="20" s="1"/>
  <c r="Y10" i="29"/>
  <c r="T11" i="19"/>
  <c r="AF11" i="19" s="1"/>
  <c r="R11" i="19"/>
  <c r="AD11" i="19" s="1"/>
  <c r="R9" i="34"/>
  <c r="AD9" i="34" s="1"/>
  <c r="X9" i="34"/>
  <c r="AJ9" i="34" s="1"/>
  <c r="Y9" i="34"/>
  <c r="AK9" i="34" s="1"/>
  <c r="AA10" i="31"/>
  <c r="Z9" i="34"/>
  <c r="AL9" i="34" s="1"/>
  <c r="Z9" i="8"/>
  <c r="AL9" i="8" s="1"/>
  <c r="U9" i="34"/>
  <c r="AG9" i="34" s="1"/>
  <c r="AC9" i="34"/>
  <c r="V9" i="19"/>
  <c r="AH9" i="19" s="1"/>
  <c r="Y9" i="19"/>
  <c r="AK9" i="19" s="1"/>
  <c r="V9" i="8"/>
  <c r="AH9" i="8" s="1"/>
  <c r="T10" i="29"/>
  <c r="R8" i="19"/>
  <c r="AD8" i="19" s="1"/>
  <c r="W11" i="19"/>
  <c r="AI11" i="19" s="1"/>
  <c r="AA10" i="28"/>
  <c r="AC10" i="28" s="1"/>
  <c r="X9" i="8"/>
  <c r="AJ9" i="8" s="1"/>
  <c r="Z11" i="19"/>
  <c r="AL11" i="19" s="1"/>
  <c r="Z9" i="20"/>
  <c r="AL9" i="20" s="1"/>
  <c r="P11" i="28"/>
  <c r="AA11" i="28" s="1"/>
  <c r="AC11" i="28" s="1"/>
  <c r="AB8" i="26"/>
  <c r="AC8" i="26"/>
  <c r="T8" i="26"/>
  <c r="AF8" i="26" s="1"/>
  <c r="U8" i="26"/>
  <c r="AG8" i="26" s="1"/>
  <c r="S8" i="26"/>
  <c r="AE8" i="26" s="1"/>
  <c r="V8" i="26"/>
  <c r="AH8" i="26" s="1"/>
  <c r="Y8" i="26"/>
  <c r="AK8" i="26" s="1"/>
  <c r="W8" i="26"/>
  <c r="AI8" i="26" s="1"/>
  <c r="R8" i="26"/>
  <c r="AD8" i="26" s="1"/>
  <c r="X8" i="26"/>
  <c r="AJ8" i="26" s="1"/>
  <c r="Z8" i="26"/>
  <c r="AL8" i="26" s="1"/>
  <c r="P10" i="39"/>
  <c r="Q10" i="39" s="1"/>
  <c r="W10" i="39" s="1"/>
  <c r="AI10" i="39" s="1"/>
  <c r="W10" i="36"/>
  <c r="M11" i="30"/>
  <c r="N11" i="30" s="1"/>
  <c r="O11" i="30" s="1"/>
  <c r="U10" i="36"/>
  <c r="AA9" i="33"/>
  <c r="W9" i="8"/>
  <c r="AI9" i="8" s="1"/>
  <c r="W10" i="29"/>
  <c r="M11" i="25"/>
  <c r="P11" i="25" s="1"/>
  <c r="AA11" i="25" s="1"/>
  <c r="AC11" i="25" s="1"/>
  <c r="P10" i="25"/>
  <c r="AA10" i="25" s="1"/>
  <c r="AB10" i="25" s="1"/>
  <c r="AB9" i="35"/>
  <c r="Z10" i="31"/>
  <c r="AL10" i="31" s="1"/>
  <c r="W10" i="31"/>
  <c r="AI10" i="31" s="1"/>
  <c r="U10" i="31"/>
  <c r="AG10" i="31" s="1"/>
  <c r="T10" i="31"/>
  <c r="AF10" i="31" s="1"/>
  <c r="X10" i="31"/>
  <c r="AJ10" i="31" s="1"/>
  <c r="S10" i="31"/>
  <c r="AE10" i="31" s="1"/>
  <c r="V10" i="31"/>
  <c r="AH10" i="31" s="1"/>
  <c r="R10" i="31"/>
  <c r="AD10" i="31" s="1"/>
  <c r="Y10" i="31"/>
  <c r="AK10" i="31" s="1"/>
  <c r="Q9" i="35"/>
  <c r="V11" i="19"/>
  <c r="AH11" i="19" s="1"/>
  <c r="Y9" i="20"/>
  <c r="AK9" i="20" s="1"/>
  <c r="O11" i="28"/>
  <c r="M11" i="22"/>
  <c r="S9" i="34"/>
  <c r="AE9" i="34" s="1"/>
  <c r="V9" i="34"/>
  <c r="AH9" i="34" s="1"/>
  <c r="AA10" i="37"/>
  <c r="AC10" i="37" s="1"/>
  <c r="W9" i="19"/>
  <c r="AI9" i="19" s="1"/>
  <c r="R10" i="32"/>
  <c r="X10" i="32"/>
  <c r="Z10" i="32"/>
  <c r="T9" i="8"/>
  <c r="AF9" i="8" s="1"/>
  <c r="R10" i="29"/>
  <c r="N10" i="35"/>
  <c r="O10" i="35" s="1"/>
  <c r="Z10" i="29"/>
  <c r="Z9" i="19"/>
  <c r="AL9" i="19" s="1"/>
  <c r="Z12" i="27"/>
  <c r="AL12" i="27" s="1"/>
  <c r="O12" i="38"/>
  <c r="Q9" i="30"/>
  <c r="T9" i="19"/>
  <c r="AF9" i="19" s="1"/>
  <c r="R12" i="27"/>
  <c r="AD12" i="27" s="1"/>
  <c r="E13" i="31"/>
  <c r="H13" i="31" s="1"/>
  <c r="K13" i="31" s="1"/>
  <c r="I13" i="31"/>
  <c r="L13" i="31" s="1"/>
  <c r="C14" i="31"/>
  <c r="D13" i="31"/>
  <c r="G13" i="31" s="1"/>
  <c r="J13" i="31" s="1"/>
  <c r="U9" i="19"/>
  <c r="AG9" i="19" s="1"/>
  <c r="S12" i="27"/>
  <c r="AE12" i="27" s="1"/>
  <c r="M11" i="39"/>
  <c r="P10" i="24"/>
  <c r="AA10" i="24" s="1"/>
  <c r="M12" i="31"/>
  <c r="X9" i="19"/>
  <c r="AJ9" i="19" s="1"/>
  <c r="V10" i="29"/>
  <c r="Q9" i="32"/>
  <c r="AA9" i="32"/>
  <c r="P10" i="21"/>
  <c r="AA10" i="21" s="1"/>
  <c r="AC10" i="21" s="1"/>
  <c r="O10" i="21"/>
  <c r="M11" i="24"/>
  <c r="N11" i="24" s="1"/>
  <c r="N11" i="31"/>
  <c r="O11" i="31" s="1"/>
  <c r="P11" i="31"/>
  <c r="AA11" i="31" s="1"/>
  <c r="AA9" i="30"/>
  <c r="AC9" i="30" s="1"/>
  <c r="W12" i="27"/>
  <c r="AI12" i="27" s="1"/>
  <c r="F12" i="32"/>
  <c r="I12" i="32" s="1"/>
  <c r="L12" i="32" s="1"/>
  <c r="D12" i="32"/>
  <c r="G12" i="32" s="1"/>
  <c r="J12" i="32" s="1"/>
  <c r="E12" i="32"/>
  <c r="H12" i="32" s="1"/>
  <c r="K12" i="32" s="1"/>
  <c r="C13" i="32"/>
  <c r="W10" i="32"/>
  <c r="Y10" i="32"/>
  <c r="U10" i="32"/>
  <c r="T10" i="32"/>
  <c r="V10" i="32"/>
  <c r="AA9" i="26"/>
  <c r="AC9" i="26" s="1"/>
  <c r="Q9" i="26"/>
  <c r="AB9" i="25"/>
  <c r="L3" i="1" s="1"/>
  <c r="N10" i="33"/>
  <c r="O10" i="33" s="1"/>
  <c r="P10" i="33"/>
  <c r="Q9" i="25"/>
  <c r="C13" i="25"/>
  <c r="D12" i="25"/>
  <c r="G12" i="25" s="1"/>
  <c r="J12" i="25" s="1"/>
  <c r="I12" i="25"/>
  <c r="L12" i="25" s="1"/>
  <c r="H12" i="25"/>
  <c r="K12" i="25" s="1"/>
  <c r="Q9" i="39"/>
  <c r="AA9" i="39"/>
  <c r="AC9" i="39" s="1"/>
  <c r="I12" i="30"/>
  <c r="L12" i="30" s="1"/>
  <c r="C13" i="30"/>
  <c r="D12" i="30"/>
  <c r="G12" i="30" s="1"/>
  <c r="J12" i="30" s="1"/>
  <c r="E12" i="30"/>
  <c r="H12" i="30" s="1"/>
  <c r="K12" i="30" s="1"/>
  <c r="F12" i="26"/>
  <c r="I12" i="26" s="1"/>
  <c r="L12" i="26" s="1"/>
  <c r="E12" i="26"/>
  <c r="H12" i="26" s="1"/>
  <c r="K12" i="26" s="1"/>
  <c r="C13" i="26"/>
  <c r="D12" i="26"/>
  <c r="G12" i="26" s="1"/>
  <c r="J12" i="26" s="1"/>
  <c r="U8" i="8"/>
  <c r="AG8" i="8" s="1"/>
  <c r="Z8" i="8"/>
  <c r="AL8" i="8" s="1"/>
  <c r="W8" i="8"/>
  <c r="AI8" i="8" s="1"/>
  <c r="U12" i="27"/>
  <c r="AG12" i="27" s="1"/>
  <c r="M11" i="35"/>
  <c r="R8" i="8"/>
  <c r="AD8" i="8" s="1"/>
  <c r="S8" i="8"/>
  <c r="AE8" i="8" s="1"/>
  <c r="V12" i="27"/>
  <c r="AH12" i="27" s="1"/>
  <c r="D12" i="35"/>
  <c r="G12" i="35" s="1"/>
  <c r="J12" i="35" s="1"/>
  <c r="E12" i="35"/>
  <c r="H12" i="35" s="1"/>
  <c r="K12" i="35" s="1"/>
  <c r="I12" i="35"/>
  <c r="L12" i="35" s="1"/>
  <c r="C13" i="35"/>
  <c r="M11" i="26"/>
  <c r="N10" i="26"/>
  <c r="O10" i="26" s="1"/>
  <c r="P10" i="26"/>
  <c r="AA9" i="22"/>
  <c r="O9" i="33"/>
  <c r="AA10" i="35"/>
  <c r="Q10" i="35"/>
  <c r="U9" i="22"/>
  <c r="AG9" i="22" s="1"/>
  <c r="W9" i="22"/>
  <c r="AI9" i="22" s="1"/>
  <c r="S9" i="22"/>
  <c r="AE9" i="22" s="1"/>
  <c r="T9" i="22"/>
  <c r="AF9" i="22" s="1"/>
  <c r="R9" i="22"/>
  <c r="AD9" i="22" s="1"/>
  <c r="Z9" i="22"/>
  <c r="AL9" i="22" s="1"/>
  <c r="Y9" i="22"/>
  <c r="AK9" i="22" s="1"/>
  <c r="X9" i="22"/>
  <c r="AJ9" i="22" s="1"/>
  <c r="V9" i="22"/>
  <c r="AH9" i="22" s="1"/>
  <c r="M11" i="33"/>
  <c r="T8" i="8"/>
  <c r="AF8" i="8" s="1"/>
  <c r="X8" i="8"/>
  <c r="AJ8" i="8" s="1"/>
  <c r="Q9" i="24"/>
  <c r="E12" i="24"/>
  <c r="H12" i="24" s="1"/>
  <c r="K12" i="24" s="1"/>
  <c r="D12" i="24"/>
  <c r="G12" i="24" s="1"/>
  <c r="J12" i="24" s="1"/>
  <c r="C13" i="24"/>
  <c r="F12" i="24"/>
  <c r="I12" i="24" s="1"/>
  <c r="L12" i="24" s="1"/>
  <c r="E12" i="39"/>
  <c r="H12" i="39" s="1"/>
  <c r="K12" i="39" s="1"/>
  <c r="C13" i="39"/>
  <c r="F12" i="39"/>
  <c r="I12" i="39" s="1"/>
  <c r="L12" i="39" s="1"/>
  <c r="D12" i="39"/>
  <c r="G12" i="39" s="1"/>
  <c r="J12" i="39" s="1"/>
  <c r="C13" i="22"/>
  <c r="F12" i="22"/>
  <c r="I12" i="22" s="1"/>
  <c r="L12" i="22" s="1"/>
  <c r="E12" i="22"/>
  <c r="H12" i="22" s="1"/>
  <c r="K12" i="22" s="1"/>
  <c r="D12" i="22"/>
  <c r="G12" i="22" s="1"/>
  <c r="J12" i="22" s="1"/>
  <c r="AA9" i="24"/>
  <c r="AC9" i="24" s="1"/>
  <c r="S9" i="33"/>
  <c r="T9" i="33"/>
  <c r="U9" i="33"/>
  <c r="Z9" i="33"/>
  <c r="X9" i="33"/>
  <c r="Y9" i="33"/>
  <c r="V9" i="33"/>
  <c r="R9" i="33"/>
  <c r="W9" i="33"/>
  <c r="M11" i="32"/>
  <c r="C13" i="33"/>
  <c r="E12" i="33"/>
  <c r="H12" i="33" s="1"/>
  <c r="K12" i="33" s="1"/>
  <c r="D12" i="33"/>
  <c r="G12" i="33" s="1"/>
  <c r="J12" i="33" s="1"/>
  <c r="AA10" i="32"/>
  <c r="Z8" i="19"/>
  <c r="AL8" i="19" s="1"/>
  <c r="U9" i="8"/>
  <c r="AG9" i="8" s="1"/>
  <c r="W8" i="19"/>
  <c r="AI8" i="19" s="1"/>
  <c r="U11" i="19"/>
  <c r="AG11" i="19" s="1"/>
  <c r="Y12" i="27"/>
  <c r="AK12" i="27" s="1"/>
  <c r="Y10" i="36"/>
  <c r="R10" i="36"/>
  <c r="S9" i="19"/>
  <c r="AE9" i="19" s="1"/>
  <c r="S11" i="19"/>
  <c r="AE11" i="19" s="1"/>
  <c r="R9" i="37"/>
  <c r="AD9" i="37" s="1"/>
  <c r="V8" i="8"/>
  <c r="AH8" i="8" s="1"/>
  <c r="Z10" i="36"/>
  <c r="S10" i="36"/>
  <c r="W9" i="37"/>
  <c r="AI9" i="37" s="1"/>
  <c r="Y9" i="37"/>
  <c r="AK9" i="37" s="1"/>
  <c r="U8" i="19"/>
  <c r="AG8" i="19" s="1"/>
  <c r="S9" i="20"/>
  <c r="AE9" i="20" s="1"/>
  <c r="T12" i="27"/>
  <c r="AF12" i="27" s="1"/>
  <c r="S10" i="28"/>
  <c r="AE10" i="28" s="1"/>
  <c r="P11" i="37"/>
  <c r="Q11" i="37" s="1"/>
  <c r="W10" i="37"/>
  <c r="AI10" i="37" s="1"/>
  <c r="U10" i="37"/>
  <c r="AG10" i="37" s="1"/>
  <c r="S10" i="37"/>
  <c r="AE10" i="37" s="1"/>
  <c r="V10" i="28"/>
  <c r="AH10" i="28" s="1"/>
  <c r="X8" i="19"/>
  <c r="AJ8" i="19" s="1"/>
  <c r="Z10" i="28"/>
  <c r="AL10" i="28" s="1"/>
  <c r="T10" i="36"/>
  <c r="X10" i="28"/>
  <c r="AJ10" i="28" s="1"/>
  <c r="S8" i="19"/>
  <c r="AE8" i="19" s="1"/>
  <c r="R9" i="20"/>
  <c r="AD9" i="20" s="1"/>
  <c r="R10" i="28"/>
  <c r="AD10" i="28" s="1"/>
  <c r="V8" i="19"/>
  <c r="AH8" i="19" s="1"/>
  <c r="T9" i="20"/>
  <c r="AF9" i="20" s="1"/>
  <c r="V10" i="36"/>
  <c r="U9" i="20"/>
  <c r="AG9" i="20" s="1"/>
  <c r="R10" i="34"/>
  <c r="AD10" i="34" s="1"/>
  <c r="T10" i="37"/>
  <c r="AF10" i="37" s="1"/>
  <c r="R10" i="37"/>
  <c r="AD10" i="37" s="1"/>
  <c r="Y8" i="19"/>
  <c r="AK8" i="19" s="1"/>
  <c r="X9" i="20"/>
  <c r="AJ9" i="20" s="1"/>
  <c r="X10" i="37"/>
  <c r="AJ10" i="37" s="1"/>
  <c r="Y10" i="37"/>
  <c r="AK10" i="37" s="1"/>
  <c r="U10" i="34"/>
  <c r="AG10" i="34" s="1"/>
  <c r="X11" i="40"/>
  <c r="AJ11" i="40" s="1"/>
  <c r="N11" i="29"/>
  <c r="O11" i="29" s="1"/>
  <c r="V10" i="34"/>
  <c r="AH10" i="34" s="1"/>
  <c r="Z10" i="34"/>
  <c r="AL10" i="34" s="1"/>
  <c r="X10" i="34"/>
  <c r="AJ10" i="34" s="1"/>
  <c r="Y10" i="34"/>
  <c r="AK10" i="34" s="1"/>
  <c r="AB10" i="23"/>
  <c r="O13" i="27"/>
  <c r="W10" i="28"/>
  <c r="AI10" i="28" s="1"/>
  <c r="T10" i="34"/>
  <c r="AF10" i="34" s="1"/>
  <c r="V11" i="40"/>
  <c r="AH11" i="40" s="1"/>
  <c r="Z11" i="40"/>
  <c r="AL11" i="40" s="1"/>
  <c r="T11" i="40"/>
  <c r="AF11" i="40" s="1"/>
  <c r="U11" i="40"/>
  <c r="AG11" i="40" s="1"/>
  <c r="T10" i="28"/>
  <c r="AF10" i="28" s="1"/>
  <c r="W11" i="40"/>
  <c r="AI11" i="40" s="1"/>
  <c r="U10" i="28"/>
  <c r="AG10" i="28" s="1"/>
  <c r="R11" i="40"/>
  <c r="AD11" i="40" s="1"/>
  <c r="S11" i="40"/>
  <c r="AE11" i="40" s="1"/>
  <c r="Q11" i="34"/>
  <c r="X11" i="34" s="1"/>
  <c r="Q13" i="27"/>
  <c r="W13" i="27" s="1"/>
  <c r="Q12" i="21"/>
  <c r="S12" i="21" s="1"/>
  <c r="S10" i="34"/>
  <c r="AE10" i="34" s="1"/>
  <c r="N11" i="34"/>
  <c r="O11" i="34" s="1"/>
  <c r="Z10" i="37"/>
  <c r="AL10" i="37" s="1"/>
  <c r="Q10" i="20"/>
  <c r="X10" i="20" s="1"/>
  <c r="M12" i="29"/>
  <c r="N12" i="29" s="1"/>
  <c r="Q11" i="36"/>
  <c r="T11" i="36" s="1"/>
  <c r="Q12" i="38"/>
  <c r="V12" i="38" s="1"/>
  <c r="Q12" i="19"/>
  <c r="T12" i="19" s="1"/>
  <c r="M14" i="27"/>
  <c r="P14" i="27" s="1"/>
  <c r="Q12" i="40"/>
  <c r="R12" i="40" s="1"/>
  <c r="Q10" i="8"/>
  <c r="S10" i="8" s="1"/>
  <c r="Q11" i="29"/>
  <c r="U11" i="29" s="1"/>
  <c r="M12" i="34"/>
  <c r="P12" i="34" s="1"/>
  <c r="V10" i="37"/>
  <c r="AH10" i="37" s="1"/>
  <c r="Y10" i="23"/>
  <c r="AK10" i="23" s="1"/>
  <c r="Z10" i="23"/>
  <c r="AL10" i="23" s="1"/>
  <c r="X10" i="23"/>
  <c r="AJ10" i="23" s="1"/>
  <c r="W10" i="23"/>
  <c r="AI10" i="23" s="1"/>
  <c r="V10" i="23"/>
  <c r="AH10" i="23" s="1"/>
  <c r="U10" i="23"/>
  <c r="AG10" i="23" s="1"/>
  <c r="T10" i="23"/>
  <c r="AF10" i="23" s="1"/>
  <c r="R10" i="23"/>
  <c r="AD10" i="23" s="1"/>
  <c r="S10" i="23"/>
  <c r="AE10" i="23" s="1"/>
  <c r="M13" i="40"/>
  <c r="P13" i="40" s="1"/>
  <c r="AB11" i="40"/>
  <c r="AK11" i="40"/>
  <c r="N13" i="40"/>
  <c r="C15" i="40"/>
  <c r="D14" i="40"/>
  <c r="G14" i="40" s="1"/>
  <c r="J14" i="40" s="1"/>
  <c r="E14" i="40"/>
  <c r="H14" i="40" s="1"/>
  <c r="K14" i="40" s="1"/>
  <c r="F14" i="40"/>
  <c r="I14" i="40" s="1"/>
  <c r="L14" i="40" s="1"/>
  <c r="AA12" i="40"/>
  <c r="AC12" i="40" s="1"/>
  <c r="O12" i="40"/>
  <c r="M13" i="38"/>
  <c r="O13" i="38" s="1"/>
  <c r="C15" i="38"/>
  <c r="F15" i="38" s="1"/>
  <c r="D14" i="38"/>
  <c r="G14" i="38" s="1"/>
  <c r="J14" i="38" s="1"/>
  <c r="H14" i="38"/>
  <c r="K14" i="38" s="1"/>
  <c r="I14" i="38"/>
  <c r="L14" i="38" s="1"/>
  <c r="AA12" i="38"/>
  <c r="AC12" i="38" s="1"/>
  <c r="M12" i="37"/>
  <c r="O12" i="37" s="1"/>
  <c r="C14" i="37"/>
  <c r="D13" i="37"/>
  <c r="G13" i="37" s="1"/>
  <c r="J13" i="37" s="1"/>
  <c r="E13" i="37"/>
  <c r="H13" i="37" s="1"/>
  <c r="K13" i="37" s="1"/>
  <c r="F13" i="37"/>
  <c r="I13" i="37" s="1"/>
  <c r="L13" i="37" s="1"/>
  <c r="AB10" i="34"/>
  <c r="M12" i="36"/>
  <c r="P12" i="36" s="1"/>
  <c r="N12" i="36"/>
  <c r="AA11" i="36"/>
  <c r="AC11" i="36" s="1"/>
  <c r="O11" i="36"/>
  <c r="C14" i="36"/>
  <c r="F14" i="36" s="1"/>
  <c r="D13" i="36"/>
  <c r="G13" i="36" s="1"/>
  <c r="J13" i="36" s="1"/>
  <c r="I13" i="36"/>
  <c r="L13" i="36" s="1"/>
  <c r="E13" i="36"/>
  <c r="H13" i="36" s="1"/>
  <c r="K13" i="36" s="1"/>
  <c r="AI10" i="34"/>
  <c r="C14" i="34"/>
  <c r="D13" i="34"/>
  <c r="G13" i="34" s="1"/>
  <c r="J13" i="34" s="1"/>
  <c r="E13" i="34"/>
  <c r="H13" i="34" s="1"/>
  <c r="K13" i="34" s="1"/>
  <c r="I13" i="34"/>
  <c r="L13" i="34" s="1"/>
  <c r="AA11" i="34"/>
  <c r="F14" i="33"/>
  <c r="N14" i="31"/>
  <c r="C14" i="29"/>
  <c r="E13" i="29"/>
  <c r="H13" i="29" s="1"/>
  <c r="K13" i="29" s="1"/>
  <c r="D13" i="29"/>
  <c r="G13" i="29" s="1"/>
  <c r="J13" i="29" s="1"/>
  <c r="I13" i="29"/>
  <c r="L13" i="29" s="1"/>
  <c r="AA11" i="29"/>
  <c r="M12" i="28"/>
  <c r="N12" i="28" s="1"/>
  <c r="C14" i="28"/>
  <c r="E14" i="28" s="1"/>
  <c r="D13" i="28"/>
  <c r="G13" i="28" s="1"/>
  <c r="J13" i="28" s="1"/>
  <c r="H13" i="28"/>
  <c r="K13" i="28" s="1"/>
  <c r="I13" i="28"/>
  <c r="L13" i="28" s="1"/>
  <c r="N14" i="27"/>
  <c r="AB12" i="27"/>
  <c r="AJ12" i="27"/>
  <c r="C16" i="27"/>
  <c r="E15" i="27"/>
  <c r="H15" i="27" s="1"/>
  <c r="K15" i="27" s="1"/>
  <c r="F15" i="27"/>
  <c r="I15" i="27" s="1"/>
  <c r="L15" i="27" s="1"/>
  <c r="D15" i="27"/>
  <c r="G15" i="27" s="1"/>
  <c r="J15" i="27" s="1"/>
  <c r="AA13" i="27"/>
  <c r="AC13" i="27" s="1"/>
  <c r="N14" i="25"/>
  <c r="F15" i="25"/>
  <c r="E15" i="25"/>
  <c r="O12" i="21"/>
  <c r="AB8" i="8"/>
  <c r="AB9" i="8"/>
  <c r="AC8" i="19"/>
  <c r="AA10" i="8"/>
  <c r="AC10" i="8" s="1"/>
  <c r="AJ11" i="19"/>
  <c r="AH9" i="20"/>
  <c r="O10" i="8"/>
  <c r="AD9" i="8"/>
  <c r="M13" i="21"/>
  <c r="P13" i="21" s="1"/>
  <c r="C15" i="21"/>
  <c r="D14" i="21"/>
  <c r="G14" i="21" s="1"/>
  <c r="J14" i="21" s="1"/>
  <c r="H14" i="21"/>
  <c r="K14" i="21" s="1"/>
  <c r="I14" i="21"/>
  <c r="L14" i="21" s="1"/>
  <c r="AA12" i="21"/>
  <c r="AC12" i="21" s="1"/>
  <c r="N11" i="20"/>
  <c r="AB9" i="20"/>
  <c r="O10" i="20"/>
  <c r="C13" i="20"/>
  <c r="D12" i="20"/>
  <c r="G12" i="20" s="1"/>
  <c r="J12" i="20" s="1"/>
  <c r="E12" i="20"/>
  <c r="F12" i="20"/>
  <c r="I12" i="20" s="1"/>
  <c r="L12" i="20" s="1"/>
  <c r="AA10" i="20"/>
  <c r="AC10" i="20" s="1"/>
  <c r="AB9" i="19"/>
  <c r="N13" i="19"/>
  <c r="AB11" i="19"/>
  <c r="AA12" i="19"/>
  <c r="AC12" i="19" s="1"/>
  <c r="C15" i="19"/>
  <c r="D14" i="19"/>
  <c r="E14" i="19"/>
  <c r="F14" i="19"/>
  <c r="O12" i="19"/>
  <c r="P11" i="8"/>
  <c r="N11" i="8"/>
  <c r="M12" i="8"/>
  <c r="C14" i="8"/>
  <c r="E14" i="8" s="1"/>
  <c r="F13" i="8"/>
  <c r="I13" i="8" s="1"/>
  <c r="L13" i="8" s="1"/>
  <c r="D13" i="8"/>
  <c r="G13" i="8" s="1"/>
  <c r="J13" i="8" s="1"/>
  <c r="H13" i="8"/>
  <c r="K13" i="8" s="1"/>
  <c r="T9" i="37" l="1"/>
  <c r="AF9" i="37" s="1"/>
  <c r="AD17" i="59"/>
  <c r="ED7" i="1"/>
  <c r="DO7" i="1" s="1"/>
  <c r="ED6" i="1"/>
  <c r="DO6" i="1" s="1"/>
  <c r="AL17" i="59"/>
  <c r="AJ17" i="59"/>
  <c r="AG17" i="59"/>
  <c r="ED5" i="1"/>
  <c r="DO5" i="1" s="1"/>
  <c r="ED4" i="1"/>
  <c r="AE17" i="59"/>
  <c r="CM9" i="1"/>
  <c r="EO9" i="1"/>
  <c r="CK9" i="1"/>
  <c r="EM9" i="1"/>
  <c r="CO8" i="1"/>
  <c r="EQ8" i="1"/>
  <c r="CN9" i="1"/>
  <c r="EP9" i="1"/>
  <c r="CM8" i="1"/>
  <c r="EO8" i="1"/>
  <c r="CJ3" i="1"/>
  <c r="EL3" i="1"/>
  <c r="CJ9" i="1"/>
  <c r="EL9" i="1"/>
  <c r="CI3" i="1"/>
  <c r="EK3" i="1"/>
  <c r="CD2" i="1"/>
  <c r="CT2" i="1" s="1"/>
  <c r="DC2" i="1" s="1"/>
  <c r="EF2" i="1"/>
  <c r="ED2" i="1" s="1"/>
  <c r="CC3" i="1"/>
  <c r="EE3" i="1"/>
  <c r="CO9" i="1"/>
  <c r="EQ9" i="1"/>
  <c r="CH8" i="1"/>
  <c r="EJ8" i="1"/>
  <c r="CF8" i="1"/>
  <c r="EH8" i="1"/>
  <c r="CK8" i="1"/>
  <c r="EM8" i="1"/>
  <c r="CK3" i="1"/>
  <c r="EM3" i="1"/>
  <c r="CL8" i="1"/>
  <c r="EN8" i="1"/>
  <c r="CI8" i="1"/>
  <c r="EK8" i="1"/>
  <c r="CO3" i="1"/>
  <c r="EQ3" i="1"/>
  <c r="CL9" i="1"/>
  <c r="EN9" i="1"/>
  <c r="CN8" i="1"/>
  <c r="EP8" i="1"/>
  <c r="CN3" i="1"/>
  <c r="EP3" i="1"/>
  <c r="CH9" i="1"/>
  <c r="EJ9" i="1"/>
  <c r="CJ8" i="1"/>
  <c r="EL8" i="1"/>
  <c r="CL3" i="1"/>
  <c r="EN3" i="1"/>
  <c r="CI9" i="1"/>
  <c r="EK9" i="1"/>
  <c r="CM3" i="1"/>
  <c r="EO3" i="1"/>
  <c r="CH3" i="1"/>
  <c r="EJ3" i="1"/>
  <c r="CD9" i="1"/>
  <c r="EF9" i="1"/>
  <c r="X9" i="37"/>
  <c r="AJ9" i="37" s="1"/>
  <c r="AF17" i="59"/>
  <c r="AC17" i="59"/>
  <c r="DH6" i="1"/>
  <c r="DI6" i="1"/>
  <c r="DJ6" i="1" s="1"/>
  <c r="CC7" i="1"/>
  <c r="CT7" i="1" s="1"/>
  <c r="DH7" i="1"/>
  <c r="DI7" i="1"/>
  <c r="DJ7" i="1" s="1"/>
  <c r="V9" i="37"/>
  <c r="AH9" i="37" s="1"/>
  <c r="CC8" i="1"/>
  <c r="DH8" i="1"/>
  <c r="DI8" i="1"/>
  <c r="DJ8" i="1" s="1"/>
  <c r="AB10" i="29"/>
  <c r="DH5" i="1"/>
  <c r="DI5" i="1"/>
  <c r="DJ5" i="1" s="1"/>
  <c r="AC17" i="44"/>
  <c r="CC5" i="1"/>
  <c r="CT5" i="1" s="1"/>
  <c r="AB17" i="52"/>
  <c r="AI17" i="59"/>
  <c r="AB17" i="50"/>
  <c r="BY3" i="1"/>
  <c r="AB17" i="51"/>
  <c r="AC17" i="49"/>
  <c r="AB16" i="58"/>
  <c r="X19" i="47"/>
  <c r="AJ19" i="47" s="1"/>
  <c r="U19" i="47"/>
  <c r="AG19" i="47" s="1"/>
  <c r="Y19" i="47"/>
  <c r="AK19" i="47" s="1"/>
  <c r="Z19" i="47"/>
  <c r="AL19" i="47" s="1"/>
  <c r="T19" i="47"/>
  <c r="AF19" i="47" s="1"/>
  <c r="W19" i="47"/>
  <c r="AI19" i="47" s="1"/>
  <c r="AB17" i="65"/>
  <c r="N19" i="49"/>
  <c r="O19" i="49" s="1"/>
  <c r="P19" i="49"/>
  <c r="Q18" i="49"/>
  <c r="AA18" i="49"/>
  <c r="AC18" i="49" s="1"/>
  <c r="O18" i="49"/>
  <c r="M20" i="49"/>
  <c r="C22" i="49"/>
  <c r="D21" i="49"/>
  <c r="G21" i="49" s="1"/>
  <c r="J21" i="49" s="1"/>
  <c r="F21" i="49"/>
  <c r="I21" i="49" s="1"/>
  <c r="L21" i="49" s="1"/>
  <c r="E21" i="49"/>
  <c r="H21" i="49" s="1"/>
  <c r="K21" i="49" s="1"/>
  <c r="R19" i="47"/>
  <c r="AD19" i="47" s="1"/>
  <c r="AF17" i="57"/>
  <c r="AK18" i="50"/>
  <c r="S19" i="47"/>
  <c r="AE19" i="47" s="1"/>
  <c r="AA19" i="47"/>
  <c r="AC19" i="47" s="1"/>
  <c r="BY2" i="1"/>
  <c r="S9" i="37"/>
  <c r="AE9" i="37" s="1"/>
  <c r="Z9" i="37"/>
  <c r="AL9" i="37" s="1"/>
  <c r="AC18" i="51"/>
  <c r="AG17" i="56"/>
  <c r="AH17" i="56"/>
  <c r="AF17" i="56"/>
  <c r="M13" i="19"/>
  <c r="P13" i="19" s="1"/>
  <c r="AL17" i="56"/>
  <c r="U18" i="48"/>
  <c r="AG18" i="48" s="1"/>
  <c r="Y18" i="48"/>
  <c r="AK18" i="48" s="1"/>
  <c r="AH17" i="59"/>
  <c r="AD17" i="56"/>
  <c r="BO10" i="1"/>
  <c r="CG10" i="1" s="1"/>
  <c r="CV2" i="1"/>
  <c r="BZ3" i="1"/>
  <c r="CC4" i="1"/>
  <c r="BY4" i="1"/>
  <c r="AD18" i="50"/>
  <c r="U18" i="52"/>
  <c r="AG18" i="52" s="1"/>
  <c r="T18" i="52"/>
  <c r="AF18" i="52" s="1"/>
  <c r="AI18" i="50"/>
  <c r="R18" i="52"/>
  <c r="AD18" i="52" s="1"/>
  <c r="AL17" i="58"/>
  <c r="AC17" i="58"/>
  <c r="S18" i="48"/>
  <c r="AE18" i="48" s="1"/>
  <c r="AC17" i="60"/>
  <c r="BK9" i="1"/>
  <c r="EE9" i="1" s="1"/>
  <c r="BY5" i="1"/>
  <c r="P18" i="44"/>
  <c r="Q18" i="44" s="1"/>
  <c r="V18" i="44" s="1"/>
  <c r="AB18" i="45"/>
  <c r="V18" i="48"/>
  <c r="AH18" i="48" s="1"/>
  <c r="S18" i="52"/>
  <c r="AE18" i="52" s="1"/>
  <c r="AK17" i="57"/>
  <c r="BY7" i="1"/>
  <c r="AE17" i="56"/>
  <c r="CC6" i="1"/>
  <c r="CT6" i="1" s="1"/>
  <c r="DA32" i="1" s="1"/>
  <c r="DA33" i="1" s="1"/>
  <c r="BY6" i="1"/>
  <c r="AI17" i="56"/>
  <c r="AH17" i="57"/>
  <c r="Z18" i="48"/>
  <c r="V18" i="52"/>
  <c r="AH18" i="52" s="1"/>
  <c r="AK17" i="56"/>
  <c r="Z18" i="52"/>
  <c r="AL18" i="52" s="1"/>
  <c r="AJ17" i="56"/>
  <c r="BZ8" i="1"/>
  <c r="AL17" i="62"/>
  <c r="AK10" i="36"/>
  <c r="AH17" i="58"/>
  <c r="AB16" i="43"/>
  <c r="BL10" i="1" s="1"/>
  <c r="BY8" i="1"/>
  <c r="AI16" i="55"/>
  <c r="AB16" i="62"/>
  <c r="Y18" i="52"/>
  <c r="AK18" i="52" s="1"/>
  <c r="AE10" i="36"/>
  <c r="AG17" i="62"/>
  <c r="M19" i="56"/>
  <c r="O19" i="56" s="1"/>
  <c r="AL10" i="36"/>
  <c r="X18" i="48"/>
  <c r="AF17" i="58"/>
  <c r="AJ17" i="64"/>
  <c r="AF10" i="36"/>
  <c r="AH17" i="64"/>
  <c r="P18" i="56"/>
  <c r="Q18" i="56" s="1"/>
  <c r="W18" i="56" s="1"/>
  <c r="AI18" i="56" s="1"/>
  <c r="AB15" i="46"/>
  <c r="BN9" i="1" s="1"/>
  <c r="X18" i="52"/>
  <c r="AJ18" i="52" s="1"/>
  <c r="AL16" i="55"/>
  <c r="AB16" i="63"/>
  <c r="P18" i="43"/>
  <c r="Q18" i="43" s="1"/>
  <c r="V18" i="43" s="1"/>
  <c r="AH18" i="43" s="1"/>
  <c r="M19" i="55"/>
  <c r="Q16" i="46"/>
  <c r="AA16" i="46"/>
  <c r="AC16" i="46" s="1"/>
  <c r="AB17" i="56"/>
  <c r="Q17" i="43"/>
  <c r="AA17" i="43"/>
  <c r="AI17" i="58"/>
  <c r="M19" i="43"/>
  <c r="O19" i="43" s="1"/>
  <c r="AJ17" i="58"/>
  <c r="AD16" i="55"/>
  <c r="Z17" i="55"/>
  <c r="T17" i="55"/>
  <c r="R17" i="55"/>
  <c r="X17" i="55"/>
  <c r="Y17" i="55"/>
  <c r="W17" i="55"/>
  <c r="V17" i="55"/>
  <c r="U17" i="55"/>
  <c r="S17" i="55"/>
  <c r="AE16" i="55"/>
  <c r="AA17" i="55"/>
  <c r="AC17" i="55" s="1"/>
  <c r="N18" i="55"/>
  <c r="O18" i="55" s="1"/>
  <c r="P18" i="55"/>
  <c r="O17" i="55"/>
  <c r="BZ9" i="1"/>
  <c r="AB16" i="55"/>
  <c r="F20" i="43"/>
  <c r="I20" i="43" s="1"/>
  <c r="L20" i="43" s="1"/>
  <c r="C21" i="43"/>
  <c r="D20" i="43"/>
  <c r="G20" i="43" s="1"/>
  <c r="J20" i="43" s="1"/>
  <c r="H20" i="43"/>
  <c r="K20" i="43" s="1"/>
  <c r="C20" i="46"/>
  <c r="D19" i="46"/>
  <c r="G19" i="46" s="1"/>
  <c r="J19" i="46" s="1"/>
  <c r="H19" i="46"/>
  <c r="K19" i="46" s="1"/>
  <c r="I19" i="46"/>
  <c r="L19" i="46" s="1"/>
  <c r="M18" i="46"/>
  <c r="AJ18" i="50"/>
  <c r="AL17" i="57"/>
  <c r="AF16" i="55"/>
  <c r="C21" i="56"/>
  <c r="E20" i="56"/>
  <c r="H20" i="56" s="1"/>
  <c r="K20" i="56" s="1"/>
  <c r="D20" i="56"/>
  <c r="G20" i="56" s="1"/>
  <c r="J20" i="56" s="1"/>
  <c r="I20" i="56"/>
  <c r="L20" i="56" s="1"/>
  <c r="P17" i="46"/>
  <c r="Q17" i="46" s="1"/>
  <c r="O17" i="46"/>
  <c r="AG16" i="55"/>
  <c r="AF18" i="50"/>
  <c r="AD17" i="57"/>
  <c r="AJ16" i="55"/>
  <c r="AK16" i="55"/>
  <c r="I20" i="55"/>
  <c r="L20" i="55" s="1"/>
  <c r="C21" i="55"/>
  <c r="E20" i="55"/>
  <c r="H20" i="55" s="1"/>
  <c r="K20" i="55" s="1"/>
  <c r="D20" i="55"/>
  <c r="G20" i="55" s="1"/>
  <c r="J20" i="55" s="1"/>
  <c r="AH16" i="55"/>
  <c r="AH18" i="50"/>
  <c r="AJ18" i="65"/>
  <c r="AL18" i="50"/>
  <c r="AD18" i="65"/>
  <c r="AE17" i="57"/>
  <c r="AG17" i="58"/>
  <c r="P18" i="60"/>
  <c r="Q18" i="60" s="1"/>
  <c r="X18" i="60" s="1"/>
  <c r="AL17" i="64"/>
  <c r="AE18" i="65"/>
  <c r="AE18" i="50"/>
  <c r="AG18" i="50"/>
  <c r="AG17" i="57"/>
  <c r="AK17" i="58"/>
  <c r="AF17" i="64"/>
  <c r="O20" i="45"/>
  <c r="AB16" i="64"/>
  <c r="AD17" i="64"/>
  <c r="P20" i="47"/>
  <c r="Q20" i="47" s="1"/>
  <c r="Z20" i="47" s="1"/>
  <c r="AL20" i="47" s="1"/>
  <c r="AE17" i="64"/>
  <c r="AG17" i="64"/>
  <c r="AC17" i="64"/>
  <c r="W18" i="48"/>
  <c r="AI18" i="48" s="1"/>
  <c r="AI17" i="64"/>
  <c r="AK17" i="64"/>
  <c r="X19" i="45"/>
  <c r="AJ19" i="45" s="1"/>
  <c r="AH17" i="62"/>
  <c r="O18" i="62"/>
  <c r="AI17" i="63"/>
  <c r="AK18" i="65"/>
  <c r="Y19" i="45"/>
  <c r="AK19" i="45" s="1"/>
  <c r="AK17" i="62"/>
  <c r="AL18" i="65"/>
  <c r="AI17" i="57"/>
  <c r="AD17" i="58"/>
  <c r="AH18" i="65"/>
  <c r="AD17" i="62"/>
  <c r="AF18" i="65"/>
  <c r="T18" i="48"/>
  <c r="AF18" i="48" s="1"/>
  <c r="AJ17" i="57"/>
  <c r="AG18" i="65"/>
  <c r="AA18" i="48"/>
  <c r="AC18" i="48" s="1"/>
  <c r="AA18" i="52"/>
  <c r="AC18" i="52" s="1"/>
  <c r="AF17" i="62"/>
  <c r="P18" i="63"/>
  <c r="Q18" i="63" s="1"/>
  <c r="Y18" i="63" s="1"/>
  <c r="AK18" i="63" s="1"/>
  <c r="AI18" i="65"/>
  <c r="O18" i="57"/>
  <c r="N2" i="1"/>
  <c r="M2" i="1"/>
  <c r="Z19" i="45"/>
  <c r="AL19" i="45" s="1"/>
  <c r="AB17" i="44"/>
  <c r="P19" i="50"/>
  <c r="Q19" i="50" s="1"/>
  <c r="Y19" i="50" s="1"/>
  <c r="AK19" i="50" s="1"/>
  <c r="U18" i="54"/>
  <c r="AG18" i="54" s="1"/>
  <c r="AK17" i="60"/>
  <c r="AJ17" i="62"/>
  <c r="AB17" i="58"/>
  <c r="V18" i="54"/>
  <c r="AH18" i="54" s="1"/>
  <c r="AJ17" i="60"/>
  <c r="AH17" i="63"/>
  <c r="Y18" i="54"/>
  <c r="AK18" i="54" s="1"/>
  <c r="AD17" i="60"/>
  <c r="AH17" i="44"/>
  <c r="Z18" i="54"/>
  <c r="AL18" i="54" s="1"/>
  <c r="AI17" i="60"/>
  <c r="AI17" i="62"/>
  <c r="AD10" i="36"/>
  <c r="AE17" i="58"/>
  <c r="AE17" i="62"/>
  <c r="M19" i="62"/>
  <c r="O19" i="62" s="1"/>
  <c r="T18" i="54"/>
  <c r="AF18" i="54" s="1"/>
  <c r="O19" i="52"/>
  <c r="AD17" i="63"/>
  <c r="M19" i="44"/>
  <c r="P19" i="44" s="1"/>
  <c r="Q19" i="44" s="1"/>
  <c r="M19" i="53"/>
  <c r="P19" i="53" s="1"/>
  <c r="Q19" i="53" s="1"/>
  <c r="AE17" i="53"/>
  <c r="AA18" i="54"/>
  <c r="AC18" i="54" s="1"/>
  <c r="S18" i="54"/>
  <c r="AE18" i="54" s="1"/>
  <c r="AE17" i="63"/>
  <c r="AB10" i="36"/>
  <c r="M21" i="47"/>
  <c r="P21" i="47" s="1"/>
  <c r="Q21" i="47" s="1"/>
  <c r="N19" i="51"/>
  <c r="O19" i="51" s="1"/>
  <c r="P19" i="52"/>
  <c r="Q19" i="52" s="1"/>
  <c r="V19" i="52" s="1"/>
  <c r="R18" i="54"/>
  <c r="AD18" i="54" s="1"/>
  <c r="AH17" i="60"/>
  <c r="M19" i="60"/>
  <c r="P19" i="60" s="1"/>
  <c r="Q19" i="60" s="1"/>
  <c r="AF17" i="63"/>
  <c r="AG17" i="63"/>
  <c r="W19" i="45"/>
  <c r="AI19" i="45" s="1"/>
  <c r="AB17" i="62"/>
  <c r="AK17" i="63"/>
  <c r="W18" i="54"/>
  <c r="AI18" i="54" s="1"/>
  <c r="N18" i="58"/>
  <c r="O18" i="58" s="1"/>
  <c r="AJ17" i="63"/>
  <c r="M19" i="64"/>
  <c r="P19" i="64" s="1"/>
  <c r="Q19" i="64" s="1"/>
  <c r="R19" i="45"/>
  <c r="AD19" i="45" s="1"/>
  <c r="N18" i="53"/>
  <c r="O18" i="53" s="1"/>
  <c r="M20" i="51"/>
  <c r="P20" i="51" s="1"/>
  <c r="Q20" i="51" s="1"/>
  <c r="AL17" i="63"/>
  <c r="AB18" i="65"/>
  <c r="M20" i="65"/>
  <c r="P20" i="65" s="1"/>
  <c r="Q20" i="65" s="1"/>
  <c r="O19" i="65"/>
  <c r="C22" i="65"/>
  <c r="G21" i="65"/>
  <c r="J21" i="65" s="1"/>
  <c r="H21" i="65"/>
  <c r="K21" i="65" s="1"/>
  <c r="I21" i="65"/>
  <c r="L21" i="65" s="1"/>
  <c r="V19" i="65"/>
  <c r="X19" i="65"/>
  <c r="W19" i="65"/>
  <c r="U19" i="65"/>
  <c r="T19" i="65"/>
  <c r="R19" i="65"/>
  <c r="Z19" i="65"/>
  <c r="Y19" i="65"/>
  <c r="S19" i="65"/>
  <c r="AA19" i="65"/>
  <c r="AC19" i="65" s="1"/>
  <c r="P18" i="64"/>
  <c r="Q18" i="64" s="1"/>
  <c r="S18" i="64" s="1"/>
  <c r="AE18" i="64" s="1"/>
  <c r="AB17" i="64"/>
  <c r="C21" i="64"/>
  <c r="F20" i="64"/>
  <c r="I20" i="64" s="1"/>
  <c r="L20" i="64" s="1"/>
  <c r="E20" i="64"/>
  <c r="H20" i="64" s="1"/>
  <c r="K20" i="64" s="1"/>
  <c r="D20" i="64"/>
  <c r="G20" i="64" s="1"/>
  <c r="J20" i="64" s="1"/>
  <c r="M19" i="63"/>
  <c r="O19" i="63" s="1"/>
  <c r="C21" i="63"/>
  <c r="D20" i="63"/>
  <c r="G20" i="63" s="1"/>
  <c r="J20" i="63" s="1"/>
  <c r="F20" i="63"/>
  <c r="I20" i="63" s="1"/>
  <c r="L20" i="63" s="1"/>
  <c r="H20" i="63"/>
  <c r="K20" i="63" s="1"/>
  <c r="AB17" i="63"/>
  <c r="AA18" i="62"/>
  <c r="AC18" i="62" s="1"/>
  <c r="C21" i="62"/>
  <c r="D20" i="62"/>
  <c r="G20" i="62" s="1"/>
  <c r="J20" i="62" s="1"/>
  <c r="I20" i="62"/>
  <c r="L20" i="62" s="1"/>
  <c r="H20" i="62"/>
  <c r="K20" i="62" s="1"/>
  <c r="R18" i="62"/>
  <c r="S18" i="62"/>
  <c r="Z18" i="62"/>
  <c r="Y18" i="62"/>
  <c r="X18" i="62"/>
  <c r="W18" i="62"/>
  <c r="V18" i="62"/>
  <c r="U18" i="62"/>
  <c r="T18" i="62"/>
  <c r="M19" i="61"/>
  <c r="C21" i="61"/>
  <c r="F20" i="61"/>
  <c r="L20" i="61" s="1"/>
  <c r="E20" i="61"/>
  <c r="K20" i="61" s="1"/>
  <c r="D20" i="61"/>
  <c r="AF17" i="60"/>
  <c r="AG17" i="60"/>
  <c r="C21" i="60"/>
  <c r="E20" i="60"/>
  <c r="H20" i="60" s="1"/>
  <c r="K20" i="60" s="1"/>
  <c r="D20" i="60"/>
  <c r="G20" i="60" s="1"/>
  <c r="J20" i="60" s="1"/>
  <c r="I20" i="60"/>
  <c r="L20" i="60" s="1"/>
  <c r="AB17" i="60"/>
  <c r="AL17" i="60"/>
  <c r="O18" i="60"/>
  <c r="AE17" i="60"/>
  <c r="N18" i="59"/>
  <c r="O18" i="59" s="1"/>
  <c r="M19" i="59"/>
  <c r="P19" i="59" s="1"/>
  <c r="Q19" i="59" s="1"/>
  <c r="C21" i="59"/>
  <c r="E20" i="59"/>
  <c r="H20" i="59" s="1"/>
  <c r="K20" i="59" s="1"/>
  <c r="D20" i="59"/>
  <c r="G20" i="59" s="1"/>
  <c r="J20" i="59" s="1"/>
  <c r="I20" i="59"/>
  <c r="L20" i="59" s="1"/>
  <c r="AB17" i="59"/>
  <c r="R18" i="59"/>
  <c r="Z18" i="59"/>
  <c r="Y18" i="59"/>
  <c r="X18" i="59"/>
  <c r="W18" i="59"/>
  <c r="V18" i="59"/>
  <c r="U18" i="59"/>
  <c r="T18" i="59"/>
  <c r="S18" i="59"/>
  <c r="AA18" i="59"/>
  <c r="M19" i="58"/>
  <c r="P19" i="58" s="1"/>
  <c r="Q19" i="58" s="1"/>
  <c r="C21" i="58"/>
  <c r="D20" i="58"/>
  <c r="G20" i="58" s="1"/>
  <c r="J20" i="58" s="1"/>
  <c r="E20" i="58"/>
  <c r="H20" i="58" s="1"/>
  <c r="K20" i="58" s="1"/>
  <c r="I20" i="58"/>
  <c r="L20" i="58" s="1"/>
  <c r="R18" i="58"/>
  <c r="T18" i="58"/>
  <c r="S18" i="58"/>
  <c r="Y18" i="58"/>
  <c r="X18" i="58"/>
  <c r="W18" i="58"/>
  <c r="V18" i="58"/>
  <c r="U18" i="58"/>
  <c r="Z18" i="58"/>
  <c r="AA18" i="58"/>
  <c r="AB17" i="57"/>
  <c r="M19" i="57"/>
  <c r="P19" i="57" s="1"/>
  <c r="Q19" i="57" s="1"/>
  <c r="R18" i="57"/>
  <c r="Y18" i="57"/>
  <c r="X18" i="57"/>
  <c r="W18" i="57"/>
  <c r="V18" i="57"/>
  <c r="U18" i="57"/>
  <c r="T18" i="57"/>
  <c r="S18" i="57"/>
  <c r="Z18" i="57"/>
  <c r="C21" i="57"/>
  <c r="E20" i="57"/>
  <c r="H20" i="57" s="1"/>
  <c r="K20" i="57" s="1"/>
  <c r="D20" i="57"/>
  <c r="G20" i="57" s="1"/>
  <c r="J20" i="57" s="1"/>
  <c r="F20" i="57"/>
  <c r="I20" i="57" s="1"/>
  <c r="L20" i="57" s="1"/>
  <c r="AA18" i="57"/>
  <c r="AC18" i="57" s="1"/>
  <c r="M20" i="54"/>
  <c r="P20" i="54" s="1"/>
  <c r="Q20" i="54" s="1"/>
  <c r="AJ18" i="54"/>
  <c r="C22" i="54"/>
  <c r="D21" i="54"/>
  <c r="G21" i="54" s="1"/>
  <c r="J21" i="54" s="1"/>
  <c r="E21" i="54"/>
  <c r="H21" i="54" s="1"/>
  <c r="K21" i="54" s="1"/>
  <c r="I21" i="54"/>
  <c r="L21" i="54" s="1"/>
  <c r="V19" i="54"/>
  <c r="Z19" i="54"/>
  <c r="Y19" i="54"/>
  <c r="X19" i="54"/>
  <c r="W19" i="54"/>
  <c r="U19" i="54"/>
  <c r="T19" i="54"/>
  <c r="S19" i="54"/>
  <c r="R19" i="54"/>
  <c r="O19" i="54"/>
  <c r="AA19" i="54"/>
  <c r="AC19" i="54" s="1"/>
  <c r="AF17" i="53"/>
  <c r="AH17" i="53"/>
  <c r="AJ17" i="53"/>
  <c r="AA18" i="53"/>
  <c r="AL17" i="53"/>
  <c r="AK17" i="53"/>
  <c r="AD17" i="53"/>
  <c r="C21" i="53"/>
  <c r="D20" i="53"/>
  <c r="G20" i="53" s="1"/>
  <c r="J20" i="53" s="1"/>
  <c r="E20" i="53"/>
  <c r="H20" i="53" s="1"/>
  <c r="K20" i="53" s="1"/>
  <c r="I20" i="53"/>
  <c r="L20" i="53" s="1"/>
  <c r="AI17" i="53"/>
  <c r="AB17" i="53"/>
  <c r="AG17" i="53"/>
  <c r="R18" i="53"/>
  <c r="T18" i="53"/>
  <c r="S18" i="53"/>
  <c r="X18" i="53"/>
  <c r="U18" i="53"/>
  <c r="Z18" i="53"/>
  <c r="Y18" i="53"/>
  <c r="W18" i="53"/>
  <c r="V18" i="53"/>
  <c r="M20" i="52"/>
  <c r="O20" i="52" s="1"/>
  <c r="C22" i="52"/>
  <c r="D21" i="52"/>
  <c r="G21" i="52" s="1"/>
  <c r="J21" i="52" s="1"/>
  <c r="H21" i="52"/>
  <c r="K21" i="52" s="1"/>
  <c r="I21" i="52"/>
  <c r="L21" i="52" s="1"/>
  <c r="AI18" i="51"/>
  <c r="AK18" i="51"/>
  <c r="AL18" i="51"/>
  <c r="AE18" i="51"/>
  <c r="AJ18" i="51"/>
  <c r="AF18" i="51"/>
  <c r="AG18" i="51"/>
  <c r="C22" i="51"/>
  <c r="D21" i="51"/>
  <c r="G21" i="51" s="1"/>
  <c r="J21" i="51" s="1"/>
  <c r="F21" i="51"/>
  <c r="I21" i="51" s="1"/>
  <c r="L21" i="51" s="1"/>
  <c r="E21" i="51"/>
  <c r="H21" i="51" s="1"/>
  <c r="K21" i="51" s="1"/>
  <c r="V19" i="51"/>
  <c r="S19" i="51"/>
  <c r="R19" i="51"/>
  <c r="Z19" i="51"/>
  <c r="X19" i="51"/>
  <c r="W19" i="51"/>
  <c r="U19" i="51"/>
  <c r="T19" i="51"/>
  <c r="Y19" i="51"/>
  <c r="AB18" i="51"/>
  <c r="AH18" i="51"/>
  <c r="AD18" i="51"/>
  <c r="AA19" i="51"/>
  <c r="M20" i="50"/>
  <c r="O20" i="50" s="1"/>
  <c r="C22" i="50"/>
  <c r="D21" i="50"/>
  <c r="G21" i="50" s="1"/>
  <c r="J21" i="50" s="1"/>
  <c r="I21" i="50"/>
  <c r="L21" i="50" s="1"/>
  <c r="H21" i="50"/>
  <c r="K21" i="50" s="1"/>
  <c r="AB18" i="50"/>
  <c r="M20" i="48"/>
  <c r="P20" i="48" s="1"/>
  <c r="Q20" i="48" s="1"/>
  <c r="N19" i="48"/>
  <c r="O19" i="48" s="1"/>
  <c r="C22" i="48"/>
  <c r="D21" i="48"/>
  <c r="G21" i="48" s="1"/>
  <c r="J21" i="48" s="1"/>
  <c r="F21" i="48"/>
  <c r="I21" i="48" s="1"/>
  <c r="L21" i="48" s="1"/>
  <c r="E21" i="48"/>
  <c r="H21" i="48" s="1"/>
  <c r="K21" i="48" s="1"/>
  <c r="AJ18" i="48"/>
  <c r="AL18" i="48"/>
  <c r="V19" i="48"/>
  <c r="U19" i="48"/>
  <c r="X19" i="48"/>
  <c r="W19" i="48"/>
  <c r="T19" i="48"/>
  <c r="S19" i="48"/>
  <c r="R19" i="48"/>
  <c r="Z19" i="48"/>
  <c r="Y19" i="48"/>
  <c r="AA19" i="48"/>
  <c r="AD18" i="48"/>
  <c r="C23" i="47"/>
  <c r="E22" i="47"/>
  <c r="H22" i="47" s="1"/>
  <c r="K22" i="47" s="1"/>
  <c r="D22" i="47"/>
  <c r="G22" i="47" s="1"/>
  <c r="J22" i="47" s="1"/>
  <c r="F22" i="47"/>
  <c r="I22" i="47" s="1"/>
  <c r="L22" i="47" s="1"/>
  <c r="AB19" i="47"/>
  <c r="V19" i="45"/>
  <c r="AH19" i="45" s="1"/>
  <c r="S19" i="45"/>
  <c r="AE19" i="45" s="1"/>
  <c r="AA19" i="45"/>
  <c r="AC19" i="45" s="1"/>
  <c r="T19" i="45"/>
  <c r="AF19" i="45" s="1"/>
  <c r="M21" i="45"/>
  <c r="O21" i="45" s="1"/>
  <c r="C23" i="45"/>
  <c r="D22" i="45"/>
  <c r="G22" i="45" s="1"/>
  <c r="J22" i="45" s="1"/>
  <c r="H22" i="45"/>
  <c r="K22" i="45" s="1"/>
  <c r="I22" i="45"/>
  <c r="L22" i="45" s="1"/>
  <c r="Z20" i="45"/>
  <c r="Y20" i="45"/>
  <c r="X20" i="45"/>
  <c r="W20" i="45"/>
  <c r="T20" i="45"/>
  <c r="V20" i="45"/>
  <c r="U20" i="45"/>
  <c r="S20" i="45"/>
  <c r="R20" i="45"/>
  <c r="AA20" i="45"/>
  <c r="AC20" i="45" s="1"/>
  <c r="AK17" i="44"/>
  <c r="AI17" i="44"/>
  <c r="AJ17" i="44"/>
  <c r="AL17" i="44"/>
  <c r="AG17" i="44"/>
  <c r="C21" i="44"/>
  <c r="E20" i="44"/>
  <c r="H20" i="44" s="1"/>
  <c r="K20" i="44" s="1"/>
  <c r="F20" i="44"/>
  <c r="I20" i="44" s="1"/>
  <c r="L20" i="44" s="1"/>
  <c r="D20" i="44"/>
  <c r="G20" i="44" s="1"/>
  <c r="J20" i="44" s="1"/>
  <c r="AD17" i="44"/>
  <c r="AE17" i="44"/>
  <c r="O18" i="44"/>
  <c r="X18" i="44"/>
  <c r="U18" i="44"/>
  <c r="S18" i="44"/>
  <c r="W18" i="44"/>
  <c r="R18" i="44"/>
  <c r="AF17" i="44"/>
  <c r="AC10" i="29"/>
  <c r="U11" i="38"/>
  <c r="AG11" i="38" s="1"/>
  <c r="AG10" i="36"/>
  <c r="N11" i="23"/>
  <c r="O11" i="23" s="1"/>
  <c r="P11" i="23"/>
  <c r="F13" i="23"/>
  <c r="I13" i="23" s="1"/>
  <c r="L13" i="23" s="1"/>
  <c r="C14" i="23"/>
  <c r="D13" i="23"/>
  <c r="G13" i="23" s="1"/>
  <c r="J13" i="23" s="1"/>
  <c r="E13" i="23"/>
  <c r="H13" i="23" s="1"/>
  <c r="K13" i="23" s="1"/>
  <c r="M12" i="23"/>
  <c r="BC6" i="1"/>
  <c r="G14" i="19"/>
  <c r="J14" i="19" s="1"/>
  <c r="BE6" i="1"/>
  <c r="I14" i="19"/>
  <c r="L14" i="19" s="1"/>
  <c r="H14" i="19"/>
  <c r="K14" i="19" s="1"/>
  <c r="H12" i="20"/>
  <c r="K12" i="20" s="1"/>
  <c r="M12" i="20" s="1"/>
  <c r="P12" i="20" s="1"/>
  <c r="BD6" i="1"/>
  <c r="AO4" i="1"/>
  <c r="AH10" i="36"/>
  <c r="AL10" i="29"/>
  <c r="AH10" i="29"/>
  <c r="AI10" i="36"/>
  <c r="AI10" i="29"/>
  <c r="AG10" i="29"/>
  <c r="AF10" i="29"/>
  <c r="AJ10" i="29"/>
  <c r="AJ10" i="36"/>
  <c r="Q11" i="21"/>
  <c r="Z11" i="21" s="1"/>
  <c r="AL11" i="21" s="1"/>
  <c r="W11" i="38"/>
  <c r="AI11" i="38" s="1"/>
  <c r="Y11" i="38"/>
  <c r="AK11" i="38" s="1"/>
  <c r="Z11" i="38"/>
  <c r="AL11" i="38" s="1"/>
  <c r="X11" i="38"/>
  <c r="AJ11" i="38" s="1"/>
  <c r="AD10" i="29"/>
  <c r="AK10" i="29"/>
  <c r="B25" i="1"/>
  <c r="J4" i="14"/>
  <c r="M4" i="14" s="1"/>
  <c r="K4" i="42"/>
  <c r="N4" i="42" s="1"/>
  <c r="B26" i="1"/>
  <c r="J5" i="14"/>
  <c r="M5" i="14" s="1"/>
  <c r="K5" i="42"/>
  <c r="N5" i="42" s="1"/>
  <c r="T11" i="38"/>
  <c r="AF11" i="38" s="1"/>
  <c r="K3" i="1"/>
  <c r="V11" i="38"/>
  <c r="AH11" i="38" s="1"/>
  <c r="S11" i="38"/>
  <c r="AE11" i="38" s="1"/>
  <c r="AB10" i="28"/>
  <c r="R9" i="29"/>
  <c r="AD9" i="29" s="1"/>
  <c r="W9" i="29"/>
  <c r="AI9" i="29" s="1"/>
  <c r="S9" i="29"/>
  <c r="AE9" i="29" s="1"/>
  <c r="Y9" i="29"/>
  <c r="AK9" i="29" s="1"/>
  <c r="U9" i="29"/>
  <c r="AG9" i="29" s="1"/>
  <c r="Z9" i="29"/>
  <c r="AL9" i="29" s="1"/>
  <c r="AA11" i="38"/>
  <c r="AC11" i="38" s="1"/>
  <c r="T9" i="29"/>
  <c r="AF9" i="29" s="1"/>
  <c r="V9" i="29"/>
  <c r="AH9" i="29" s="1"/>
  <c r="AX3" i="1"/>
  <c r="AZ4" i="1"/>
  <c r="AB10" i="38"/>
  <c r="AI3" i="1"/>
  <c r="W9" i="28"/>
  <c r="AI9" i="28" s="1"/>
  <c r="S9" i="28"/>
  <c r="AE9" i="28" s="1"/>
  <c r="T9" i="28"/>
  <c r="AF9" i="28" s="1"/>
  <c r="U9" i="28"/>
  <c r="AG9" i="28" s="1"/>
  <c r="R9" i="28"/>
  <c r="AD9" i="28" s="1"/>
  <c r="V9" i="28"/>
  <c r="AH9" i="28" s="1"/>
  <c r="X9" i="28"/>
  <c r="AJ9" i="28" s="1"/>
  <c r="Z9" i="28"/>
  <c r="AL9" i="28" s="1"/>
  <c r="Y9" i="28"/>
  <c r="AK9" i="28" s="1"/>
  <c r="AC9" i="28"/>
  <c r="AB9" i="28"/>
  <c r="I2" i="1"/>
  <c r="AF3" i="1"/>
  <c r="AY2" i="1"/>
  <c r="AV4" i="1"/>
  <c r="AY4" i="1"/>
  <c r="AJ3" i="1"/>
  <c r="AG3" i="1"/>
  <c r="AF2" i="1"/>
  <c r="AF5" i="1"/>
  <c r="AS4" i="1"/>
  <c r="AV3" i="1"/>
  <c r="AN2" i="1"/>
  <c r="AK4" i="1"/>
  <c r="AP4" i="1"/>
  <c r="BB5" i="1"/>
  <c r="AH3" i="1"/>
  <c r="AO6" i="1"/>
  <c r="AG2" i="1"/>
  <c r="AK10" i="32"/>
  <c r="AA10" i="30"/>
  <c r="AC10" i="30" s="1"/>
  <c r="AG10" i="32"/>
  <c r="Q11" i="28"/>
  <c r="W11" i="28" s="1"/>
  <c r="AI11" i="28" s="1"/>
  <c r="Q10" i="22"/>
  <c r="U10" i="22" s="1"/>
  <c r="AG10" i="22" s="1"/>
  <c r="AH10" i="32"/>
  <c r="AD10" i="32"/>
  <c r="AF10" i="32"/>
  <c r="T2" i="1"/>
  <c r="B21" i="1" s="1"/>
  <c r="P11" i="30"/>
  <c r="Q11" i="30" s="1"/>
  <c r="AI10" i="32"/>
  <c r="AH12" i="38"/>
  <c r="M12" i="39"/>
  <c r="N12" i="39" s="1"/>
  <c r="O12" i="39" s="1"/>
  <c r="AJ10" i="32"/>
  <c r="S12" i="19"/>
  <c r="AE12" i="19" s="1"/>
  <c r="AL10" i="32"/>
  <c r="O11" i="25"/>
  <c r="AB11" i="25" s="1"/>
  <c r="M12" i="35"/>
  <c r="P12" i="35" s="1"/>
  <c r="Q12" i="35" s="1"/>
  <c r="Z12" i="35" s="1"/>
  <c r="AB9" i="33"/>
  <c r="M12" i="33"/>
  <c r="P12" i="33" s="1"/>
  <c r="AA11" i="37"/>
  <c r="AC11" i="37" s="1"/>
  <c r="P11" i="24"/>
  <c r="AA11" i="24" s="1"/>
  <c r="AC11" i="24" s="1"/>
  <c r="AC11" i="29"/>
  <c r="Z10" i="8"/>
  <c r="AL10" i="8" s="1"/>
  <c r="V10" i="8"/>
  <c r="AH10" i="8" s="1"/>
  <c r="AB10" i="37"/>
  <c r="U13" i="27"/>
  <c r="AG13" i="27" s="1"/>
  <c r="Q10" i="25"/>
  <c r="U10" i="25" s="1"/>
  <c r="AG10" i="25" s="1"/>
  <c r="AB10" i="31"/>
  <c r="L4" i="1" s="1"/>
  <c r="T13" i="27"/>
  <c r="AF13" i="27" s="1"/>
  <c r="V13" i="27"/>
  <c r="AH13" i="27" s="1"/>
  <c r="X12" i="21"/>
  <c r="AJ12" i="21" s="1"/>
  <c r="AC9" i="33"/>
  <c r="U10" i="20"/>
  <c r="AG10" i="20" s="1"/>
  <c r="R2" i="1"/>
  <c r="B19" i="1" s="1"/>
  <c r="Y10" i="20"/>
  <c r="AK10" i="20" s="1"/>
  <c r="T10" i="20"/>
  <c r="AF10" i="20" s="1"/>
  <c r="AC10" i="25"/>
  <c r="AA10" i="39"/>
  <c r="AC10" i="39" s="1"/>
  <c r="Q10" i="24"/>
  <c r="X10" i="24" s="1"/>
  <c r="AJ10" i="24" s="1"/>
  <c r="U10" i="8"/>
  <c r="AG10" i="8" s="1"/>
  <c r="O2" i="1"/>
  <c r="B16" i="1" s="1"/>
  <c r="AC10" i="31"/>
  <c r="R10" i="20"/>
  <c r="AD10" i="20" s="1"/>
  <c r="U12" i="19"/>
  <c r="AG12" i="19" s="1"/>
  <c r="AB10" i="22"/>
  <c r="V10" i="20"/>
  <c r="AH10" i="20" s="1"/>
  <c r="Z12" i="21"/>
  <c r="AL12" i="21" s="1"/>
  <c r="Y13" i="27"/>
  <c r="AK13" i="27" s="1"/>
  <c r="Y12" i="19"/>
  <c r="AK12" i="19" s="1"/>
  <c r="Z10" i="20"/>
  <c r="AL10" i="20" s="1"/>
  <c r="P2" i="1"/>
  <c r="B17" i="1" s="1"/>
  <c r="W10" i="20"/>
  <c r="AI10" i="20" s="1"/>
  <c r="U2" i="1"/>
  <c r="B27" i="1" s="1"/>
  <c r="T12" i="21"/>
  <c r="AF12" i="21" s="1"/>
  <c r="Q2" i="1"/>
  <c r="B18" i="1" s="1"/>
  <c r="AD9" i="33"/>
  <c r="AH9" i="33"/>
  <c r="T10" i="39"/>
  <c r="AF10" i="39" s="1"/>
  <c r="S10" i="39"/>
  <c r="AE10" i="39" s="1"/>
  <c r="Y10" i="39"/>
  <c r="AK10" i="39" s="1"/>
  <c r="V10" i="39"/>
  <c r="AH10" i="39" s="1"/>
  <c r="Z10" i="39"/>
  <c r="AL10" i="39" s="1"/>
  <c r="X10" i="39"/>
  <c r="AJ10" i="39" s="1"/>
  <c r="R10" i="39"/>
  <c r="AD10" i="39" s="1"/>
  <c r="U10" i="39"/>
  <c r="AG10" i="39" s="1"/>
  <c r="AG9" i="33"/>
  <c r="T10" i="8"/>
  <c r="AF10" i="8" s="1"/>
  <c r="W12" i="21"/>
  <c r="AI12" i="21" s="1"/>
  <c r="Y10" i="8"/>
  <c r="AK10" i="8" s="1"/>
  <c r="Y12" i="21"/>
  <c r="AK12" i="21" s="1"/>
  <c r="O11" i="22"/>
  <c r="P11" i="22"/>
  <c r="R12" i="21"/>
  <c r="AD12" i="21" s="1"/>
  <c r="AK9" i="33"/>
  <c r="M12" i="30"/>
  <c r="P12" i="30" s="1"/>
  <c r="AA12" i="30" s="1"/>
  <c r="W9" i="35"/>
  <c r="AI9" i="35" s="1"/>
  <c r="X9" i="35"/>
  <c r="AJ9" i="35" s="1"/>
  <c r="S9" i="35"/>
  <c r="AE9" i="35" s="1"/>
  <c r="V9" i="35"/>
  <c r="AH9" i="35" s="1"/>
  <c r="Y9" i="35"/>
  <c r="AK9" i="35" s="1"/>
  <c r="T9" i="35"/>
  <c r="AF9" i="35" s="1"/>
  <c r="U9" i="35"/>
  <c r="AG9" i="35" s="1"/>
  <c r="R9" i="35"/>
  <c r="AD9" i="35" s="1"/>
  <c r="Z9" i="35"/>
  <c r="AL9" i="35" s="1"/>
  <c r="AJ9" i="33"/>
  <c r="R12" i="19"/>
  <c r="AD12" i="19" s="1"/>
  <c r="S10" i="20"/>
  <c r="AE10" i="20" s="1"/>
  <c r="V12" i="21"/>
  <c r="AH12" i="21" s="1"/>
  <c r="X13" i="27"/>
  <c r="AJ13" i="27" s="1"/>
  <c r="AL9" i="33"/>
  <c r="S11" i="34"/>
  <c r="AE11" i="34" s="1"/>
  <c r="Z13" i="27"/>
  <c r="AL13" i="27" s="1"/>
  <c r="AC11" i="31"/>
  <c r="R10" i="8"/>
  <c r="AD10" i="8" s="1"/>
  <c r="R13" i="27"/>
  <c r="AD13" i="27" s="1"/>
  <c r="S13" i="27"/>
  <c r="AE13" i="27" s="1"/>
  <c r="AB10" i="24"/>
  <c r="AC10" i="24"/>
  <c r="M12" i="26"/>
  <c r="AB11" i="31"/>
  <c r="AC11" i="34"/>
  <c r="S11" i="36"/>
  <c r="AE11" i="36" s="1"/>
  <c r="S2" i="1"/>
  <c r="B20" i="1" s="1"/>
  <c r="Q11" i="31"/>
  <c r="AB10" i="21"/>
  <c r="M12" i="25"/>
  <c r="O12" i="25" s="1"/>
  <c r="AB9" i="24"/>
  <c r="Q10" i="21"/>
  <c r="P12" i="31"/>
  <c r="AA12" i="31" s="1"/>
  <c r="AC12" i="31" s="1"/>
  <c r="O12" i="31"/>
  <c r="M13" i="31"/>
  <c r="R9" i="30"/>
  <c r="AD9" i="30" s="1"/>
  <c r="T9" i="30"/>
  <c r="AF9" i="30" s="1"/>
  <c r="X9" i="30"/>
  <c r="AJ9" i="30" s="1"/>
  <c r="Y9" i="30"/>
  <c r="AK9" i="30" s="1"/>
  <c r="W9" i="30"/>
  <c r="AI9" i="30" s="1"/>
  <c r="Z9" i="30"/>
  <c r="AL9" i="30" s="1"/>
  <c r="U9" i="30"/>
  <c r="AG9" i="30" s="1"/>
  <c r="S9" i="30"/>
  <c r="AE9" i="30" s="1"/>
  <c r="V9" i="30"/>
  <c r="AH9" i="30" s="1"/>
  <c r="Z11" i="36"/>
  <c r="AL11" i="36" s="1"/>
  <c r="X12" i="19"/>
  <c r="AJ12" i="19" s="1"/>
  <c r="R11" i="34"/>
  <c r="AD11" i="34" s="1"/>
  <c r="D14" i="31"/>
  <c r="G14" i="31" s="1"/>
  <c r="J14" i="31" s="1"/>
  <c r="C15" i="31"/>
  <c r="E14" i="31"/>
  <c r="H14" i="31" s="1"/>
  <c r="K14" i="31" s="1"/>
  <c r="I14" i="31"/>
  <c r="L14" i="31" s="1"/>
  <c r="AB9" i="32"/>
  <c r="AC9" i="32"/>
  <c r="W12" i="19"/>
  <c r="AI12" i="19" s="1"/>
  <c r="P12" i="29"/>
  <c r="Q12" i="29" s="1"/>
  <c r="X12" i="29" s="1"/>
  <c r="Y11" i="34"/>
  <c r="AK11" i="34" s="1"/>
  <c r="AF9" i="33"/>
  <c r="O11" i="24"/>
  <c r="X9" i="32"/>
  <c r="AJ9" i="32" s="1"/>
  <c r="V9" i="32"/>
  <c r="AH9" i="32" s="1"/>
  <c r="R9" i="32"/>
  <c r="AD9" i="32" s="1"/>
  <c r="Z9" i="32"/>
  <c r="AL9" i="32" s="1"/>
  <c r="U9" i="32"/>
  <c r="AG9" i="32" s="1"/>
  <c r="T9" i="32"/>
  <c r="AF9" i="32" s="1"/>
  <c r="S9" i="32"/>
  <c r="AE9" i="32" s="1"/>
  <c r="W9" i="32"/>
  <c r="AI9" i="32" s="1"/>
  <c r="Y9" i="32"/>
  <c r="AK9" i="32" s="1"/>
  <c r="V12" i="19"/>
  <c r="AH12" i="19" s="1"/>
  <c r="AE9" i="33"/>
  <c r="AB9" i="30"/>
  <c r="U12" i="21"/>
  <c r="AG12" i="21" s="1"/>
  <c r="N11" i="39"/>
  <c r="O11" i="39" s="1"/>
  <c r="P11" i="39"/>
  <c r="AI9" i="33"/>
  <c r="M12" i="24"/>
  <c r="P12" i="24" s="1"/>
  <c r="AA12" i="24" s="1"/>
  <c r="M12" i="32"/>
  <c r="Z12" i="19"/>
  <c r="AL12" i="19" s="1"/>
  <c r="T11" i="34"/>
  <c r="AF11" i="34" s="1"/>
  <c r="F13" i="22"/>
  <c r="I13" i="22" s="1"/>
  <c r="L13" i="22" s="1"/>
  <c r="D13" i="22"/>
  <c r="G13" i="22" s="1"/>
  <c r="J13" i="22" s="1"/>
  <c r="E13" i="22"/>
  <c r="H13" i="22" s="1"/>
  <c r="K13" i="22" s="1"/>
  <c r="C14" i="22"/>
  <c r="I13" i="30"/>
  <c r="L13" i="30" s="1"/>
  <c r="D13" i="30"/>
  <c r="G13" i="30" s="1"/>
  <c r="J13" i="30" s="1"/>
  <c r="C14" i="30"/>
  <c r="E13" i="30"/>
  <c r="H13" i="30" s="1"/>
  <c r="K13" i="30" s="1"/>
  <c r="C14" i="25"/>
  <c r="D13" i="25"/>
  <c r="G13" i="25" s="1"/>
  <c r="J13" i="25" s="1"/>
  <c r="I13" i="25"/>
  <c r="L13" i="25" s="1"/>
  <c r="H13" i="25"/>
  <c r="K13" i="25" s="1"/>
  <c r="AA10" i="33"/>
  <c r="AC10" i="33" s="1"/>
  <c r="Q10" i="33"/>
  <c r="V9" i="24"/>
  <c r="AH9" i="24" s="1"/>
  <c r="T9" i="24"/>
  <c r="AF9" i="24" s="1"/>
  <c r="S9" i="24"/>
  <c r="AE9" i="24" s="1"/>
  <c r="R9" i="24"/>
  <c r="AD9" i="24" s="1"/>
  <c r="Y9" i="24"/>
  <c r="AK9" i="24" s="1"/>
  <c r="Z9" i="24"/>
  <c r="AL9" i="24" s="1"/>
  <c r="U9" i="24"/>
  <c r="AG9" i="24" s="1"/>
  <c r="X9" i="24"/>
  <c r="AJ9" i="24" s="1"/>
  <c r="W9" i="24"/>
  <c r="AI9" i="24" s="1"/>
  <c r="AC10" i="32"/>
  <c r="AB10" i="32"/>
  <c r="V9" i="25"/>
  <c r="AH9" i="25" s="1"/>
  <c r="Y9" i="25"/>
  <c r="AK9" i="25" s="1"/>
  <c r="Z9" i="25"/>
  <c r="AL9" i="25" s="1"/>
  <c r="W9" i="25"/>
  <c r="AI9" i="25" s="1"/>
  <c r="U9" i="25"/>
  <c r="AG9" i="25" s="1"/>
  <c r="T9" i="25"/>
  <c r="AF9" i="25" s="1"/>
  <c r="S9" i="25"/>
  <c r="AE9" i="25" s="1"/>
  <c r="R9" i="25"/>
  <c r="AD9" i="25" s="1"/>
  <c r="X9" i="25"/>
  <c r="AJ9" i="25" s="1"/>
  <c r="E13" i="39"/>
  <c r="H13" i="39" s="1"/>
  <c r="K13" i="39" s="1"/>
  <c r="C14" i="39"/>
  <c r="F13" i="39"/>
  <c r="I13" i="39" s="1"/>
  <c r="L13" i="39" s="1"/>
  <c r="D13" i="39"/>
  <c r="G13" i="39" s="1"/>
  <c r="J13" i="39" s="1"/>
  <c r="AC9" i="22"/>
  <c r="C14" i="26"/>
  <c r="F13" i="26"/>
  <c r="I13" i="26" s="1"/>
  <c r="L13" i="26" s="1"/>
  <c r="D13" i="26"/>
  <c r="G13" i="26" s="1"/>
  <c r="J13" i="26" s="1"/>
  <c r="E13" i="26"/>
  <c r="H13" i="26" s="1"/>
  <c r="K13" i="26" s="1"/>
  <c r="U10" i="30"/>
  <c r="AG10" i="30" s="1"/>
  <c r="Y10" i="30"/>
  <c r="AK10" i="30" s="1"/>
  <c r="X10" i="30"/>
  <c r="AJ10" i="30" s="1"/>
  <c r="T10" i="30"/>
  <c r="AF10" i="30" s="1"/>
  <c r="W10" i="30"/>
  <c r="AI10" i="30" s="1"/>
  <c r="R10" i="30"/>
  <c r="AD10" i="30" s="1"/>
  <c r="S10" i="30"/>
  <c r="AE10" i="30" s="1"/>
  <c r="Z10" i="30"/>
  <c r="AL10" i="30" s="1"/>
  <c r="V10" i="30"/>
  <c r="AH10" i="30" s="1"/>
  <c r="AB9" i="39"/>
  <c r="C14" i="33"/>
  <c r="D13" i="33"/>
  <c r="G13" i="33" s="1"/>
  <c r="J13" i="33" s="1"/>
  <c r="E13" i="33"/>
  <c r="H13" i="33" s="1"/>
  <c r="K13" i="33" s="1"/>
  <c r="N11" i="33"/>
  <c r="O11" i="33" s="1"/>
  <c r="P11" i="33"/>
  <c r="AA11" i="33" s="1"/>
  <c r="W10" i="35"/>
  <c r="AI10" i="35" s="1"/>
  <c r="Y10" i="35"/>
  <c r="AK10" i="35" s="1"/>
  <c r="X10" i="35"/>
  <c r="AJ10" i="35" s="1"/>
  <c r="V10" i="35"/>
  <c r="AH10" i="35" s="1"/>
  <c r="R10" i="35"/>
  <c r="AD10" i="35" s="1"/>
  <c r="T10" i="35"/>
  <c r="AF10" i="35" s="1"/>
  <c r="U10" i="35"/>
  <c r="AG10" i="35" s="1"/>
  <c r="S10" i="35"/>
  <c r="AE10" i="35" s="1"/>
  <c r="Z10" i="35"/>
  <c r="AL10" i="35" s="1"/>
  <c r="AA10" i="26"/>
  <c r="AC10" i="26" s="1"/>
  <c r="Q10" i="26"/>
  <c r="I13" i="33"/>
  <c r="L13" i="33" s="1"/>
  <c r="U9" i="39"/>
  <c r="AG9" i="39" s="1"/>
  <c r="R9" i="39"/>
  <c r="AD9" i="39" s="1"/>
  <c r="T9" i="39"/>
  <c r="AF9" i="39" s="1"/>
  <c r="X9" i="39"/>
  <c r="AJ9" i="39" s="1"/>
  <c r="S9" i="39"/>
  <c r="AE9" i="39" s="1"/>
  <c r="V9" i="39"/>
  <c r="AH9" i="39" s="1"/>
  <c r="Z9" i="39"/>
  <c r="AL9" i="39" s="1"/>
  <c r="Y9" i="39"/>
  <c r="AK9" i="39" s="1"/>
  <c r="W9" i="39"/>
  <c r="AI9" i="39" s="1"/>
  <c r="AB9" i="26"/>
  <c r="Q11" i="25"/>
  <c r="P11" i="32"/>
  <c r="AA11" i="32" s="1"/>
  <c r="AC11" i="32" s="1"/>
  <c r="O11" i="32"/>
  <c r="AC10" i="35"/>
  <c r="AB10" i="35"/>
  <c r="M12" i="22"/>
  <c r="F13" i="24"/>
  <c r="I13" i="24" s="1"/>
  <c r="L13" i="24" s="1"/>
  <c r="D13" i="24"/>
  <c r="G13" i="24" s="1"/>
  <c r="J13" i="24" s="1"/>
  <c r="C14" i="24"/>
  <c r="E13" i="24"/>
  <c r="H13" i="24" s="1"/>
  <c r="K13" i="24" s="1"/>
  <c r="N11" i="26"/>
  <c r="O11" i="26" s="1"/>
  <c r="P11" i="26"/>
  <c r="AB9" i="22"/>
  <c r="F13" i="32"/>
  <c r="I13" i="32" s="1"/>
  <c r="L13" i="32" s="1"/>
  <c r="C14" i="32"/>
  <c r="E13" i="32"/>
  <c r="H13" i="32" s="1"/>
  <c r="K13" i="32" s="1"/>
  <c r="D13" i="32"/>
  <c r="G13" i="32" s="1"/>
  <c r="J13" i="32" s="1"/>
  <c r="D13" i="35"/>
  <c r="G13" i="35" s="1"/>
  <c r="J13" i="35" s="1"/>
  <c r="C14" i="35"/>
  <c r="I13" i="35"/>
  <c r="L13" i="35" s="1"/>
  <c r="E13" i="35"/>
  <c r="H13" i="35" s="1"/>
  <c r="K13" i="35" s="1"/>
  <c r="N11" i="35"/>
  <c r="O11" i="35" s="1"/>
  <c r="P11" i="35"/>
  <c r="U9" i="26"/>
  <c r="AG9" i="26" s="1"/>
  <c r="Z9" i="26"/>
  <c r="AL9" i="26" s="1"/>
  <c r="Y9" i="26"/>
  <c r="AK9" i="26" s="1"/>
  <c r="S9" i="26"/>
  <c r="AE9" i="26" s="1"/>
  <c r="X9" i="26"/>
  <c r="AJ9" i="26" s="1"/>
  <c r="R9" i="26"/>
  <c r="AD9" i="26" s="1"/>
  <c r="W9" i="26"/>
  <c r="AI9" i="26" s="1"/>
  <c r="V9" i="26"/>
  <c r="AH9" i="26" s="1"/>
  <c r="T9" i="26"/>
  <c r="AF9" i="26" s="1"/>
  <c r="Y11" i="36"/>
  <c r="AK11" i="36" s="1"/>
  <c r="W11" i="36"/>
  <c r="AI11" i="36" s="1"/>
  <c r="X10" i="8"/>
  <c r="AJ10" i="8" s="1"/>
  <c r="W10" i="8"/>
  <c r="AI10" i="8" s="1"/>
  <c r="W11" i="34"/>
  <c r="AI11" i="34" s="1"/>
  <c r="V11" i="36"/>
  <c r="AH11" i="36" s="1"/>
  <c r="Z11" i="29"/>
  <c r="AL11" i="29" s="1"/>
  <c r="Y11" i="29"/>
  <c r="AK11" i="29" s="1"/>
  <c r="R11" i="37"/>
  <c r="AD11" i="37" s="1"/>
  <c r="T11" i="37"/>
  <c r="AF11" i="37" s="1"/>
  <c r="Y11" i="37"/>
  <c r="AK11" i="37" s="1"/>
  <c r="Z11" i="37"/>
  <c r="AL11" i="37" s="1"/>
  <c r="T11" i="21"/>
  <c r="AF11" i="21" s="1"/>
  <c r="U11" i="34"/>
  <c r="AG11" i="34" s="1"/>
  <c r="V11" i="34"/>
  <c r="AH11" i="34" s="1"/>
  <c r="W11" i="29"/>
  <c r="AI11" i="29" s="1"/>
  <c r="X11" i="29"/>
  <c r="AJ11" i="29" s="1"/>
  <c r="Z11" i="34"/>
  <c r="AL11" i="34" s="1"/>
  <c r="AB11" i="36"/>
  <c r="X11" i="36"/>
  <c r="AJ11" i="36" s="1"/>
  <c r="AE12" i="21"/>
  <c r="T12" i="38"/>
  <c r="AF12" i="38" s="1"/>
  <c r="V11" i="37"/>
  <c r="AH11" i="37" s="1"/>
  <c r="R11" i="36"/>
  <c r="AD11" i="36" s="1"/>
  <c r="W11" i="37"/>
  <c r="AI11" i="37" s="1"/>
  <c r="R11" i="29"/>
  <c r="AD11" i="29" s="1"/>
  <c r="S11" i="29"/>
  <c r="AE11" i="29" s="1"/>
  <c r="U11" i="36"/>
  <c r="AG11" i="36" s="1"/>
  <c r="S12" i="38"/>
  <c r="AE12" i="38" s="1"/>
  <c r="AI13" i="27"/>
  <c r="AD12" i="40"/>
  <c r="X11" i="37"/>
  <c r="AJ11" i="37" s="1"/>
  <c r="T11" i="29"/>
  <c r="AF11" i="29" s="1"/>
  <c r="N12" i="34"/>
  <c r="O12" i="34" s="1"/>
  <c r="P12" i="37"/>
  <c r="Q12" i="37" s="1"/>
  <c r="P13" i="38"/>
  <c r="Q13" i="38" s="1"/>
  <c r="AB12" i="40"/>
  <c r="U12" i="40"/>
  <c r="AG12" i="40" s="1"/>
  <c r="V12" i="40"/>
  <c r="AH12" i="40" s="1"/>
  <c r="V11" i="29"/>
  <c r="AH11" i="29" s="1"/>
  <c r="S11" i="37"/>
  <c r="AE11" i="37" s="1"/>
  <c r="O12" i="36"/>
  <c r="Q12" i="34"/>
  <c r="W12" i="34" s="1"/>
  <c r="Q13" i="19"/>
  <c r="W13" i="19" s="1"/>
  <c r="Y12" i="38"/>
  <c r="AK12" i="38" s="1"/>
  <c r="S12" i="40"/>
  <c r="AE12" i="40" s="1"/>
  <c r="Q14" i="27"/>
  <c r="T14" i="27" s="1"/>
  <c r="Z12" i="38"/>
  <c r="AL12" i="38" s="1"/>
  <c r="Z12" i="40"/>
  <c r="AL12" i="40" s="1"/>
  <c r="Q11" i="8"/>
  <c r="R11" i="8" s="1"/>
  <c r="Q11" i="20"/>
  <c r="W11" i="20" s="1"/>
  <c r="U12" i="38"/>
  <c r="AG12" i="38" s="1"/>
  <c r="W12" i="40"/>
  <c r="AI12" i="40" s="1"/>
  <c r="Q13" i="40"/>
  <c r="U13" i="40" s="1"/>
  <c r="H2" i="1"/>
  <c r="R12" i="38"/>
  <c r="AD12" i="38" s="1"/>
  <c r="X12" i="40"/>
  <c r="AJ12" i="40" s="1"/>
  <c r="AJ11" i="34"/>
  <c r="U11" i="37"/>
  <c r="AG11" i="37" s="1"/>
  <c r="W12" i="38"/>
  <c r="AI12" i="38" s="1"/>
  <c r="Q12" i="36"/>
  <c r="T12" i="36" s="1"/>
  <c r="AB12" i="38"/>
  <c r="X12" i="38"/>
  <c r="AJ12" i="38" s="1"/>
  <c r="T12" i="40"/>
  <c r="AF12" i="40" s="1"/>
  <c r="O12" i="28"/>
  <c r="Y12" i="40"/>
  <c r="AK12" i="40" s="1"/>
  <c r="Q13" i="21"/>
  <c r="W13" i="21" s="1"/>
  <c r="P12" i="28"/>
  <c r="AA12" i="28" s="1"/>
  <c r="AC12" i="28" s="1"/>
  <c r="M14" i="40"/>
  <c r="P14" i="40" s="1"/>
  <c r="N14" i="40"/>
  <c r="C16" i="40"/>
  <c r="E15" i="40"/>
  <c r="H15" i="40" s="1"/>
  <c r="K15" i="40" s="1"/>
  <c r="D15" i="40"/>
  <c r="G15" i="40" s="1"/>
  <c r="J15" i="40" s="1"/>
  <c r="F15" i="40"/>
  <c r="I15" i="40" s="1"/>
  <c r="L15" i="40" s="1"/>
  <c r="O13" i="40"/>
  <c r="AA13" i="40"/>
  <c r="AC13" i="40" s="1"/>
  <c r="M14" i="38"/>
  <c r="O14" i="38" s="1"/>
  <c r="C16" i="38"/>
  <c r="F16" i="38" s="1"/>
  <c r="D15" i="38"/>
  <c r="G15" i="38" s="1"/>
  <c r="J15" i="38" s="1"/>
  <c r="I15" i="38"/>
  <c r="L15" i="38" s="1"/>
  <c r="H15" i="38"/>
  <c r="K15" i="38" s="1"/>
  <c r="M13" i="37"/>
  <c r="P13" i="37" s="1"/>
  <c r="C15" i="37"/>
  <c r="E14" i="37"/>
  <c r="H14" i="37" s="1"/>
  <c r="K14" i="37" s="1"/>
  <c r="F14" i="37"/>
  <c r="I14" i="37" s="1"/>
  <c r="L14" i="37" s="1"/>
  <c r="D14" i="37"/>
  <c r="G14" i="37" s="1"/>
  <c r="J14" i="37" s="1"/>
  <c r="AB11" i="34"/>
  <c r="AB11" i="21"/>
  <c r="M13" i="36"/>
  <c r="P13" i="36" s="1"/>
  <c r="AA12" i="36"/>
  <c r="N13" i="36"/>
  <c r="C15" i="36"/>
  <c r="F15" i="36" s="1"/>
  <c r="E14" i="36"/>
  <c r="H14" i="36" s="1"/>
  <c r="K14" i="36" s="1"/>
  <c r="D14" i="36"/>
  <c r="G14" i="36" s="1"/>
  <c r="J14" i="36" s="1"/>
  <c r="I14" i="36"/>
  <c r="L14" i="36" s="1"/>
  <c r="AF11" i="36"/>
  <c r="M13" i="34"/>
  <c r="P13" i="34" s="1"/>
  <c r="C15" i="34"/>
  <c r="D14" i="34"/>
  <c r="G14" i="34" s="1"/>
  <c r="J14" i="34" s="1"/>
  <c r="E14" i="34"/>
  <c r="H14" i="34" s="1"/>
  <c r="K14" i="34" s="1"/>
  <c r="I14" i="34"/>
  <c r="L14" i="34" s="1"/>
  <c r="AA12" i="34"/>
  <c r="F15" i="33"/>
  <c r="N15" i="31"/>
  <c r="M13" i="29"/>
  <c r="N13" i="29" s="1"/>
  <c r="AB11" i="29"/>
  <c r="AG11" i="29"/>
  <c r="C15" i="29"/>
  <c r="E14" i="29"/>
  <c r="H14" i="29" s="1"/>
  <c r="K14" i="29" s="1"/>
  <c r="D14" i="29"/>
  <c r="G14" i="29" s="1"/>
  <c r="J14" i="29" s="1"/>
  <c r="I14" i="29"/>
  <c r="L14" i="29" s="1"/>
  <c r="O12" i="29"/>
  <c r="M13" i="28"/>
  <c r="N13" i="28" s="1"/>
  <c r="C15" i="28"/>
  <c r="E15" i="28" s="1"/>
  <c r="D14" i="28"/>
  <c r="G14" i="28" s="1"/>
  <c r="J14" i="28" s="1"/>
  <c r="I14" i="28"/>
  <c r="L14" i="28" s="1"/>
  <c r="H14" i="28"/>
  <c r="K14" i="28" s="1"/>
  <c r="AB11" i="28"/>
  <c r="M15" i="27"/>
  <c r="P15" i="27" s="1"/>
  <c r="AA14" i="27"/>
  <c r="AC14" i="27" s="1"/>
  <c r="N15" i="27"/>
  <c r="C17" i="27"/>
  <c r="E16" i="27"/>
  <c r="H16" i="27" s="1"/>
  <c r="K16" i="27" s="1"/>
  <c r="D16" i="27"/>
  <c r="G16" i="27" s="1"/>
  <c r="J16" i="27" s="1"/>
  <c r="F16" i="27"/>
  <c r="I16" i="27" s="1"/>
  <c r="L16" i="27" s="1"/>
  <c r="AB13" i="27"/>
  <c r="O14" i="27"/>
  <c r="N15" i="25"/>
  <c r="F16" i="25"/>
  <c r="E16" i="25"/>
  <c r="AB10" i="8"/>
  <c r="AE10" i="8"/>
  <c r="O13" i="21"/>
  <c r="AB10" i="20"/>
  <c r="AF12" i="19"/>
  <c r="O11" i="8"/>
  <c r="AA11" i="8"/>
  <c r="AC11" i="8" s="1"/>
  <c r="M14" i="21"/>
  <c r="O14" i="21" s="1"/>
  <c r="AB12" i="21"/>
  <c r="C16" i="21"/>
  <c r="H15" i="21"/>
  <c r="K15" i="21" s="1"/>
  <c r="D15" i="21"/>
  <c r="G15" i="21" s="1"/>
  <c r="J15" i="21" s="1"/>
  <c r="I15" i="21"/>
  <c r="L15" i="21" s="1"/>
  <c r="AA13" i="21"/>
  <c r="AC13" i="21" s="1"/>
  <c r="N12" i="20"/>
  <c r="C14" i="20"/>
  <c r="D13" i="20"/>
  <c r="G13" i="20" s="1"/>
  <c r="J13" i="20" s="1"/>
  <c r="F13" i="20"/>
  <c r="I13" i="20" s="1"/>
  <c r="L13" i="20" s="1"/>
  <c r="E13" i="20"/>
  <c r="AJ10" i="20"/>
  <c r="O11" i="20"/>
  <c r="AA11" i="20"/>
  <c r="AC11" i="20" s="1"/>
  <c r="O13" i="19"/>
  <c r="N14" i="19"/>
  <c r="AB12" i="19"/>
  <c r="C16" i="19"/>
  <c r="D15" i="19"/>
  <c r="F15" i="19"/>
  <c r="E15" i="19"/>
  <c r="AA13" i="19"/>
  <c r="AC13" i="19" s="1"/>
  <c r="P12" i="8"/>
  <c r="N12" i="8"/>
  <c r="M13" i="8"/>
  <c r="C15" i="8"/>
  <c r="E15" i="8" s="1"/>
  <c r="F14" i="8"/>
  <c r="I14" i="8" s="1"/>
  <c r="L14" i="8" s="1"/>
  <c r="D14" i="8"/>
  <c r="G14" i="8" s="1"/>
  <c r="J14" i="8" s="1"/>
  <c r="H14" i="8"/>
  <c r="K14" i="8" s="1"/>
  <c r="AY3" i="1" l="1"/>
  <c r="ED8" i="1"/>
  <c r="DO8" i="1" s="1"/>
  <c r="CT3" i="1"/>
  <c r="DC3" i="1" s="1"/>
  <c r="CT8" i="1"/>
  <c r="DA36" i="1" s="1"/>
  <c r="DA37" i="1" s="1"/>
  <c r="CU2" i="1"/>
  <c r="CZ2" i="1" s="1"/>
  <c r="CS2" i="1"/>
  <c r="ED3" i="1"/>
  <c r="CD10" i="1"/>
  <c r="EF10" i="1"/>
  <c r="CF9" i="1"/>
  <c r="EH9" i="1"/>
  <c r="ED9" i="1" s="1"/>
  <c r="DO9" i="1" s="1"/>
  <c r="AA18" i="44"/>
  <c r="AC18" i="44" s="1"/>
  <c r="DB5" i="1"/>
  <c r="DC5" i="1" s="1"/>
  <c r="CS5" i="1"/>
  <c r="DF5" i="1" s="1"/>
  <c r="CS7" i="1"/>
  <c r="DF7" i="1" s="1"/>
  <c r="DA5" i="1"/>
  <c r="CV5" i="1"/>
  <c r="DK5" i="1"/>
  <c r="DL5" i="1" s="1"/>
  <c r="DK7" i="1"/>
  <c r="DL7" i="1" s="1"/>
  <c r="DK8" i="1"/>
  <c r="DL8" i="1" s="1"/>
  <c r="DK6" i="1"/>
  <c r="DL6" i="1" s="1"/>
  <c r="T18" i="44"/>
  <c r="CC9" i="1"/>
  <c r="DH9" i="1"/>
  <c r="DI9" i="1"/>
  <c r="DJ9" i="1" s="1"/>
  <c r="N19" i="44"/>
  <c r="S20" i="47"/>
  <c r="AE20" i="47" s="1"/>
  <c r="BO11" i="1"/>
  <c r="CG11" i="1" s="1"/>
  <c r="AL20" i="45"/>
  <c r="T20" i="47"/>
  <c r="AF20" i="47" s="1"/>
  <c r="AH20" i="45"/>
  <c r="AA20" i="47"/>
  <c r="AC20" i="47" s="1"/>
  <c r="R20" i="47"/>
  <c r="AD20" i="47" s="1"/>
  <c r="AB18" i="49"/>
  <c r="O21" i="47"/>
  <c r="M21" i="49"/>
  <c r="C23" i="49"/>
  <c r="D22" i="49"/>
  <c r="G22" i="49" s="1"/>
  <c r="J22" i="49" s="1"/>
  <c r="F22" i="49"/>
  <c r="I22" i="49" s="1"/>
  <c r="L22" i="49" s="1"/>
  <c r="E22" i="49"/>
  <c r="H22" i="49" s="1"/>
  <c r="K22" i="49" s="1"/>
  <c r="P20" i="49"/>
  <c r="Q20" i="49" s="1"/>
  <c r="N20" i="49"/>
  <c r="T18" i="49"/>
  <c r="AF18" i="49" s="1"/>
  <c r="R18" i="49"/>
  <c r="AD18" i="49" s="1"/>
  <c r="X18" i="49"/>
  <c r="AJ18" i="49" s="1"/>
  <c r="Y18" i="49"/>
  <c r="AK18" i="49" s="1"/>
  <c r="U18" i="49"/>
  <c r="AG18" i="49" s="1"/>
  <c r="W18" i="49"/>
  <c r="AI18" i="49" s="1"/>
  <c r="S18" i="49"/>
  <c r="AE18" i="49" s="1"/>
  <c r="V18" i="49"/>
  <c r="AH18" i="49" s="1"/>
  <c r="Z18" i="49"/>
  <c r="AL18" i="49" s="1"/>
  <c r="Q19" i="49"/>
  <c r="AA19" i="49"/>
  <c r="AC19" i="49" s="1"/>
  <c r="U20" i="47"/>
  <c r="AG20" i="47" s="1"/>
  <c r="R19" i="50"/>
  <c r="AD19" i="50" s="1"/>
  <c r="T19" i="50"/>
  <c r="AF19" i="50" s="1"/>
  <c r="DB7" i="1"/>
  <c r="DC7" i="1" s="1"/>
  <c r="DA7" i="1"/>
  <c r="DB6" i="1"/>
  <c r="DC6" i="1" s="1"/>
  <c r="DA6" i="1"/>
  <c r="Y18" i="44"/>
  <c r="AK18" i="44" s="1"/>
  <c r="V19" i="50"/>
  <c r="AH19" i="50" s="1"/>
  <c r="AB18" i="52"/>
  <c r="V20" i="47"/>
  <c r="AH20" i="47" s="1"/>
  <c r="Z18" i="44"/>
  <c r="AL18" i="44" s="1"/>
  <c r="Y20" i="47"/>
  <c r="AK20" i="47" s="1"/>
  <c r="Y18" i="60"/>
  <c r="AK18" i="60" s="1"/>
  <c r="AJ20" i="45"/>
  <c r="AK20" i="45"/>
  <c r="X19" i="50"/>
  <c r="AJ19" i="50" s="1"/>
  <c r="AD20" i="45"/>
  <c r="AE20" i="45"/>
  <c r="AG20" i="45"/>
  <c r="AF20" i="45"/>
  <c r="S19" i="50"/>
  <c r="AE19" i="50" s="1"/>
  <c r="CV7" i="1"/>
  <c r="CV6" i="1"/>
  <c r="CS3" i="1"/>
  <c r="W19" i="50"/>
  <c r="AI19" i="50" s="1"/>
  <c r="CT4" i="1"/>
  <c r="DC4" i="1" s="1"/>
  <c r="CS4" i="1"/>
  <c r="CU7" i="1"/>
  <c r="CY7" i="1" s="1"/>
  <c r="AF18" i="57"/>
  <c r="CU5" i="1"/>
  <c r="CY5" i="1" s="1"/>
  <c r="CS6" i="1"/>
  <c r="DF6" i="1" s="1"/>
  <c r="CS8" i="1"/>
  <c r="DF8" i="1" s="1"/>
  <c r="P19" i="56"/>
  <c r="Q19" i="56" s="1"/>
  <c r="X19" i="56" s="1"/>
  <c r="AJ19" i="56" s="1"/>
  <c r="P19" i="43"/>
  <c r="Q19" i="43" s="1"/>
  <c r="Z19" i="43" s="1"/>
  <c r="AL19" i="43" s="1"/>
  <c r="Z18" i="43"/>
  <c r="AL18" i="43" s="1"/>
  <c r="M14" i="19"/>
  <c r="P14" i="19" s="1"/>
  <c r="AF18" i="62"/>
  <c r="Z19" i="50"/>
  <c r="AL19" i="50" s="1"/>
  <c r="AA19" i="50"/>
  <c r="AC19" i="50" s="1"/>
  <c r="AA18" i="60"/>
  <c r="AC18" i="60" s="1"/>
  <c r="Z18" i="60"/>
  <c r="AL18" i="60" s="1"/>
  <c r="W20" i="47"/>
  <c r="AI20" i="47" s="1"/>
  <c r="U18" i="60"/>
  <c r="AG18" i="60" s="1"/>
  <c r="AI20" i="45"/>
  <c r="X20" i="47"/>
  <c r="AJ20" i="47" s="1"/>
  <c r="U19" i="50"/>
  <c r="AG19" i="50" s="1"/>
  <c r="AL18" i="53"/>
  <c r="AI18" i="57"/>
  <c r="V18" i="60"/>
  <c r="AH18" i="60" s="1"/>
  <c r="Y18" i="43"/>
  <c r="AK18" i="43" s="1"/>
  <c r="AJ18" i="53"/>
  <c r="R18" i="60"/>
  <c r="AD18" i="60" s="1"/>
  <c r="BY9" i="1"/>
  <c r="N19" i="53"/>
  <c r="O19" i="53" s="1"/>
  <c r="S18" i="60"/>
  <c r="AE18" i="60" s="1"/>
  <c r="AG18" i="53"/>
  <c r="T18" i="60"/>
  <c r="AF18" i="60" s="1"/>
  <c r="AL18" i="57"/>
  <c r="W18" i="60"/>
  <c r="AI18" i="60" s="1"/>
  <c r="AH18" i="62"/>
  <c r="AC19" i="51"/>
  <c r="U18" i="63"/>
  <c r="AG18" i="63" s="1"/>
  <c r="AG18" i="62"/>
  <c r="Z19" i="52"/>
  <c r="AL19" i="52" s="1"/>
  <c r="W18" i="43"/>
  <c r="AI18" i="43" s="1"/>
  <c r="AB18" i="48"/>
  <c r="T19" i="52"/>
  <c r="AF19" i="52" s="1"/>
  <c r="AE18" i="57"/>
  <c r="AA18" i="43"/>
  <c r="AC18" i="43" s="1"/>
  <c r="T18" i="43"/>
  <c r="AF18" i="43" s="1"/>
  <c r="Y19" i="52"/>
  <c r="AK19" i="52" s="1"/>
  <c r="U18" i="43"/>
  <c r="AG18" i="43" s="1"/>
  <c r="U19" i="52"/>
  <c r="AG19" i="52" s="1"/>
  <c r="V18" i="56"/>
  <c r="AH18" i="56" s="1"/>
  <c r="X18" i="43"/>
  <c r="AJ18" i="43" s="1"/>
  <c r="AH19" i="52"/>
  <c r="X19" i="52"/>
  <c r="AJ19" i="52" s="1"/>
  <c r="N19" i="60"/>
  <c r="O19" i="60" s="1"/>
  <c r="U11" i="21"/>
  <c r="AG11" i="21" s="1"/>
  <c r="R18" i="43"/>
  <c r="AD18" i="43" s="1"/>
  <c r="AB18" i="54"/>
  <c r="AB16" i="46"/>
  <c r="BN10" i="1" s="1"/>
  <c r="X11" i="21"/>
  <c r="AJ11" i="21" s="1"/>
  <c r="BK10" i="1"/>
  <c r="EE10" i="1" s="1"/>
  <c r="S18" i="43"/>
  <c r="AE18" i="43" s="1"/>
  <c r="U18" i="56"/>
  <c r="AG18" i="56" s="1"/>
  <c r="M20" i="43"/>
  <c r="P20" i="43" s="1"/>
  <c r="Q20" i="43" s="1"/>
  <c r="AF17" i="55"/>
  <c r="AI18" i="62"/>
  <c r="Y18" i="56"/>
  <c r="AK18" i="56" s="1"/>
  <c r="R19" i="52"/>
  <c r="AD19" i="52" s="1"/>
  <c r="AF18" i="53"/>
  <c r="AG18" i="57"/>
  <c r="AJ18" i="62"/>
  <c r="T18" i="56"/>
  <c r="AF18" i="56" s="1"/>
  <c r="S19" i="52"/>
  <c r="AE19" i="52" s="1"/>
  <c r="AD18" i="53"/>
  <c r="AH18" i="57"/>
  <c r="AK18" i="62"/>
  <c r="R18" i="56"/>
  <c r="AD18" i="56" s="1"/>
  <c r="AA18" i="56"/>
  <c r="X18" i="56"/>
  <c r="AJ18" i="56" s="1"/>
  <c r="W19" i="52"/>
  <c r="AI19" i="52" s="1"/>
  <c r="AH18" i="53"/>
  <c r="AJ18" i="57"/>
  <c r="AE18" i="62"/>
  <c r="Z18" i="56"/>
  <c r="AL18" i="56" s="1"/>
  <c r="AC18" i="53"/>
  <c r="S18" i="56"/>
  <c r="AE18" i="56" s="1"/>
  <c r="AK17" i="55"/>
  <c r="M20" i="56"/>
  <c r="P20" i="56" s="1"/>
  <c r="Q20" i="56" s="1"/>
  <c r="AI17" i="55"/>
  <c r="AC17" i="43"/>
  <c r="AB17" i="43"/>
  <c r="BL11" i="1" s="1"/>
  <c r="V17" i="43"/>
  <c r="AH17" i="43" s="1"/>
  <c r="T17" i="43"/>
  <c r="AF17" i="43" s="1"/>
  <c r="W17" i="43"/>
  <c r="AI17" i="43" s="1"/>
  <c r="U17" i="43"/>
  <c r="AG17" i="43" s="1"/>
  <c r="S17" i="43"/>
  <c r="AE17" i="43" s="1"/>
  <c r="Z17" i="43"/>
  <c r="AL17" i="43" s="1"/>
  <c r="Y17" i="43"/>
  <c r="AK17" i="43" s="1"/>
  <c r="X17" i="43"/>
  <c r="AJ17" i="43" s="1"/>
  <c r="R17" i="43"/>
  <c r="AD17" i="43" s="1"/>
  <c r="AJ17" i="55"/>
  <c r="Q18" i="55"/>
  <c r="AA18" i="55"/>
  <c r="AD17" i="55"/>
  <c r="AB17" i="55"/>
  <c r="BK11" i="1" s="1"/>
  <c r="EE11" i="1" s="1"/>
  <c r="AL17" i="55"/>
  <c r="R18" i="63"/>
  <c r="AD18" i="63" s="1"/>
  <c r="M20" i="55"/>
  <c r="T16" i="46"/>
  <c r="AF16" i="46" s="1"/>
  <c r="BR10" i="1" s="1"/>
  <c r="Z16" i="46"/>
  <c r="AL16" i="46" s="1"/>
  <c r="BX10" i="1" s="1"/>
  <c r="ER10" i="1" s="1"/>
  <c r="V16" i="46"/>
  <c r="AH16" i="46" s="1"/>
  <c r="BT10" i="1" s="1"/>
  <c r="U16" i="46"/>
  <c r="AG16" i="46" s="1"/>
  <c r="BS10" i="1" s="1"/>
  <c r="R16" i="46"/>
  <c r="AD16" i="46" s="1"/>
  <c r="BP10" i="1" s="1"/>
  <c r="S16" i="46"/>
  <c r="AE16" i="46" s="1"/>
  <c r="BQ10" i="1" s="1"/>
  <c r="W16" i="46"/>
  <c r="AI16" i="46" s="1"/>
  <c r="BU10" i="1" s="1"/>
  <c r="X16" i="46"/>
  <c r="AJ16" i="46" s="1"/>
  <c r="BV10" i="1" s="1"/>
  <c r="Y16" i="46"/>
  <c r="AK16" i="46" s="1"/>
  <c r="BW10" i="1" s="1"/>
  <c r="AE17" i="55"/>
  <c r="P19" i="55"/>
  <c r="N19" i="55"/>
  <c r="O19" i="55" s="1"/>
  <c r="AK18" i="57"/>
  <c r="AD18" i="62"/>
  <c r="AG17" i="55"/>
  <c r="AD18" i="57"/>
  <c r="AH17" i="55"/>
  <c r="E21" i="56"/>
  <c r="H21" i="56" s="1"/>
  <c r="K21" i="56" s="1"/>
  <c r="D21" i="56"/>
  <c r="G21" i="56" s="1"/>
  <c r="J21" i="56" s="1"/>
  <c r="I21" i="56"/>
  <c r="L21" i="56" s="1"/>
  <c r="C22" i="56"/>
  <c r="C21" i="46"/>
  <c r="D20" i="46"/>
  <c r="G20" i="46" s="1"/>
  <c r="J20" i="46" s="1"/>
  <c r="I20" i="46"/>
  <c r="L20" i="46" s="1"/>
  <c r="H20" i="46"/>
  <c r="K20" i="46" s="1"/>
  <c r="AA17" i="46"/>
  <c r="AC17" i="46" s="1"/>
  <c r="Y17" i="46"/>
  <c r="AK17" i="46" s="1"/>
  <c r="Z17" i="46"/>
  <c r="AL17" i="46" s="1"/>
  <c r="U17" i="46"/>
  <c r="AG17" i="46" s="1"/>
  <c r="V17" i="46"/>
  <c r="AH17" i="46" s="1"/>
  <c r="X17" i="46"/>
  <c r="AJ17" i="46" s="1"/>
  <c r="W17" i="46"/>
  <c r="AI17" i="46" s="1"/>
  <c r="T17" i="46"/>
  <c r="AF17" i="46" s="1"/>
  <c r="S17" i="46"/>
  <c r="AE17" i="46" s="1"/>
  <c r="R17" i="46"/>
  <c r="AD17" i="46" s="1"/>
  <c r="O18" i="46"/>
  <c r="P18" i="46"/>
  <c r="Q18" i="46" s="1"/>
  <c r="C22" i="55"/>
  <c r="D21" i="55"/>
  <c r="G21" i="55" s="1"/>
  <c r="J21" i="55" s="1"/>
  <c r="E21" i="55"/>
  <c r="H21" i="55" s="1"/>
  <c r="K21" i="55" s="1"/>
  <c r="I21" i="55"/>
  <c r="L21" i="55" s="1"/>
  <c r="C22" i="43"/>
  <c r="D21" i="43"/>
  <c r="G21" i="43" s="1"/>
  <c r="J21" i="43" s="1"/>
  <c r="F21" i="43"/>
  <c r="I21" i="43" s="1"/>
  <c r="L21" i="43" s="1"/>
  <c r="H21" i="43"/>
  <c r="K21" i="43" s="1"/>
  <c r="AA18" i="63"/>
  <c r="AC18" i="63" s="1"/>
  <c r="O20" i="65"/>
  <c r="X18" i="63"/>
  <c r="AJ18" i="63" s="1"/>
  <c r="M19" i="46"/>
  <c r="AL18" i="62"/>
  <c r="W18" i="63"/>
  <c r="AI18" i="63" s="1"/>
  <c r="Z18" i="63"/>
  <c r="AL18" i="63" s="1"/>
  <c r="T18" i="63"/>
  <c r="AF18" i="63" s="1"/>
  <c r="AK18" i="53"/>
  <c r="AB11" i="38"/>
  <c r="AC18" i="58"/>
  <c r="S18" i="63"/>
  <c r="AE18" i="63" s="1"/>
  <c r="N20" i="51"/>
  <c r="O20" i="51" s="1"/>
  <c r="P19" i="62"/>
  <c r="Q19" i="62" s="1"/>
  <c r="U19" i="62" s="1"/>
  <c r="AG19" i="62" s="1"/>
  <c r="V18" i="63"/>
  <c r="AH18" i="63" s="1"/>
  <c r="AB20" i="47"/>
  <c r="AG19" i="65"/>
  <c r="AB18" i="59"/>
  <c r="S11" i="21"/>
  <c r="AE11" i="21" s="1"/>
  <c r="W11" i="21"/>
  <c r="AI11" i="21" s="1"/>
  <c r="W18" i="64"/>
  <c r="AI18" i="64" s="1"/>
  <c r="AC19" i="48"/>
  <c r="N19" i="58"/>
  <c r="O19" i="58" s="1"/>
  <c r="Y11" i="21"/>
  <c r="AK11" i="21" s="1"/>
  <c r="R11" i="21"/>
  <c r="AD11" i="21" s="1"/>
  <c r="AI18" i="44"/>
  <c r="AH19" i="65"/>
  <c r="AE18" i="44"/>
  <c r="AG18" i="44"/>
  <c r="AE19" i="65"/>
  <c r="AA19" i="52"/>
  <c r="AJ18" i="44"/>
  <c r="N19" i="64"/>
  <c r="O19" i="64" s="1"/>
  <c r="AK19" i="65"/>
  <c r="M21" i="65"/>
  <c r="O21" i="65" s="1"/>
  <c r="O19" i="57"/>
  <c r="AL19" i="65"/>
  <c r="AD19" i="65"/>
  <c r="AF19" i="65"/>
  <c r="AB19" i="48"/>
  <c r="AB18" i="53"/>
  <c r="AB19" i="45"/>
  <c r="M21" i="50"/>
  <c r="O21" i="50" s="1"/>
  <c r="AI18" i="53"/>
  <c r="R18" i="64"/>
  <c r="AD18" i="64" s="1"/>
  <c r="AB20" i="45"/>
  <c r="N20" i="48"/>
  <c r="O20" i="48" s="1"/>
  <c r="M20" i="61"/>
  <c r="AA18" i="64"/>
  <c r="AB18" i="64" s="1"/>
  <c r="AC18" i="59"/>
  <c r="T18" i="64"/>
  <c r="AF18" i="64" s="1"/>
  <c r="M22" i="45"/>
  <c r="O22" i="45" s="1"/>
  <c r="AB18" i="58"/>
  <c r="U18" i="64"/>
  <c r="AG18" i="64" s="1"/>
  <c r="M20" i="64"/>
  <c r="P20" i="64" s="1"/>
  <c r="Q20" i="64" s="1"/>
  <c r="V18" i="64"/>
  <c r="AH18" i="64" s="1"/>
  <c r="P21" i="45"/>
  <c r="Q21" i="45" s="1"/>
  <c r="Y21" i="45" s="1"/>
  <c r="AK21" i="45" s="1"/>
  <c r="AE18" i="53"/>
  <c r="X18" i="64"/>
  <c r="AJ18" i="64" s="1"/>
  <c r="P20" i="52"/>
  <c r="Q20" i="52" s="1"/>
  <c r="S20" i="52" s="1"/>
  <c r="AE20" i="52" s="1"/>
  <c r="M20" i="63"/>
  <c r="O20" i="63" s="1"/>
  <c r="Y18" i="64"/>
  <c r="AK18" i="64" s="1"/>
  <c r="Z18" i="64"/>
  <c r="AL18" i="64" s="1"/>
  <c r="M21" i="51"/>
  <c r="P21" i="51" s="1"/>
  <c r="Q21" i="51" s="1"/>
  <c r="AI19" i="65"/>
  <c r="AJ19" i="65"/>
  <c r="AB19" i="65"/>
  <c r="C23" i="65"/>
  <c r="I22" i="65"/>
  <c r="L22" i="65" s="1"/>
  <c r="H22" i="65"/>
  <c r="K22" i="65" s="1"/>
  <c r="G22" i="65"/>
  <c r="J22" i="65" s="1"/>
  <c r="Z20" i="65"/>
  <c r="U20" i="65"/>
  <c r="T20" i="65"/>
  <c r="S20" i="65"/>
  <c r="R20" i="65"/>
  <c r="Y20" i="65"/>
  <c r="X20" i="65"/>
  <c r="W20" i="65"/>
  <c r="V20" i="65"/>
  <c r="AA20" i="65"/>
  <c r="AC20" i="65" s="1"/>
  <c r="AA19" i="64"/>
  <c r="C22" i="64"/>
  <c r="F21" i="64"/>
  <c r="I21" i="64" s="1"/>
  <c r="L21" i="64" s="1"/>
  <c r="D21" i="64"/>
  <c r="G21" i="64" s="1"/>
  <c r="J21" i="64" s="1"/>
  <c r="E21" i="64"/>
  <c r="H21" i="64" s="1"/>
  <c r="K21" i="64" s="1"/>
  <c r="V19" i="64"/>
  <c r="T19" i="64"/>
  <c r="Z19" i="64"/>
  <c r="Y19" i="64"/>
  <c r="X19" i="64"/>
  <c r="W19" i="64"/>
  <c r="U19" i="64"/>
  <c r="S19" i="64"/>
  <c r="R19" i="64"/>
  <c r="P19" i="63"/>
  <c r="Q19" i="63" s="1"/>
  <c r="W19" i="63" s="1"/>
  <c r="AI19" i="63" s="1"/>
  <c r="C22" i="63"/>
  <c r="D21" i="63"/>
  <c r="G21" i="63" s="1"/>
  <c r="J21" i="63" s="1"/>
  <c r="F21" i="63"/>
  <c r="I21" i="63" s="1"/>
  <c r="L21" i="63" s="1"/>
  <c r="H21" i="63"/>
  <c r="K21" i="63" s="1"/>
  <c r="M20" i="62"/>
  <c r="O20" i="62" s="1"/>
  <c r="AB18" i="62"/>
  <c r="C22" i="62"/>
  <c r="D21" i="62"/>
  <c r="G21" i="62" s="1"/>
  <c r="J21" i="62" s="1"/>
  <c r="H21" i="62"/>
  <c r="K21" i="62" s="1"/>
  <c r="I21" i="62"/>
  <c r="L21" i="62" s="1"/>
  <c r="C22" i="61"/>
  <c r="D21" i="61"/>
  <c r="E21" i="61"/>
  <c r="K21" i="61" s="1"/>
  <c r="F21" i="61"/>
  <c r="L21" i="61" s="1"/>
  <c r="AA19" i="60"/>
  <c r="M20" i="60"/>
  <c r="P20" i="60" s="1"/>
  <c r="Q20" i="60" s="1"/>
  <c r="AJ18" i="60"/>
  <c r="C22" i="60"/>
  <c r="D21" i="60"/>
  <c r="G21" i="60" s="1"/>
  <c r="J21" i="60" s="1"/>
  <c r="E21" i="60"/>
  <c r="H21" i="60" s="1"/>
  <c r="K21" i="60" s="1"/>
  <c r="I21" i="60"/>
  <c r="L21" i="60" s="1"/>
  <c r="U19" i="60"/>
  <c r="Z19" i="60"/>
  <c r="Y19" i="60"/>
  <c r="W19" i="60"/>
  <c r="V19" i="60"/>
  <c r="T19" i="60"/>
  <c r="S19" i="60"/>
  <c r="R19" i="60"/>
  <c r="X19" i="60"/>
  <c r="M20" i="59"/>
  <c r="N20" i="59" s="1"/>
  <c r="O20" i="59" s="1"/>
  <c r="N19" i="59"/>
  <c r="O19" i="59" s="1"/>
  <c r="AE18" i="59"/>
  <c r="AF18" i="59"/>
  <c r="AG18" i="59"/>
  <c r="AH18" i="59"/>
  <c r="AI18" i="59"/>
  <c r="AJ18" i="59"/>
  <c r="AK18" i="59"/>
  <c r="AL18" i="59"/>
  <c r="P20" i="59"/>
  <c r="Q20" i="59" s="1"/>
  <c r="C22" i="59"/>
  <c r="D21" i="59"/>
  <c r="G21" i="59" s="1"/>
  <c r="J21" i="59" s="1"/>
  <c r="E21" i="59"/>
  <c r="H21" i="59" s="1"/>
  <c r="K21" i="59" s="1"/>
  <c r="I21" i="59"/>
  <c r="L21" i="59" s="1"/>
  <c r="AD18" i="59"/>
  <c r="V19" i="59"/>
  <c r="X19" i="59"/>
  <c r="W19" i="59"/>
  <c r="U19" i="59"/>
  <c r="T19" i="59"/>
  <c r="S19" i="59"/>
  <c r="R19" i="59"/>
  <c r="Z19" i="59"/>
  <c r="Y19" i="59"/>
  <c r="AA19" i="59"/>
  <c r="M20" i="58"/>
  <c r="P20" i="58" s="1"/>
  <c r="Q20" i="58" s="1"/>
  <c r="AA19" i="58"/>
  <c r="AL18" i="58"/>
  <c r="AI18" i="58"/>
  <c r="AH18" i="58"/>
  <c r="AJ18" i="58"/>
  <c r="C22" i="58"/>
  <c r="D21" i="58"/>
  <c r="G21" i="58" s="1"/>
  <c r="J21" i="58" s="1"/>
  <c r="E21" i="58"/>
  <c r="H21" i="58" s="1"/>
  <c r="K21" i="58" s="1"/>
  <c r="I21" i="58"/>
  <c r="L21" i="58" s="1"/>
  <c r="AK18" i="58"/>
  <c r="AG18" i="58"/>
  <c r="AE18" i="58"/>
  <c r="V19" i="58"/>
  <c r="U19" i="58"/>
  <c r="T19" i="58"/>
  <c r="S19" i="58"/>
  <c r="R19" i="58"/>
  <c r="Z19" i="58"/>
  <c r="Y19" i="58"/>
  <c r="X19" i="58"/>
  <c r="W19" i="58"/>
  <c r="AF18" i="58"/>
  <c r="AD18" i="58"/>
  <c r="M20" i="57"/>
  <c r="P20" i="57" s="1"/>
  <c r="Q20" i="57" s="1"/>
  <c r="AB18" i="57"/>
  <c r="V19" i="57"/>
  <c r="W19" i="57"/>
  <c r="U19" i="57"/>
  <c r="T19" i="57"/>
  <c r="S19" i="57"/>
  <c r="R19" i="57"/>
  <c r="Z19" i="57"/>
  <c r="Y19" i="57"/>
  <c r="X19" i="57"/>
  <c r="C22" i="57"/>
  <c r="E21" i="57"/>
  <c r="H21" i="57" s="1"/>
  <c r="K21" i="57" s="1"/>
  <c r="D21" i="57"/>
  <c r="G21" i="57" s="1"/>
  <c r="J21" i="57" s="1"/>
  <c r="F21" i="57"/>
  <c r="I21" i="57" s="1"/>
  <c r="L21" i="57" s="1"/>
  <c r="AA19" i="57"/>
  <c r="AC19" i="57" s="1"/>
  <c r="N20" i="54"/>
  <c r="O20" i="54" s="1"/>
  <c r="AB19" i="54"/>
  <c r="AE19" i="54"/>
  <c r="AF19" i="54"/>
  <c r="M21" i="54"/>
  <c r="N21" i="54" s="1"/>
  <c r="AD19" i="54"/>
  <c r="AG19" i="54"/>
  <c r="AI19" i="54"/>
  <c r="C23" i="54"/>
  <c r="D22" i="54"/>
  <c r="G22" i="54" s="1"/>
  <c r="J22" i="54" s="1"/>
  <c r="E22" i="54"/>
  <c r="H22" i="54" s="1"/>
  <c r="K22" i="54" s="1"/>
  <c r="I22" i="54"/>
  <c r="L22" i="54" s="1"/>
  <c r="AJ19" i="54"/>
  <c r="AK19" i="54"/>
  <c r="Z20" i="54"/>
  <c r="X20" i="54"/>
  <c r="W20" i="54"/>
  <c r="V20" i="54"/>
  <c r="U20" i="54"/>
  <c r="T20" i="54"/>
  <c r="S20" i="54"/>
  <c r="R20" i="54"/>
  <c r="Y20" i="54"/>
  <c r="AL19" i="54"/>
  <c r="AH19" i="54"/>
  <c r="AA20" i="54"/>
  <c r="M20" i="53"/>
  <c r="N20" i="53" s="1"/>
  <c r="C22" i="53"/>
  <c r="E21" i="53"/>
  <c r="H21" i="53" s="1"/>
  <c r="K21" i="53" s="1"/>
  <c r="D21" i="53"/>
  <c r="G21" i="53" s="1"/>
  <c r="J21" i="53" s="1"/>
  <c r="I21" i="53"/>
  <c r="L21" i="53" s="1"/>
  <c r="V19" i="53"/>
  <c r="U19" i="53"/>
  <c r="Z19" i="53"/>
  <c r="Y19" i="53"/>
  <c r="X19" i="53"/>
  <c r="W19" i="53"/>
  <c r="T19" i="53"/>
  <c r="S19" i="53"/>
  <c r="R19" i="53"/>
  <c r="AA19" i="53"/>
  <c r="M21" i="52"/>
  <c r="P21" i="52" s="1"/>
  <c r="Q21" i="52" s="1"/>
  <c r="C23" i="52"/>
  <c r="D22" i="52"/>
  <c r="G22" i="52" s="1"/>
  <c r="J22" i="52" s="1"/>
  <c r="H22" i="52"/>
  <c r="K22" i="52" s="1"/>
  <c r="I22" i="52"/>
  <c r="L22" i="52" s="1"/>
  <c r="AA20" i="51"/>
  <c r="AB19" i="51"/>
  <c r="AK19" i="51"/>
  <c r="AF19" i="51"/>
  <c r="AG19" i="51"/>
  <c r="AI19" i="51"/>
  <c r="AJ19" i="51"/>
  <c r="C23" i="51"/>
  <c r="E22" i="51"/>
  <c r="H22" i="51" s="1"/>
  <c r="K22" i="51" s="1"/>
  <c r="D22" i="51"/>
  <c r="G22" i="51" s="1"/>
  <c r="J22" i="51" s="1"/>
  <c r="F22" i="51"/>
  <c r="I22" i="51" s="1"/>
  <c r="L22" i="51" s="1"/>
  <c r="AL19" i="51"/>
  <c r="AD19" i="51"/>
  <c r="Z20" i="51"/>
  <c r="Y20" i="51"/>
  <c r="R20" i="51"/>
  <c r="T20" i="51"/>
  <c r="S20" i="51"/>
  <c r="X20" i="51"/>
  <c r="W20" i="51"/>
  <c r="V20" i="51"/>
  <c r="U20" i="51"/>
  <c r="AE19" i="51"/>
  <c r="AH19" i="51"/>
  <c r="P20" i="50"/>
  <c r="Q20" i="50" s="1"/>
  <c r="W20" i="50" s="1"/>
  <c r="AI20" i="50" s="1"/>
  <c r="C23" i="50"/>
  <c r="D22" i="50"/>
  <c r="G22" i="50" s="1"/>
  <c r="J22" i="50" s="1"/>
  <c r="H22" i="50"/>
  <c r="K22" i="50" s="1"/>
  <c r="I22" i="50"/>
  <c r="L22" i="50" s="1"/>
  <c r="AA20" i="48"/>
  <c r="M21" i="48"/>
  <c r="P21" i="48" s="1"/>
  <c r="Q21" i="48" s="1"/>
  <c r="AI19" i="48"/>
  <c r="AJ19" i="48"/>
  <c r="C23" i="48"/>
  <c r="E22" i="48"/>
  <c r="H22" i="48" s="1"/>
  <c r="K22" i="48" s="1"/>
  <c r="F22" i="48"/>
  <c r="I22" i="48" s="1"/>
  <c r="L22" i="48" s="1"/>
  <c r="D22" i="48"/>
  <c r="G22" i="48" s="1"/>
  <c r="J22" i="48" s="1"/>
  <c r="AH19" i="48"/>
  <c r="AK19" i="48"/>
  <c r="AG19" i="48"/>
  <c r="AL19" i="48"/>
  <c r="AD19" i="48"/>
  <c r="Z20" i="48"/>
  <c r="Y20" i="48"/>
  <c r="R20" i="48"/>
  <c r="X20" i="48"/>
  <c r="W20" i="48"/>
  <c r="V20" i="48"/>
  <c r="U20" i="48"/>
  <c r="T20" i="48"/>
  <c r="S20" i="48"/>
  <c r="AE19" i="48"/>
  <c r="AF19" i="48"/>
  <c r="M22" i="47"/>
  <c r="O22" i="47" s="1"/>
  <c r="C24" i="47"/>
  <c r="F23" i="47"/>
  <c r="I23" i="47" s="1"/>
  <c r="L23" i="47" s="1"/>
  <c r="D23" i="47"/>
  <c r="G23" i="47" s="1"/>
  <c r="J23" i="47" s="1"/>
  <c r="E23" i="47"/>
  <c r="H23" i="47" s="1"/>
  <c r="K23" i="47" s="1"/>
  <c r="T21" i="47"/>
  <c r="AF21" i="47" s="1"/>
  <c r="S21" i="47"/>
  <c r="AE21" i="47" s="1"/>
  <c r="V21" i="47"/>
  <c r="AH21" i="47" s="1"/>
  <c r="W21" i="47"/>
  <c r="AI21" i="47" s="1"/>
  <c r="U21" i="47"/>
  <c r="R21" i="47"/>
  <c r="AD21" i="47" s="1"/>
  <c r="Z21" i="47"/>
  <c r="Y21" i="47"/>
  <c r="AK21" i="47" s="1"/>
  <c r="X21" i="47"/>
  <c r="AJ21" i="47" s="1"/>
  <c r="AA21" i="47"/>
  <c r="AC21" i="47" s="1"/>
  <c r="C24" i="45"/>
  <c r="D23" i="45"/>
  <c r="G23" i="45" s="1"/>
  <c r="J23" i="45" s="1"/>
  <c r="H23" i="45"/>
  <c r="K23" i="45" s="1"/>
  <c r="I23" i="45"/>
  <c r="L23" i="45" s="1"/>
  <c r="AF18" i="44"/>
  <c r="M20" i="44"/>
  <c r="P20" i="44" s="1"/>
  <c r="Q20" i="44" s="1"/>
  <c r="C22" i="44"/>
  <c r="F21" i="44"/>
  <c r="I21" i="44" s="1"/>
  <c r="L21" i="44" s="1"/>
  <c r="E21" i="44"/>
  <c r="H21" i="44" s="1"/>
  <c r="K21" i="44" s="1"/>
  <c r="D21" i="44"/>
  <c r="G21" i="44" s="1"/>
  <c r="J21" i="44" s="1"/>
  <c r="AB18" i="44"/>
  <c r="S19" i="44"/>
  <c r="R19" i="44"/>
  <c r="Y19" i="44"/>
  <c r="W19" i="44"/>
  <c r="T19" i="44"/>
  <c r="V19" i="44"/>
  <c r="X19" i="44"/>
  <c r="U19" i="44"/>
  <c r="Z19" i="44"/>
  <c r="AH18" i="44"/>
  <c r="AA19" i="44"/>
  <c r="AC19" i="44" s="1"/>
  <c r="AD18" i="44"/>
  <c r="O19" i="44"/>
  <c r="N12" i="23"/>
  <c r="O12" i="23" s="1"/>
  <c r="P12" i="23"/>
  <c r="M13" i="23"/>
  <c r="F14" i="23"/>
  <c r="I14" i="23" s="1"/>
  <c r="L14" i="23" s="1"/>
  <c r="C15" i="23"/>
  <c r="E14" i="23"/>
  <c r="H14" i="23" s="1"/>
  <c r="K14" i="23" s="1"/>
  <c r="D14" i="23"/>
  <c r="G14" i="23" s="1"/>
  <c r="J14" i="23" s="1"/>
  <c r="Q11" i="23"/>
  <c r="AA11" i="23"/>
  <c r="AC11" i="23" s="1"/>
  <c r="G15" i="19"/>
  <c r="J15" i="19" s="1"/>
  <c r="H13" i="20"/>
  <c r="K13" i="20" s="1"/>
  <c r="M13" i="20" s="1"/>
  <c r="P13" i="20" s="1"/>
  <c r="BD7" i="1"/>
  <c r="H15" i="19"/>
  <c r="K15" i="19" s="1"/>
  <c r="BE7" i="1"/>
  <c r="I15" i="19"/>
  <c r="L15" i="19" s="1"/>
  <c r="BC7" i="1"/>
  <c r="V11" i="21"/>
  <c r="AH11" i="21" s="1"/>
  <c r="AX4" i="1"/>
  <c r="AQ4" i="1"/>
  <c r="S12" i="35"/>
  <c r="V12" i="35"/>
  <c r="J2" i="14"/>
  <c r="M2" i="14" s="1"/>
  <c r="K2" i="42"/>
  <c r="N2" i="42" s="1"/>
  <c r="B23" i="1"/>
  <c r="J3" i="14"/>
  <c r="M3" i="14" s="1"/>
  <c r="K3" i="42"/>
  <c r="N3" i="42" s="1"/>
  <c r="U11" i="28"/>
  <c r="AG11" i="28" s="1"/>
  <c r="Y11" i="28"/>
  <c r="AK11" i="28" s="1"/>
  <c r="Y12" i="35"/>
  <c r="R12" i="35"/>
  <c r="AZ5" i="1"/>
  <c r="AQ3" i="1"/>
  <c r="T12" i="35"/>
  <c r="Z11" i="28"/>
  <c r="AL11" i="28" s="1"/>
  <c r="S11" i="28"/>
  <c r="AE11" i="28" s="1"/>
  <c r="Q11" i="24"/>
  <c r="W11" i="24" s="1"/>
  <c r="AI11" i="24" s="1"/>
  <c r="AP3" i="1"/>
  <c r="N12" i="33"/>
  <c r="O12" i="33" s="1"/>
  <c r="X12" i="35"/>
  <c r="AB10" i="30"/>
  <c r="AA11" i="30"/>
  <c r="AC11" i="30" s="1"/>
  <c r="X10" i="22"/>
  <c r="AJ10" i="22" s="1"/>
  <c r="AB11" i="37"/>
  <c r="X11" i="28"/>
  <c r="AJ11" i="28" s="1"/>
  <c r="Z10" i="22"/>
  <c r="AL10" i="22" s="1"/>
  <c r="W10" i="22"/>
  <c r="AI10" i="22" s="1"/>
  <c r="R10" i="22"/>
  <c r="AD10" i="22" s="1"/>
  <c r="Y10" i="22"/>
  <c r="AK10" i="22" s="1"/>
  <c r="S10" i="22"/>
  <c r="AE10" i="22" s="1"/>
  <c r="T10" i="22"/>
  <c r="AF10" i="22" s="1"/>
  <c r="AT4" i="1"/>
  <c r="AN3" i="1"/>
  <c r="BB6" i="1"/>
  <c r="AO7" i="1"/>
  <c r="AX5" i="1"/>
  <c r="AG4" i="1"/>
  <c r="AU3" i="1"/>
  <c r="AF6" i="1"/>
  <c r="AY5" i="1"/>
  <c r="AV5" i="1"/>
  <c r="AL3" i="1"/>
  <c r="AR3" i="1"/>
  <c r="AW3" i="1"/>
  <c r="AI6" i="1"/>
  <c r="BA4" i="1"/>
  <c r="AW4" i="1"/>
  <c r="AH4" i="1"/>
  <c r="AZ6" i="1"/>
  <c r="BA3" i="1"/>
  <c r="AQ5" i="1"/>
  <c r="AR4" i="1"/>
  <c r="AM3" i="1"/>
  <c r="AT3" i="1"/>
  <c r="V10" i="22"/>
  <c r="AH10" i="22" s="1"/>
  <c r="U12" i="35"/>
  <c r="T11" i="28"/>
  <c r="AF11" i="28" s="1"/>
  <c r="R10" i="25"/>
  <c r="AD10" i="25" s="1"/>
  <c r="V10" i="25"/>
  <c r="AH10" i="25" s="1"/>
  <c r="R11" i="28"/>
  <c r="AD11" i="28" s="1"/>
  <c r="S10" i="25"/>
  <c r="AE10" i="25" s="1"/>
  <c r="P12" i="39"/>
  <c r="AA12" i="39" s="1"/>
  <c r="AC12" i="39" s="1"/>
  <c r="V11" i="28"/>
  <c r="AH11" i="28" s="1"/>
  <c r="AB10" i="39"/>
  <c r="K4" i="1"/>
  <c r="W10" i="24"/>
  <c r="AI10" i="24" s="1"/>
  <c r="R10" i="24"/>
  <c r="AD10" i="24" s="1"/>
  <c r="S10" i="24"/>
  <c r="AE10" i="24" s="1"/>
  <c r="AA12" i="35"/>
  <c r="Y10" i="25"/>
  <c r="AK10" i="25" s="1"/>
  <c r="Z10" i="25"/>
  <c r="AL10" i="25" s="1"/>
  <c r="V2" i="1"/>
  <c r="B22" i="1"/>
  <c r="W10" i="25"/>
  <c r="AI10" i="25" s="1"/>
  <c r="B15" i="1"/>
  <c r="T10" i="24"/>
  <c r="AF10" i="24" s="1"/>
  <c r="U10" i="24"/>
  <c r="AG10" i="24" s="1"/>
  <c r="Y10" i="24"/>
  <c r="AK10" i="24" s="1"/>
  <c r="M13" i="32"/>
  <c r="O13" i="32" s="1"/>
  <c r="AA12" i="29"/>
  <c r="AC12" i="29" s="1"/>
  <c r="V10" i="24"/>
  <c r="AH10" i="24" s="1"/>
  <c r="X10" i="25"/>
  <c r="AJ10" i="25" s="1"/>
  <c r="Z10" i="24"/>
  <c r="AL10" i="24" s="1"/>
  <c r="T10" i="25"/>
  <c r="AF10" i="25" s="1"/>
  <c r="W12" i="35"/>
  <c r="N12" i="35"/>
  <c r="O12" i="35" s="1"/>
  <c r="P12" i="25"/>
  <c r="AA12" i="25" s="1"/>
  <c r="AC12" i="25" s="1"/>
  <c r="AB10" i="33"/>
  <c r="U14" i="27"/>
  <c r="AG14" i="27" s="1"/>
  <c r="X13" i="19"/>
  <c r="AJ13" i="19" s="1"/>
  <c r="U13" i="19"/>
  <c r="AG13" i="19" s="1"/>
  <c r="Y14" i="27"/>
  <c r="AK14" i="27" s="1"/>
  <c r="U11" i="8"/>
  <c r="AG11" i="8" s="1"/>
  <c r="S11" i="8"/>
  <c r="AE11" i="8" s="1"/>
  <c r="R14" i="27"/>
  <c r="AD14" i="27" s="1"/>
  <c r="W14" i="27"/>
  <c r="AI14" i="27" s="1"/>
  <c r="W2" i="1"/>
  <c r="T11" i="8"/>
  <c r="AF11" i="8" s="1"/>
  <c r="R3" i="1"/>
  <c r="M3" i="1"/>
  <c r="M13" i="24"/>
  <c r="P13" i="24" s="1"/>
  <c r="AA13" i="24" s="1"/>
  <c r="L5" i="1"/>
  <c r="U13" i="21"/>
  <c r="AG13" i="21" s="1"/>
  <c r="N12" i="30"/>
  <c r="O12" i="30" s="1"/>
  <c r="AB12" i="30" s="1"/>
  <c r="S11" i="20"/>
  <c r="AE11" i="20" s="1"/>
  <c r="P3" i="1"/>
  <c r="S14" i="27"/>
  <c r="AE14" i="27" s="1"/>
  <c r="Z14" i="27"/>
  <c r="AL14" i="27" s="1"/>
  <c r="Y11" i="8"/>
  <c r="AK11" i="8" s="1"/>
  <c r="V14" i="27"/>
  <c r="AH14" i="27" s="1"/>
  <c r="I3" i="1"/>
  <c r="T3" i="1"/>
  <c r="I4" i="1"/>
  <c r="AA11" i="22"/>
  <c r="Q11" i="22"/>
  <c r="X12" i="34"/>
  <c r="AJ12" i="34" s="1"/>
  <c r="S3" i="1"/>
  <c r="AB11" i="24"/>
  <c r="H3" i="1"/>
  <c r="Y12" i="34"/>
  <c r="AK12" i="34" s="1"/>
  <c r="M13" i="30"/>
  <c r="P13" i="30" s="1"/>
  <c r="AA13" i="30" s="1"/>
  <c r="N3" i="1"/>
  <c r="S13" i="19"/>
  <c r="AE13" i="19" s="1"/>
  <c r="Y13" i="19"/>
  <c r="AK13" i="19" s="1"/>
  <c r="AC12" i="34"/>
  <c r="C16" i="31"/>
  <c r="E15" i="31"/>
  <c r="H15" i="31" s="1"/>
  <c r="K15" i="31" s="1"/>
  <c r="D15" i="31"/>
  <c r="G15" i="31" s="1"/>
  <c r="J15" i="31" s="1"/>
  <c r="I15" i="31"/>
  <c r="L15" i="31" s="1"/>
  <c r="AB12" i="31"/>
  <c r="T13" i="19"/>
  <c r="AF13" i="19" s="1"/>
  <c r="T12" i="34"/>
  <c r="AF12" i="34" s="1"/>
  <c r="M14" i="31"/>
  <c r="Q12" i="31"/>
  <c r="O3" i="1"/>
  <c r="AA11" i="39"/>
  <c r="AC11" i="39" s="1"/>
  <c r="Q11" i="39"/>
  <c r="Q3" i="1"/>
  <c r="R10" i="21"/>
  <c r="AD10" i="21" s="1"/>
  <c r="V10" i="21"/>
  <c r="AH10" i="21" s="1"/>
  <c r="Y10" i="21"/>
  <c r="AK10" i="21" s="1"/>
  <c r="X10" i="21"/>
  <c r="AJ10" i="21" s="1"/>
  <c r="W10" i="21"/>
  <c r="AI10" i="21" s="1"/>
  <c r="U10" i="21"/>
  <c r="AG10" i="21" s="1"/>
  <c r="Z10" i="21"/>
  <c r="AL10" i="21" s="1"/>
  <c r="S10" i="21"/>
  <c r="AE10" i="21" s="1"/>
  <c r="T10" i="21"/>
  <c r="AF10" i="21" s="1"/>
  <c r="N12" i="24"/>
  <c r="O12" i="24" s="1"/>
  <c r="AB12" i="24" s="1"/>
  <c r="N12" i="26"/>
  <c r="O12" i="26" s="1"/>
  <c r="P12" i="26"/>
  <c r="R13" i="19"/>
  <c r="AD13" i="19" s="1"/>
  <c r="U3" i="1"/>
  <c r="M13" i="25"/>
  <c r="O13" i="25" s="1"/>
  <c r="Z13" i="19"/>
  <c r="AL13" i="19" s="1"/>
  <c r="AC11" i="33"/>
  <c r="AB10" i="26"/>
  <c r="P13" i="31"/>
  <c r="AA13" i="31" s="1"/>
  <c r="AC13" i="31" s="1"/>
  <c r="O13" i="31"/>
  <c r="O12" i="32"/>
  <c r="P12" i="32"/>
  <c r="T11" i="31"/>
  <c r="AF11" i="31" s="1"/>
  <c r="Z11" i="31"/>
  <c r="AL11" i="31" s="1"/>
  <c r="W11" i="31"/>
  <c r="AI11" i="31" s="1"/>
  <c r="Y11" i="31"/>
  <c r="AK11" i="31" s="1"/>
  <c r="U11" i="31"/>
  <c r="AG11" i="31" s="1"/>
  <c r="S11" i="31"/>
  <c r="AE11" i="31" s="1"/>
  <c r="R11" i="31"/>
  <c r="AD11" i="31" s="1"/>
  <c r="V11" i="31"/>
  <c r="AH11" i="31" s="1"/>
  <c r="X11" i="31"/>
  <c r="AJ11" i="31" s="1"/>
  <c r="AB11" i="33"/>
  <c r="P12" i="22"/>
  <c r="AA12" i="22" s="1"/>
  <c r="AC12" i="22" s="1"/>
  <c r="O12" i="22"/>
  <c r="Q12" i="33"/>
  <c r="AA12" i="33"/>
  <c r="D14" i="25"/>
  <c r="G14" i="25" s="1"/>
  <c r="J14" i="25" s="1"/>
  <c r="C15" i="25"/>
  <c r="I14" i="25"/>
  <c r="L14" i="25" s="1"/>
  <c r="H14" i="25"/>
  <c r="K14" i="25" s="1"/>
  <c r="C15" i="35"/>
  <c r="D14" i="35"/>
  <c r="G14" i="35" s="1"/>
  <c r="J14" i="35" s="1"/>
  <c r="E14" i="35"/>
  <c r="H14" i="35" s="1"/>
  <c r="K14" i="35" s="1"/>
  <c r="I14" i="35"/>
  <c r="L14" i="35" s="1"/>
  <c r="M13" i="33"/>
  <c r="M13" i="35"/>
  <c r="Q11" i="26"/>
  <c r="AA11" i="26"/>
  <c r="W11" i="25"/>
  <c r="AI11" i="25" s="1"/>
  <c r="Y11" i="25"/>
  <c r="AK11" i="25" s="1"/>
  <c r="X11" i="25"/>
  <c r="AJ11" i="25" s="1"/>
  <c r="T11" i="25"/>
  <c r="AF11" i="25" s="1"/>
  <c r="Z11" i="25"/>
  <c r="AL11" i="25" s="1"/>
  <c r="S11" i="25"/>
  <c r="AE11" i="25" s="1"/>
  <c r="U11" i="25"/>
  <c r="AG11" i="25" s="1"/>
  <c r="V11" i="25"/>
  <c r="AH11" i="25" s="1"/>
  <c r="R11" i="25"/>
  <c r="AD11" i="25" s="1"/>
  <c r="E14" i="33"/>
  <c r="H14" i="33" s="1"/>
  <c r="K14" i="33" s="1"/>
  <c r="D14" i="33"/>
  <c r="G14" i="33" s="1"/>
  <c r="J14" i="33" s="1"/>
  <c r="C15" i="33"/>
  <c r="I15" i="33" s="1"/>
  <c r="L15" i="33" s="1"/>
  <c r="W11" i="30"/>
  <c r="AI11" i="30" s="1"/>
  <c r="T11" i="30"/>
  <c r="AF11" i="30" s="1"/>
  <c r="R11" i="30"/>
  <c r="AD11" i="30" s="1"/>
  <c r="U11" i="30"/>
  <c r="AG11" i="30" s="1"/>
  <c r="Z11" i="30"/>
  <c r="AL11" i="30" s="1"/>
  <c r="Y11" i="30"/>
  <c r="AK11" i="30" s="1"/>
  <c r="V11" i="30"/>
  <c r="AH11" i="30" s="1"/>
  <c r="S11" i="30"/>
  <c r="AE11" i="30" s="1"/>
  <c r="X11" i="30"/>
  <c r="AJ11" i="30" s="1"/>
  <c r="I14" i="33"/>
  <c r="L14" i="33" s="1"/>
  <c r="E14" i="30"/>
  <c r="H14" i="30" s="1"/>
  <c r="K14" i="30" s="1"/>
  <c r="D14" i="30"/>
  <c r="G14" i="30" s="1"/>
  <c r="J14" i="30" s="1"/>
  <c r="C15" i="30"/>
  <c r="I14" i="30"/>
  <c r="L14" i="30" s="1"/>
  <c r="Q12" i="24"/>
  <c r="V13" i="19"/>
  <c r="AH13" i="19" s="1"/>
  <c r="Z11" i="20"/>
  <c r="AL11" i="20" s="1"/>
  <c r="X14" i="27"/>
  <c r="AJ14" i="27" s="1"/>
  <c r="R10" i="26"/>
  <c r="AD10" i="26" s="1"/>
  <c r="V10" i="26"/>
  <c r="AH10" i="26" s="1"/>
  <c r="Z10" i="26"/>
  <c r="AL10" i="26" s="1"/>
  <c r="U10" i="26"/>
  <c r="AG10" i="26" s="1"/>
  <c r="T10" i="26"/>
  <c r="AF10" i="26" s="1"/>
  <c r="S10" i="26"/>
  <c r="AE10" i="26" s="1"/>
  <c r="W10" i="26"/>
  <c r="AI10" i="26" s="1"/>
  <c r="X10" i="26"/>
  <c r="AJ10" i="26" s="1"/>
  <c r="Y10" i="26"/>
  <c r="AK10" i="26" s="1"/>
  <c r="V10" i="33"/>
  <c r="AH10" i="33" s="1"/>
  <c r="T10" i="33"/>
  <c r="AF10" i="33" s="1"/>
  <c r="S10" i="33"/>
  <c r="AE10" i="33" s="1"/>
  <c r="W10" i="33"/>
  <c r="AI10" i="33" s="1"/>
  <c r="R10" i="33"/>
  <c r="AD10" i="33" s="1"/>
  <c r="Y10" i="33"/>
  <c r="AK10" i="33" s="1"/>
  <c r="Z10" i="33"/>
  <c r="AL10" i="33" s="1"/>
  <c r="X10" i="33"/>
  <c r="AJ10" i="33" s="1"/>
  <c r="U10" i="33"/>
  <c r="AG10" i="33" s="1"/>
  <c r="AB11" i="32"/>
  <c r="M13" i="26"/>
  <c r="M13" i="39"/>
  <c r="C15" i="22"/>
  <c r="D14" i="22"/>
  <c r="G14" i="22" s="1"/>
  <c r="J14" i="22" s="1"/>
  <c r="F14" i="22"/>
  <c r="I14" i="22" s="1"/>
  <c r="L14" i="22" s="1"/>
  <c r="E14" i="22"/>
  <c r="H14" i="22" s="1"/>
  <c r="K14" i="22" s="1"/>
  <c r="Q11" i="35"/>
  <c r="AA11" i="35"/>
  <c r="AC11" i="35" s="1"/>
  <c r="F14" i="32"/>
  <c r="I14" i="32" s="1"/>
  <c r="L14" i="32" s="1"/>
  <c r="C15" i="32"/>
  <c r="D14" i="32"/>
  <c r="G14" i="32" s="1"/>
  <c r="J14" i="32" s="1"/>
  <c r="E14" i="32"/>
  <c r="H14" i="32" s="1"/>
  <c r="K14" i="32" s="1"/>
  <c r="D14" i="24"/>
  <c r="G14" i="24" s="1"/>
  <c r="J14" i="24" s="1"/>
  <c r="E14" i="24"/>
  <c r="H14" i="24" s="1"/>
  <c r="K14" i="24" s="1"/>
  <c r="C15" i="24"/>
  <c r="F14" i="24"/>
  <c r="I14" i="24" s="1"/>
  <c r="L14" i="24" s="1"/>
  <c r="Q11" i="32"/>
  <c r="Q11" i="33"/>
  <c r="Q12" i="30"/>
  <c r="C15" i="26"/>
  <c r="D14" i="26"/>
  <c r="G14" i="26" s="1"/>
  <c r="J14" i="26" s="1"/>
  <c r="F14" i="26"/>
  <c r="I14" i="26" s="1"/>
  <c r="L14" i="26" s="1"/>
  <c r="E14" i="26"/>
  <c r="H14" i="26" s="1"/>
  <c r="K14" i="26" s="1"/>
  <c r="E14" i="39"/>
  <c r="H14" i="39" s="1"/>
  <c r="K14" i="39" s="1"/>
  <c r="C15" i="39"/>
  <c r="F14" i="39"/>
  <c r="I14" i="39" s="1"/>
  <c r="L14" i="39" s="1"/>
  <c r="D14" i="39"/>
  <c r="G14" i="39" s="1"/>
  <c r="J14" i="39" s="1"/>
  <c r="M13" i="22"/>
  <c r="AA13" i="38"/>
  <c r="AC13" i="38" s="1"/>
  <c r="Y13" i="21"/>
  <c r="AK13" i="21" s="1"/>
  <c r="Z13" i="21"/>
  <c r="AL13" i="21" s="1"/>
  <c r="X13" i="21"/>
  <c r="AJ13" i="21" s="1"/>
  <c r="X11" i="20"/>
  <c r="AJ11" i="20" s="1"/>
  <c r="U11" i="20"/>
  <c r="AG11" i="20" s="1"/>
  <c r="T11" i="20"/>
  <c r="AF11" i="20" s="1"/>
  <c r="V12" i="34"/>
  <c r="AH12" i="34" s="1"/>
  <c r="Z12" i="36"/>
  <c r="AL12" i="36" s="1"/>
  <c r="Y11" i="20"/>
  <c r="AK11" i="20" s="1"/>
  <c r="R11" i="20"/>
  <c r="AD11" i="20" s="1"/>
  <c r="V11" i="20"/>
  <c r="AH11" i="20" s="1"/>
  <c r="S13" i="21"/>
  <c r="AE13" i="21" s="1"/>
  <c r="Z12" i="29"/>
  <c r="AL12" i="29" s="1"/>
  <c r="T13" i="21"/>
  <c r="AF13" i="21" s="1"/>
  <c r="V13" i="21"/>
  <c r="AH13" i="21" s="1"/>
  <c r="V11" i="8"/>
  <c r="AH11" i="8" s="1"/>
  <c r="U12" i="34"/>
  <c r="AG12" i="34" s="1"/>
  <c r="Z12" i="34"/>
  <c r="AL12" i="34" s="1"/>
  <c r="R12" i="34"/>
  <c r="AD12" i="34" s="1"/>
  <c r="S12" i="34"/>
  <c r="AE12" i="34" s="1"/>
  <c r="R13" i="21"/>
  <c r="AD13" i="21" s="1"/>
  <c r="W11" i="8"/>
  <c r="AI11" i="8" s="1"/>
  <c r="AA12" i="37"/>
  <c r="AC12" i="37" s="1"/>
  <c r="AF12" i="36"/>
  <c r="S12" i="29"/>
  <c r="AE12" i="29" s="1"/>
  <c r="X12" i="37"/>
  <c r="AJ12" i="37" s="1"/>
  <c r="U12" i="37"/>
  <c r="AG12" i="37" s="1"/>
  <c r="W12" i="37"/>
  <c r="AI12" i="37" s="1"/>
  <c r="V12" i="37"/>
  <c r="AH12" i="37" s="1"/>
  <c r="X11" i="8"/>
  <c r="AJ11" i="8" s="1"/>
  <c r="W12" i="36"/>
  <c r="AI12" i="36" s="1"/>
  <c r="Y12" i="36"/>
  <c r="AK12" i="36" s="1"/>
  <c r="Z11" i="8"/>
  <c r="AL11" i="8" s="1"/>
  <c r="U12" i="36"/>
  <c r="AG12" i="36" s="1"/>
  <c r="V12" i="36"/>
  <c r="AH12" i="36" s="1"/>
  <c r="Y12" i="37"/>
  <c r="AK12" i="37" s="1"/>
  <c r="S12" i="37"/>
  <c r="AE12" i="37" s="1"/>
  <c r="AC12" i="36"/>
  <c r="Y13" i="40"/>
  <c r="AK13" i="40" s="1"/>
  <c r="Z13" i="40"/>
  <c r="AL13" i="40" s="1"/>
  <c r="U13" i="38"/>
  <c r="AG13" i="38" s="1"/>
  <c r="R13" i="38"/>
  <c r="AD13" i="38" s="1"/>
  <c r="V13" i="38"/>
  <c r="AH13" i="38" s="1"/>
  <c r="Z13" i="38"/>
  <c r="AL13" i="38" s="1"/>
  <c r="Y13" i="38"/>
  <c r="AK13" i="38" s="1"/>
  <c r="X13" i="38"/>
  <c r="AJ13" i="38" s="1"/>
  <c r="W13" i="38"/>
  <c r="AI13" i="38" s="1"/>
  <c r="T13" i="38"/>
  <c r="AF13" i="38" s="1"/>
  <c r="S13" i="38"/>
  <c r="AE13" i="38" s="1"/>
  <c r="AB12" i="36"/>
  <c r="Z12" i="37"/>
  <c r="AL12" i="37" s="1"/>
  <c r="P13" i="29"/>
  <c r="AA13" i="29" s="1"/>
  <c r="R12" i="36"/>
  <c r="AD12" i="36" s="1"/>
  <c r="X13" i="40"/>
  <c r="AJ13" i="40" s="1"/>
  <c r="V13" i="40"/>
  <c r="AH13" i="40" s="1"/>
  <c r="O13" i="36"/>
  <c r="R13" i="40"/>
  <c r="AD13" i="40" s="1"/>
  <c r="M14" i="37"/>
  <c r="O14" i="37" s="1"/>
  <c r="W12" i="29"/>
  <c r="AI12" i="29" s="1"/>
  <c r="R12" i="37"/>
  <c r="AD12" i="37" s="1"/>
  <c r="Y12" i="29"/>
  <c r="AK12" i="29" s="1"/>
  <c r="N13" i="34"/>
  <c r="O13" i="34" s="1"/>
  <c r="AG13" i="40"/>
  <c r="U12" i="29"/>
  <c r="AG12" i="29" s="1"/>
  <c r="O13" i="37"/>
  <c r="T12" i="29"/>
  <c r="AF12" i="29" s="1"/>
  <c r="V12" i="29"/>
  <c r="AH12" i="29" s="1"/>
  <c r="T12" i="37"/>
  <c r="AF12" i="37" s="1"/>
  <c r="W13" i="40"/>
  <c r="AI13" i="40" s="1"/>
  <c r="M14" i="29"/>
  <c r="P14" i="29" s="1"/>
  <c r="R12" i="29"/>
  <c r="AD12" i="29" s="1"/>
  <c r="S13" i="40"/>
  <c r="AE13" i="40" s="1"/>
  <c r="S12" i="36"/>
  <c r="AE12" i="36" s="1"/>
  <c r="T13" i="40"/>
  <c r="AF13" i="40" s="1"/>
  <c r="Q13" i="37"/>
  <c r="V13" i="37" s="1"/>
  <c r="Q15" i="27"/>
  <c r="V15" i="27" s="1"/>
  <c r="Q12" i="28"/>
  <c r="Q13" i="36"/>
  <c r="T13" i="36" s="1"/>
  <c r="Q13" i="34"/>
  <c r="U13" i="34" s="1"/>
  <c r="Q12" i="20"/>
  <c r="T12" i="20" s="1"/>
  <c r="AF14" i="27"/>
  <c r="P13" i="28"/>
  <c r="AA13" i="28" s="1"/>
  <c r="AC13" i="28" s="1"/>
  <c r="X12" i="36"/>
  <c r="AJ12" i="36" s="1"/>
  <c r="P14" i="38"/>
  <c r="AA14" i="38" s="1"/>
  <c r="AC14" i="38" s="1"/>
  <c r="Q12" i="8"/>
  <c r="Z12" i="8" s="1"/>
  <c r="Q14" i="19"/>
  <c r="Z14" i="19" s="1"/>
  <c r="O13" i="28"/>
  <c r="Q14" i="40"/>
  <c r="Z14" i="40" s="1"/>
  <c r="M15" i="40"/>
  <c r="P15" i="40" s="1"/>
  <c r="N15" i="40"/>
  <c r="C17" i="40"/>
  <c r="D16" i="40"/>
  <c r="G16" i="40" s="1"/>
  <c r="J16" i="40" s="1"/>
  <c r="E16" i="40"/>
  <c r="H16" i="40" s="1"/>
  <c r="K16" i="40" s="1"/>
  <c r="F16" i="40"/>
  <c r="I16" i="40" s="1"/>
  <c r="L16" i="40" s="1"/>
  <c r="AB13" i="40"/>
  <c r="O14" i="40"/>
  <c r="AA14" i="40"/>
  <c r="AC14" i="40" s="1"/>
  <c r="M15" i="38"/>
  <c r="O15" i="38" s="1"/>
  <c r="C17" i="38"/>
  <c r="F17" i="38" s="1"/>
  <c r="D16" i="38"/>
  <c r="G16" i="38" s="1"/>
  <c r="J16" i="38" s="1"/>
  <c r="H16" i="38"/>
  <c r="K16" i="38" s="1"/>
  <c r="I16" i="38"/>
  <c r="L16" i="38" s="1"/>
  <c r="C16" i="37"/>
  <c r="D15" i="37"/>
  <c r="G15" i="37" s="1"/>
  <c r="J15" i="37" s="1"/>
  <c r="F15" i="37"/>
  <c r="I15" i="37" s="1"/>
  <c r="L15" i="37" s="1"/>
  <c r="E15" i="37"/>
  <c r="H15" i="37" s="1"/>
  <c r="K15" i="37" s="1"/>
  <c r="AA13" i="37"/>
  <c r="AC13" i="37" s="1"/>
  <c r="AB12" i="28"/>
  <c r="M14" i="36"/>
  <c r="P14" i="36" s="1"/>
  <c r="N14" i="36"/>
  <c r="C16" i="36"/>
  <c r="F16" i="36" s="1"/>
  <c r="E15" i="36"/>
  <c r="H15" i="36" s="1"/>
  <c r="K15" i="36" s="1"/>
  <c r="D15" i="36"/>
  <c r="G15" i="36" s="1"/>
  <c r="J15" i="36" s="1"/>
  <c r="I15" i="36"/>
  <c r="L15" i="36" s="1"/>
  <c r="AA13" i="36"/>
  <c r="M14" i="34"/>
  <c r="P14" i="34" s="1"/>
  <c r="AI12" i="34"/>
  <c r="AB12" i="34"/>
  <c r="C16" i="34"/>
  <c r="E15" i="34"/>
  <c r="H15" i="34" s="1"/>
  <c r="K15" i="34" s="1"/>
  <c r="D15" i="34"/>
  <c r="G15" i="34" s="1"/>
  <c r="J15" i="34" s="1"/>
  <c r="I15" i="34"/>
  <c r="L15" i="34" s="1"/>
  <c r="AA13" i="34"/>
  <c r="F16" i="33"/>
  <c r="N16" i="31"/>
  <c r="C16" i="29"/>
  <c r="D15" i="29"/>
  <c r="G15" i="29" s="1"/>
  <c r="J15" i="29" s="1"/>
  <c r="E15" i="29"/>
  <c r="H15" i="29" s="1"/>
  <c r="K15" i="29" s="1"/>
  <c r="I15" i="29"/>
  <c r="L15" i="29" s="1"/>
  <c r="AJ12" i="29"/>
  <c r="O13" i="29"/>
  <c r="M14" i="28"/>
  <c r="N14" i="28" s="1"/>
  <c r="C16" i="28"/>
  <c r="E16" i="28" s="1"/>
  <c r="D15" i="28"/>
  <c r="G15" i="28" s="1"/>
  <c r="J15" i="28" s="1"/>
  <c r="H15" i="28"/>
  <c r="K15" i="28" s="1"/>
  <c r="I15" i="28"/>
  <c r="L15" i="28" s="1"/>
  <c r="M16" i="27"/>
  <c r="P16" i="27" s="1"/>
  <c r="AB14" i="27"/>
  <c r="N16" i="27"/>
  <c r="AA15" i="27"/>
  <c r="AC15" i="27" s="1"/>
  <c r="C18" i="27"/>
  <c r="F17" i="27"/>
  <c r="I17" i="27" s="1"/>
  <c r="L17" i="27" s="1"/>
  <c r="D17" i="27"/>
  <c r="G17" i="27" s="1"/>
  <c r="J17" i="27" s="1"/>
  <c r="E17" i="27"/>
  <c r="H17" i="27" s="1"/>
  <c r="K17" i="27" s="1"/>
  <c r="O15" i="27"/>
  <c r="N16" i="25"/>
  <c r="E17" i="25"/>
  <c r="F17" i="25"/>
  <c r="AI11" i="20"/>
  <c r="AI13" i="21"/>
  <c r="P14" i="21"/>
  <c r="AB11" i="8"/>
  <c r="AI13" i="19"/>
  <c r="O12" i="8"/>
  <c r="AD11" i="8"/>
  <c r="M15" i="21"/>
  <c r="O15" i="21" s="1"/>
  <c r="AB13" i="21"/>
  <c r="C17" i="21"/>
  <c r="D16" i="21"/>
  <c r="G16" i="21" s="1"/>
  <c r="J16" i="21" s="1"/>
  <c r="H16" i="21"/>
  <c r="K16" i="21" s="1"/>
  <c r="I16" i="21"/>
  <c r="L16" i="21" s="1"/>
  <c r="N13" i="20"/>
  <c r="C15" i="20"/>
  <c r="D14" i="20"/>
  <c r="G14" i="20" s="1"/>
  <c r="J14" i="20" s="1"/>
  <c r="F14" i="20"/>
  <c r="I14" i="20" s="1"/>
  <c r="L14" i="20" s="1"/>
  <c r="E14" i="20"/>
  <c r="AB11" i="20"/>
  <c r="O12" i="20"/>
  <c r="AA12" i="20"/>
  <c r="AC12" i="20" s="1"/>
  <c r="N15" i="19"/>
  <c r="AB13" i="19"/>
  <c r="C17" i="19"/>
  <c r="D16" i="19"/>
  <c r="E16" i="19"/>
  <c r="F16" i="19"/>
  <c r="AA14" i="19"/>
  <c r="AC14" i="19" s="1"/>
  <c r="O14" i="19"/>
  <c r="AA12" i="8"/>
  <c r="P13" i="8"/>
  <c r="N13" i="8"/>
  <c r="M14" i="8"/>
  <c r="C16" i="8"/>
  <c r="E16" i="8" s="1"/>
  <c r="D15" i="8"/>
  <c r="G15" i="8" s="1"/>
  <c r="J15" i="8" s="1"/>
  <c r="F15" i="8"/>
  <c r="I15" i="8" s="1"/>
  <c r="L15" i="8" s="1"/>
  <c r="H15" i="8"/>
  <c r="K15" i="8" s="1"/>
  <c r="AL21" i="47" l="1"/>
  <c r="AG21" i="47"/>
  <c r="AB18" i="60"/>
  <c r="CV3" i="1"/>
  <c r="CU3" i="1"/>
  <c r="AB19" i="50"/>
  <c r="DE5" i="1"/>
  <c r="DN5" i="1" s="1"/>
  <c r="CV8" i="1"/>
  <c r="DA8" i="1"/>
  <c r="DB8" i="1"/>
  <c r="DC8" i="1" s="1"/>
  <c r="CU8" i="1"/>
  <c r="CY8" i="1" s="1"/>
  <c r="CO10" i="1"/>
  <c r="EQ10" i="1"/>
  <c r="CN10" i="1"/>
  <c r="EP10" i="1"/>
  <c r="CM10" i="1"/>
  <c r="EO10" i="1"/>
  <c r="CI10" i="1"/>
  <c r="EK10" i="1"/>
  <c r="CH10" i="1"/>
  <c r="EJ10" i="1"/>
  <c r="CK10" i="1"/>
  <c r="EM10" i="1"/>
  <c r="CL10" i="1"/>
  <c r="EN10" i="1"/>
  <c r="CD11" i="1"/>
  <c r="EF11" i="1"/>
  <c r="CJ10" i="1"/>
  <c r="EL10" i="1"/>
  <c r="CF10" i="1"/>
  <c r="EH10" i="1"/>
  <c r="CS9" i="1"/>
  <c r="DF9" i="1" s="1"/>
  <c r="CT9" i="1"/>
  <c r="DB9" i="1" s="1"/>
  <c r="DC9" i="1" s="1"/>
  <c r="DK9" i="1"/>
  <c r="DL9" i="1" s="1"/>
  <c r="CC10" i="1"/>
  <c r="DH10" i="1"/>
  <c r="DI10" i="1"/>
  <c r="DJ10" i="1" s="1"/>
  <c r="S19" i="56"/>
  <c r="AE19" i="56" s="1"/>
  <c r="T19" i="56"/>
  <c r="AF19" i="56" s="1"/>
  <c r="DE7" i="1"/>
  <c r="DN7" i="1" s="1"/>
  <c r="AI19" i="58"/>
  <c r="AB19" i="58"/>
  <c r="AB19" i="49"/>
  <c r="V19" i="56"/>
  <c r="AH19" i="56" s="1"/>
  <c r="Z19" i="56"/>
  <c r="AL19" i="56" s="1"/>
  <c r="Y19" i="56"/>
  <c r="AK19" i="56" s="1"/>
  <c r="AA20" i="49"/>
  <c r="AC20" i="49" s="1"/>
  <c r="X19" i="49"/>
  <c r="AJ19" i="49" s="1"/>
  <c r="S19" i="49"/>
  <c r="AE19" i="49" s="1"/>
  <c r="Y19" i="49"/>
  <c r="AK19" i="49" s="1"/>
  <c r="V19" i="49"/>
  <c r="AH19" i="49" s="1"/>
  <c r="W19" i="49"/>
  <c r="AI19" i="49" s="1"/>
  <c r="R19" i="49"/>
  <c r="AD19" i="49" s="1"/>
  <c r="Z19" i="49"/>
  <c r="AL19" i="49" s="1"/>
  <c r="U19" i="49"/>
  <c r="AG19" i="49" s="1"/>
  <c r="T19" i="49"/>
  <c r="AF19" i="49" s="1"/>
  <c r="O20" i="49"/>
  <c r="AB20" i="49" s="1"/>
  <c r="X20" i="49"/>
  <c r="V20" i="49"/>
  <c r="U20" i="49"/>
  <c r="T20" i="49"/>
  <c r="S20" i="49"/>
  <c r="R20" i="49"/>
  <c r="W20" i="49"/>
  <c r="Z20" i="49"/>
  <c r="Y20" i="49"/>
  <c r="M22" i="49"/>
  <c r="C24" i="49"/>
  <c r="F23" i="49"/>
  <c r="I23" i="49" s="1"/>
  <c r="L23" i="49" s="1"/>
  <c r="E23" i="49"/>
  <c r="H23" i="49" s="1"/>
  <c r="K23" i="49" s="1"/>
  <c r="D23" i="49"/>
  <c r="G23" i="49" s="1"/>
  <c r="J23" i="49" s="1"/>
  <c r="P21" i="49"/>
  <c r="Q21" i="49" s="1"/>
  <c r="N21" i="49"/>
  <c r="AA19" i="43"/>
  <c r="AB19" i="43" s="1"/>
  <c r="S19" i="43"/>
  <c r="AE19" i="43" s="1"/>
  <c r="U19" i="56"/>
  <c r="AG19" i="56" s="1"/>
  <c r="AA19" i="56"/>
  <c r="AC19" i="56" s="1"/>
  <c r="R19" i="56"/>
  <c r="AD19" i="56" s="1"/>
  <c r="W19" i="56"/>
  <c r="AI19" i="56" s="1"/>
  <c r="S21" i="45"/>
  <c r="AE21" i="45" s="1"/>
  <c r="CZ7" i="1"/>
  <c r="DM7" i="1" s="1"/>
  <c r="DP7" i="1" s="1"/>
  <c r="CZ5" i="1"/>
  <c r="DM5" i="1" s="1"/>
  <c r="DP5" i="1" s="1"/>
  <c r="CZ3" i="1"/>
  <c r="U19" i="43"/>
  <c r="AG19" i="43" s="1"/>
  <c r="Y19" i="43"/>
  <c r="AK19" i="43" s="1"/>
  <c r="AD19" i="57"/>
  <c r="W19" i="43"/>
  <c r="AI19" i="43" s="1"/>
  <c r="AH20" i="51"/>
  <c r="AG19" i="64"/>
  <c r="CV4" i="1"/>
  <c r="CU4" i="1"/>
  <c r="V19" i="43"/>
  <c r="AH19" i="43" s="1"/>
  <c r="X19" i="43"/>
  <c r="AJ19" i="43" s="1"/>
  <c r="T19" i="43"/>
  <c r="AF19" i="43" s="1"/>
  <c r="R19" i="43"/>
  <c r="AD19" i="43" s="1"/>
  <c r="AG20" i="65"/>
  <c r="CU6" i="1"/>
  <c r="CY6" i="1" s="1"/>
  <c r="DE6" i="1" s="1"/>
  <c r="DN6" i="1" s="1"/>
  <c r="Y20" i="52"/>
  <c r="AK20" i="52" s="1"/>
  <c r="AJ19" i="58"/>
  <c r="T20" i="52"/>
  <c r="AF20" i="52" s="1"/>
  <c r="W20" i="52"/>
  <c r="AI20" i="52" s="1"/>
  <c r="AB18" i="43"/>
  <c r="V20" i="52"/>
  <c r="AH20" i="52" s="1"/>
  <c r="O20" i="43"/>
  <c r="AL19" i="57"/>
  <c r="Z20" i="52"/>
  <c r="AL20" i="52" s="1"/>
  <c r="AF19" i="58"/>
  <c r="AH19" i="60"/>
  <c r="O20" i="56"/>
  <c r="AI19" i="60"/>
  <c r="R19" i="62"/>
  <c r="AD19" i="62" s="1"/>
  <c r="N21" i="51"/>
  <c r="O21" i="51" s="1"/>
  <c r="AK19" i="60"/>
  <c r="S19" i="62"/>
  <c r="AE19" i="62" s="1"/>
  <c r="P22" i="45"/>
  <c r="Q22" i="45" s="1"/>
  <c r="Y22" i="45" s="1"/>
  <c r="AK22" i="45" s="1"/>
  <c r="AL19" i="60"/>
  <c r="AG19" i="60"/>
  <c r="AB18" i="63"/>
  <c r="AF19" i="60"/>
  <c r="AJ19" i="60"/>
  <c r="AC19" i="60"/>
  <c r="V21" i="45"/>
  <c r="AH21" i="45" s="1"/>
  <c r="AC19" i="53"/>
  <c r="AD19" i="60"/>
  <c r="AI5" i="1"/>
  <c r="X21" i="45"/>
  <c r="AJ21" i="45" s="1"/>
  <c r="AE19" i="60"/>
  <c r="AA19" i="62"/>
  <c r="AC19" i="62" s="1"/>
  <c r="W19" i="62"/>
  <c r="AI19" i="62" s="1"/>
  <c r="M15" i="19"/>
  <c r="P15" i="19" s="1"/>
  <c r="Q15" i="19" s="1"/>
  <c r="V15" i="19" s="1"/>
  <c r="X19" i="62"/>
  <c r="AJ19" i="62" s="1"/>
  <c r="Z19" i="62"/>
  <c r="AL19" i="62" s="1"/>
  <c r="BR11" i="1"/>
  <c r="V19" i="62"/>
  <c r="AH19" i="62" s="1"/>
  <c r="AA20" i="43"/>
  <c r="AK20" i="51"/>
  <c r="AG19" i="57"/>
  <c r="AI19" i="57"/>
  <c r="AD19" i="58"/>
  <c r="AI20" i="51"/>
  <c r="AB20" i="51"/>
  <c r="U20" i="52"/>
  <c r="AG20" i="52" s="1"/>
  <c r="AA20" i="52"/>
  <c r="AC20" i="52" s="1"/>
  <c r="AH19" i="58"/>
  <c r="BS11" i="1"/>
  <c r="M21" i="56"/>
  <c r="P21" i="56" s="1"/>
  <c r="Q21" i="56" s="1"/>
  <c r="AE20" i="51"/>
  <c r="BX11" i="1"/>
  <c r="ER11" i="1" s="1"/>
  <c r="AF20" i="51"/>
  <c r="BW11" i="1"/>
  <c r="AE19" i="57"/>
  <c r="BY10" i="1"/>
  <c r="T19" i="62"/>
  <c r="AF19" i="62" s="1"/>
  <c r="AD19" i="64"/>
  <c r="BT11" i="1"/>
  <c r="BZ10" i="1"/>
  <c r="AJ20" i="51"/>
  <c r="Y19" i="62"/>
  <c r="AK19" i="62" s="1"/>
  <c r="BV11" i="1"/>
  <c r="AC18" i="56"/>
  <c r="AB18" i="56"/>
  <c r="BO12" i="1" s="1"/>
  <c r="CG12" i="1" s="1"/>
  <c r="AD20" i="51"/>
  <c r="AL20" i="51"/>
  <c r="BP11" i="1"/>
  <c r="AF20" i="65"/>
  <c r="Z21" i="45"/>
  <c r="AL21" i="45" s="1"/>
  <c r="AL20" i="65"/>
  <c r="AA18" i="46"/>
  <c r="AC18" i="46" s="1"/>
  <c r="AB17" i="46"/>
  <c r="BN11" i="1" s="1"/>
  <c r="R21" i="45"/>
  <c r="AD21" i="45" s="1"/>
  <c r="AC20" i="48"/>
  <c r="AH20" i="65"/>
  <c r="AC18" i="55"/>
  <c r="AB18" i="55"/>
  <c r="BK12" i="1" s="1"/>
  <c r="EE12" i="1" s="1"/>
  <c r="U21" i="45"/>
  <c r="AG21" i="45" s="1"/>
  <c r="AK19" i="58"/>
  <c r="AI20" i="65"/>
  <c r="M21" i="43"/>
  <c r="O21" i="43" s="1"/>
  <c r="BQ11" i="1"/>
  <c r="Y18" i="55"/>
  <c r="AK18" i="55" s="1"/>
  <c r="R18" i="55"/>
  <c r="AD18" i="55" s="1"/>
  <c r="X18" i="55"/>
  <c r="AJ18" i="55" s="1"/>
  <c r="W18" i="55"/>
  <c r="AI18" i="55" s="1"/>
  <c r="U18" i="55"/>
  <c r="AG18" i="55" s="1"/>
  <c r="S18" i="55"/>
  <c r="AE18" i="55" s="1"/>
  <c r="Z18" i="55"/>
  <c r="AL18" i="55" s="1"/>
  <c r="T18" i="55"/>
  <c r="AF18" i="55" s="1"/>
  <c r="V18" i="55"/>
  <c r="AH18" i="55" s="1"/>
  <c r="AJ20" i="65"/>
  <c r="AK20" i="65"/>
  <c r="BU11" i="1"/>
  <c r="T21" i="45"/>
  <c r="AF21" i="45" s="1"/>
  <c r="AD20" i="65"/>
  <c r="AA20" i="56"/>
  <c r="AC20" i="56" s="1"/>
  <c r="Q19" i="55"/>
  <c r="AA19" i="55"/>
  <c r="AE20" i="65"/>
  <c r="P20" i="55"/>
  <c r="Q20" i="55" s="1"/>
  <c r="N20" i="55"/>
  <c r="O20" i="55" s="1"/>
  <c r="C23" i="43"/>
  <c r="H22" i="43"/>
  <c r="K22" i="43" s="1"/>
  <c r="F22" i="43"/>
  <c r="I22" i="43" s="1"/>
  <c r="L22" i="43" s="1"/>
  <c r="D22" i="43"/>
  <c r="G22" i="43" s="1"/>
  <c r="J22" i="43" s="1"/>
  <c r="M21" i="55"/>
  <c r="M20" i="46"/>
  <c r="W20" i="43"/>
  <c r="V20" i="43"/>
  <c r="R20" i="43"/>
  <c r="U20" i="43"/>
  <c r="S20" i="43"/>
  <c r="X20" i="43"/>
  <c r="Y20" i="43"/>
  <c r="Z20" i="43"/>
  <c r="T20" i="43"/>
  <c r="AL19" i="58"/>
  <c r="AK19" i="64"/>
  <c r="C23" i="55"/>
  <c r="E22" i="55"/>
  <c r="H22" i="55" s="1"/>
  <c r="K22" i="55" s="1"/>
  <c r="D22" i="55"/>
  <c r="G22" i="55" s="1"/>
  <c r="J22" i="55" s="1"/>
  <c r="I22" i="55"/>
  <c r="L22" i="55" s="1"/>
  <c r="I21" i="46"/>
  <c r="L21" i="46" s="1"/>
  <c r="C22" i="46"/>
  <c r="D21" i="46"/>
  <c r="G21" i="46" s="1"/>
  <c r="J21" i="46" s="1"/>
  <c r="H21" i="46"/>
  <c r="K21" i="46" s="1"/>
  <c r="S18" i="46"/>
  <c r="AE18" i="46" s="1"/>
  <c r="R18" i="46"/>
  <c r="AD18" i="46" s="1"/>
  <c r="U18" i="46"/>
  <c r="AG18" i="46" s="1"/>
  <c r="Z18" i="46"/>
  <c r="AL18" i="46" s="1"/>
  <c r="Y18" i="46"/>
  <c r="AK18" i="46" s="1"/>
  <c r="X18" i="46"/>
  <c r="AJ18" i="46" s="1"/>
  <c r="W18" i="46"/>
  <c r="AI18" i="46" s="1"/>
  <c r="V18" i="46"/>
  <c r="AH18" i="46" s="1"/>
  <c r="T18" i="46"/>
  <c r="AF18" i="46" s="1"/>
  <c r="AH19" i="57"/>
  <c r="AE19" i="58"/>
  <c r="I22" i="56"/>
  <c r="L22" i="56" s="1"/>
  <c r="C23" i="56"/>
  <c r="D22" i="56"/>
  <c r="G22" i="56" s="1"/>
  <c r="J22" i="56" s="1"/>
  <c r="E22" i="56"/>
  <c r="H22" i="56" s="1"/>
  <c r="K22" i="56" s="1"/>
  <c r="O19" i="46"/>
  <c r="P19" i="46"/>
  <c r="Z20" i="56"/>
  <c r="R20" i="56"/>
  <c r="Y20" i="56"/>
  <c r="X20" i="56"/>
  <c r="W20" i="56"/>
  <c r="V20" i="56"/>
  <c r="U20" i="56"/>
  <c r="T20" i="56"/>
  <c r="S20" i="56"/>
  <c r="AG20" i="51"/>
  <c r="AI19" i="64"/>
  <c r="AC19" i="64"/>
  <c r="P21" i="50"/>
  <c r="Q21" i="50" s="1"/>
  <c r="Z21" i="50" s="1"/>
  <c r="AL21" i="50" s="1"/>
  <c r="X20" i="52"/>
  <c r="AJ20" i="52" s="1"/>
  <c r="AJ19" i="57"/>
  <c r="AG19" i="58"/>
  <c r="CC11" i="1"/>
  <c r="W21" i="45"/>
  <c r="AI21" i="45" s="1"/>
  <c r="AA21" i="45"/>
  <c r="AC20" i="51"/>
  <c r="R20" i="52"/>
  <c r="AD20" i="52" s="1"/>
  <c r="AK19" i="57"/>
  <c r="X19" i="63"/>
  <c r="AJ19" i="63" s="1"/>
  <c r="Z19" i="63"/>
  <c r="AL19" i="63" s="1"/>
  <c r="R19" i="63"/>
  <c r="AD19" i="63" s="1"/>
  <c r="P22" i="47"/>
  <c r="Q22" i="47" s="1"/>
  <c r="W22" i="47" s="1"/>
  <c r="AI22" i="47" s="1"/>
  <c r="AF19" i="57"/>
  <c r="AH19" i="64"/>
  <c r="AB20" i="48"/>
  <c r="P21" i="65"/>
  <c r="Q21" i="65" s="1"/>
  <c r="T21" i="65" s="1"/>
  <c r="AF21" i="65" s="1"/>
  <c r="X20" i="50"/>
  <c r="AJ20" i="50" s="1"/>
  <c r="M21" i="61"/>
  <c r="AA19" i="63"/>
  <c r="AC19" i="63" s="1"/>
  <c r="S19" i="63"/>
  <c r="AE19" i="63" s="1"/>
  <c r="AJ19" i="64"/>
  <c r="AB19" i="64"/>
  <c r="V19" i="63"/>
  <c r="AH19" i="63" s="1"/>
  <c r="N20" i="64"/>
  <c r="O20" i="64" s="1"/>
  <c r="O20" i="57"/>
  <c r="P20" i="63"/>
  <c r="Q20" i="63" s="1"/>
  <c r="T20" i="63" s="1"/>
  <c r="AF20" i="63" s="1"/>
  <c r="AL19" i="64"/>
  <c r="AF19" i="64"/>
  <c r="U19" i="63"/>
  <c r="AG19" i="63" s="1"/>
  <c r="Y19" i="63"/>
  <c r="AK19" i="63" s="1"/>
  <c r="AE19" i="64"/>
  <c r="AC20" i="54"/>
  <c r="M21" i="60"/>
  <c r="N21" i="60" s="1"/>
  <c r="AB21" i="47"/>
  <c r="O21" i="52"/>
  <c r="AC19" i="52"/>
  <c r="AB19" i="52"/>
  <c r="P21" i="54"/>
  <c r="Q21" i="54" s="1"/>
  <c r="V21" i="54" s="1"/>
  <c r="N20" i="58"/>
  <c r="O20" i="58" s="1"/>
  <c r="AJ19" i="44"/>
  <c r="AB19" i="60"/>
  <c r="N20" i="60"/>
  <c r="O20" i="60" s="1"/>
  <c r="AH19" i="44"/>
  <c r="AH20" i="54"/>
  <c r="AC18" i="64"/>
  <c r="AK20" i="48"/>
  <c r="R20" i="50"/>
  <c r="AD20" i="50" s="1"/>
  <c r="M22" i="52"/>
  <c r="O22" i="52" s="1"/>
  <c r="AC19" i="58"/>
  <c r="AF19" i="44"/>
  <c r="Y20" i="50"/>
  <c r="AK20" i="50" s="1"/>
  <c r="P20" i="53"/>
  <c r="Q20" i="53" s="1"/>
  <c r="U20" i="53" s="1"/>
  <c r="AI19" i="44"/>
  <c r="N20" i="44"/>
  <c r="O20" i="44" s="1"/>
  <c r="Z20" i="50"/>
  <c r="AL20" i="50" s="1"/>
  <c r="AB19" i="44"/>
  <c r="AI20" i="54"/>
  <c r="S20" i="50"/>
  <c r="AE20" i="50" s="1"/>
  <c r="M21" i="58"/>
  <c r="P21" i="58" s="1"/>
  <c r="Q21" i="58" s="1"/>
  <c r="T20" i="50"/>
  <c r="AF20" i="50" s="1"/>
  <c r="M22" i="50"/>
  <c r="O22" i="50" s="1"/>
  <c r="AC19" i="59"/>
  <c r="AH19" i="59"/>
  <c r="M14" i="23"/>
  <c r="N14" i="23" s="1"/>
  <c r="U20" i="50"/>
  <c r="AG20" i="50" s="1"/>
  <c r="M22" i="51"/>
  <c r="P22" i="51" s="1"/>
  <c r="Q22" i="51" s="1"/>
  <c r="AL19" i="44"/>
  <c r="V20" i="50"/>
  <c r="AH20" i="50" s="1"/>
  <c r="AG19" i="44"/>
  <c r="M21" i="44"/>
  <c r="P21" i="44" s="1"/>
  <c r="Q21" i="44" s="1"/>
  <c r="AD20" i="48"/>
  <c r="AB20" i="65"/>
  <c r="M22" i="65"/>
  <c r="P22" i="65" s="1"/>
  <c r="Q22" i="65" s="1"/>
  <c r="C24" i="65"/>
  <c r="I23" i="65"/>
  <c r="L23" i="65" s="1"/>
  <c r="H23" i="65"/>
  <c r="K23" i="65" s="1"/>
  <c r="G23" i="65"/>
  <c r="J23" i="65" s="1"/>
  <c r="M21" i="64"/>
  <c r="P21" i="64" s="1"/>
  <c r="Q21" i="64" s="1"/>
  <c r="AA20" i="64"/>
  <c r="C23" i="64"/>
  <c r="F22" i="64"/>
  <c r="I22" i="64" s="1"/>
  <c r="L22" i="64" s="1"/>
  <c r="E22" i="64"/>
  <c r="H22" i="64" s="1"/>
  <c r="K22" i="64" s="1"/>
  <c r="D22" i="64"/>
  <c r="G22" i="64" s="1"/>
  <c r="J22" i="64" s="1"/>
  <c r="Z20" i="64"/>
  <c r="X20" i="64"/>
  <c r="W20" i="64"/>
  <c r="V20" i="64"/>
  <c r="R20" i="64"/>
  <c r="U20" i="64"/>
  <c r="T20" i="64"/>
  <c r="S20" i="64"/>
  <c r="Y20" i="64"/>
  <c r="M21" i="63"/>
  <c r="P21" i="63" s="1"/>
  <c r="Q21" i="63" s="1"/>
  <c r="T19" i="63"/>
  <c r="AF19" i="63" s="1"/>
  <c r="C23" i="63"/>
  <c r="D22" i="63"/>
  <c r="G22" i="63" s="1"/>
  <c r="J22" i="63" s="1"/>
  <c r="F22" i="63"/>
  <c r="I22" i="63" s="1"/>
  <c r="L22" i="63" s="1"/>
  <c r="H22" i="63"/>
  <c r="K22" i="63" s="1"/>
  <c r="M21" i="62"/>
  <c r="O21" i="62" s="1"/>
  <c r="P20" i="62"/>
  <c r="Q20" i="62" s="1"/>
  <c r="Y20" i="62" s="1"/>
  <c r="AK20" i="62" s="1"/>
  <c r="C23" i="62"/>
  <c r="D22" i="62"/>
  <c r="G22" i="62" s="1"/>
  <c r="J22" i="62" s="1"/>
  <c r="H22" i="62"/>
  <c r="K22" i="62" s="1"/>
  <c r="I22" i="62"/>
  <c r="L22" i="62" s="1"/>
  <c r="C23" i="61"/>
  <c r="E22" i="61"/>
  <c r="K22" i="61" s="1"/>
  <c r="F22" i="61"/>
  <c r="L22" i="61" s="1"/>
  <c r="D22" i="61"/>
  <c r="C23" i="60"/>
  <c r="D22" i="60"/>
  <c r="G22" i="60" s="1"/>
  <c r="J22" i="60" s="1"/>
  <c r="E22" i="60"/>
  <c r="H22" i="60" s="1"/>
  <c r="K22" i="60" s="1"/>
  <c r="I22" i="60"/>
  <c r="L22" i="60" s="1"/>
  <c r="Y20" i="60"/>
  <c r="T20" i="60"/>
  <c r="S20" i="60"/>
  <c r="Z20" i="60"/>
  <c r="X20" i="60"/>
  <c r="W20" i="60"/>
  <c r="V20" i="60"/>
  <c r="R20" i="60"/>
  <c r="U20" i="60"/>
  <c r="AA20" i="60"/>
  <c r="AK19" i="59"/>
  <c r="AA20" i="59"/>
  <c r="AC20" i="59" s="1"/>
  <c r="AL19" i="59"/>
  <c r="AD19" i="59"/>
  <c r="M21" i="59"/>
  <c r="P21" i="59" s="1"/>
  <c r="Q21" i="59" s="1"/>
  <c r="AE19" i="59"/>
  <c r="AF19" i="59"/>
  <c r="AG19" i="59"/>
  <c r="C23" i="59"/>
  <c r="D22" i="59"/>
  <c r="G22" i="59" s="1"/>
  <c r="J22" i="59" s="1"/>
  <c r="E22" i="59"/>
  <c r="H22" i="59" s="1"/>
  <c r="K22" i="59" s="1"/>
  <c r="I22" i="59"/>
  <c r="L22" i="59" s="1"/>
  <c r="AI19" i="59"/>
  <c r="AJ19" i="59"/>
  <c r="Z20" i="59"/>
  <c r="AL20" i="59" s="1"/>
  <c r="R20" i="59"/>
  <c r="AD20" i="59" s="1"/>
  <c r="V20" i="59"/>
  <c r="AH20" i="59" s="1"/>
  <c r="U20" i="59"/>
  <c r="AG20" i="59" s="1"/>
  <c r="T20" i="59"/>
  <c r="AF20" i="59" s="1"/>
  <c r="S20" i="59"/>
  <c r="AE20" i="59" s="1"/>
  <c r="Y20" i="59"/>
  <c r="AK20" i="59" s="1"/>
  <c r="X20" i="59"/>
  <c r="AJ20" i="59" s="1"/>
  <c r="W20" i="59"/>
  <c r="AI20" i="59" s="1"/>
  <c r="AB19" i="59"/>
  <c r="AA20" i="58"/>
  <c r="C23" i="58"/>
  <c r="E22" i="58"/>
  <c r="H22" i="58" s="1"/>
  <c r="K22" i="58" s="1"/>
  <c r="D22" i="58"/>
  <c r="G22" i="58" s="1"/>
  <c r="J22" i="58" s="1"/>
  <c r="I22" i="58"/>
  <c r="L22" i="58" s="1"/>
  <c r="Z20" i="58"/>
  <c r="Y20" i="58"/>
  <c r="V20" i="58"/>
  <c r="U20" i="58"/>
  <c r="T20" i="58"/>
  <c r="S20" i="58"/>
  <c r="X20" i="58"/>
  <c r="W20" i="58"/>
  <c r="R20" i="58"/>
  <c r="M21" i="57"/>
  <c r="O21" i="57" s="1"/>
  <c r="AB19" i="57"/>
  <c r="C23" i="57"/>
  <c r="D22" i="57"/>
  <c r="G22" i="57" s="1"/>
  <c r="J22" i="57" s="1"/>
  <c r="E22" i="57"/>
  <c r="H22" i="57" s="1"/>
  <c r="K22" i="57" s="1"/>
  <c r="F22" i="57"/>
  <c r="I22" i="57" s="1"/>
  <c r="L22" i="57" s="1"/>
  <c r="Z20" i="57"/>
  <c r="T20" i="57"/>
  <c r="S20" i="57"/>
  <c r="R20" i="57"/>
  <c r="Y20" i="57"/>
  <c r="X20" i="57"/>
  <c r="W20" i="57"/>
  <c r="V20" i="57"/>
  <c r="U20" i="57"/>
  <c r="AA20" i="57"/>
  <c r="AC20" i="57" s="1"/>
  <c r="AJ20" i="54"/>
  <c r="AG20" i="54"/>
  <c r="M22" i="54"/>
  <c r="N22" i="54" s="1"/>
  <c r="AB20" i="54"/>
  <c r="AL20" i="54"/>
  <c r="AK20" i="54"/>
  <c r="AD20" i="54"/>
  <c r="O21" i="54"/>
  <c r="AE20" i="54"/>
  <c r="C24" i="54"/>
  <c r="D23" i="54"/>
  <c r="G23" i="54" s="1"/>
  <c r="J23" i="54" s="1"/>
  <c r="E23" i="54"/>
  <c r="H23" i="54" s="1"/>
  <c r="K23" i="54" s="1"/>
  <c r="I23" i="54"/>
  <c r="L23" i="54" s="1"/>
  <c r="AF20" i="54"/>
  <c r="AB19" i="53"/>
  <c r="AF19" i="53"/>
  <c r="M21" i="53"/>
  <c r="P21" i="53" s="1"/>
  <c r="Q21" i="53" s="1"/>
  <c r="AD19" i="53"/>
  <c r="AE19" i="53"/>
  <c r="AI19" i="53"/>
  <c r="AK19" i="53"/>
  <c r="C23" i="53"/>
  <c r="E22" i="53"/>
  <c r="H22" i="53" s="1"/>
  <c r="K22" i="53" s="1"/>
  <c r="D22" i="53"/>
  <c r="G22" i="53" s="1"/>
  <c r="J22" i="53" s="1"/>
  <c r="I22" i="53"/>
  <c r="L22" i="53" s="1"/>
  <c r="AG19" i="53"/>
  <c r="O20" i="53"/>
  <c r="AJ19" i="53"/>
  <c r="AL19" i="53"/>
  <c r="AH19" i="53"/>
  <c r="C24" i="52"/>
  <c r="D23" i="52"/>
  <c r="G23" i="52" s="1"/>
  <c r="J23" i="52" s="1"/>
  <c r="I23" i="52"/>
  <c r="L23" i="52" s="1"/>
  <c r="H23" i="52"/>
  <c r="K23" i="52" s="1"/>
  <c r="T21" i="52"/>
  <c r="S21" i="52"/>
  <c r="V21" i="52"/>
  <c r="X21" i="52"/>
  <c r="W21" i="52"/>
  <c r="U21" i="52"/>
  <c r="R21" i="52"/>
  <c r="Z21" i="52"/>
  <c r="Y21" i="52"/>
  <c r="AA21" i="52"/>
  <c r="AC21" i="52" s="1"/>
  <c r="C24" i="51"/>
  <c r="D23" i="51"/>
  <c r="G23" i="51" s="1"/>
  <c r="J23" i="51" s="1"/>
  <c r="E23" i="51"/>
  <c r="H23" i="51" s="1"/>
  <c r="K23" i="51" s="1"/>
  <c r="F23" i="51"/>
  <c r="I23" i="51" s="1"/>
  <c r="L23" i="51" s="1"/>
  <c r="T21" i="51"/>
  <c r="S21" i="51"/>
  <c r="V21" i="51"/>
  <c r="Z21" i="51"/>
  <c r="X21" i="51"/>
  <c r="Y21" i="51"/>
  <c r="W21" i="51"/>
  <c r="U21" i="51"/>
  <c r="R21" i="51"/>
  <c r="AA21" i="51"/>
  <c r="AA20" i="50"/>
  <c r="C24" i="50"/>
  <c r="D23" i="50"/>
  <c r="G23" i="50" s="1"/>
  <c r="J23" i="50" s="1"/>
  <c r="H23" i="50"/>
  <c r="K23" i="50" s="1"/>
  <c r="I23" i="50"/>
  <c r="L23" i="50" s="1"/>
  <c r="N21" i="48"/>
  <c r="O21" i="48" s="1"/>
  <c r="AG20" i="48"/>
  <c r="AH20" i="48"/>
  <c r="AI20" i="48"/>
  <c r="M22" i="48"/>
  <c r="N22" i="48" s="1"/>
  <c r="O22" i="48" s="1"/>
  <c r="AJ20" i="48"/>
  <c r="AL20" i="48"/>
  <c r="AA21" i="48"/>
  <c r="AE20" i="48"/>
  <c r="C24" i="48"/>
  <c r="D23" i="48"/>
  <c r="G23" i="48" s="1"/>
  <c r="J23" i="48" s="1"/>
  <c r="F23" i="48"/>
  <c r="I23" i="48" s="1"/>
  <c r="L23" i="48" s="1"/>
  <c r="E23" i="48"/>
  <c r="H23" i="48" s="1"/>
  <c r="K23" i="48" s="1"/>
  <c r="AF20" i="48"/>
  <c r="T21" i="48"/>
  <c r="S21" i="48"/>
  <c r="V21" i="48"/>
  <c r="W21" i="48"/>
  <c r="U21" i="48"/>
  <c r="R21" i="48"/>
  <c r="Z21" i="48"/>
  <c r="Y21" i="48"/>
  <c r="X21" i="48"/>
  <c r="M23" i="47"/>
  <c r="P23" i="47" s="1"/>
  <c r="Q23" i="47" s="1"/>
  <c r="C25" i="47"/>
  <c r="E24" i="47"/>
  <c r="H24" i="47" s="1"/>
  <c r="K24" i="47" s="1"/>
  <c r="F24" i="47"/>
  <c r="I24" i="47" s="1"/>
  <c r="L24" i="47" s="1"/>
  <c r="D24" i="47"/>
  <c r="G24" i="47" s="1"/>
  <c r="J24" i="47" s="1"/>
  <c r="M23" i="45"/>
  <c r="P23" i="45" s="1"/>
  <c r="Q23" i="45" s="1"/>
  <c r="C25" i="45"/>
  <c r="D24" i="45"/>
  <c r="G24" i="45" s="1"/>
  <c r="J24" i="45" s="1"/>
  <c r="I24" i="45"/>
  <c r="L24" i="45" s="1"/>
  <c r="H24" i="45"/>
  <c r="K24" i="45" s="1"/>
  <c r="C23" i="44"/>
  <c r="E22" i="44"/>
  <c r="H22" i="44" s="1"/>
  <c r="K22" i="44" s="1"/>
  <c r="F22" i="44"/>
  <c r="I22" i="44" s="1"/>
  <c r="L22" i="44" s="1"/>
  <c r="D22" i="44"/>
  <c r="G22" i="44" s="1"/>
  <c r="J22" i="44" s="1"/>
  <c r="AK19" i="44"/>
  <c r="AD19" i="44"/>
  <c r="X20" i="44"/>
  <c r="W20" i="44"/>
  <c r="Z20" i="44"/>
  <c r="V20" i="44"/>
  <c r="R20" i="44"/>
  <c r="T20" i="44"/>
  <c r="Y20" i="44"/>
  <c r="U20" i="44"/>
  <c r="S20" i="44"/>
  <c r="AE19" i="44"/>
  <c r="AA20" i="44"/>
  <c r="V11" i="23"/>
  <c r="AH11" i="23" s="1"/>
  <c r="X11" i="23"/>
  <c r="AJ11" i="23" s="1"/>
  <c r="S11" i="23"/>
  <c r="AE11" i="23" s="1"/>
  <c r="T11" i="23"/>
  <c r="AF11" i="23" s="1"/>
  <c r="Y11" i="23"/>
  <c r="AK11" i="23" s="1"/>
  <c r="Z11" i="23"/>
  <c r="AL11" i="23" s="1"/>
  <c r="W11" i="23"/>
  <c r="AI11" i="23" s="1"/>
  <c r="U11" i="23"/>
  <c r="AG11" i="23" s="1"/>
  <c r="R11" i="23"/>
  <c r="AD11" i="23" s="1"/>
  <c r="E15" i="23"/>
  <c r="H15" i="23" s="1"/>
  <c r="K15" i="23" s="1"/>
  <c r="F15" i="23"/>
  <c r="I15" i="23" s="1"/>
  <c r="L15" i="23" s="1"/>
  <c r="D15" i="23"/>
  <c r="G15" i="23" s="1"/>
  <c r="J15" i="23" s="1"/>
  <c r="C16" i="23"/>
  <c r="N13" i="23"/>
  <c r="O13" i="23" s="1"/>
  <c r="P13" i="23"/>
  <c r="Q12" i="23"/>
  <c r="AA12" i="23"/>
  <c r="AB11" i="23"/>
  <c r="H16" i="19"/>
  <c r="K16" i="19" s="1"/>
  <c r="I16" i="19"/>
  <c r="L16" i="19" s="1"/>
  <c r="BC8" i="1"/>
  <c r="BE8" i="1"/>
  <c r="G16" i="19"/>
  <c r="J16" i="19" s="1"/>
  <c r="H14" i="20"/>
  <c r="K14" i="20" s="1"/>
  <c r="M14" i="20" s="1"/>
  <c r="P14" i="20" s="1"/>
  <c r="BD8" i="1"/>
  <c r="AH12" i="35"/>
  <c r="K5" i="1"/>
  <c r="N15" i="42"/>
  <c r="B29" i="1" s="1"/>
  <c r="Y3" i="1"/>
  <c r="AA3" i="1" s="1"/>
  <c r="M15" i="14"/>
  <c r="B28" i="1" s="1"/>
  <c r="AB12" i="29"/>
  <c r="Y11" i="24"/>
  <c r="AK11" i="24" s="1"/>
  <c r="X11" i="24"/>
  <c r="AJ11" i="24" s="1"/>
  <c r="M4" i="1"/>
  <c r="AB11" i="30"/>
  <c r="V11" i="24"/>
  <c r="AH11" i="24" s="1"/>
  <c r="R11" i="24"/>
  <c r="AD11" i="24" s="1"/>
  <c r="S11" i="24"/>
  <c r="AE11" i="24" s="1"/>
  <c r="U11" i="24"/>
  <c r="AG11" i="24" s="1"/>
  <c r="Z11" i="24"/>
  <c r="AL11" i="24" s="1"/>
  <c r="T11" i="24"/>
  <c r="AF11" i="24" s="1"/>
  <c r="AJ4" i="1"/>
  <c r="AG5" i="1"/>
  <c r="AO8" i="1"/>
  <c r="AV6" i="1"/>
  <c r="AC12" i="30"/>
  <c r="AQ6" i="1"/>
  <c r="AY6" i="1"/>
  <c r="AI7" i="1"/>
  <c r="AM4" i="1"/>
  <c r="AH5" i="1"/>
  <c r="AM5" i="1"/>
  <c r="AL4" i="1"/>
  <c r="BB7" i="1"/>
  <c r="AF7" i="1"/>
  <c r="AR5" i="1"/>
  <c r="AU4" i="1"/>
  <c r="AI4" i="1"/>
  <c r="AX6" i="1"/>
  <c r="AS5" i="1"/>
  <c r="AP5" i="1"/>
  <c r="AZ7" i="1"/>
  <c r="AN4" i="1"/>
  <c r="AB12" i="25"/>
  <c r="L6" i="1" s="1"/>
  <c r="Q12" i="39"/>
  <c r="S12" i="39" s="1"/>
  <c r="AE12" i="39" s="1"/>
  <c r="P13" i="32"/>
  <c r="AA13" i="32" s="1"/>
  <c r="AB12" i="39"/>
  <c r="Q12" i="25"/>
  <c r="X12" i="25" s="1"/>
  <c r="AJ12" i="25" s="1"/>
  <c r="N13" i="24"/>
  <c r="O13" i="24" s="1"/>
  <c r="AB13" i="24" s="1"/>
  <c r="H4" i="1"/>
  <c r="V4" i="1" s="1"/>
  <c r="N13" i="30"/>
  <c r="O13" i="30" s="1"/>
  <c r="AB13" i="30" s="1"/>
  <c r="AC12" i="35"/>
  <c r="AJ12" i="35"/>
  <c r="AF12" i="35"/>
  <c r="AD12" i="35"/>
  <c r="P13" i="25"/>
  <c r="AA13" i="25" s="1"/>
  <c r="AE12" i="35"/>
  <c r="AK12" i="35"/>
  <c r="AL12" i="35"/>
  <c r="AB12" i="35"/>
  <c r="AI12" i="35"/>
  <c r="AG12" i="35"/>
  <c r="M14" i="30"/>
  <c r="P14" i="30" s="1"/>
  <c r="R4" i="1"/>
  <c r="R12" i="20"/>
  <c r="AD12" i="20" s="1"/>
  <c r="AB13" i="38"/>
  <c r="W14" i="19"/>
  <c r="AI14" i="19" s="1"/>
  <c r="Z12" i="20"/>
  <c r="AL12" i="20" s="1"/>
  <c r="Y12" i="20"/>
  <c r="AK12" i="20" s="1"/>
  <c r="W3" i="1"/>
  <c r="P4" i="1"/>
  <c r="Q4" i="1"/>
  <c r="V3" i="1"/>
  <c r="U12" i="20"/>
  <c r="AG12" i="20" s="1"/>
  <c r="T4" i="1"/>
  <c r="O4" i="1"/>
  <c r="X15" i="27"/>
  <c r="AJ15" i="27" s="1"/>
  <c r="R14" i="19"/>
  <c r="AD14" i="19" s="1"/>
  <c r="AB11" i="39"/>
  <c r="W11" i="22"/>
  <c r="AI11" i="22" s="1"/>
  <c r="R11" i="22"/>
  <c r="AD11" i="22" s="1"/>
  <c r="Y11" i="22"/>
  <c r="AK11" i="22" s="1"/>
  <c r="V11" i="22"/>
  <c r="AH11" i="22" s="1"/>
  <c r="U11" i="22"/>
  <c r="AG11" i="22" s="1"/>
  <c r="X11" i="22"/>
  <c r="AJ11" i="22" s="1"/>
  <c r="T11" i="22"/>
  <c r="AF11" i="22" s="1"/>
  <c r="S11" i="22"/>
  <c r="AE11" i="22" s="1"/>
  <c r="Z11" i="22"/>
  <c r="AL11" i="22" s="1"/>
  <c r="X14" i="19"/>
  <c r="AJ14" i="19" s="1"/>
  <c r="S4" i="1"/>
  <c r="AC11" i="22"/>
  <c r="AB11" i="22"/>
  <c r="V12" i="8"/>
  <c r="AH12" i="8" s="1"/>
  <c r="N4" i="1"/>
  <c r="AC12" i="24"/>
  <c r="S14" i="19"/>
  <c r="AE14" i="19" s="1"/>
  <c r="R15" i="27"/>
  <c r="AD15" i="27" s="1"/>
  <c r="AC13" i="34"/>
  <c r="U4" i="1"/>
  <c r="S15" i="27"/>
  <c r="AE15" i="27" s="1"/>
  <c r="X13" i="36"/>
  <c r="AJ13" i="36" s="1"/>
  <c r="T15" i="27"/>
  <c r="AF15" i="27" s="1"/>
  <c r="AB13" i="31"/>
  <c r="U12" i="8"/>
  <c r="AG12" i="8" s="1"/>
  <c r="W15" i="27"/>
  <c r="AI15" i="27" s="1"/>
  <c r="Y13" i="37"/>
  <c r="AK13" i="37" s="1"/>
  <c r="Y11" i="39"/>
  <c r="AK11" i="39" s="1"/>
  <c r="T11" i="39"/>
  <c r="AF11" i="39" s="1"/>
  <c r="W11" i="39"/>
  <c r="AI11" i="39" s="1"/>
  <c r="V11" i="39"/>
  <c r="AH11" i="39" s="1"/>
  <c r="R11" i="39"/>
  <c r="AD11" i="39" s="1"/>
  <c r="U11" i="39"/>
  <c r="AG11" i="39" s="1"/>
  <c r="X11" i="39"/>
  <c r="AJ11" i="39" s="1"/>
  <c r="S11" i="39"/>
  <c r="AE11" i="39" s="1"/>
  <c r="Z11" i="39"/>
  <c r="AL11" i="39" s="1"/>
  <c r="AA12" i="32"/>
  <c r="AC12" i="32" s="1"/>
  <c r="Q12" i="32"/>
  <c r="M15" i="31"/>
  <c r="M14" i="24"/>
  <c r="N14" i="24" s="1"/>
  <c r="O14" i="24" s="1"/>
  <c r="AB12" i="22"/>
  <c r="Z12" i="31"/>
  <c r="AL12" i="31" s="1"/>
  <c r="W12" i="31"/>
  <c r="AI12" i="31" s="1"/>
  <c r="X12" i="31"/>
  <c r="AJ12" i="31" s="1"/>
  <c r="Y12" i="31"/>
  <c r="AK12" i="31" s="1"/>
  <c r="U12" i="31"/>
  <c r="AG12" i="31" s="1"/>
  <c r="T12" i="31"/>
  <c r="AF12" i="31" s="1"/>
  <c r="S12" i="31"/>
  <c r="AE12" i="31" s="1"/>
  <c r="R12" i="31"/>
  <c r="AD12" i="31" s="1"/>
  <c r="V12" i="31"/>
  <c r="AH12" i="31" s="1"/>
  <c r="I16" i="31"/>
  <c r="L16" i="31" s="1"/>
  <c r="C17" i="31"/>
  <c r="D16" i="31"/>
  <c r="G16" i="31" s="1"/>
  <c r="J16" i="31" s="1"/>
  <c r="E16" i="31"/>
  <c r="H16" i="31" s="1"/>
  <c r="K16" i="31" s="1"/>
  <c r="V12" i="20"/>
  <c r="AH12" i="20" s="1"/>
  <c r="Y15" i="27"/>
  <c r="AK15" i="27" s="1"/>
  <c r="P14" i="37"/>
  <c r="AA14" i="37" s="1"/>
  <c r="AC14" i="37" s="1"/>
  <c r="Q12" i="26"/>
  <c r="AA12" i="26"/>
  <c r="P14" i="31"/>
  <c r="AA14" i="31" s="1"/>
  <c r="AC14" i="31" s="1"/>
  <c r="O14" i="31"/>
  <c r="X12" i="8"/>
  <c r="AJ12" i="8" s="1"/>
  <c r="S12" i="8"/>
  <c r="AE12" i="8" s="1"/>
  <c r="Y12" i="8"/>
  <c r="AK12" i="8" s="1"/>
  <c r="S12" i="20"/>
  <c r="AE12" i="20" s="1"/>
  <c r="Q13" i="29"/>
  <c r="U13" i="29" s="1"/>
  <c r="AG13" i="29" s="1"/>
  <c r="M14" i="32"/>
  <c r="O14" i="32" s="1"/>
  <c r="M14" i="33"/>
  <c r="P14" i="33" s="1"/>
  <c r="Q13" i="31"/>
  <c r="T12" i="8"/>
  <c r="AF12" i="8" s="1"/>
  <c r="R12" i="8"/>
  <c r="AD12" i="8" s="1"/>
  <c r="W12" i="8"/>
  <c r="AI12" i="8" s="1"/>
  <c r="M14" i="25"/>
  <c r="P14" i="25" s="1"/>
  <c r="AA14" i="25" s="1"/>
  <c r="AC14" i="25" s="1"/>
  <c r="W13" i="37"/>
  <c r="AI13" i="37" s="1"/>
  <c r="T11" i="32"/>
  <c r="AF11" i="32" s="1"/>
  <c r="S11" i="32"/>
  <c r="AE11" i="32" s="1"/>
  <c r="R11" i="32"/>
  <c r="AD11" i="32" s="1"/>
  <c r="Z11" i="32"/>
  <c r="AL11" i="32" s="1"/>
  <c r="V11" i="32"/>
  <c r="AH11" i="32" s="1"/>
  <c r="U11" i="32"/>
  <c r="AG11" i="32" s="1"/>
  <c r="X11" i="32"/>
  <c r="AJ11" i="32" s="1"/>
  <c r="Y11" i="32"/>
  <c r="AK11" i="32" s="1"/>
  <c r="W11" i="32"/>
  <c r="AI11" i="32" s="1"/>
  <c r="C16" i="35"/>
  <c r="D15" i="35"/>
  <c r="G15" i="35" s="1"/>
  <c r="J15" i="35" s="1"/>
  <c r="E15" i="35"/>
  <c r="H15" i="35" s="1"/>
  <c r="K15" i="35" s="1"/>
  <c r="I15" i="35"/>
  <c r="L15" i="35" s="1"/>
  <c r="M14" i="26"/>
  <c r="Q12" i="22"/>
  <c r="E15" i="26"/>
  <c r="H15" i="26" s="1"/>
  <c r="K15" i="26" s="1"/>
  <c r="F15" i="26"/>
  <c r="I15" i="26" s="1"/>
  <c r="L15" i="26" s="1"/>
  <c r="C16" i="26"/>
  <c r="D15" i="26"/>
  <c r="G15" i="26" s="1"/>
  <c r="J15" i="26" s="1"/>
  <c r="T11" i="35"/>
  <c r="AF11" i="35" s="1"/>
  <c r="U11" i="35"/>
  <c r="AG11" i="35" s="1"/>
  <c r="R11" i="35"/>
  <c r="AD11" i="35" s="1"/>
  <c r="V11" i="35"/>
  <c r="AH11" i="35" s="1"/>
  <c r="W11" i="35"/>
  <c r="AI11" i="35" s="1"/>
  <c r="S11" i="35"/>
  <c r="AE11" i="35" s="1"/>
  <c r="Z11" i="35"/>
  <c r="AL11" i="35" s="1"/>
  <c r="X11" i="35"/>
  <c r="AJ11" i="35" s="1"/>
  <c r="Y11" i="35"/>
  <c r="AK11" i="35" s="1"/>
  <c r="C16" i="30"/>
  <c r="E15" i="30"/>
  <c r="H15" i="30" s="1"/>
  <c r="K15" i="30" s="1"/>
  <c r="D15" i="30"/>
  <c r="G15" i="30" s="1"/>
  <c r="J15" i="30" s="1"/>
  <c r="I15" i="30"/>
  <c r="L15" i="30" s="1"/>
  <c r="AB11" i="35"/>
  <c r="C16" i="24"/>
  <c r="D15" i="24"/>
  <c r="G15" i="24" s="1"/>
  <c r="J15" i="24" s="1"/>
  <c r="F15" i="24"/>
  <c r="I15" i="24" s="1"/>
  <c r="L15" i="24" s="1"/>
  <c r="E15" i="24"/>
  <c r="H15" i="24" s="1"/>
  <c r="K15" i="24" s="1"/>
  <c r="Q13" i="24"/>
  <c r="P13" i="22"/>
  <c r="AA13" i="22" s="1"/>
  <c r="AC13" i="22" s="1"/>
  <c r="O13" i="22"/>
  <c r="Q13" i="30"/>
  <c r="T13" i="37"/>
  <c r="AF13" i="37" s="1"/>
  <c r="M14" i="39"/>
  <c r="M14" i="22"/>
  <c r="D15" i="25"/>
  <c r="G15" i="25" s="1"/>
  <c r="J15" i="25" s="1"/>
  <c r="C16" i="25"/>
  <c r="I15" i="25"/>
  <c r="L15" i="25" s="1"/>
  <c r="H15" i="25"/>
  <c r="K15" i="25" s="1"/>
  <c r="U13" i="37"/>
  <c r="AG13" i="37" s="1"/>
  <c r="R12" i="30"/>
  <c r="AD12" i="30" s="1"/>
  <c r="T12" i="30"/>
  <c r="AF12" i="30" s="1"/>
  <c r="Y12" i="30"/>
  <c r="AK12" i="30" s="1"/>
  <c r="Z12" i="30"/>
  <c r="AL12" i="30" s="1"/>
  <c r="U12" i="30"/>
  <c r="AG12" i="30" s="1"/>
  <c r="V12" i="30"/>
  <c r="AH12" i="30" s="1"/>
  <c r="X12" i="30"/>
  <c r="AJ12" i="30" s="1"/>
  <c r="S12" i="30"/>
  <c r="AE12" i="30" s="1"/>
  <c r="W12" i="30"/>
  <c r="AI12" i="30" s="1"/>
  <c r="F15" i="22"/>
  <c r="I15" i="22" s="1"/>
  <c r="L15" i="22" s="1"/>
  <c r="D15" i="22"/>
  <c r="G15" i="22" s="1"/>
  <c r="J15" i="22" s="1"/>
  <c r="E15" i="22"/>
  <c r="H15" i="22" s="1"/>
  <c r="K15" i="22" s="1"/>
  <c r="C16" i="22"/>
  <c r="E15" i="33"/>
  <c r="H15" i="33" s="1"/>
  <c r="K15" i="33" s="1"/>
  <c r="D15" i="33"/>
  <c r="G15" i="33" s="1"/>
  <c r="J15" i="33" s="1"/>
  <c r="C16" i="33"/>
  <c r="I16" i="33" s="1"/>
  <c r="L16" i="33" s="1"/>
  <c r="N13" i="33"/>
  <c r="O13" i="33" s="1"/>
  <c r="P13" i="33"/>
  <c r="N14" i="29"/>
  <c r="O14" i="29" s="1"/>
  <c r="U14" i="19"/>
  <c r="AG14" i="19" s="1"/>
  <c r="R13" i="37"/>
  <c r="AD13" i="37" s="1"/>
  <c r="E15" i="39"/>
  <c r="H15" i="39" s="1"/>
  <c r="K15" i="39" s="1"/>
  <c r="C16" i="39"/>
  <c r="F15" i="39"/>
  <c r="I15" i="39" s="1"/>
  <c r="L15" i="39" s="1"/>
  <c r="D15" i="39"/>
  <c r="G15" i="39" s="1"/>
  <c r="J15" i="39" s="1"/>
  <c r="N13" i="39"/>
  <c r="O13" i="39" s="1"/>
  <c r="P13" i="39"/>
  <c r="AC11" i="26"/>
  <c r="AB11" i="26"/>
  <c r="AC12" i="33"/>
  <c r="AB12" i="33"/>
  <c r="T11" i="33"/>
  <c r="AF11" i="33" s="1"/>
  <c r="R11" i="33"/>
  <c r="AD11" i="33" s="1"/>
  <c r="Z11" i="33"/>
  <c r="AL11" i="33" s="1"/>
  <c r="Y11" i="33"/>
  <c r="AK11" i="33" s="1"/>
  <c r="X11" i="33"/>
  <c r="AJ11" i="33" s="1"/>
  <c r="U11" i="33"/>
  <c r="AG11" i="33" s="1"/>
  <c r="S11" i="33"/>
  <c r="AE11" i="33" s="1"/>
  <c r="V11" i="33"/>
  <c r="AH11" i="33" s="1"/>
  <c r="W11" i="33"/>
  <c r="AI11" i="33" s="1"/>
  <c r="F15" i="32"/>
  <c r="I15" i="32" s="1"/>
  <c r="L15" i="32" s="1"/>
  <c r="C16" i="32"/>
  <c r="E15" i="32"/>
  <c r="H15" i="32" s="1"/>
  <c r="K15" i="32" s="1"/>
  <c r="D15" i="32"/>
  <c r="G15" i="32" s="1"/>
  <c r="J15" i="32" s="1"/>
  <c r="N13" i="26"/>
  <c r="O13" i="26" s="1"/>
  <c r="P13" i="26"/>
  <c r="U11" i="26"/>
  <c r="AG11" i="26" s="1"/>
  <c r="R11" i="26"/>
  <c r="AD11" i="26" s="1"/>
  <c r="S11" i="26"/>
  <c r="AE11" i="26" s="1"/>
  <c r="W11" i="26"/>
  <c r="AI11" i="26" s="1"/>
  <c r="T11" i="26"/>
  <c r="AF11" i="26" s="1"/>
  <c r="V11" i="26"/>
  <c r="AH11" i="26" s="1"/>
  <c r="Z11" i="26"/>
  <c r="AL11" i="26" s="1"/>
  <c r="X11" i="26"/>
  <c r="AJ11" i="26" s="1"/>
  <c r="Y11" i="26"/>
  <c r="AK11" i="26" s="1"/>
  <c r="T12" i="33"/>
  <c r="AF12" i="33" s="1"/>
  <c r="Z12" i="33"/>
  <c r="AL12" i="33" s="1"/>
  <c r="V12" i="33"/>
  <c r="AH12" i="33" s="1"/>
  <c r="R12" i="33"/>
  <c r="AD12" i="33" s="1"/>
  <c r="W12" i="33"/>
  <c r="AI12" i="33" s="1"/>
  <c r="Y12" i="33"/>
  <c r="AK12" i="33" s="1"/>
  <c r="X12" i="33"/>
  <c r="AJ12" i="33" s="1"/>
  <c r="U12" i="33"/>
  <c r="AG12" i="33" s="1"/>
  <c r="S12" i="33"/>
  <c r="AE12" i="33" s="1"/>
  <c r="T12" i="24"/>
  <c r="AF12" i="24" s="1"/>
  <c r="R12" i="24"/>
  <c r="AD12" i="24" s="1"/>
  <c r="Z12" i="24"/>
  <c r="AL12" i="24" s="1"/>
  <c r="V12" i="24"/>
  <c r="AH12" i="24" s="1"/>
  <c r="Y12" i="24"/>
  <c r="AK12" i="24" s="1"/>
  <c r="S12" i="24"/>
  <c r="AE12" i="24" s="1"/>
  <c r="W12" i="24"/>
  <c r="AI12" i="24" s="1"/>
  <c r="U12" i="24"/>
  <c r="AG12" i="24" s="1"/>
  <c r="X12" i="24"/>
  <c r="AJ12" i="24" s="1"/>
  <c r="N13" i="35"/>
  <c r="O13" i="35" s="1"/>
  <c r="P13" i="35"/>
  <c r="AA13" i="35" s="1"/>
  <c r="M14" i="35"/>
  <c r="R13" i="36"/>
  <c r="AD13" i="36" s="1"/>
  <c r="Z15" i="27"/>
  <c r="AL15" i="27" s="1"/>
  <c r="X13" i="37"/>
  <c r="AJ13" i="37" s="1"/>
  <c r="S13" i="37"/>
  <c r="AE13" i="37" s="1"/>
  <c r="V14" i="19"/>
  <c r="AH14" i="19" s="1"/>
  <c r="W12" i="20"/>
  <c r="AI12" i="20" s="1"/>
  <c r="U15" i="27"/>
  <c r="AG15" i="27" s="1"/>
  <c r="Z13" i="37"/>
  <c r="AL13" i="37" s="1"/>
  <c r="AH13" i="37"/>
  <c r="AB12" i="37"/>
  <c r="Y14" i="19"/>
  <c r="AK14" i="19" s="1"/>
  <c r="V13" i="34"/>
  <c r="AH13" i="34" s="1"/>
  <c r="Z13" i="34"/>
  <c r="AL13" i="34" s="1"/>
  <c r="AF13" i="36"/>
  <c r="T14" i="40"/>
  <c r="AF14" i="40" s="1"/>
  <c r="T14" i="19"/>
  <c r="AF14" i="19" s="1"/>
  <c r="Y13" i="34"/>
  <c r="AK13" i="34" s="1"/>
  <c r="AB13" i="36"/>
  <c r="X12" i="20"/>
  <c r="AJ12" i="20" s="1"/>
  <c r="U13" i="36"/>
  <c r="AG13" i="36" s="1"/>
  <c r="Y13" i="36"/>
  <c r="AK13" i="36" s="1"/>
  <c r="Z13" i="36"/>
  <c r="AL13" i="36" s="1"/>
  <c r="U14" i="40"/>
  <c r="AG14" i="40" s="1"/>
  <c r="AB13" i="29"/>
  <c r="W13" i="34"/>
  <c r="AI13" i="34" s="1"/>
  <c r="R13" i="34"/>
  <c r="AD13" i="34" s="1"/>
  <c r="W14" i="40"/>
  <c r="AI14" i="40" s="1"/>
  <c r="S13" i="34"/>
  <c r="AE13" i="34" s="1"/>
  <c r="V13" i="36"/>
  <c r="AH13" i="36" s="1"/>
  <c r="S14" i="40"/>
  <c r="AE14" i="40" s="1"/>
  <c r="X14" i="40"/>
  <c r="AJ14" i="40" s="1"/>
  <c r="X13" i="34"/>
  <c r="AJ13" i="34" s="1"/>
  <c r="W13" i="36"/>
  <c r="AI13" i="36" s="1"/>
  <c r="Y14" i="40"/>
  <c r="AK14" i="40" s="1"/>
  <c r="T13" i="34"/>
  <c r="AF13" i="34" s="1"/>
  <c r="AC13" i="29"/>
  <c r="P15" i="38"/>
  <c r="Q15" i="38" s="1"/>
  <c r="N14" i="34"/>
  <c r="O14" i="34" s="1"/>
  <c r="AB13" i="28"/>
  <c r="P14" i="28"/>
  <c r="Q14" i="28" s="1"/>
  <c r="R14" i="40"/>
  <c r="AD14" i="40" s="1"/>
  <c r="O16" i="27"/>
  <c r="S13" i="36"/>
  <c r="AE13" i="36" s="1"/>
  <c r="V14" i="40"/>
  <c r="AH14" i="40" s="1"/>
  <c r="Q14" i="36"/>
  <c r="W14" i="36" s="1"/>
  <c r="Z12" i="28"/>
  <c r="AL12" i="28" s="1"/>
  <c r="Y12" i="28"/>
  <c r="AK12" i="28" s="1"/>
  <c r="U12" i="28"/>
  <c r="AG12" i="28" s="1"/>
  <c r="X12" i="28"/>
  <c r="AJ12" i="28" s="1"/>
  <c r="W12" i="28"/>
  <c r="AI12" i="28" s="1"/>
  <c r="R12" i="28"/>
  <c r="AD12" i="28" s="1"/>
  <c r="V12" i="28"/>
  <c r="AH12" i="28" s="1"/>
  <c r="S12" i="28"/>
  <c r="AE12" i="28" s="1"/>
  <c r="T12" i="28"/>
  <c r="AF12" i="28" s="1"/>
  <c r="O14" i="28"/>
  <c r="M15" i="34"/>
  <c r="P15" i="34" s="1"/>
  <c r="Q15" i="40"/>
  <c r="Y15" i="40" s="1"/>
  <c r="Q14" i="38"/>
  <c r="Q16" i="27"/>
  <c r="S16" i="27" s="1"/>
  <c r="Q13" i="8"/>
  <c r="R13" i="8" s="1"/>
  <c r="Q14" i="21"/>
  <c r="R14" i="21" s="1"/>
  <c r="AD14" i="21" s="1"/>
  <c r="Q14" i="29"/>
  <c r="S14" i="29" s="1"/>
  <c r="Q13" i="28"/>
  <c r="AG13" i="34"/>
  <c r="Q14" i="34"/>
  <c r="R14" i="34" s="1"/>
  <c r="M16" i="40"/>
  <c r="P16" i="40" s="1"/>
  <c r="AL14" i="40"/>
  <c r="N16" i="40"/>
  <c r="C18" i="40"/>
  <c r="E17" i="40"/>
  <c r="H17" i="40" s="1"/>
  <c r="K17" i="40" s="1"/>
  <c r="D17" i="40"/>
  <c r="G17" i="40" s="1"/>
  <c r="J17" i="40" s="1"/>
  <c r="F17" i="40"/>
  <c r="I17" i="40" s="1"/>
  <c r="L17" i="40" s="1"/>
  <c r="AB14" i="40"/>
  <c r="O15" i="40"/>
  <c r="AA15" i="40"/>
  <c r="M16" i="38"/>
  <c r="O16" i="38" s="1"/>
  <c r="C18" i="38"/>
  <c r="F18" i="38" s="1"/>
  <c r="D17" i="38"/>
  <c r="G17" i="38" s="1"/>
  <c r="J17" i="38" s="1"/>
  <c r="I17" i="38"/>
  <c r="L17" i="38" s="1"/>
  <c r="H17" i="38"/>
  <c r="K17" i="38" s="1"/>
  <c r="AB14" i="38"/>
  <c r="AB13" i="37"/>
  <c r="M15" i="37"/>
  <c r="P15" i="37" s="1"/>
  <c r="C17" i="37"/>
  <c r="E16" i="37"/>
  <c r="H16" i="37" s="1"/>
  <c r="K16" i="37" s="1"/>
  <c r="D16" i="37"/>
  <c r="G16" i="37" s="1"/>
  <c r="J16" i="37" s="1"/>
  <c r="F16" i="37"/>
  <c r="I16" i="37" s="1"/>
  <c r="L16" i="37" s="1"/>
  <c r="AA14" i="29"/>
  <c r="M15" i="36"/>
  <c r="AC13" i="36"/>
  <c r="AA14" i="36"/>
  <c r="AC14" i="36" s="1"/>
  <c r="N15" i="36"/>
  <c r="C17" i="36"/>
  <c r="F17" i="36" s="1"/>
  <c r="D16" i="36"/>
  <c r="G16" i="36" s="1"/>
  <c r="J16" i="36" s="1"/>
  <c r="E16" i="36"/>
  <c r="H16" i="36" s="1"/>
  <c r="K16" i="36" s="1"/>
  <c r="I16" i="36"/>
  <c r="L16" i="36" s="1"/>
  <c r="O14" i="36"/>
  <c r="AB13" i="34"/>
  <c r="AA14" i="34"/>
  <c r="C17" i="34"/>
  <c r="D16" i="34"/>
  <c r="G16" i="34" s="1"/>
  <c r="J16" i="34" s="1"/>
  <c r="E16" i="34"/>
  <c r="H16" i="34" s="1"/>
  <c r="K16" i="34" s="1"/>
  <c r="I16" i="34"/>
  <c r="L16" i="34" s="1"/>
  <c r="F17" i="33"/>
  <c r="N17" i="31"/>
  <c r="M15" i="29"/>
  <c r="P15" i="29" s="1"/>
  <c r="C17" i="29"/>
  <c r="D16" i="29"/>
  <c r="G16" i="29" s="1"/>
  <c r="J16" i="29" s="1"/>
  <c r="E16" i="29"/>
  <c r="H16" i="29" s="1"/>
  <c r="K16" i="29" s="1"/>
  <c r="I16" i="29"/>
  <c r="L16" i="29" s="1"/>
  <c r="M15" i="28"/>
  <c r="N15" i="28" s="1"/>
  <c r="C17" i="28"/>
  <c r="E17" i="28" s="1"/>
  <c r="D16" i="28"/>
  <c r="G16" i="28" s="1"/>
  <c r="J16" i="28" s="1"/>
  <c r="I16" i="28"/>
  <c r="L16" i="28" s="1"/>
  <c r="H16" i="28"/>
  <c r="K16" i="28" s="1"/>
  <c r="M17" i="27"/>
  <c r="AH15" i="27"/>
  <c r="N17" i="27"/>
  <c r="C19" i="27"/>
  <c r="E18" i="27"/>
  <c r="H18" i="27" s="1"/>
  <c r="K18" i="27" s="1"/>
  <c r="F18" i="27"/>
  <c r="I18" i="27" s="1"/>
  <c r="L18" i="27" s="1"/>
  <c r="D18" i="27"/>
  <c r="G18" i="27" s="1"/>
  <c r="J18" i="27" s="1"/>
  <c r="AB15" i="27"/>
  <c r="AA16" i="27"/>
  <c r="AC16" i="27" s="1"/>
  <c r="N17" i="25"/>
  <c r="E18" i="25"/>
  <c r="F18" i="25"/>
  <c r="O13" i="20"/>
  <c r="AA14" i="21"/>
  <c r="AC14" i="21" s="1"/>
  <c r="AL12" i="8"/>
  <c r="AB14" i="19"/>
  <c r="P15" i="21"/>
  <c r="Q13" i="20"/>
  <c r="X13" i="20" s="1"/>
  <c r="AA13" i="20"/>
  <c r="AC12" i="8"/>
  <c r="AB12" i="8"/>
  <c r="O13" i="8"/>
  <c r="M16" i="21"/>
  <c r="O16" i="21" s="1"/>
  <c r="C18" i="21"/>
  <c r="D17" i="21"/>
  <c r="G17" i="21" s="1"/>
  <c r="J17" i="21" s="1"/>
  <c r="H17" i="21"/>
  <c r="K17" i="21" s="1"/>
  <c r="I17" i="21"/>
  <c r="L17" i="21" s="1"/>
  <c r="AB12" i="20"/>
  <c r="N14" i="20"/>
  <c r="AF12" i="20"/>
  <c r="C16" i="20"/>
  <c r="E15" i="20"/>
  <c r="D15" i="20"/>
  <c r="G15" i="20" s="1"/>
  <c r="J15" i="20" s="1"/>
  <c r="F15" i="20"/>
  <c r="I15" i="20" s="1"/>
  <c r="L15" i="20" s="1"/>
  <c r="AL14" i="19"/>
  <c r="N16" i="19"/>
  <c r="C18" i="19"/>
  <c r="F17" i="19"/>
  <c r="D17" i="19"/>
  <c r="E17" i="19"/>
  <c r="O15" i="19"/>
  <c r="AA15" i="19"/>
  <c r="AC15" i="19" s="1"/>
  <c r="AA13" i="8"/>
  <c r="AC13" i="8" s="1"/>
  <c r="P14" i="8"/>
  <c r="N14" i="8"/>
  <c r="M15" i="8"/>
  <c r="C17" i="8"/>
  <c r="E17" i="8" s="1"/>
  <c r="F16" i="8"/>
  <c r="I16" i="8" s="1"/>
  <c r="L16" i="8" s="1"/>
  <c r="D16" i="8"/>
  <c r="G16" i="8" s="1"/>
  <c r="J16" i="8" s="1"/>
  <c r="H16" i="8"/>
  <c r="K16" i="8" s="1"/>
  <c r="AG20" i="56" l="1"/>
  <c r="DE8" i="1"/>
  <c r="DN8" i="1" s="1"/>
  <c r="CZ8" i="1"/>
  <c r="DM8" i="1" s="1"/>
  <c r="DP8" i="1" s="1"/>
  <c r="ED10" i="1"/>
  <c r="DO10" i="1" s="1"/>
  <c r="CT10" i="1"/>
  <c r="DA40" i="1" s="1"/>
  <c r="DA41" i="1" s="1"/>
  <c r="CL11" i="1"/>
  <c r="EN11" i="1"/>
  <c r="CK11" i="1"/>
  <c r="EM11" i="1"/>
  <c r="CH11" i="1"/>
  <c r="EJ11" i="1"/>
  <c r="CJ11" i="1"/>
  <c r="EL11" i="1"/>
  <c r="CM11" i="1"/>
  <c r="EO11" i="1"/>
  <c r="CV9" i="1"/>
  <c r="CO11" i="1"/>
  <c r="EQ11" i="1"/>
  <c r="CI11" i="1"/>
  <c r="EK11" i="1"/>
  <c r="CF11" i="1"/>
  <c r="EH11" i="1"/>
  <c r="CN11" i="1"/>
  <c r="EP11" i="1"/>
  <c r="DA9" i="1"/>
  <c r="CU9" i="1"/>
  <c r="CY9" i="1" s="1"/>
  <c r="CZ9" i="1" s="1"/>
  <c r="DM9" i="1" s="1"/>
  <c r="DP9" i="1" s="1"/>
  <c r="DA38" i="1"/>
  <c r="DA39" i="1" s="1"/>
  <c r="M16" i="19"/>
  <c r="P16" i="19" s="1"/>
  <c r="CS10" i="1"/>
  <c r="DF10" i="1" s="1"/>
  <c r="Z22" i="45"/>
  <c r="AL22" i="45" s="1"/>
  <c r="DK10" i="1"/>
  <c r="DL10" i="1" s="1"/>
  <c r="DI11" i="1"/>
  <c r="DJ11" i="1" s="1"/>
  <c r="CC12" i="1"/>
  <c r="DH11" i="1"/>
  <c r="AI20" i="43"/>
  <c r="T21" i="50"/>
  <c r="AF21" i="50" s="1"/>
  <c r="BV12" i="1"/>
  <c r="AI21" i="51"/>
  <c r="AC19" i="43"/>
  <c r="AD21" i="51"/>
  <c r="AG21" i="51"/>
  <c r="AK21" i="51"/>
  <c r="AK20" i="49"/>
  <c r="AA21" i="49"/>
  <c r="AC21" i="49" s="1"/>
  <c r="AL20" i="49"/>
  <c r="AI20" i="49"/>
  <c r="AE20" i="43"/>
  <c r="M23" i="49"/>
  <c r="AJ20" i="49"/>
  <c r="O21" i="49"/>
  <c r="AD20" i="49"/>
  <c r="AF20" i="56"/>
  <c r="S21" i="49"/>
  <c r="R21" i="49"/>
  <c r="Z21" i="49"/>
  <c r="U21" i="49"/>
  <c r="T21" i="49"/>
  <c r="Y21" i="49"/>
  <c r="X21" i="49"/>
  <c r="W21" i="49"/>
  <c r="V21" i="49"/>
  <c r="AE20" i="49"/>
  <c r="AF20" i="49"/>
  <c r="AG20" i="49"/>
  <c r="AH20" i="49"/>
  <c r="F24" i="49"/>
  <c r="I24" i="49" s="1"/>
  <c r="L24" i="49" s="1"/>
  <c r="E24" i="49"/>
  <c r="H24" i="49" s="1"/>
  <c r="K24" i="49" s="1"/>
  <c r="D24" i="49"/>
  <c r="G24" i="49" s="1"/>
  <c r="J24" i="49" s="1"/>
  <c r="C25" i="49"/>
  <c r="N22" i="49"/>
  <c r="O22" i="49" s="1"/>
  <c r="P22" i="49"/>
  <c r="AC20" i="44"/>
  <c r="V22" i="47"/>
  <c r="AH22" i="47" s="1"/>
  <c r="BL12" i="1"/>
  <c r="AE20" i="56"/>
  <c r="T22" i="47"/>
  <c r="AF22" i="47" s="1"/>
  <c r="AB19" i="56"/>
  <c r="BO13" i="1" s="1"/>
  <c r="CG13" i="1" s="1"/>
  <c r="AJ20" i="56"/>
  <c r="S22" i="47"/>
  <c r="AE22" i="47" s="1"/>
  <c r="AJ20" i="43"/>
  <c r="AD20" i="43"/>
  <c r="AK20" i="56"/>
  <c r="AF20" i="43"/>
  <c r="AK20" i="43"/>
  <c r="AH20" i="43"/>
  <c r="CZ6" i="1"/>
  <c r="DM6" i="1" s="1"/>
  <c r="DP6" i="1" s="1"/>
  <c r="CZ4" i="1"/>
  <c r="S21" i="50"/>
  <c r="AE21" i="50" s="1"/>
  <c r="Y22" i="47"/>
  <c r="AK22" i="47" s="1"/>
  <c r="P22" i="50"/>
  <c r="Q22" i="50" s="1"/>
  <c r="W22" i="50" s="1"/>
  <c r="AI22" i="50" s="1"/>
  <c r="AJ20" i="57"/>
  <c r="AB19" i="62"/>
  <c r="AB20" i="52"/>
  <c r="BX12" i="1"/>
  <c r="ER12" i="1" s="1"/>
  <c r="AD20" i="56"/>
  <c r="AL20" i="43"/>
  <c r="U22" i="47"/>
  <c r="AG22" i="47" s="1"/>
  <c r="AA22" i="47"/>
  <c r="AC22" i="47" s="1"/>
  <c r="AK20" i="57"/>
  <c r="Z22" i="47"/>
  <c r="AL22" i="47" s="1"/>
  <c r="X22" i="47"/>
  <c r="AJ22" i="47" s="1"/>
  <c r="AL20" i="56"/>
  <c r="AG20" i="43"/>
  <c r="R22" i="47"/>
  <c r="AD22" i="47" s="1"/>
  <c r="BQ12" i="1"/>
  <c r="R22" i="45"/>
  <c r="AD22" i="45" s="1"/>
  <c r="S22" i="45"/>
  <c r="AE22" i="45" s="1"/>
  <c r="T22" i="45"/>
  <c r="AF22" i="45" s="1"/>
  <c r="BT12" i="1"/>
  <c r="U22" i="45"/>
  <c r="AG22" i="45" s="1"/>
  <c r="AJ21" i="51"/>
  <c r="V22" i="45"/>
  <c r="AH22" i="45" s="1"/>
  <c r="AL21" i="51"/>
  <c r="AL21" i="52"/>
  <c r="X22" i="45"/>
  <c r="AJ22" i="45" s="1"/>
  <c r="W21" i="50"/>
  <c r="AI21" i="50" s="1"/>
  <c r="AH21" i="51"/>
  <c r="AA22" i="45"/>
  <c r="AC22" i="45" s="1"/>
  <c r="Y21" i="50"/>
  <c r="AK21" i="50" s="1"/>
  <c r="AE21" i="51"/>
  <c r="AF20" i="57"/>
  <c r="O14" i="23"/>
  <c r="W22" i="45"/>
  <c r="AI22" i="45" s="1"/>
  <c r="R21" i="50"/>
  <c r="AD21" i="50" s="1"/>
  <c r="AF21" i="51"/>
  <c r="AI21" i="52"/>
  <c r="W21" i="54"/>
  <c r="AI21" i="54" s="1"/>
  <c r="U20" i="63"/>
  <c r="AG20" i="63" s="1"/>
  <c r="AH20" i="56"/>
  <c r="BS12" i="1"/>
  <c r="P14" i="23"/>
  <c r="Q14" i="23" s="1"/>
  <c r="W14" i="23" s="1"/>
  <c r="U21" i="50"/>
  <c r="AG21" i="50" s="1"/>
  <c r="AC21" i="51"/>
  <c r="S21" i="54"/>
  <c r="AE21" i="54" s="1"/>
  <c r="AI20" i="56"/>
  <c r="O21" i="56"/>
  <c r="AB20" i="56"/>
  <c r="AB18" i="46"/>
  <c r="BN12" i="1" s="1"/>
  <c r="BU12" i="1"/>
  <c r="T21" i="54"/>
  <c r="AF21" i="54" s="1"/>
  <c r="Y20" i="63"/>
  <c r="AK20" i="63" s="1"/>
  <c r="Y21" i="65"/>
  <c r="AK21" i="65" s="1"/>
  <c r="BP12" i="1"/>
  <c r="AC20" i="43"/>
  <c r="AB20" i="43"/>
  <c r="P22" i="52"/>
  <c r="Q22" i="52" s="1"/>
  <c r="S22" i="52" s="1"/>
  <c r="AE22" i="52" s="1"/>
  <c r="BZ11" i="1"/>
  <c r="AD20" i="57"/>
  <c r="P21" i="43"/>
  <c r="Q21" i="43" s="1"/>
  <c r="U21" i="43" s="1"/>
  <c r="AG21" i="43" s="1"/>
  <c r="AH21" i="52"/>
  <c r="AL20" i="57"/>
  <c r="BW12" i="1"/>
  <c r="V20" i="63"/>
  <c r="AH20" i="63" s="1"/>
  <c r="V21" i="50"/>
  <c r="AH21" i="50" s="1"/>
  <c r="AJ21" i="52"/>
  <c r="W20" i="63"/>
  <c r="AI20" i="63" s="1"/>
  <c r="BY11" i="1"/>
  <c r="N21" i="44"/>
  <c r="O21" i="44" s="1"/>
  <c r="AE21" i="52"/>
  <c r="Z21" i="54"/>
  <c r="AL21" i="54" s="1"/>
  <c r="AA21" i="50"/>
  <c r="AC21" i="50" s="1"/>
  <c r="R21" i="54"/>
  <c r="AD21" i="54" s="1"/>
  <c r="P21" i="60"/>
  <c r="Q21" i="60" s="1"/>
  <c r="U21" i="60" s="1"/>
  <c r="X21" i="50"/>
  <c r="AJ21" i="50" s="1"/>
  <c r="AA21" i="54"/>
  <c r="AC21" i="54" s="1"/>
  <c r="U21" i="54"/>
  <c r="AG21" i="54" s="1"/>
  <c r="AA20" i="63"/>
  <c r="AC20" i="63" s="1"/>
  <c r="AB19" i="63"/>
  <c r="R20" i="63"/>
  <c r="AD20" i="63" s="1"/>
  <c r="BR12" i="1"/>
  <c r="X21" i="54"/>
  <c r="AJ21" i="54" s="1"/>
  <c r="Y21" i="54"/>
  <c r="AK21" i="54" s="1"/>
  <c r="M22" i="56"/>
  <c r="M22" i="43"/>
  <c r="O22" i="43" s="1"/>
  <c r="AA20" i="55"/>
  <c r="AC20" i="55" s="1"/>
  <c r="X20" i="55"/>
  <c r="AJ20" i="55" s="1"/>
  <c r="W20" i="55"/>
  <c r="AI20" i="55" s="1"/>
  <c r="V20" i="55"/>
  <c r="AH20" i="55" s="1"/>
  <c r="U20" i="55"/>
  <c r="AG20" i="55" s="1"/>
  <c r="Z20" i="55"/>
  <c r="AL20" i="55" s="1"/>
  <c r="T20" i="55"/>
  <c r="AF20" i="55" s="1"/>
  <c r="S20" i="55"/>
  <c r="AE20" i="55" s="1"/>
  <c r="R20" i="55"/>
  <c r="AD20" i="55" s="1"/>
  <c r="Y20" i="55"/>
  <c r="AK20" i="55" s="1"/>
  <c r="AC19" i="55"/>
  <c r="BL13" i="1" s="1"/>
  <c r="AB19" i="55"/>
  <c r="BK13" i="1" s="1"/>
  <c r="EE13" i="1" s="1"/>
  <c r="Z19" i="55"/>
  <c r="AL19" i="55" s="1"/>
  <c r="V19" i="55"/>
  <c r="AH19" i="55" s="1"/>
  <c r="W19" i="55"/>
  <c r="AI19" i="55" s="1"/>
  <c r="U19" i="55"/>
  <c r="AG19" i="55" s="1"/>
  <c r="T19" i="55"/>
  <c r="AF19" i="55" s="1"/>
  <c r="S19" i="55"/>
  <c r="AE19" i="55" s="1"/>
  <c r="R19" i="55"/>
  <c r="AD19" i="55" s="1"/>
  <c r="X19" i="55"/>
  <c r="AJ19" i="55" s="1"/>
  <c r="Y19" i="55"/>
  <c r="AK19" i="55" s="1"/>
  <c r="AA21" i="56"/>
  <c r="AC21" i="56" s="1"/>
  <c r="Z21" i="65"/>
  <c r="AL21" i="65" s="1"/>
  <c r="Z20" i="63"/>
  <c r="AL20" i="63" s="1"/>
  <c r="E23" i="55"/>
  <c r="H23" i="55" s="1"/>
  <c r="K23" i="55" s="1"/>
  <c r="D23" i="55"/>
  <c r="G23" i="55" s="1"/>
  <c r="J23" i="55" s="1"/>
  <c r="I23" i="55"/>
  <c r="L23" i="55" s="1"/>
  <c r="C24" i="55"/>
  <c r="Q19" i="46"/>
  <c r="AA19" i="46"/>
  <c r="AC19" i="46" s="1"/>
  <c r="P20" i="46"/>
  <c r="Q20" i="46" s="1"/>
  <c r="O20" i="46"/>
  <c r="C24" i="43"/>
  <c r="D23" i="43"/>
  <c r="G23" i="43" s="1"/>
  <c r="J23" i="43" s="1"/>
  <c r="F23" i="43"/>
  <c r="I23" i="43" s="1"/>
  <c r="L23" i="43" s="1"/>
  <c r="H23" i="43"/>
  <c r="K23" i="43" s="1"/>
  <c r="P21" i="55"/>
  <c r="Q21" i="55" s="1"/>
  <c r="N21" i="55"/>
  <c r="S21" i="65"/>
  <c r="AE21" i="65" s="1"/>
  <c r="M21" i="46"/>
  <c r="AA20" i="53"/>
  <c r="AC20" i="53" s="1"/>
  <c r="R20" i="53"/>
  <c r="AD20" i="53" s="1"/>
  <c r="N21" i="58"/>
  <c r="O21" i="58" s="1"/>
  <c r="S20" i="63"/>
  <c r="AE20" i="63" s="1"/>
  <c r="U21" i="65"/>
  <c r="AG21" i="65" s="1"/>
  <c r="D22" i="46"/>
  <c r="G22" i="46" s="1"/>
  <c r="J22" i="46" s="1"/>
  <c r="H22" i="46"/>
  <c r="K22" i="46" s="1"/>
  <c r="I22" i="46"/>
  <c r="L22" i="46" s="1"/>
  <c r="C23" i="46"/>
  <c r="V20" i="53"/>
  <c r="AH20" i="53" s="1"/>
  <c r="V21" i="65"/>
  <c r="AH21" i="65" s="1"/>
  <c r="AA21" i="65"/>
  <c r="AC21" i="65" s="1"/>
  <c r="X20" i="53"/>
  <c r="AJ20" i="53" s="1"/>
  <c r="W21" i="65"/>
  <c r="AI21" i="65" s="1"/>
  <c r="Z21" i="56"/>
  <c r="Y21" i="56"/>
  <c r="W21" i="56"/>
  <c r="R21" i="56"/>
  <c r="U21" i="56"/>
  <c r="T21" i="56"/>
  <c r="X21" i="56"/>
  <c r="V21" i="56"/>
  <c r="S21" i="56"/>
  <c r="Z20" i="53"/>
  <c r="AL20" i="53" s="1"/>
  <c r="X21" i="65"/>
  <c r="AJ21" i="65" s="1"/>
  <c r="C24" i="56"/>
  <c r="E23" i="56"/>
  <c r="H23" i="56" s="1"/>
  <c r="K23" i="56" s="1"/>
  <c r="D23" i="56"/>
  <c r="G23" i="56" s="1"/>
  <c r="J23" i="56" s="1"/>
  <c r="I23" i="56"/>
  <c r="L23" i="56" s="1"/>
  <c r="M22" i="55"/>
  <c r="X20" i="63"/>
  <c r="AJ20" i="63" s="1"/>
  <c r="R21" i="65"/>
  <c r="AD21" i="65" s="1"/>
  <c r="AF21" i="52"/>
  <c r="AK21" i="52"/>
  <c r="O21" i="63"/>
  <c r="AG21" i="52"/>
  <c r="P22" i="48"/>
  <c r="Q22" i="48" s="1"/>
  <c r="X22" i="48" s="1"/>
  <c r="AJ22" i="48" s="1"/>
  <c r="O23" i="45"/>
  <c r="N22" i="51"/>
  <c r="O22" i="51" s="1"/>
  <c r="O22" i="65"/>
  <c r="AC20" i="60"/>
  <c r="V20" i="62"/>
  <c r="AH20" i="62" s="1"/>
  <c r="N21" i="64"/>
  <c r="O21" i="64" s="1"/>
  <c r="AC21" i="45"/>
  <c r="AB21" i="45"/>
  <c r="AD21" i="52"/>
  <c r="AC20" i="58"/>
  <c r="AH20" i="57"/>
  <c r="AI20" i="57"/>
  <c r="AE20" i="60"/>
  <c r="W20" i="53"/>
  <c r="AI20" i="53" s="1"/>
  <c r="M22" i="53"/>
  <c r="N22" i="53" s="1"/>
  <c r="O22" i="53" s="1"/>
  <c r="Z20" i="62"/>
  <c r="AL20" i="62" s="1"/>
  <c r="AB20" i="58"/>
  <c r="AB21" i="48"/>
  <c r="S20" i="53"/>
  <c r="AE20" i="53" s="1"/>
  <c r="AG20" i="57"/>
  <c r="AK20" i="44"/>
  <c r="Y20" i="53"/>
  <c r="AK20" i="53" s="1"/>
  <c r="AB20" i="59"/>
  <c r="W20" i="62"/>
  <c r="AI20" i="62" s="1"/>
  <c r="P21" i="57"/>
  <c r="Q21" i="57" s="1"/>
  <c r="W21" i="57" s="1"/>
  <c r="AI21" i="57" s="1"/>
  <c r="X20" i="62"/>
  <c r="AJ20" i="62" s="1"/>
  <c r="T20" i="62"/>
  <c r="AF20" i="62" s="1"/>
  <c r="AL20" i="44"/>
  <c r="AA21" i="44"/>
  <c r="AE20" i="57"/>
  <c r="AC20" i="64"/>
  <c r="O23" i="47"/>
  <c r="AE20" i="58"/>
  <c r="AF20" i="58"/>
  <c r="AG20" i="58"/>
  <c r="AH20" i="58"/>
  <c r="AK20" i="58"/>
  <c r="N21" i="53"/>
  <c r="O21" i="53" s="1"/>
  <c r="AL20" i="58"/>
  <c r="M24" i="47"/>
  <c r="O24" i="47" s="1"/>
  <c r="R20" i="62"/>
  <c r="AD20" i="62" s="1"/>
  <c r="P21" i="62"/>
  <c r="Q21" i="62" s="1"/>
  <c r="S21" i="62" s="1"/>
  <c r="AE21" i="62" s="1"/>
  <c r="AD20" i="58"/>
  <c r="M22" i="61"/>
  <c r="S20" i="62"/>
  <c r="AE20" i="62" s="1"/>
  <c r="AI20" i="58"/>
  <c r="AJ20" i="58"/>
  <c r="U20" i="62"/>
  <c r="AG20" i="62" s="1"/>
  <c r="AB20" i="64"/>
  <c r="M22" i="64"/>
  <c r="P22" i="64" s="1"/>
  <c r="Q22" i="64" s="1"/>
  <c r="N21" i="59"/>
  <c r="O21" i="59" s="1"/>
  <c r="AG20" i="44"/>
  <c r="M22" i="44"/>
  <c r="P22" i="44" s="1"/>
  <c r="Q22" i="44" s="1"/>
  <c r="AF20" i="44"/>
  <c r="AD20" i="44"/>
  <c r="AC21" i="48"/>
  <c r="T20" i="53"/>
  <c r="AF20" i="53" s="1"/>
  <c r="AH20" i="44"/>
  <c r="AB21" i="52"/>
  <c r="AA22" i="65"/>
  <c r="AC22" i="65" s="1"/>
  <c r="M23" i="65"/>
  <c r="P23" i="65" s="1"/>
  <c r="Q23" i="65" s="1"/>
  <c r="C25" i="65"/>
  <c r="I24" i="65"/>
  <c r="L24" i="65" s="1"/>
  <c r="G24" i="65"/>
  <c r="J24" i="65" s="1"/>
  <c r="H24" i="65"/>
  <c r="K24" i="65" s="1"/>
  <c r="X22" i="65"/>
  <c r="Z22" i="65"/>
  <c r="Y22" i="65"/>
  <c r="W22" i="65"/>
  <c r="U22" i="65"/>
  <c r="T22" i="65"/>
  <c r="S22" i="65"/>
  <c r="R22" i="65"/>
  <c r="V22" i="65"/>
  <c r="AK20" i="64"/>
  <c r="AE20" i="64"/>
  <c r="AG20" i="64"/>
  <c r="AD20" i="64"/>
  <c r="C24" i="64"/>
  <c r="D23" i="64"/>
  <c r="G23" i="64" s="1"/>
  <c r="J23" i="64" s="1"/>
  <c r="F23" i="64"/>
  <c r="I23" i="64" s="1"/>
  <c r="L23" i="64" s="1"/>
  <c r="E23" i="64"/>
  <c r="H23" i="64" s="1"/>
  <c r="K23" i="64" s="1"/>
  <c r="AH20" i="64"/>
  <c r="AI20" i="64"/>
  <c r="T21" i="64"/>
  <c r="V21" i="64"/>
  <c r="Z21" i="64"/>
  <c r="U21" i="64"/>
  <c r="S21" i="64"/>
  <c r="R21" i="64"/>
  <c r="Y21" i="64"/>
  <c r="X21" i="64"/>
  <c r="W21" i="64"/>
  <c r="AJ20" i="64"/>
  <c r="AA21" i="64"/>
  <c r="AF20" i="64"/>
  <c r="AL20" i="64"/>
  <c r="M22" i="63"/>
  <c r="O22" i="63" s="1"/>
  <c r="C24" i="63"/>
  <c r="F23" i="63"/>
  <c r="I23" i="63" s="1"/>
  <c r="L23" i="63" s="1"/>
  <c r="D23" i="63"/>
  <c r="G23" i="63" s="1"/>
  <c r="J23" i="63" s="1"/>
  <c r="H23" i="63"/>
  <c r="K23" i="63" s="1"/>
  <c r="T21" i="63"/>
  <c r="Y21" i="63"/>
  <c r="X21" i="63"/>
  <c r="W21" i="63"/>
  <c r="V21" i="63"/>
  <c r="U21" i="63"/>
  <c r="S21" i="63"/>
  <c r="R21" i="63"/>
  <c r="Z21" i="63"/>
  <c r="AA21" i="63"/>
  <c r="AC21" i="63" s="1"/>
  <c r="M22" i="62"/>
  <c r="O22" i="62" s="1"/>
  <c r="AA20" i="62"/>
  <c r="C24" i="62"/>
  <c r="D23" i="62"/>
  <c r="G23" i="62" s="1"/>
  <c r="J23" i="62" s="1"/>
  <c r="H23" i="62"/>
  <c r="K23" i="62" s="1"/>
  <c r="I23" i="62"/>
  <c r="L23" i="62" s="1"/>
  <c r="C24" i="61"/>
  <c r="E23" i="61"/>
  <c r="K23" i="61" s="1"/>
  <c r="D23" i="61"/>
  <c r="F23" i="61"/>
  <c r="L23" i="61" s="1"/>
  <c r="AD20" i="60"/>
  <c r="M22" i="60"/>
  <c r="N22" i="60" s="1"/>
  <c r="AH20" i="60"/>
  <c r="AG20" i="60"/>
  <c r="AI20" i="60"/>
  <c r="AJ20" i="60"/>
  <c r="AL20" i="60"/>
  <c r="C24" i="60"/>
  <c r="E23" i="60"/>
  <c r="H23" i="60" s="1"/>
  <c r="K23" i="60" s="1"/>
  <c r="D23" i="60"/>
  <c r="G23" i="60" s="1"/>
  <c r="J23" i="60" s="1"/>
  <c r="I23" i="60"/>
  <c r="L23" i="60" s="1"/>
  <c r="AF20" i="60"/>
  <c r="O21" i="60"/>
  <c r="AB20" i="60"/>
  <c r="AK20" i="60"/>
  <c r="M22" i="59"/>
  <c r="N22" i="59" s="1"/>
  <c r="O22" i="59" s="1"/>
  <c r="C24" i="59"/>
  <c r="D23" i="59"/>
  <c r="G23" i="59" s="1"/>
  <c r="J23" i="59" s="1"/>
  <c r="E23" i="59"/>
  <c r="H23" i="59" s="1"/>
  <c r="K23" i="59" s="1"/>
  <c r="I23" i="59"/>
  <c r="L23" i="59" s="1"/>
  <c r="T21" i="59"/>
  <c r="V21" i="59"/>
  <c r="X21" i="59"/>
  <c r="W21" i="59"/>
  <c r="U21" i="59"/>
  <c r="S21" i="59"/>
  <c r="R21" i="59"/>
  <c r="Z21" i="59"/>
  <c r="Y21" i="59"/>
  <c r="AA21" i="59"/>
  <c r="M22" i="58"/>
  <c r="P22" i="58" s="1"/>
  <c r="Q22" i="58" s="1"/>
  <c r="T21" i="58"/>
  <c r="S21" i="58"/>
  <c r="X21" i="58"/>
  <c r="W21" i="58"/>
  <c r="V21" i="58"/>
  <c r="U21" i="58"/>
  <c r="Z21" i="58"/>
  <c r="Y21" i="58"/>
  <c r="R21" i="58"/>
  <c r="AA21" i="58"/>
  <c r="C24" i="58"/>
  <c r="E23" i="58"/>
  <c r="H23" i="58" s="1"/>
  <c r="K23" i="58" s="1"/>
  <c r="D23" i="58"/>
  <c r="G23" i="58" s="1"/>
  <c r="J23" i="58" s="1"/>
  <c r="I23" i="58"/>
  <c r="L23" i="58" s="1"/>
  <c r="M22" i="57"/>
  <c r="O22" i="57" s="1"/>
  <c r="AB20" i="57"/>
  <c r="C24" i="57"/>
  <c r="D23" i="57"/>
  <c r="G23" i="57" s="1"/>
  <c r="J23" i="57" s="1"/>
  <c r="F23" i="57"/>
  <c r="I23" i="57" s="1"/>
  <c r="L23" i="57" s="1"/>
  <c r="E23" i="57"/>
  <c r="H23" i="57" s="1"/>
  <c r="K23" i="57" s="1"/>
  <c r="P22" i="54"/>
  <c r="Q22" i="54" s="1"/>
  <c r="W22" i="54" s="1"/>
  <c r="M23" i="54"/>
  <c r="P23" i="54" s="1"/>
  <c r="Q23" i="54" s="1"/>
  <c r="AH21" i="54"/>
  <c r="O22" i="54"/>
  <c r="C25" i="54"/>
  <c r="D24" i="54"/>
  <c r="G24" i="54" s="1"/>
  <c r="J24" i="54" s="1"/>
  <c r="E24" i="54"/>
  <c r="H24" i="54" s="1"/>
  <c r="K24" i="54" s="1"/>
  <c r="I24" i="54"/>
  <c r="L24" i="54" s="1"/>
  <c r="AG20" i="53"/>
  <c r="T21" i="53"/>
  <c r="W21" i="53"/>
  <c r="V21" i="53"/>
  <c r="U21" i="53"/>
  <c r="R21" i="53"/>
  <c r="S21" i="53"/>
  <c r="X21" i="53"/>
  <c r="Z21" i="53"/>
  <c r="Y21" i="53"/>
  <c r="C24" i="53"/>
  <c r="D23" i="53"/>
  <c r="G23" i="53" s="1"/>
  <c r="J23" i="53" s="1"/>
  <c r="E23" i="53"/>
  <c r="H23" i="53" s="1"/>
  <c r="K23" i="53" s="1"/>
  <c r="I23" i="53"/>
  <c r="L23" i="53" s="1"/>
  <c r="AA21" i="53"/>
  <c r="M23" i="52"/>
  <c r="O23" i="52" s="1"/>
  <c r="C25" i="52"/>
  <c r="I24" i="52"/>
  <c r="L24" i="52" s="1"/>
  <c r="D24" i="52"/>
  <c r="G24" i="52" s="1"/>
  <c r="J24" i="52" s="1"/>
  <c r="H24" i="52"/>
  <c r="K24" i="52" s="1"/>
  <c r="AB21" i="51"/>
  <c r="M23" i="51"/>
  <c r="P23" i="51" s="1"/>
  <c r="Q23" i="51" s="1"/>
  <c r="C25" i="51"/>
  <c r="D24" i="51"/>
  <c r="G24" i="51" s="1"/>
  <c r="J24" i="51" s="1"/>
  <c r="E24" i="51"/>
  <c r="H24" i="51" s="1"/>
  <c r="K24" i="51" s="1"/>
  <c r="F24" i="51"/>
  <c r="I24" i="51" s="1"/>
  <c r="L24" i="51" s="1"/>
  <c r="X22" i="51"/>
  <c r="W22" i="51"/>
  <c r="Z22" i="51"/>
  <c r="S22" i="51"/>
  <c r="R22" i="51"/>
  <c r="Y22" i="51"/>
  <c r="V22" i="51"/>
  <c r="U22" i="51"/>
  <c r="T22" i="51"/>
  <c r="AA22" i="51"/>
  <c r="M23" i="50"/>
  <c r="P23" i="50" s="1"/>
  <c r="Q23" i="50" s="1"/>
  <c r="AC20" i="50"/>
  <c r="AB20" i="50"/>
  <c r="C25" i="50"/>
  <c r="D24" i="50"/>
  <c r="G24" i="50" s="1"/>
  <c r="J24" i="50" s="1"/>
  <c r="I24" i="50"/>
  <c r="L24" i="50" s="1"/>
  <c r="H24" i="50"/>
  <c r="K24" i="50" s="1"/>
  <c r="X22" i="50"/>
  <c r="AJ22" i="50" s="1"/>
  <c r="Y22" i="50"/>
  <c r="AK22" i="50" s="1"/>
  <c r="U22" i="50"/>
  <c r="AG22" i="50" s="1"/>
  <c r="R22" i="50"/>
  <c r="AD22" i="50" s="1"/>
  <c r="AA22" i="50"/>
  <c r="AC22" i="50" s="1"/>
  <c r="AJ21" i="48"/>
  <c r="AL21" i="48"/>
  <c r="AD21" i="48"/>
  <c r="AK21" i="48"/>
  <c r="AG21" i="48"/>
  <c r="M23" i="48"/>
  <c r="P23" i="48" s="1"/>
  <c r="Q23" i="48" s="1"/>
  <c r="AI21" i="48"/>
  <c r="AH21" i="48"/>
  <c r="AE21" i="48"/>
  <c r="AF21" i="48"/>
  <c r="C25" i="48"/>
  <c r="E24" i="48"/>
  <c r="H24" i="48" s="1"/>
  <c r="K24" i="48" s="1"/>
  <c r="D24" i="48"/>
  <c r="G24" i="48" s="1"/>
  <c r="J24" i="48" s="1"/>
  <c r="F24" i="48"/>
  <c r="I24" i="48" s="1"/>
  <c r="L24" i="48" s="1"/>
  <c r="R23" i="47"/>
  <c r="T23" i="47"/>
  <c r="V23" i="47"/>
  <c r="U23" i="47"/>
  <c r="S23" i="47"/>
  <c r="Z23" i="47"/>
  <c r="Y23" i="47"/>
  <c r="X23" i="47"/>
  <c r="W23" i="47"/>
  <c r="C26" i="47"/>
  <c r="F25" i="47"/>
  <c r="I25" i="47" s="1"/>
  <c r="L25" i="47" s="1"/>
  <c r="E25" i="47"/>
  <c r="H25" i="47" s="1"/>
  <c r="K25" i="47" s="1"/>
  <c r="D25" i="47"/>
  <c r="G25" i="47" s="1"/>
  <c r="J25" i="47" s="1"/>
  <c r="AA23" i="47"/>
  <c r="AC23" i="47" s="1"/>
  <c r="M24" i="45"/>
  <c r="O24" i="45" s="1"/>
  <c r="C26" i="45"/>
  <c r="D25" i="45"/>
  <c r="G25" i="45" s="1"/>
  <c r="J25" i="45" s="1"/>
  <c r="H25" i="45"/>
  <c r="K25" i="45" s="1"/>
  <c r="I25" i="45"/>
  <c r="L25" i="45" s="1"/>
  <c r="R23" i="45"/>
  <c r="T23" i="45"/>
  <c r="S23" i="45"/>
  <c r="Z23" i="45"/>
  <c r="W23" i="45"/>
  <c r="Y23" i="45"/>
  <c r="X23" i="45"/>
  <c r="V23" i="45"/>
  <c r="U23" i="45"/>
  <c r="AA23" i="45"/>
  <c r="AC23" i="45" s="1"/>
  <c r="AB20" i="44"/>
  <c r="C24" i="44"/>
  <c r="E23" i="44"/>
  <c r="H23" i="44" s="1"/>
  <c r="K23" i="44" s="1"/>
  <c r="F23" i="44"/>
  <c r="I23" i="44" s="1"/>
  <c r="L23" i="44" s="1"/>
  <c r="D23" i="44"/>
  <c r="G23" i="44" s="1"/>
  <c r="J23" i="44" s="1"/>
  <c r="AI20" i="44"/>
  <c r="AJ20" i="44"/>
  <c r="AE20" i="44"/>
  <c r="R21" i="44"/>
  <c r="X21" i="44"/>
  <c r="W21" i="44"/>
  <c r="U21" i="44"/>
  <c r="T21" i="44"/>
  <c r="V21" i="44"/>
  <c r="S21" i="44"/>
  <c r="Z21" i="44"/>
  <c r="Y21" i="44"/>
  <c r="S14" i="23"/>
  <c r="AK5" i="1"/>
  <c r="AC12" i="23"/>
  <c r="AB12" i="23"/>
  <c r="Z12" i="23"/>
  <c r="AL12" i="23" s="1"/>
  <c r="X12" i="23"/>
  <c r="AJ12" i="23" s="1"/>
  <c r="T12" i="23"/>
  <c r="AF12" i="23" s="1"/>
  <c r="S12" i="23"/>
  <c r="AE12" i="23" s="1"/>
  <c r="R12" i="23"/>
  <c r="AD12" i="23" s="1"/>
  <c r="Y12" i="23"/>
  <c r="AK12" i="23" s="1"/>
  <c r="W12" i="23"/>
  <c r="AI12" i="23" s="1"/>
  <c r="V12" i="23"/>
  <c r="AH12" i="23" s="1"/>
  <c r="U12" i="23"/>
  <c r="AG12" i="23" s="1"/>
  <c r="AA13" i="23"/>
  <c r="AC13" i="23" s="1"/>
  <c r="Q13" i="23"/>
  <c r="C17" i="23"/>
  <c r="F16" i="23"/>
  <c r="I16" i="23" s="1"/>
  <c r="L16" i="23" s="1"/>
  <c r="E16" i="23"/>
  <c r="H16" i="23" s="1"/>
  <c r="K16" i="23" s="1"/>
  <c r="D16" i="23"/>
  <c r="G16" i="23" s="1"/>
  <c r="J16" i="23" s="1"/>
  <c r="M15" i="23"/>
  <c r="H15" i="20"/>
  <c r="K15" i="20" s="1"/>
  <c r="M15" i="20" s="1"/>
  <c r="P15" i="20" s="1"/>
  <c r="BD9" i="1"/>
  <c r="I17" i="19"/>
  <c r="L17" i="19" s="1"/>
  <c r="BC9" i="1"/>
  <c r="BE9" i="1"/>
  <c r="H17" i="19"/>
  <c r="K17" i="19" s="1"/>
  <c r="G17" i="19"/>
  <c r="J17" i="19" s="1"/>
  <c r="D34" i="1"/>
  <c r="C34" i="1"/>
  <c r="AB3" i="1"/>
  <c r="Y4" i="1"/>
  <c r="Y12" i="25"/>
  <c r="AK12" i="25" s="1"/>
  <c r="AL5" i="1"/>
  <c r="AD3" i="1"/>
  <c r="AC3" i="1"/>
  <c r="AE3" i="1"/>
  <c r="Q13" i="25"/>
  <c r="U13" i="25" s="1"/>
  <c r="AG13" i="25" s="1"/>
  <c r="AN5" i="1"/>
  <c r="AF8" i="1"/>
  <c r="AH6" i="1"/>
  <c r="BB8" i="1"/>
  <c r="AU5" i="1"/>
  <c r="AS6" i="1"/>
  <c r="AT5" i="1"/>
  <c r="AW5" i="1"/>
  <c r="AY7" i="1"/>
  <c r="AR6" i="1"/>
  <c r="AU6" i="1"/>
  <c r="AX7" i="1"/>
  <c r="AO9" i="1"/>
  <c r="AV7" i="1"/>
  <c r="AL6" i="1"/>
  <c r="AG6" i="1"/>
  <c r="BA5" i="1"/>
  <c r="AJ5" i="1"/>
  <c r="AW6" i="1"/>
  <c r="AP6" i="1"/>
  <c r="AC13" i="24"/>
  <c r="Q13" i="32"/>
  <c r="Z13" i="32" s="1"/>
  <c r="AL13" i="32" s="1"/>
  <c r="W12" i="39"/>
  <c r="AI12" i="39" s="1"/>
  <c r="V12" i="25"/>
  <c r="AH12" i="25" s="1"/>
  <c r="Y12" i="39"/>
  <c r="AK12" i="39" s="1"/>
  <c r="U12" i="25"/>
  <c r="AG12" i="25" s="1"/>
  <c r="W12" i="25"/>
  <c r="AI12" i="25" s="1"/>
  <c r="T12" i="25"/>
  <c r="AF12" i="25" s="1"/>
  <c r="R12" i="25"/>
  <c r="AD12" i="25" s="1"/>
  <c r="S12" i="25"/>
  <c r="AE12" i="25" s="1"/>
  <c r="V12" i="39"/>
  <c r="AH12" i="39" s="1"/>
  <c r="T12" i="39"/>
  <c r="AF12" i="39" s="1"/>
  <c r="Z12" i="25"/>
  <c r="AL12" i="25" s="1"/>
  <c r="N14" i="30"/>
  <c r="O14" i="30" s="1"/>
  <c r="I5" i="1"/>
  <c r="R12" i="39"/>
  <c r="AD12" i="39" s="1"/>
  <c r="Z12" i="39"/>
  <c r="AL12" i="39" s="1"/>
  <c r="U12" i="39"/>
  <c r="AG12" i="39" s="1"/>
  <c r="X12" i="39"/>
  <c r="AJ12" i="39" s="1"/>
  <c r="Q14" i="37"/>
  <c r="X14" i="37" s="1"/>
  <c r="AJ14" i="37" s="1"/>
  <c r="AC13" i="32"/>
  <c r="AB13" i="32"/>
  <c r="W4" i="1"/>
  <c r="BF4" i="1" s="1"/>
  <c r="AC13" i="30"/>
  <c r="R13" i="29"/>
  <c r="AD13" i="29" s="1"/>
  <c r="M15" i="33"/>
  <c r="N15" i="33" s="1"/>
  <c r="Z13" i="29"/>
  <c r="AL13" i="29" s="1"/>
  <c r="AC13" i="25"/>
  <c r="AC14" i="29"/>
  <c r="V13" i="29"/>
  <c r="AH13" i="29" s="1"/>
  <c r="K6" i="1"/>
  <c r="T13" i="29"/>
  <c r="AF13" i="29" s="1"/>
  <c r="Z14" i="36"/>
  <c r="AL14" i="36" s="1"/>
  <c r="R5" i="1"/>
  <c r="Z15" i="19"/>
  <c r="AL15" i="19" s="1"/>
  <c r="AB13" i="25"/>
  <c r="L7" i="1" s="1"/>
  <c r="U13" i="8"/>
  <c r="AG13" i="8" s="1"/>
  <c r="X15" i="19"/>
  <c r="AJ15" i="19" s="1"/>
  <c r="T16" i="27"/>
  <c r="AF16" i="27" s="1"/>
  <c r="Y15" i="19"/>
  <c r="AK15" i="19" s="1"/>
  <c r="R15" i="19"/>
  <c r="AD15" i="19" s="1"/>
  <c r="Y14" i="36"/>
  <c r="AK14" i="36" s="1"/>
  <c r="R14" i="36"/>
  <c r="AD14" i="36" s="1"/>
  <c r="N5" i="1"/>
  <c r="S15" i="19"/>
  <c r="AE15" i="19" s="1"/>
  <c r="T14" i="36"/>
  <c r="AF14" i="36" s="1"/>
  <c r="U16" i="27"/>
  <c r="AG16" i="27" s="1"/>
  <c r="W15" i="19"/>
  <c r="AI15" i="19" s="1"/>
  <c r="X13" i="29"/>
  <c r="AJ13" i="29" s="1"/>
  <c r="M5" i="1"/>
  <c r="T5" i="1"/>
  <c r="U5" i="1"/>
  <c r="M15" i="39"/>
  <c r="N15" i="39" s="1"/>
  <c r="M15" i="24"/>
  <c r="P15" i="24" s="1"/>
  <c r="AA15" i="24" s="1"/>
  <c r="P14" i="32"/>
  <c r="Q14" i="32" s="1"/>
  <c r="S14" i="32" s="1"/>
  <c r="AE14" i="32" s="1"/>
  <c r="AA14" i="28"/>
  <c r="AC14" i="28" s="1"/>
  <c r="P14" i="24"/>
  <c r="AA14" i="24" s="1"/>
  <c r="AC14" i="24" s="1"/>
  <c r="H5" i="1"/>
  <c r="S13" i="29"/>
  <c r="AE13" i="29" s="1"/>
  <c r="W13" i="29"/>
  <c r="AI13" i="29" s="1"/>
  <c r="S5" i="1"/>
  <c r="X13" i="8"/>
  <c r="AJ13" i="8" s="1"/>
  <c r="U14" i="21"/>
  <c r="AG14" i="21" s="1"/>
  <c r="Z13" i="8"/>
  <c r="AL13" i="8" s="1"/>
  <c r="S13" i="8"/>
  <c r="AE13" i="8" s="1"/>
  <c r="W14" i="21"/>
  <c r="AI14" i="21" s="1"/>
  <c r="Q5" i="1"/>
  <c r="T15" i="40"/>
  <c r="AF15" i="40" s="1"/>
  <c r="M15" i="25"/>
  <c r="O15" i="25" s="1"/>
  <c r="O5" i="1"/>
  <c r="W13" i="8"/>
  <c r="AI13" i="8" s="1"/>
  <c r="T15" i="19"/>
  <c r="AF15" i="19" s="1"/>
  <c r="AD13" i="8"/>
  <c r="O14" i="25"/>
  <c r="AB14" i="25" s="1"/>
  <c r="T13" i="8"/>
  <c r="AF13" i="8" s="1"/>
  <c r="U15" i="19"/>
  <c r="AG15" i="19" s="1"/>
  <c r="AC14" i="34"/>
  <c r="Y13" i="29"/>
  <c r="AK13" i="29" s="1"/>
  <c r="N14" i="33"/>
  <c r="O14" i="33" s="1"/>
  <c r="Q14" i="33"/>
  <c r="V14" i="33" s="1"/>
  <c r="AA14" i="33"/>
  <c r="C18" i="31"/>
  <c r="E17" i="31"/>
  <c r="H17" i="31" s="1"/>
  <c r="K17" i="31" s="1"/>
  <c r="D17" i="31"/>
  <c r="G17" i="31" s="1"/>
  <c r="J17" i="31" s="1"/>
  <c r="I17" i="31"/>
  <c r="L17" i="31" s="1"/>
  <c r="P5" i="1"/>
  <c r="M15" i="26"/>
  <c r="R13" i="31"/>
  <c r="AD13" i="31" s="1"/>
  <c r="Y13" i="31"/>
  <c r="AK13" i="31" s="1"/>
  <c r="X13" i="31"/>
  <c r="AJ13" i="31" s="1"/>
  <c r="Z13" i="31"/>
  <c r="AL13" i="31" s="1"/>
  <c r="T13" i="31"/>
  <c r="AF13" i="31" s="1"/>
  <c r="W13" i="31"/>
  <c r="AI13" i="31" s="1"/>
  <c r="U13" i="31"/>
  <c r="AG13" i="31" s="1"/>
  <c r="S13" i="31"/>
  <c r="AE13" i="31" s="1"/>
  <c r="V13" i="31"/>
  <c r="AH13" i="31" s="1"/>
  <c r="Q14" i="31"/>
  <c r="AC12" i="26"/>
  <c r="AB12" i="26"/>
  <c r="W16" i="27"/>
  <c r="AI16" i="27" s="1"/>
  <c r="AC13" i="35"/>
  <c r="W12" i="26"/>
  <c r="AI12" i="26" s="1"/>
  <c r="R12" i="26"/>
  <c r="AD12" i="26" s="1"/>
  <c r="S12" i="26"/>
  <c r="AE12" i="26" s="1"/>
  <c r="V12" i="26"/>
  <c r="AH12" i="26" s="1"/>
  <c r="Y12" i="26"/>
  <c r="AK12" i="26" s="1"/>
  <c r="X12" i="26"/>
  <c r="AJ12" i="26" s="1"/>
  <c r="T12" i="26"/>
  <c r="AF12" i="26" s="1"/>
  <c r="Z12" i="26"/>
  <c r="AL12" i="26" s="1"/>
  <c r="U12" i="26"/>
  <c r="AG12" i="26" s="1"/>
  <c r="AB12" i="32"/>
  <c r="P15" i="31"/>
  <c r="AA15" i="31" s="1"/>
  <c r="AC15" i="31" s="1"/>
  <c r="O15" i="31"/>
  <c r="Z12" i="32"/>
  <c r="AL12" i="32" s="1"/>
  <c r="U12" i="32"/>
  <c r="AG12" i="32" s="1"/>
  <c r="W12" i="32"/>
  <c r="AI12" i="32" s="1"/>
  <c r="S12" i="32"/>
  <c r="AE12" i="32" s="1"/>
  <c r="V12" i="32"/>
  <c r="AH12" i="32" s="1"/>
  <c r="R12" i="32"/>
  <c r="AD12" i="32" s="1"/>
  <c r="X12" i="32"/>
  <c r="AJ12" i="32" s="1"/>
  <c r="T12" i="32"/>
  <c r="AF12" i="32" s="1"/>
  <c r="Y12" i="32"/>
  <c r="AK12" i="32" s="1"/>
  <c r="M15" i="30"/>
  <c r="N15" i="30" s="1"/>
  <c r="O15" i="30" s="1"/>
  <c r="AB14" i="31"/>
  <c r="M16" i="31"/>
  <c r="S13" i="24"/>
  <c r="AE13" i="24" s="1"/>
  <c r="W13" i="24"/>
  <c r="AI13" i="24" s="1"/>
  <c r="Z13" i="24"/>
  <c r="AL13" i="24" s="1"/>
  <c r="Y13" i="24"/>
  <c r="AK13" i="24" s="1"/>
  <c r="X13" i="24"/>
  <c r="AJ13" i="24" s="1"/>
  <c r="V13" i="24"/>
  <c r="AH13" i="24" s="1"/>
  <c r="R13" i="24"/>
  <c r="AD13" i="24" s="1"/>
  <c r="U13" i="24"/>
  <c r="AG13" i="24" s="1"/>
  <c r="T13" i="24"/>
  <c r="AF13" i="24" s="1"/>
  <c r="E16" i="22"/>
  <c r="H16" i="22" s="1"/>
  <c r="K16" i="22" s="1"/>
  <c r="F16" i="22"/>
  <c r="I16" i="22" s="1"/>
  <c r="L16" i="22" s="1"/>
  <c r="D16" i="22"/>
  <c r="G16" i="22" s="1"/>
  <c r="J16" i="22" s="1"/>
  <c r="C17" i="22"/>
  <c r="P14" i="22"/>
  <c r="AA14" i="22" s="1"/>
  <c r="AC14" i="22" s="1"/>
  <c r="O14" i="22"/>
  <c r="I16" i="30"/>
  <c r="L16" i="30" s="1"/>
  <c r="D16" i="30"/>
  <c r="G16" i="30" s="1"/>
  <c r="J16" i="30" s="1"/>
  <c r="C17" i="30"/>
  <c r="E16" i="30"/>
  <c r="H16" i="30" s="1"/>
  <c r="K16" i="30" s="1"/>
  <c r="M15" i="32"/>
  <c r="N14" i="39"/>
  <c r="O14" i="39" s="1"/>
  <c r="P14" i="39"/>
  <c r="M15" i="35"/>
  <c r="V14" i="29"/>
  <c r="AH14" i="29" s="1"/>
  <c r="V16" i="27"/>
  <c r="AH16" i="27" s="1"/>
  <c r="M15" i="22"/>
  <c r="D16" i="26"/>
  <c r="G16" i="26" s="1"/>
  <c r="J16" i="26" s="1"/>
  <c r="F16" i="26"/>
  <c r="I16" i="26" s="1"/>
  <c r="L16" i="26" s="1"/>
  <c r="E16" i="26"/>
  <c r="H16" i="26" s="1"/>
  <c r="K16" i="26" s="1"/>
  <c r="C17" i="26"/>
  <c r="C17" i="35"/>
  <c r="E16" i="35"/>
  <c r="H16" i="35" s="1"/>
  <c r="K16" i="35" s="1"/>
  <c r="D16" i="35"/>
  <c r="G16" i="35" s="1"/>
  <c r="J16" i="35" s="1"/>
  <c r="I16" i="35"/>
  <c r="L16" i="35" s="1"/>
  <c r="F16" i="32"/>
  <c r="I16" i="32" s="1"/>
  <c r="L16" i="32" s="1"/>
  <c r="C17" i="32"/>
  <c r="E16" i="32"/>
  <c r="H16" i="32" s="1"/>
  <c r="K16" i="32" s="1"/>
  <c r="D16" i="32"/>
  <c r="G16" i="32" s="1"/>
  <c r="J16" i="32" s="1"/>
  <c r="AA13" i="39"/>
  <c r="AC13" i="39" s="1"/>
  <c r="Q13" i="39"/>
  <c r="AA14" i="30"/>
  <c r="Q14" i="30"/>
  <c r="R13" i="30"/>
  <c r="AD13" i="30" s="1"/>
  <c r="Y13" i="30"/>
  <c r="AK13" i="30" s="1"/>
  <c r="S13" i="30"/>
  <c r="AE13" i="30" s="1"/>
  <c r="Z13" i="30"/>
  <c r="AL13" i="30" s="1"/>
  <c r="U13" i="30"/>
  <c r="AG13" i="30" s="1"/>
  <c r="V13" i="30"/>
  <c r="AH13" i="30" s="1"/>
  <c r="T13" i="30"/>
  <c r="AF13" i="30" s="1"/>
  <c r="W13" i="30"/>
  <c r="AI13" i="30" s="1"/>
  <c r="X13" i="30"/>
  <c r="AJ13" i="30" s="1"/>
  <c r="F16" i="24"/>
  <c r="I16" i="24" s="1"/>
  <c r="L16" i="24" s="1"/>
  <c r="C17" i="24"/>
  <c r="D16" i="24"/>
  <c r="G16" i="24" s="1"/>
  <c r="J16" i="24" s="1"/>
  <c r="E16" i="24"/>
  <c r="H16" i="24" s="1"/>
  <c r="K16" i="24" s="1"/>
  <c r="AA13" i="33"/>
  <c r="AC13" i="33" s="1"/>
  <c r="Q13" i="33"/>
  <c r="P14" i="35"/>
  <c r="AA14" i="35" s="1"/>
  <c r="N14" i="35"/>
  <c r="AB13" i="22"/>
  <c r="AB13" i="35"/>
  <c r="E16" i="39"/>
  <c r="H16" i="39" s="1"/>
  <c r="K16" i="39" s="1"/>
  <c r="C17" i="39"/>
  <c r="F16" i="39"/>
  <c r="I16" i="39" s="1"/>
  <c r="L16" i="39" s="1"/>
  <c r="D16" i="39"/>
  <c r="G16" i="39" s="1"/>
  <c r="J16" i="39" s="1"/>
  <c r="C17" i="33"/>
  <c r="D16" i="33"/>
  <c r="G16" i="33" s="1"/>
  <c r="J16" i="33" s="1"/>
  <c r="E16" i="33"/>
  <c r="H16" i="33" s="1"/>
  <c r="K16" i="33" s="1"/>
  <c r="Q13" i="22"/>
  <c r="V12" i="22"/>
  <c r="AH12" i="22" s="1"/>
  <c r="U12" i="22"/>
  <c r="AG12" i="22" s="1"/>
  <c r="R12" i="22"/>
  <c r="AD12" i="22" s="1"/>
  <c r="T12" i="22"/>
  <c r="AF12" i="22" s="1"/>
  <c r="Z12" i="22"/>
  <c r="AL12" i="22" s="1"/>
  <c r="Y12" i="22"/>
  <c r="AK12" i="22" s="1"/>
  <c r="X12" i="22"/>
  <c r="AJ12" i="22" s="1"/>
  <c r="W12" i="22"/>
  <c r="AI12" i="22" s="1"/>
  <c r="S12" i="22"/>
  <c r="AE12" i="22" s="1"/>
  <c r="Q14" i="25"/>
  <c r="Q13" i="35"/>
  <c r="AA13" i="26"/>
  <c r="AC13" i="26" s="1"/>
  <c r="Q13" i="26"/>
  <c r="C17" i="25"/>
  <c r="D16" i="25"/>
  <c r="G16" i="25" s="1"/>
  <c r="J16" i="25" s="1"/>
  <c r="H16" i="25"/>
  <c r="K16" i="25" s="1"/>
  <c r="I16" i="25"/>
  <c r="L16" i="25" s="1"/>
  <c r="N14" i="26"/>
  <c r="O14" i="26" s="1"/>
  <c r="P14" i="26"/>
  <c r="S14" i="21"/>
  <c r="AE14" i="21" s="1"/>
  <c r="X14" i="21"/>
  <c r="AJ14" i="21" s="1"/>
  <c r="AA15" i="38"/>
  <c r="AC15" i="38" s="1"/>
  <c r="Y14" i="29"/>
  <c r="AK14" i="29" s="1"/>
  <c r="X14" i="29"/>
  <c r="AJ14" i="29" s="1"/>
  <c r="AE16" i="27"/>
  <c r="R14" i="29"/>
  <c r="AD14" i="29" s="1"/>
  <c r="T14" i="34"/>
  <c r="AF14" i="34" s="1"/>
  <c r="S14" i="34"/>
  <c r="AE14" i="34" s="1"/>
  <c r="U14" i="34"/>
  <c r="AG14" i="34" s="1"/>
  <c r="W14" i="34"/>
  <c r="AI14" i="34" s="1"/>
  <c r="Z14" i="34"/>
  <c r="AL14" i="34" s="1"/>
  <c r="Z14" i="21"/>
  <c r="AL14" i="21" s="1"/>
  <c r="Y16" i="27"/>
  <c r="AK16" i="27" s="1"/>
  <c r="V14" i="21"/>
  <c r="AH14" i="21" s="1"/>
  <c r="Z16" i="27"/>
  <c r="AL16" i="27" s="1"/>
  <c r="Y14" i="21"/>
  <c r="AK14" i="21" s="1"/>
  <c r="U15" i="40"/>
  <c r="AG15" i="40" s="1"/>
  <c r="R15" i="40"/>
  <c r="AD15" i="40" s="1"/>
  <c r="X16" i="27"/>
  <c r="AJ16" i="27" s="1"/>
  <c r="T14" i="29"/>
  <c r="AF14" i="29" s="1"/>
  <c r="S15" i="40"/>
  <c r="AE15" i="40" s="1"/>
  <c r="Z15" i="38"/>
  <c r="AL15" i="38" s="1"/>
  <c r="S15" i="38"/>
  <c r="AE15" i="38" s="1"/>
  <c r="U14" i="36"/>
  <c r="AG14" i="36" s="1"/>
  <c r="W15" i="40"/>
  <c r="AI15" i="40" s="1"/>
  <c r="U14" i="29"/>
  <c r="AG14" i="29" s="1"/>
  <c r="V14" i="36"/>
  <c r="AH14" i="36" s="1"/>
  <c r="W14" i="29"/>
  <c r="AI14" i="29" s="1"/>
  <c r="S14" i="36"/>
  <c r="AE14" i="36" s="1"/>
  <c r="N15" i="29"/>
  <c r="O15" i="29" s="1"/>
  <c r="R16" i="27"/>
  <c r="AD16" i="27" s="1"/>
  <c r="V15" i="40"/>
  <c r="AH15" i="40" s="1"/>
  <c r="Y13" i="8"/>
  <c r="AK13" i="8" s="1"/>
  <c r="V13" i="8"/>
  <c r="AH13" i="8" s="1"/>
  <c r="T14" i="21"/>
  <c r="AF14" i="21" s="1"/>
  <c r="Z14" i="29"/>
  <c r="AL14" i="29" s="1"/>
  <c r="N15" i="34"/>
  <c r="O15" i="34" s="1"/>
  <c r="X14" i="36"/>
  <c r="AJ14" i="36" s="1"/>
  <c r="X15" i="40"/>
  <c r="AJ15" i="40" s="1"/>
  <c r="Z15" i="40"/>
  <c r="AL15" i="40" s="1"/>
  <c r="U14" i="28"/>
  <c r="AG14" i="28" s="1"/>
  <c r="W14" i="28"/>
  <c r="AI14" i="28" s="1"/>
  <c r="X14" i="28"/>
  <c r="AJ14" i="28" s="1"/>
  <c r="S14" i="28"/>
  <c r="AE14" i="28" s="1"/>
  <c r="R14" i="28"/>
  <c r="AD14" i="28" s="1"/>
  <c r="T14" i="28"/>
  <c r="AF14" i="28" s="1"/>
  <c r="Z14" i="28"/>
  <c r="AL14" i="28" s="1"/>
  <c r="Y14" i="28"/>
  <c r="AK14" i="28" s="1"/>
  <c r="V14" i="28"/>
  <c r="AH14" i="28" s="1"/>
  <c r="W15" i="38"/>
  <c r="AI15" i="38" s="1"/>
  <c r="X15" i="38"/>
  <c r="AJ15" i="38" s="1"/>
  <c r="U15" i="38"/>
  <c r="AG15" i="38" s="1"/>
  <c r="V15" i="38"/>
  <c r="AH15" i="38" s="1"/>
  <c r="Y15" i="38"/>
  <c r="AK15" i="38" s="1"/>
  <c r="AB14" i="29"/>
  <c r="T15" i="38"/>
  <c r="AF15" i="38" s="1"/>
  <c r="O15" i="36"/>
  <c r="R15" i="38"/>
  <c r="AD15" i="38" s="1"/>
  <c r="Y14" i="34"/>
  <c r="AK14" i="34" s="1"/>
  <c r="V14" i="34"/>
  <c r="AH14" i="34" s="1"/>
  <c r="AC15" i="40"/>
  <c r="AD14" i="34"/>
  <c r="X14" i="34"/>
  <c r="AJ14" i="34" s="1"/>
  <c r="O15" i="37"/>
  <c r="Q16" i="40"/>
  <c r="U16" i="40" s="1"/>
  <c r="Q15" i="29"/>
  <c r="Z15" i="29" s="1"/>
  <c r="T14" i="38"/>
  <c r="AF14" i="38" s="1"/>
  <c r="S14" i="38"/>
  <c r="AE14" i="38" s="1"/>
  <c r="R14" i="38"/>
  <c r="AD14" i="38" s="1"/>
  <c r="X14" i="38"/>
  <c r="AJ14" i="38" s="1"/>
  <c r="W14" i="38"/>
  <c r="AI14" i="38" s="1"/>
  <c r="Y14" i="38"/>
  <c r="AK14" i="38" s="1"/>
  <c r="V14" i="38"/>
  <c r="AH14" i="38" s="1"/>
  <c r="U14" i="38"/>
  <c r="AG14" i="38" s="1"/>
  <c r="Z14" i="38"/>
  <c r="AL14" i="38" s="1"/>
  <c r="Q14" i="8"/>
  <c r="S14" i="8" s="1"/>
  <c r="Q16" i="19"/>
  <c r="T16" i="19" s="1"/>
  <c r="P15" i="28"/>
  <c r="AA15" i="28" s="1"/>
  <c r="AC15" i="28" s="1"/>
  <c r="O15" i="28"/>
  <c r="M16" i="34"/>
  <c r="P16" i="34" s="1"/>
  <c r="P16" i="38"/>
  <c r="AA16" i="38" s="1"/>
  <c r="AC16" i="38" s="1"/>
  <c r="AB13" i="20"/>
  <c r="K7" i="1" s="1"/>
  <c r="M18" i="27"/>
  <c r="P18" i="27" s="1"/>
  <c r="AK15" i="40"/>
  <c r="AA16" i="40"/>
  <c r="AC16" i="40" s="1"/>
  <c r="Q15" i="37"/>
  <c r="V15" i="37" s="1"/>
  <c r="S13" i="28"/>
  <c r="AE13" i="28" s="1"/>
  <c r="Y13" i="28"/>
  <c r="AK13" i="28" s="1"/>
  <c r="X13" i="28"/>
  <c r="AJ13" i="28" s="1"/>
  <c r="R13" i="28"/>
  <c r="AD13" i="28" s="1"/>
  <c r="Z13" i="28"/>
  <c r="AL13" i="28" s="1"/>
  <c r="W13" i="28"/>
  <c r="AI13" i="28" s="1"/>
  <c r="T13" i="28"/>
  <c r="AF13" i="28" s="1"/>
  <c r="V13" i="28"/>
  <c r="AH13" i="28" s="1"/>
  <c r="U13" i="28"/>
  <c r="AG13" i="28" s="1"/>
  <c r="Q14" i="20"/>
  <c r="Z14" i="20" s="1"/>
  <c r="Q15" i="21"/>
  <c r="R15" i="21" s="1"/>
  <c r="AD15" i="21" s="1"/>
  <c r="Q15" i="34"/>
  <c r="T15" i="34" s="1"/>
  <c r="M17" i="40"/>
  <c r="P17" i="40" s="1"/>
  <c r="N17" i="40"/>
  <c r="AB15" i="40"/>
  <c r="C19" i="40"/>
  <c r="F18" i="40"/>
  <c r="I18" i="40" s="1"/>
  <c r="L18" i="40" s="1"/>
  <c r="D18" i="40"/>
  <c r="G18" i="40" s="1"/>
  <c r="J18" i="40" s="1"/>
  <c r="E18" i="40"/>
  <c r="H18" i="40" s="1"/>
  <c r="K18" i="40" s="1"/>
  <c r="O16" i="40"/>
  <c r="M17" i="38"/>
  <c r="P17" i="38" s="1"/>
  <c r="C19" i="38"/>
  <c r="F19" i="38" s="1"/>
  <c r="I18" i="38"/>
  <c r="L18" i="38" s="1"/>
  <c r="D18" i="38"/>
  <c r="G18" i="38" s="1"/>
  <c r="J18" i="38" s="1"/>
  <c r="H18" i="38"/>
  <c r="K18" i="38" s="1"/>
  <c r="M16" i="37"/>
  <c r="P16" i="37" s="1"/>
  <c r="AB14" i="37"/>
  <c r="C18" i="37"/>
  <c r="D17" i="37"/>
  <c r="G17" i="37" s="1"/>
  <c r="J17" i="37" s="1"/>
  <c r="E17" i="37"/>
  <c r="H17" i="37" s="1"/>
  <c r="K17" i="37" s="1"/>
  <c r="F17" i="37"/>
  <c r="I17" i="37" s="1"/>
  <c r="L17" i="37" s="1"/>
  <c r="AA15" i="37"/>
  <c r="AC15" i="37" s="1"/>
  <c r="AB14" i="36"/>
  <c r="P15" i="36"/>
  <c r="M16" i="36"/>
  <c r="N16" i="36"/>
  <c r="C18" i="36"/>
  <c r="F18" i="36" s="1"/>
  <c r="E17" i="36"/>
  <c r="H17" i="36" s="1"/>
  <c r="K17" i="36" s="1"/>
  <c r="D17" i="36"/>
  <c r="G17" i="36" s="1"/>
  <c r="J17" i="36" s="1"/>
  <c r="I17" i="36"/>
  <c r="L17" i="36" s="1"/>
  <c r="AI14" i="36"/>
  <c r="AB14" i="34"/>
  <c r="C18" i="34"/>
  <c r="D17" i="34"/>
  <c r="G17" i="34" s="1"/>
  <c r="J17" i="34" s="1"/>
  <c r="E17" i="34"/>
  <c r="H17" i="34" s="1"/>
  <c r="K17" i="34" s="1"/>
  <c r="I17" i="34"/>
  <c r="L17" i="34" s="1"/>
  <c r="AA15" i="34"/>
  <c r="F18" i="33"/>
  <c r="N18" i="31"/>
  <c r="M16" i="29"/>
  <c r="P16" i="29" s="1"/>
  <c r="AE14" i="29"/>
  <c r="C18" i="29"/>
  <c r="E17" i="29"/>
  <c r="H17" i="29" s="1"/>
  <c r="K17" i="29" s="1"/>
  <c r="D17" i="29"/>
  <c r="G17" i="29" s="1"/>
  <c r="J17" i="29" s="1"/>
  <c r="I17" i="29"/>
  <c r="L17" i="29" s="1"/>
  <c r="AA15" i="29"/>
  <c r="M16" i="28"/>
  <c r="N16" i="28" s="1"/>
  <c r="D17" i="28"/>
  <c r="G17" i="28" s="1"/>
  <c r="J17" i="28" s="1"/>
  <c r="C18" i="28"/>
  <c r="E18" i="28" s="1"/>
  <c r="I17" i="28"/>
  <c r="L17" i="28" s="1"/>
  <c r="H17" i="28"/>
  <c r="K17" i="28" s="1"/>
  <c r="AB16" i="27"/>
  <c r="P17" i="27"/>
  <c r="O17" i="27"/>
  <c r="N18" i="27"/>
  <c r="C20" i="27"/>
  <c r="E19" i="27"/>
  <c r="H19" i="27" s="1"/>
  <c r="K19" i="27" s="1"/>
  <c r="D19" i="27"/>
  <c r="G19" i="27" s="1"/>
  <c r="J19" i="27" s="1"/>
  <c r="F19" i="27"/>
  <c r="I19" i="27" s="1"/>
  <c r="L19" i="27" s="1"/>
  <c r="N18" i="25"/>
  <c r="E19" i="25"/>
  <c r="F19" i="25"/>
  <c r="AJ13" i="20"/>
  <c r="V13" i="20"/>
  <c r="AH13" i="20" s="1"/>
  <c r="T13" i="20"/>
  <c r="AF13" i="20" s="1"/>
  <c r="AB14" i="21"/>
  <c r="R13" i="20"/>
  <c r="AD13" i="20" s="1"/>
  <c r="W13" i="20"/>
  <c r="AI13" i="20" s="1"/>
  <c r="AA15" i="21"/>
  <c r="AC15" i="21" s="1"/>
  <c r="Y13" i="20"/>
  <c r="AK13" i="20" s="1"/>
  <c r="U13" i="20"/>
  <c r="AG13" i="20" s="1"/>
  <c r="Z13" i="20"/>
  <c r="AL13" i="20" s="1"/>
  <c r="S13" i="20"/>
  <c r="AE13" i="20" s="1"/>
  <c r="AC13" i="20"/>
  <c r="O16" i="19"/>
  <c r="AB13" i="8"/>
  <c r="P16" i="21"/>
  <c r="O14" i="8"/>
  <c r="M17" i="21"/>
  <c r="O17" i="21" s="1"/>
  <c r="C19" i="21"/>
  <c r="D18" i="21"/>
  <c r="G18" i="21" s="1"/>
  <c r="J18" i="21" s="1"/>
  <c r="H18" i="21"/>
  <c r="K18" i="21" s="1"/>
  <c r="I18" i="21"/>
  <c r="L18" i="21" s="1"/>
  <c r="N15" i="20"/>
  <c r="AA14" i="20"/>
  <c r="AC14" i="20" s="1"/>
  <c r="C17" i="20"/>
  <c r="D16" i="20"/>
  <c r="G16" i="20" s="1"/>
  <c r="J16" i="20" s="1"/>
  <c r="F16" i="20"/>
  <c r="I16" i="20" s="1"/>
  <c r="L16" i="20" s="1"/>
  <c r="E16" i="20"/>
  <c r="O14" i="20"/>
  <c r="AH15" i="19"/>
  <c r="N17" i="19"/>
  <c r="C19" i="19"/>
  <c r="F18" i="19"/>
  <c r="D18" i="19"/>
  <c r="E18" i="19"/>
  <c r="AB15" i="19"/>
  <c r="AA16" i="19"/>
  <c r="AC16" i="19" s="1"/>
  <c r="AA14" i="8"/>
  <c r="P15" i="8"/>
  <c r="N15" i="8"/>
  <c r="M16" i="8"/>
  <c r="C18" i="8"/>
  <c r="E18" i="8" s="1"/>
  <c r="F17" i="8"/>
  <c r="I17" i="8" s="1"/>
  <c r="L17" i="8" s="1"/>
  <c r="D17" i="8"/>
  <c r="G17" i="8" s="1"/>
  <c r="J17" i="8" s="1"/>
  <c r="H17" i="8"/>
  <c r="K17" i="8" s="1"/>
  <c r="AA14" i="23" l="1"/>
  <c r="DB10" i="1"/>
  <c r="DC10" i="1" s="1"/>
  <c r="CV10" i="1"/>
  <c r="CT11" i="1"/>
  <c r="DA42" i="1" s="1"/>
  <c r="DA43" i="1" s="1"/>
  <c r="CU10" i="1"/>
  <c r="CY10" i="1" s="1"/>
  <c r="DA10" i="1"/>
  <c r="DE9" i="1"/>
  <c r="DN9" i="1" s="1"/>
  <c r="CS11" i="1"/>
  <c r="DF11" i="1" s="1"/>
  <c r="ED11" i="1"/>
  <c r="DO11" i="1" s="1"/>
  <c r="CJ12" i="1"/>
  <c r="EL12" i="1"/>
  <c r="CK12" i="1"/>
  <c r="EM12" i="1"/>
  <c r="CN12" i="1"/>
  <c r="EP12" i="1"/>
  <c r="CM12" i="1"/>
  <c r="EO12" i="1"/>
  <c r="CL12" i="1"/>
  <c r="EN12" i="1"/>
  <c r="CF12" i="1"/>
  <c r="EH12" i="1"/>
  <c r="CD12" i="1"/>
  <c r="EF12" i="1"/>
  <c r="CD13" i="1"/>
  <c r="EF13" i="1"/>
  <c r="CI12" i="1"/>
  <c r="EK12" i="1"/>
  <c r="CH12" i="1"/>
  <c r="EJ12" i="1"/>
  <c r="CO12" i="1"/>
  <c r="EQ12" i="1"/>
  <c r="V22" i="52"/>
  <c r="AH22" i="52" s="1"/>
  <c r="S22" i="50"/>
  <c r="AE22" i="50" s="1"/>
  <c r="T22" i="50"/>
  <c r="AF22" i="50" s="1"/>
  <c r="V22" i="50"/>
  <c r="AH22" i="50" s="1"/>
  <c r="Z22" i="50"/>
  <c r="AL22" i="50" s="1"/>
  <c r="DK11" i="1"/>
  <c r="DL11" i="1" s="1"/>
  <c r="V14" i="23"/>
  <c r="AH14" i="23" s="1"/>
  <c r="U14" i="23"/>
  <c r="AG14" i="23" s="1"/>
  <c r="DI12" i="1"/>
  <c r="DJ12" i="1" s="1"/>
  <c r="DH12" i="1"/>
  <c r="R22" i="52"/>
  <c r="AD22" i="52" s="1"/>
  <c r="W22" i="52"/>
  <c r="AI22" i="52" s="1"/>
  <c r="U22" i="52"/>
  <c r="AG22" i="52" s="1"/>
  <c r="AA22" i="52"/>
  <c r="AC22" i="52" s="1"/>
  <c r="AK21" i="44"/>
  <c r="Z22" i="52"/>
  <c r="AL22" i="52" s="1"/>
  <c r="T22" i="52"/>
  <c r="AF22" i="52" s="1"/>
  <c r="Y14" i="23"/>
  <c r="AK14" i="23" s="1"/>
  <c r="BO14" i="1"/>
  <c r="CG14" i="1" s="1"/>
  <c r="AJ21" i="49"/>
  <c r="V21" i="60"/>
  <c r="AB22" i="47"/>
  <c r="AB21" i="49"/>
  <c r="AI21" i="49"/>
  <c r="AK21" i="49"/>
  <c r="AF21" i="49"/>
  <c r="P23" i="49"/>
  <c r="Q23" i="49" s="1"/>
  <c r="N23" i="49"/>
  <c r="O23" i="49" s="1"/>
  <c r="AG21" i="49"/>
  <c r="AL21" i="49"/>
  <c r="AD21" i="49"/>
  <c r="AE21" i="49"/>
  <c r="Q22" i="49"/>
  <c r="AA22" i="49"/>
  <c r="AH21" i="49"/>
  <c r="C26" i="49"/>
  <c r="F25" i="49"/>
  <c r="I25" i="49" s="1"/>
  <c r="L25" i="49" s="1"/>
  <c r="D25" i="49"/>
  <c r="G25" i="49" s="1"/>
  <c r="J25" i="49" s="1"/>
  <c r="E25" i="49"/>
  <c r="H25" i="49" s="1"/>
  <c r="K25" i="49" s="1"/>
  <c r="M24" i="49"/>
  <c r="Y22" i="48"/>
  <c r="AK22" i="48" s="1"/>
  <c r="Z22" i="48"/>
  <c r="AL22" i="48" s="1"/>
  <c r="Y22" i="52"/>
  <c r="AK22" i="52" s="1"/>
  <c r="Z21" i="60"/>
  <c r="AL21" i="60" s="1"/>
  <c r="AB22" i="45"/>
  <c r="S21" i="60"/>
  <c r="AE21" i="60" s="1"/>
  <c r="AD21" i="58"/>
  <c r="T21" i="60"/>
  <c r="AF21" i="58"/>
  <c r="AL21" i="58"/>
  <c r="T14" i="23"/>
  <c r="AF14" i="23" s="1"/>
  <c r="X21" i="43"/>
  <c r="AJ21" i="43" s="1"/>
  <c r="X22" i="52"/>
  <c r="AJ22" i="52" s="1"/>
  <c r="Y21" i="60"/>
  <c r="AK21" i="60" s="1"/>
  <c r="AC21" i="53"/>
  <c r="S21" i="43"/>
  <c r="AE21" i="43" s="1"/>
  <c r="P24" i="47"/>
  <c r="Q24" i="47" s="1"/>
  <c r="T24" i="47" s="1"/>
  <c r="AF24" i="47" s="1"/>
  <c r="P22" i="53"/>
  <c r="Q22" i="53" s="1"/>
  <c r="V22" i="53" s="1"/>
  <c r="AH22" i="53" s="1"/>
  <c r="V21" i="43"/>
  <c r="AH21" i="43" s="1"/>
  <c r="AI21" i="56"/>
  <c r="Z21" i="43"/>
  <c r="AL21" i="43" s="1"/>
  <c r="AI21" i="58"/>
  <c r="AE21" i="58"/>
  <c r="R21" i="60"/>
  <c r="AD21" i="60" s="1"/>
  <c r="AK21" i="56"/>
  <c r="AB21" i="58"/>
  <c r="AH21" i="63"/>
  <c r="AG21" i="58"/>
  <c r="AH21" i="58"/>
  <c r="AG21" i="56"/>
  <c r="T21" i="43"/>
  <c r="AF21" i="43" s="1"/>
  <c r="AI14" i="23"/>
  <c r="AA21" i="43"/>
  <c r="AC21" i="43" s="1"/>
  <c r="AJ21" i="63"/>
  <c r="BY12" i="1"/>
  <c r="AG21" i="63"/>
  <c r="X22" i="54"/>
  <c r="AJ22" i="54" s="1"/>
  <c r="W21" i="60"/>
  <c r="AI21" i="60" s="1"/>
  <c r="AL21" i="56"/>
  <c r="AE21" i="56"/>
  <c r="X14" i="23"/>
  <c r="AJ14" i="23" s="1"/>
  <c r="AH21" i="56"/>
  <c r="R14" i="23"/>
  <c r="AD14" i="23" s="1"/>
  <c r="AJ21" i="56"/>
  <c r="AF21" i="56"/>
  <c r="AD21" i="56"/>
  <c r="AD21" i="63"/>
  <c r="AB21" i="56"/>
  <c r="AE14" i="23"/>
  <c r="R22" i="48"/>
  <c r="AD22" i="48" s="1"/>
  <c r="AH23" i="45"/>
  <c r="S22" i="48"/>
  <c r="AE22" i="48" s="1"/>
  <c r="AJ23" i="45"/>
  <c r="T22" i="48"/>
  <c r="AF22" i="48" s="1"/>
  <c r="T21" i="57"/>
  <c r="AF21" i="57" s="1"/>
  <c r="AK23" i="45"/>
  <c r="AE23" i="47"/>
  <c r="U22" i="48"/>
  <c r="AG22" i="48" s="1"/>
  <c r="AI23" i="45"/>
  <c r="V22" i="48"/>
  <c r="AH22" i="48" s="1"/>
  <c r="AD23" i="47"/>
  <c r="W22" i="48"/>
  <c r="AI22" i="48" s="1"/>
  <c r="AI21" i="63"/>
  <c r="W21" i="43"/>
  <c r="AI21" i="43" s="1"/>
  <c r="AE23" i="45"/>
  <c r="AK21" i="63"/>
  <c r="Z14" i="23"/>
  <c r="AL14" i="23" s="1"/>
  <c r="AB20" i="63"/>
  <c r="Y21" i="43"/>
  <c r="AK21" i="43" s="1"/>
  <c r="AA22" i="48"/>
  <c r="AB22" i="48" s="1"/>
  <c r="R21" i="57"/>
  <c r="AD21" i="57" s="1"/>
  <c r="P22" i="43"/>
  <c r="Q22" i="43" s="1"/>
  <c r="T22" i="43" s="1"/>
  <c r="AF22" i="43" s="1"/>
  <c r="Z21" i="57"/>
  <c r="AL21" i="57" s="1"/>
  <c r="AC21" i="44"/>
  <c r="N22" i="44"/>
  <c r="O22" i="44" s="1"/>
  <c r="X21" i="60"/>
  <c r="AJ21" i="60" s="1"/>
  <c r="AE21" i="63"/>
  <c r="AA21" i="57"/>
  <c r="AC21" i="57" s="1"/>
  <c r="AC21" i="64"/>
  <c r="R21" i="43"/>
  <c r="AD21" i="43" s="1"/>
  <c r="AF23" i="45"/>
  <c r="AB21" i="50"/>
  <c r="AH22" i="65"/>
  <c r="AL23" i="45"/>
  <c r="AF21" i="63"/>
  <c r="AD22" i="65"/>
  <c r="AA21" i="60"/>
  <c r="AC21" i="60" s="1"/>
  <c r="M23" i="43"/>
  <c r="P23" i="43" s="1"/>
  <c r="Q23" i="43" s="1"/>
  <c r="M17" i="19"/>
  <c r="P17" i="19" s="1"/>
  <c r="AJ21" i="58"/>
  <c r="AB20" i="55"/>
  <c r="AE22" i="65"/>
  <c r="U21" i="57"/>
  <c r="AG21" i="57" s="1"/>
  <c r="AA20" i="46"/>
  <c r="AC20" i="46" s="1"/>
  <c r="BZ12" i="1"/>
  <c r="M23" i="56"/>
  <c r="O23" i="56" s="1"/>
  <c r="AB21" i="44"/>
  <c r="AB21" i="54"/>
  <c r="AG23" i="45"/>
  <c r="AJ23" i="47"/>
  <c r="X21" i="57"/>
  <c r="AJ21" i="57" s="1"/>
  <c r="AL22" i="65"/>
  <c r="M22" i="46"/>
  <c r="O22" i="46" s="1"/>
  <c r="P22" i="56"/>
  <c r="Q22" i="56" s="1"/>
  <c r="S22" i="56" s="1"/>
  <c r="AK23" i="47"/>
  <c r="Y21" i="57"/>
  <c r="AK21" i="57" s="1"/>
  <c r="AH23" i="47"/>
  <c r="AF23" i="47"/>
  <c r="AB20" i="53"/>
  <c r="S21" i="57"/>
  <c r="AE21" i="57" s="1"/>
  <c r="AK21" i="58"/>
  <c r="AL21" i="63"/>
  <c r="AB21" i="65"/>
  <c r="AD23" i="45"/>
  <c r="V21" i="57"/>
  <c r="AH21" i="57" s="1"/>
  <c r="O22" i="56"/>
  <c r="AI23" i="47"/>
  <c r="AF22" i="65"/>
  <c r="F24" i="43"/>
  <c r="I24" i="43" s="1"/>
  <c r="L24" i="43" s="1"/>
  <c r="H24" i="43"/>
  <c r="K24" i="43" s="1"/>
  <c r="C25" i="43"/>
  <c r="D24" i="43"/>
  <c r="G24" i="43" s="1"/>
  <c r="J24" i="43" s="1"/>
  <c r="AL23" i="47"/>
  <c r="O21" i="46"/>
  <c r="P21" i="46"/>
  <c r="Q21" i="46" s="1"/>
  <c r="AG23" i="47"/>
  <c r="AC22" i="51"/>
  <c r="C24" i="46"/>
  <c r="I23" i="46"/>
  <c r="L23" i="46" s="1"/>
  <c r="D23" i="46"/>
  <c r="G23" i="46" s="1"/>
  <c r="J23" i="46" s="1"/>
  <c r="H23" i="46"/>
  <c r="K23" i="46" s="1"/>
  <c r="AA21" i="55"/>
  <c r="AC21" i="55" s="1"/>
  <c r="R20" i="46"/>
  <c r="AD20" i="46" s="1"/>
  <c r="BP14" i="1" s="1"/>
  <c r="S20" i="46"/>
  <c r="AE20" i="46" s="1"/>
  <c r="BQ14" i="1" s="1"/>
  <c r="Y20" i="46"/>
  <c r="AK20" i="46" s="1"/>
  <c r="BW14" i="1" s="1"/>
  <c r="Z20" i="46"/>
  <c r="AL20" i="46" s="1"/>
  <c r="BX14" i="1" s="1"/>
  <c r="ER14" i="1" s="1"/>
  <c r="W20" i="46"/>
  <c r="AI20" i="46" s="1"/>
  <c r="BU14" i="1" s="1"/>
  <c r="V20" i="46"/>
  <c r="AH20" i="46" s="1"/>
  <c r="BT14" i="1" s="1"/>
  <c r="X20" i="46"/>
  <c r="AJ20" i="46" s="1"/>
  <c r="BV14" i="1" s="1"/>
  <c r="U20" i="46"/>
  <c r="AG20" i="46" s="1"/>
  <c r="BS14" i="1" s="1"/>
  <c r="T20" i="46"/>
  <c r="AF20" i="46" s="1"/>
  <c r="BR14" i="1" s="1"/>
  <c r="AB19" i="46"/>
  <c r="BN13" i="1" s="1"/>
  <c r="I24" i="56"/>
  <c r="L24" i="56" s="1"/>
  <c r="C25" i="56"/>
  <c r="E24" i="56"/>
  <c r="H24" i="56" s="1"/>
  <c r="K24" i="56" s="1"/>
  <c r="D24" i="56"/>
  <c r="G24" i="56" s="1"/>
  <c r="J24" i="56" s="1"/>
  <c r="O21" i="55"/>
  <c r="AJ22" i="65"/>
  <c r="W21" i="55"/>
  <c r="V21" i="55"/>
  <c r="U21" i="55"/>
  <c r="S21" i="55"/>
  <c r="R21" i="55"/>
  <c r="T21" i="55"/>
  <c r="Z21" i="55"/>
  <c r="Y21" i="55"/>
  <c r="X21" i="55"/>
  <c r="U19" i="46"/>
  <c r="AG19" i="46" s="1"/>
  <c r="BS13" i="1" s="1"/>
  <c r="S19" i="46"/>
  <c r="AE19" i="46" s="1"/>
  <c r="BQ13" i="1" s="1"/>
  <c r="R19" i="46"/>
  <c r="AD19" i="46" s="1"/>
  <c r="BP13" i="1" s="1"/>
  <c r="X19" i="46"/>
  <c r="AJ19" i="46" s="1"/>
  <c r="BV13" i="1" s="1"/>
  <c r="Z19" i="46"/>
  <c r="AL19" i="46" s="1"/>
  <c r="BX13" i="1" s="1"/>
  <c r="ER13" i="1" s="1"/>
  <c r="T19" i="46"/>
  <c r="AF19" i="46" s="1"/>
  <c r="BR13" i="1" s="1"/>
  <c r="W19" i="46"/>
  <c r="AI19" i="46" s="1"/>
  <c r="BU13" i="1" s="1"/>
  <c r="Y19" i="46"/>
  <c r="AK19" i="46" s="1"/>
  <c r="BW13" i="1" s="1"/>
  <c r="V19" i="46"/>
  <c r="AH19" i="46" s="1"/>
  <c r="BT13" i="1" s="1"/>
  <c r="C25" i="55"/>
  <c r="D24" i="55"/>
  <c r="G24" i="55" s="1"/>
  <c r="J24" i="55" s="1"/>
  <c r="E24" i="55"/>
  <c r="H24" i="55" s="1"/>
  <c r="K24" i="55" s="1"/>
  <c r="I24" i="55"/>
  <c r="L24" i="55" s="1"/>
  <c r="P22" i="55"/>
  <c r="Q22" i="55" s="1"/>
  <c r="N22" i="55"/>
  <c r="M23" i="55"/>
  <c r="T22" i="56"/>
  <c r="U22" i="54"/>
  <c r="AG22" i="54" s="1"/>
  <c r="U21" i="62"/>
  <c r="AG21" i="62" s="1"/>
  <c r="T21" i="62"/>
  <c r="AF21" i="62" s="1"/>
  <c r="AG22" i="65"/>
  <c r="AI22" i="65"/>
  <c r="AK22" i="65"/>
  <c r="Z21" i="62"/>
  <c r="AL21" i="62" s="1"/>
  <c r="AC21" i="59"/>
  <c r="BL14" i="1"/>
  <c r="CC13" i="1"/>
  <c r="X21" i="62"/>
  <c r="AJ21" i="62" s="1"/>
  <c r="Z22" i="54"/>
  <c r="AL22" i="54" s="1"/>
  <c r="S22" i="54"/>
  <c r="AE22" i="54" s="1"/>
  <c r="S14" i="37"/>
  <c r="AE14" i="37" s="1"/>
  <c r="X13" i="25"/>
  <c r="AJ13" i="25" s="1"/>
  <c r="M23" i="60"/>
  <c r="P23" i="60" s="1"/>
  <c r="Q23" i="60" s="1"/>
  <c r="W21" i="62"/>
  <c r="AI21" i="62" s="1"/>
  <c r="Z13" i="25"/>
  <c r="AL13" i="25" s="1"/>
  <c r="V22" i="54"/>
  <c r="AH22" i="54" s="1"/>
  <c r="V21" i="62"/>
  <c r="AH21" i="62" s="1"/>
  <c r="O23" i="65"/>
  <c r="O23" i="50"/>
  <c r="N23" i="51"/>
  <c r="O23" i="51" s="1"/>
  <c r="Y22" i="54"/>
  <c r="AK22" i="54" s="1"/>
  <c r="AA21" i="62"/>
  <c r="AC21" i="62" s="1"/>
  <c r="P22" i="63"/>
  <c r="Q22" i="63" s="1"/>
  <c r="X22" i="63" s="1"/>
  <c r="AJ22" i="63" s="1"/>
  <c r="M23" i="44"/>
  <c r="N23" i="44" s="1"/>
  <c r="AA22" i="54"/>
  <c r="AC22" i="54" s="1"/>
  <c r="R22" i="54"/>
  <c r="AD22" i="54" s="1"/>
  <c r="Y21" i="62"/>
  <c r="AK21" i="62" s="1"/>
  <c r="AB22" i="51"/>
  <c r="AB21" i="53"/>
  <c r="P22" i="60"/>
  <c r="Q22" i="60" s="1"/>
  <c r="Z22" i="60" s="1"/>
  <c r="R21" i="62"/>
  <c r="AD21" i="62" s="1"/>
  <c r="M23" i="58"/>
  <c r="P23" i="58" s="1"/>
  <c r="Q23" i="58" s="1"/>
  <c r="P22" i="59"/>
  <c r="Q22" i="59" s="1"/>
  <c r="U22" i="59" s="1"/>
  <c r="AG22" i="59" s="1"/>
  <c r="N22" i="58"/>
  <c r="O22" i="58" s="1"/>
  <c r="P22" i="62"/>
  <c r="Q22" i="62" s="1"/>
  <c r="S22" i="62" s="1"/>
  <c r="AE22" i="62" s="1"/>
  <c r="AB21" i="64"/>
  <c r="AJ22" i="51"/>
  <c r="H6" i="1"/>
  <c r="T22" i="54"/>
  <c r="AF22" i="54" s="1"/>
  <c r="N22" i="64"/>
  <c r="O22" i="64" s="1"/>
  <c r="M24" i="50"/>
  <c r="P24" i="50" s="1"/>
  <c r="Q24" i="50" s="1"/>
  <c r="P24" i="45"/>
  <c r="Q24" i="45" s="1"/>
  <c r="S24" i="45" s="1"/>
  <c r="AE24" i="45" s="1"/>
  <c r="M25" i="47"/>
  <c r="O25" i="47" s="1"/>
  <c r="P22" i="57"/>
  <c r="M24" i="65"/>
  <c r="O24" i="65" s="1"/>
  <c r="AB22" i="65"/>
  <c r="C26" i="65"/>
  <c r="H25" i="65"/>
  <c r="K25" i="65" s="1"/>
  <c r="G25" i="65"/>
  <c r="J25" i="65" s="1"/>
  <c r="I25" i="65"/>
  <c r="L25" i="65" s="1"/>
  <c r="R23" i="65"/>
  <c r="X23" i="65"/>
  <c r="W23" i="65"/>
  <c r="V23" i="65"/>
  <c r="U23" i="65"/>
  <c r="S23" i="65"/>
  <c r="Z23" i="65"/>
  <c r="Y23" i="65"/>
  <c r="T23" i="65"/>
  <c r="AA23" i="65"/>
  <c r="AC23" i="65" s="1"/>
  <c r="M23" i="64"/>
  <c r="P23" i="64" s="1"/>
  <c r="Q23" i="64" s="1"/>
  <c r="AH21" i="64"/>
  <c r="AI21" i="64"/>
  <c r="AJ21" i="64"/>
  <c r="AG21" i="64"/>
  <c r="AL21" i="64"/>
  <c r="C25" i="64"/>
  <c r="E24" i="64"/>
  <c r="H24" i="64" s="1"/>
  <c r="K24" i="64" s="1"/>
  <c r="D24" i="64"/>
  <c r="G24" i="64" s="1"/>
  <c r="J24" i="64" s="1"/>
  <c r="F24" i="64"/>
  <c r="I24" i="64" s="1"/>
  <c r="L24" i="64" s="1"/>
  <c r="AF21" i="64"/>
  <c r="AK21" i="64"/>
  <c r="X22" i="64"/>
  <c r="S22" i="64"/>
  <c r="R22" i="64"/>
  <c r="Z22" i="64"/>
  <c r="Y22" i="64"/>
  <c r="V22" i="64"/>
  <c r="U22" i="64"/>
  <c r="W22" i="64"/>
  <c r="T22" i="64"/>
  <c r="AD21" i="64"/>
  <c r="AE21" i="64"/>
  <c r="AA22" i="64"/>
  <c r="M23" i="63"/>
  <c r="O23" i="63" s="1"/>
  <c r="AB21" i="63"/>
  <c r="C25" i="63"/>
  <c r="F24" i="63"/>
  <c r="I24" i="63" s="1"/>
  <c r="L24" i="63" s="1"/>
  <c r="D24" i="63"/>
  <c r="G24" i="63" s="1"/>
  <c r="J24" i="63" s="1"/>
  <c r="H24" i="63"/>
  <c r="K24" i="63" s="1"/>
  <c r="M23" i="62"/>
  <c r="P23" i="62" s="1"/>
  <c r="Q23" i="62" s="1"/>
  <c r="AB20" i="62"/>
  <c r="AC20" i="62"/>
  <c r="C25" i="62"/>
  <c r="D24" i="62"/>
  <c r="G24" i="62" s="1"/>
  <c r="J24" i="62" s="1"/>
  <c r="H24" i="62"/>
  <c r="K24" i="62" s="1"/>
  <c r="I24" i="62"/>
  <c r="L24" i="62" s="1"/>
  <c r="M23" i="61"/>
  <c r="C25" i="61"/>
  <c r="F24" i="61"/>
  <c r="L24" i="61" s="1"/>
  <c r="E24" i="61"/>
  <c r="K24" i="61" s="1"/>
  <c r="D24" i="61"/>
  <c r="AF21" i="60"/>
  <c r="AG21" i="60"/>
  <c r="AH21" i="60"/>
  <c r="C25" i="60"/>
  <c r="D24" i="60"/>
  <c r="G24" i="60" s="1"/>
  <c r="J24" i="60" s="1"/>
  <c r="E24" i="60"/>
  <c r="H24" i="60" s="1"/>
  <c r="K24" i="60" s="1"/>
  <c r="I24" i="60"/>
  <c r="L24" i="60" s="1"/>
  <c r="O22" i="60"/>
  <c r="AF21" i="59"/>
  <c r="AL21" i="59"/>
  <c r="AK21" i="59"/>
  <c r="M23" i="59"/>
  <c r="N23" i="59" s="1"/>
  <c r="O23" i="59" s="1"/>
  <c r="AH21" i="59"/>
  <c r="AD21" i="59"/>
  <c r="AE21" i="59"/>
  <c r="AG21" i="59"/>
  <c r="C25" i="59"/>
  <c r="D24" i="59"/>
  <c r="G24" i="59" s="1"/>
  <c r="J24" i="59" s="1"/>
  <c r="E24" i="59"/>
  <c r="H24" i="59" s="1"/>
  <c r="K24" i="59" s="1"/>
  <c r="I24" i="59"/>
  <c r="L24" i="59" s="1"/>
  <c r="AI21" i="59"/>
  <c r="AJ21" i="59"/>
  <c r="AB21" i="59"/>
  <c r="AC21" i="58"/>
  <c r="C25" i="58"/>
  <c r="E24" i="58"/>
  <c r="H24" i="58" s="1"/>
  <c r="K24" i="58" s="1"/>
  <c r="D24" i="58"/>
  <c r="G24" i="58" s="1"/>
  <c r="J24" i="58" s="1"/>
  <c r="I24" i="58"/>
  <c r="L24" i="58" s="1"/>
  <c r="X22" i="58"/>
  <c r="W22" i="58"/>
  <c r="Z22" i="58"/>
  <c r="Y22" i="58"/>
  <c r="V22" i="58"/>
  <c r="U22" i="58"/>
  <c r="S22" i="58"/>
  <c r="R22" i="58"/>
  <c r="T22" i="58"/>
  <c r="AA22" i="58"/>
  <c r="M23" i="57"/>
  <c r="O23" i="57" s="1"/>
  <c r="C25" i="57"/>
  <c r="E24" i="57"/>
  <c r="H24" i="57" s="1"/>
  <c r="K24" i="57" s="1"/>
  <c r="D24" i="57"/>
  <c r="G24" i="57" s="1"/>
  <c r="J24" i="57" s="1"/>
  <c r="F24" i="57"/>
  <c r="I24" i="57" s="1"/>
  <c r="L24" i="57" s="1"/>
  <c r="N23" i="54"/>
  <c r="O23" i="54" s="1"/>
  <c r="AI22" i="54"/>
  <c r="M24" i="54"/>
  <c r="N24" i="54" s="1"/>
  <c r="C26" i="54"/>
  <c r="D25" i="54"/>
  <c r="G25" i="54" s="1"/>
  <c r="J25" i="54" s="1"/>
  <c r="E25" i="54"/>
  <c r="H25" i="54" s="1"/>
  <c r="K25" i="54" s="1"/>
  <c r="I25" i="54"/>
  <c r="L25" i="54" s="1"/>
  <c r="R23" i="54"/>
  <c r="U23" i="54"/>
  <c r="Y23" i="54"/>
  <c r="X23" i="54"/>
  <c r="W23" i="54"/>
  <c r="V23" i="54"/>
  <c r="T23" i="54"/>
  <c r="S23" i="54"/>
  <c r="Z23" i="54"/>
  <c r="AA23" i="54"/>
  <c r="AF21" i="53"/>
  <c r="AG21" i="53"/>
  <c r="M23" i="53"/>
  <c r="P23" i="53" s="1"/>
  <c r="Q23" i="53" s="1"/>
  <c r="AH21" i="53"/>
  <c r="AI21" i="53"/>
  <c r="AL21" i="53"/>
  <c r="AJ21" i="53"/>
  <c r="AE21" i="53"/>
  <c r="T22" i="53"/>
  <c r="AF22" i="53" s="1"/>
  <c r="C25" i="53"/>
  <c r="I24" i="53"/>
  <c r="L24" i="53" s="1"/>
  <c r="E24" i="53"/>
  <c r="H24" i="53" s="1"/>
  <c r="K24" i="53" s="1"/>
  <c r="D24" i="53"/>
  <c r="G24" i="53" s="1"/>
  <c r="J24" i="53" s="1"/>
  <c r="AK21" i="53"/>
  <c r="AD21" i="53"/>
  <c r="M24" i="52"/>
  <c r="O24" i="52" s="1"/>
  <c r="P23" i="52"/>
  <c r="Q23" i="52" s="1"/>
  <c r="R23" i="52" s="1"/>
  <c r="AD23" i="52" s="1"/>
  <c r="C26" i="52"/>
  <c r="D25" i="52"/>
  <c r="G25" i="52" s="1"/>
  <c r="J25" i="52" s="1"/>
  <c r="H25" i="52"/>
  <c r="K25" i="52" s="1"/>
  <c r="I25" i="52"/>
  <c r="L25" i="52" s="1"/>
  <c r="M24" i="51"/>
  <c r="P24" i="51" s="1"/>
  <c r="Q24" i="51" s="1"/>
  <c r="AL22" i="51"/>
  <c r="AI22" i="51"/>
  <c r="AF22" i="51"/>
  <c r="AG22" i="51"/>
  <c r="AH22" i="51"/>
  <c r="AK22" i="51"/>
  <c r="C26" i="51"/>
  <c r="F25" i="51"/>
  <c r="I25" i="51" s="1"/>
  <c r="L25" i="51" s="1"/>
  <c r="D25" i="51"/>
  <c r="G25" i="51" s="1"/>
  <c r="J25" i="51" s="1"/>
  <c r="E25" i="51"/>
  <c r="H25" i="51" s="1"/>
  <c r="K25" i="51" s="1"/>
  <c r="AD22" i="51"/>
  <c r="AA23" i="51"/>
  <c r="AE22" i="51"/>
  <c r="R23" i="51"/>
  <c r="T23" i="51"/>
  <c r="Y23" i="51"/>
  <c r="W23" i="51"/>
  <c r="X23" i="51"/>
  <c r="V23" i="51"/>
  <c r="U23" i="51"/>
  <c r="Z23" i="51"/>
  <c r="S23" i="51"/>
  <c r="C26" i="50"/>
  <c r="D25" i="50"/>
  <c r="G25" i="50" s="1"/>
  <c r="J25" i="50" s="1"/>
  <c r="I25" i="50"/>
  <c r="L25" i="50" s="1"/>
  <c r="H25" i="50"/>
  <c r="K25" i="50" s="1"/>
  <c r="R23" i="50"/>
  <c r="T23" i="50"/>
  <c r="U23" i="50"/>
  <c r="S23" i="50"/>
  <c r="Z23" i="50"/>
  <c r="Y23" i="50"/>
  <c r="X23" i="50"/>
  <c r="W23" i="50"/>
  <c r="V23" i="50"/>
  <c r="AB22" i="50"/>
  <c r="AA23" i="50"/>
  <c r="AC23" i="50" s="1"/>
  <c r="M24" i="48"/>
  <c r="P24" i="48" s="1"/>
  <c r="Q24" i="48" s="1"/>
  <c r="N23" i="48"/>
  <c r="C26" i="48"/>
  <c r="E25" i="48"/>
  <c r="H25" i="48" s="1"/>
  <c r="K25" i="48" s="1"/>
  <c r="F25" i="48"/>
  <c r="I25" i="48" s="1"/>
  <c r="L25" i="48" s="1"/>
  <c r="D25" i="48"/>
  <c r="G25" i="48" s="1"/>
  <c r="J25" i="48" s="1"/>
  <c r="R23" i="48"/>
  <c r="T23" i="48"/>
  <c r="V23" i="48"/>
  <c r="U23" i="48"/>
  <c r="S23" i="48"/>
  <c r="Z23" i="48"/>
  <c r="Y23" i="48"/>
  <c r="X23" i="48"/>
  <c r="W23" i="48"/>
  <c r="AA23" i="48"/>
  <c r="AB23" i="47"/>
  <c r="C27" i="47"/>
  <c r="D26" i="47"/>
  <c r="G26" i="47" s="1"/>
  <c r="J26" i="47" s="1"/>
  <c r="E26" i="47"/>
  <c r="H26" i="47" s="1"/>
  <c r="K26" i="47" s="1"/>
  <c r="F26" i="47"/>
  <c r="I26" i="47" s="1"/>
  <c r="L26" i="47" s="1"/>
  <c r="V24" i="47"/>
  <c r="AH24" i="47" s="1"/>
  <c r="U24" i="47"/>
  <c r="AG24" i="47" s="1"/>
  <c r="X24" i="47"/>
  <c r="AJ24" i="47" s="1"/>
  <c r="Y24" i="47"/>
  <c r="AK24" i="47" s="1"/>
  <c r="W24" i="47"/>
  <c r="AI24" i="47" s="1"/>
  <c r="S24" i="47"/>
  <c r="AE24" i="47" s="1"/>
  <c r="AA24" i="47"/>
  <c r="AC24" i="47" s="1"/>
  <c r="M25" i="45"/>
  <c r="O25" i="45" s="1"/>
  <c r="AB23" i="45"/>
  <c r="C27" i="45"/>
  <c r="D26" i="45"/>
  <c r="G26" i="45" s="1"/>
  <c r="J26" i="45" s="1"/>
  <c r="H26" i="45"/>
  <c r="K26" i="45" s="1"/>
  <c r="I26" i="45"/>
  <c r="L26" i="45" s="1"/>
  <c r="AA22" i="44"/>
  <c r="AG21" i="44"/>
  <c r="AL21" i="44"/>
  <c r="AI21" i="44"/>
  <c r="C25" i="44"/>
  <c r="E24" i="44"/>
  <c r="H24" i="44" s="1"/>
  <c r="K24" i="44" s="1"/>
  <c r="F24" i="44"/>
  <c r="I24" i="44" s="1"/>
  <c r="L24" i="44" s="1"/>
  <c r="D24" i="44"/>
  <c r="G24" i="44" s="1"/>
  <c r="J24" i="44" s="1"/>
  <c r="AJ21" i="44"/>
  <c r="AE21" i="44"/>
  <c r="AH21" i="44"/>
  <c r="AF21" i="44"/>
  <c r="AD21" i="44"/>
  <c r="Y22" i="44"/>
  <c r="AK22" i="44" s="1"/>
  <c r="V22" i="44"/>
  <c r="R22" i="44"/>
  <c r="AD22" i="44" s="1"/>
  <c r="U22" i="44"/>
  <c r="S22" i="44"/>
  <c r="X22" i="44"/>
  <c r="W22" i="44"/>
  <c r="T22" i="44"/>
  <c r="Z22" i="44"/>
  <c r="AB13" i="23"/>
  <c r="AC14" i="23"/>
  <c r="AB14" i="23"/>
  <c r="N15" i="23"/>
  <c r="O15" i="23" s="1"/>
  <c r="P15" i="23"/>
  <c r="M16" i="23"/>
  <c r="AK6" i="1"/>
  <c r="C18" i="23"/>
  <c r="D17" i="23"/>
  <c r="G17" i="23" s="1"/>
  <c r="J17" i="23" s="1"/>
  <c r="F17" i="23"/>
  <c r="I17" i="23" s="1"/>
  <c r="L17" i="23" s="1"/>
  <c r="E17" i="23"/>
  <c r="H17" i="23" s="1"/>
  <c r="K17" i="23" s="1"/>
  <c r="Y13" i="23"/>
  <c r="AK13" i="23" s="1"/>
  <c r="W13" i="23"/>
  <c r="AI13" i="23" s="1"/>
  <c r="X13" i="23"/>
  <c r="AJ13" i="23" s="1"/>
  <c r="T13" i="23"/>
  <c r="AF13" i="23" s="1"/>
  <c r="R13" i="23"/>
  <c r="AD13" i="23" s="1"/>
  <c r="Z13" i="23"/>
  <c r="AL13" i="23" s="1"/>
  <c r="V13" i="23"/>
  <c r="AH13" i="23" s="1"/>
  <c r="S13" i="23"/>
  <c r="AE13" i="23" s="1"/>
  <c r="U13" i="23"/>
  <c r="AG13" i="23" s="1"/>
  <c r="H16" i="20"/>
  <c r="K16" i="20" s="1"/>
  <c r="M16" i="20" s="1"/>
  <c r="P16" i="20" s="1"/>
  <c r="BD10" i="1"/>
  <c r="BE10" i="1"/>
  <c r="H18" i="19"/>
  <c r="K18" i="19" s="1"/>
  <c r="G18" i="19"/>
  <c r="J18" i="19" s="1"/>
  <c r="I18" i="19"/>
  <c r="L18" i="19" s="1"/>
  <c r="BC10" i="1"/>
  <c r="X4" i="1"/>
  <c r="O5" i="14"/>
  <c r="P5" i="14" s="1"/>
  <c r="D26" i="1"/>
  <c r="O4" i="14"/>
  <c r="P4" i="14" s="1"/>
  <c r="D25" i="1"/>
  <c r="T13" i="25"/>
  <c r="AF13" i="25" s="1"/>
  <c r="T14" i="37"/>
  <c r="AF14" i="37" s="1"/>
  <c r="W14" i="37"/>
  <c r="AI14" i="37" s="1"/>
  <c r="R14" i="37"/>
  <c r="AD14" i="37" s="1"/>
  <c r="Y5" i="1"/>
  <c r="Z3" i="1"/>
  <c r="R13" i="25"/>
  <c r="AD13" i="25" s="1"/>
  <c r="V13" i="25"/>
  <c r="AH13" i="25" s="1"/>
  <c r="S13" i="25"/>
  <c r="AE13" i="25" s="1"/>
  <c r="Y13" i="25"/>
  <c r="AK13" i="25" s="1"/>
  <c r="W13" i="25"/>
  <c r="AI13" i="25" s="1"/>
  <c r="V14" i="37"/>
  <c r="AH14" i="37" s="1"/>
  <c r="AA4" i="1"/>
  <c r="AB4" i="1"/>
  <c r="AC4" i="1"/>
  <c r="AD4" i="1"/>
  <c r="AE4" i="1"/>
  <c r="AZ8" i="1"/>
  <c r="AI8" i="1"/>
  <c r="AH7" i="1"/>
  <c r="AX8" i="1"/>
  <c r="BB9" i="1"/>
  <c r="AQ8" i="1"/>
  <c r="AT6" i="1"/>
  <c r="AM6" i="1"/>
  <c r="AJ6" i="1"/>
  <c r="AP7" i="1"/>
  <c r="AZ9" i="1"/>
  <c r="AO10" i="1"/>
  <c r="BA6" i="1"/>
  <c r="AN6" i="1"/>
  <c r="AQ7" i="1"/>
  <c r="AF9" i="1"/>
  <c r="AL7" i="1"/>
  <c r="AG7" i="1"/>
  <c r="AV8" i="1"/>
  <c r="AP8" i="1"/>
  <c r="AR7" i="1"/>
  <c r="AS7" i="1"/>
  <c r="Z14" i="37"/>
  <c r="AL14" i="37" s="1"/>
  <c r="P15" i="33"/>
  <c r="AA15" i="33" s="1"/>
  <c r="AC14" i="30"/>
  <c r="S13" i="32"/>
  <c r="AE13" i="32" s="1"/>
  <c r="AB14" i="28"/>
  <c r="R13" i="32"/>
  <c r="AD13" i="32" s="1"/>
  <c r="W13" i="32"/>
  <c r="AI13" i="32" s="1"/>
  <c r="U13" i="32"/>
  <c r="AG13" i="32" s="1"/>
  <c r="T13" i="32"/>
  <c r="AF13" i="32" s="1"/>
  <c r="X13" i="32"/>
  <c r="AJ13" i="32" s="1"/>
  <c r="V13" i="32"/>
  <c r="AH13" i="32" s="1"/>
  <c r="Y13" i="32"/>
  <c r="AK13" i="32" s="1"/>
  <c r="Y14" i="37"/>
  <c r="AK14" i="37" s="1"/>
  <c r="U14" i="37"/>
  <c r="AG14" i="37" s="1"/>
  <c r="V5" i="1"/>
  <c r="N15" i="24"/>
  <c r="O15" i="24" s="1"/>
  <c r="AB15" i="24" s="1"/>
  <c r="O15" i="33"/>
  <c r="P15" i="25"/>
  <c r="AA15" i="25" s="1"/>
  <c r="AC15" i="25" s="1"/>
  <c r="AF15" i="34"/>
  <c r="O15" i="39"/>
  <c r="P15" i="39"/>
  <c r="Q15" i="39" s="1"/>
  <c r="T15" i="39" s="1"/>
  <c r="X14" i="32"/>
  <c r="AJ14" i="32" s="1"/>
  <c r="R6" i="1"/>
  <c r="U14" i="33"/>
  <c r="AG14" i="33" s="1"/>
  <c r="Y14" i="8"/>
  <c r="AK14" i="8" s="1"/>
  <c r="V14" i="8"/>
  <c r="AH14" i="8" s="1"/>
  <c r="AE14" i="8"/>
  <c r="W14" i="8"/>
  <c r="AI14" i="8" s="1"/>
  <c r="W5" i="1"/>
  <c r="N6" i="1"/>
  <c r="T14" i="8"/>
  <c r="AF14" i="8" s="1"/>
  <c r="M6" i="1"/>
  <c r="AB14" i="33"/>
  <c r="V16" i="19"/>
  <c r="AH16" i="19" s="1"/>
  <c r="W14" i="33"/>
  <c r="AI14" i="33" s="1"/>
  <c r="AB14" i="24"/>
  <c r="Y16" i="19"/>
  <c r="AK16" i="19" s="1"/>
  <c r="O6" i="1"/>
  <c r="Q14" i="24"/>
  <c r="S14" i="24" s="1"/>
  <c r="AE14" i="24" s="1"/>
  <c r="V14" i="32"/>
  <c r="AH14" i="32" s="1"/>
  <c r="U6" i="1"/>
  <c r="U16" i="19"/>
  <c r="AG16" i="19" s="1"/>
  <c r="X16" i="19"/>
  <c r="AJ16" i="19" s="1"/>
  <c r="P6" i="1"/>
  <c r="AB15" i="34"/>
  <c r="Q6" i="1"/>
  <c r="AC14" i="33"/>
  <c r="AH14" i="33"/>
  <c r="AA14" i="32"/>
  <c r="AB14" i="32" s="1"/>
  <c r="W14" i="32"/>
  <c r="AI14" i="32" s="1"/>
  <c r="T14" i="32"/>
  <c r="AF14" i="32" s="1"/>
  <c r="R14" i="32"/>
  <c r="AD14" i="32" s="1"/>
  <c r="Y14" i="32"/>
  <c r="AK14" i="32" s="1"/>
  <c r="U14" i="32"/>
  <c r="AG14" i="32" s="1"/>
  <c r="Z14" i="32"/>
  <c r="AL14" i="32" s="1"/>
  <c r="M17" i="31"/>
  <c r="V15" i="29"/>
  <c r="AH15" i="29" s="1"/>
  <c r="R16" i="19"/>
  <c r="AD16" i="19" s="1"/>
  <c r="Z16" i="19"/>
  <c r="AL16" i="19" s="1"/>
  <c r="Y15" i="29"/>
  <c r="AK15" i="29" s="1"/>
  <c r="W16" i="19"/>
  <c r="AI16" i="19" s="1"/>
  <c r="T6" i="1"/>
  <c r="AB13" i="39"/>
  <c r="U14" i="8"/>
  <c r="AG14" i="8" s="1"/>
  <c r="Z14" i="8"/>
  <c r="AL14" i="8" s="1"/>
  <c r="R14" i="8"/>
  <c r="AD14" i="8" s="1"/>
  <c r="M16" i="24"/>
  <c r="N16" i="24" s="1"/>
  <c r="O16" i="24" s="1"/>
  <c r="X14" i="8"/>
  <c r="AJ14" i="8" s="1"/>
  <c r="L8" i="1"/>
  <c r="I6" i="1"/>
  <c r="P15" i="30"/>
  <c r="Q15" i="30" s="1"/>
  <c r="P16" i="31"/>
  <c r="AA16" i="31" s="1"/>
  <c r="O16" i="31"/>
  <c r="X15" i="21"/>
  <c r="AJ15" i="21" s="1"/>
  <c r="R14" i="20"/>
  <c r="AD14" i="20" s="1"/>
  <c r="R15" i="29"/>
  <c r="AD15" i="29" s="1"/>
  <c r="M16" i="25"/>
  <c r="P16" i="25" s="1"/>
  <c r="AA16" i="25" s="1"/>
  <c r="AC16" i="25" s="1"/>
  <c r="T15" i="37"/>
  <c r="AF15" i="37" s="1"/>
  <c r="I7" i="1"/>
  <c r="T15" i="29"/>
  <c r="AF15" i="29" s="1"/>
  <c r="C19" i="31"/>
  <c r="I18" i="31"/>
  <c r="L18" i="31" s="1"/>
  <c r="E18" i="31"/>
  <c r="H18" i="31" s="1"/>
  <c r="K18" i="31" s="1"/>
  <c r="D18" i="31"/>
  <c r="G18" i="31" s="1"/>
  <c r="J18" i="31" s="1"/>
  <c r="Y14" i="20"/>
  <c r="AK14" i="20" s="1"/>
  <c r="V14" i="20"/>
  <c r="AH14" i="20" s="1"/>
  <c r="AC15" i="29"/>
  <c r="S6" i="1"/>
  <c r="M16" i="33"/>
  <c r="P16" i="33" s="1"/>
  <c r="M16" i="30"/>
  <c r="P16" i="30" s="1"/>
  <c r="Q16" i="30" s="1"/>
  <c r="W14" i="20"/>
  <c r="AI14" i="20" s="1"/>
  <c r="T14" i="20"/>
  <c r="AF14" i="20" s="1"/>
  <c r="AB15" i="38"/>
  <c r="AB15" i="31"/>
  <c r="U14" i="31"/>
  <c r="AG14" i="31" s="1"/>
  <c r="Z14" i="31"/>
  <c r="AL14" i="31" s="1"/>
  <c r="V14" i="31"/>
  <c r="AH14" i="31" s="1"/>
  <c r="X14" i="31"/>
  <c r="AJ14" i="31" s="1"/>
  <c r="S14" i="31"/>
  <c r="AE14" i="31" s="1"/>
  <c r="R14" i="31"/>
  <c r="AD14" i="31" s="1"/>
  <c r="T14" i="31"/>
  <c r="AF14" i="31" s="1"/>
  <c r="W14" i="31"/>
  <c r="AI14" i="31" s="1"/>
  <c r="Y14" i="31"/>
  <c r="AK14" i="31" s="1"/>
  <c r="N15" i="26"/>
  <c r="O15" i="26" s="1"/>
  <c r="P15" i="26"/>
  <c r="AA15" i="26" s="1"/>
  <c r="Q15" i="31"/>
  <c r="Y14" i="33"/>
  <c r="AK14" i="33" s="1"/>
  <c r="Z14" i="33"/>
  <c r="AL14" i="33" s="1"/>
  <c r="T14" i="33"/>
  <c r="AF14" i="33" s="1"/>
  <c r="R14" i="33"/>
  <c r="AD14" i="33" s="1"/>
  <c r="X14" i="33"/>
  <c r="AJ14" i="33" s="1"/>
  <c r="S14" i="33"/>
  <c r="AE14" i="33" s="1"/>
  <c r="D17" i="25"/>
  <c r="G17" i="25" s="1"/>
  <c r="J17" i="25" s="1"/>
  <c r="C18" i="25"/>
  <c r="H17" i="25"/>
  <c r="K17" i="25" s="1"/>
  <c r="I17" i="25"/>
  <c r="L17" i="25" s="1"/>
  <c r="X13" i="22"/>
  <c r="AJ13" i="22" s="1"/>
  <c r="W13" i="22"/>
  <c r="AI13" i="22" s="1"/>
  <c r="Z13" i="22"/>
  <c r="AL13" i="22" s="1"/>
  <c r="Y13" i="22"/>
  <c r="AK13" i="22" s="1"/>
  <c r="R13" i="22"/>
  <c r="AD13" i="22" s="1"/>
  <c r="T13" i="22"/>
  <c r="AF13" i="22" s="1"/>
  <c r="U13" i="22"/>
  <c r="AG13" i="22" s="1"/>
  <c r="S13" i="22"/>
  <c r="AE13" i="22" s="1"/>
  <c r="V13" i="22"/>
  <c r="AH13" i="22" s="1"/>
  <c r="E17" i="24"/>
  <c r="H17" i="24" s="1"/>
  <c r="K17" i="24" s="1"/>
  <c r="F17" i="24"/>
  <c r="I17" i="24" s="1"/>
  <c r="L17" i="24" s="1"/>
  <c r="D17" i="24"/>
  <c r="G17" i="24" s="1"/>
  <c r="J17" i="24" s="1"/>
  <c r="C18" i="24"/>
  <c r="P15" i="22"/>
  <c r="AA15" i="22" s="1"/>
  <c r="AC15" i="22" s="1"/>
  <c r="O15" i="22"/>
  <c r="Q14" i="39"/>
  <c r="E17" i="22"/>
  <c r="H17" i="22" s="1"/>
  <c r="K17" i="22" s="1"/>
  <c r="F17" i="22"/>
  <c r="I17" i="22" s="1"/>
  <c r="L17" i="22" s="1"/>
  <c r="C18" i="22"/>
  <c r="D17" i="22"/>
  <c r="G17" i="22" s="1"/>
  <c r="J17" i="22" s="1"/>
  <c r="AB13" i="33"/>
  <c r="X13" i="33"/>
  <c r="AJ13" i="33" s="1"/>
  <c r="S13" i="33"/>
  <c r="AE13" i="33" s="1"/>
  <c r="R13" i="33"/>
  <c r="AD13" i="33" s="1"/>
  <c r="Z13" i="33"/>
  <c r="AL13" i="33" s="1"/>
  <c r="W13" i="33"/>
  <c r="AI13" i="33" s="1"/>
  <c r="V13" i="33"/>
  <c r="AH13" i="33" s="1"/>
  <c r="U13" i="33"/>
  <c r="AG13" i="33" s="1"/>
  <c r="T13" i="33"/>
  <c r="AF13" i="33" s="1"/>
  <c r="Y13" i="33"/>
  <c r="AK13" i="33" s="1"/>
  <c r="R14" i="30"/>
  <c r="AD14" i="30" s="1"/>
  <c r="S14" i="30"/>
  <c r="AE14" i="30" s="1"/>
  <c r="Z14" i="30"/>
  <c r="AL14" i="30" s="1"/>
  <c r="Y14" i="30"/>
  <c r="AK14" i="30" s="1"/>
  <c r="U14" i="30"/>
  <c r="AG14" i="30" s="1"/>
  <c r="X14" i="30"/>
  <c r="AJ14" i="30" s="1"/>
  <c r="V14" i="30"/>
  <c r="AH14" i="30" s="1"/>
  <c r="W14" i="30"/>
  <c r="AI14" i="30" s="1"/>
  <c r="T14" i="30"/>
  <c r="AF14" i="30" s="1"/>
  <c r="C18" i="30"/>
  <c r="D17" i="30"/>
  <c r="G17" i="30" s="1"/>
  <c r="J17" i="30" s="1"/>
  <c r="E17" i="30"/>
  <c r="H17" i="30" s="1"/>
  <c r="K17" i="30" s="1"/>
  <c r="I17" i="30"/>
  <c r="L17" i="30" s="1"/>
  <c r="M16" i="22"/>
  <c r="Q14" i="26"/>
  <c r="W13" i="26"/>
  <c r="AI13" i="26" s="1"/>
  <c r="R13" i="26"/>
  <c r="AD13" i="26" s="1"/>
  <c r="V13" i="26"/>
  <c r="AH13" i="26" s="1"/>
  <c r="Z13" i="26"/>
  <c r="AL13" i="26" s="1"/>
  <c r="Y13" i="26"/>
  <c r="AK13" i="26" s="1"/>
  <c r="S13" i="26"/>
  <c r="AE13" i="26" s="1"/>
  <c r="U13" i="26"/>
  <c r="AG13" i="26" s="1"/>
  <c r="T13" i="26"/>
  <c r="AF13" i="26" s="1"/>
  <c r="X13" i="26"/>
  <c r="AJ13" i="26" s="1"/>
  <c r="O14" i="35"/>
  <c r="AB14" i="35" s="1"/>
  <c r="AC14" i="35"/>
  <c r="P15" i="32"/>
  <c r="AA15" i="32" s="1"/>
  <c r="AC15" i="32" s="1"/>
  <c r="O15" i="32"/>
  <c r="AA14" i="26"/>
  <c r="AC14" i="26" s="1"/>
  <c r="C18" i="33"/>
  <c r="E17" i="33"/>
  <c r="H17" i="33" s="1"/>
  <c r="K17" i="33" s="1"/>
  <c r="D17" i="33"/>
  <c r="G17" i="33" s="1"/>
  <c r="J17" i="33" s="1"/>
  <c r="Q14" i="35"/>
  <c r="M16" i="35"/>
  <c r="Y15" i="37"/>
  <c r="AK15" i="37" s="1"/>
  <c r="Z15" i="37"/>
  <c r="AL15" i="37" s="1"/>
  <c r="X16" i="40"/>
  <c r="AJ16" i="40" s="1"/>
  <c r="M16" i="39"/>
  <c r="S13" i="35"/>
  <c r="AE13" i="35" s="1"/>
  <c r="T13" i="35"/>
  <c r="AF13" i="35" s="1"/>
  <c r="Y13" i="35"/>
  <c r="AK13" i="35" s="1"/>
  <c r="Z13" i="35"/>
  <c r="AL13" i="35" s="1"/>
  <c r="X13" i="35"/>
  <c r="AJ13" i="35" s="1"/>
  <c r="V13" i="35"/>
  <c r="AH13" i="35" s="1"/>
  <c r="U13" i="35"/>
  <c r="AG13" i="35" s="1"/>
  <c r="W13" i="35"/>
  <c r="AI13" i="35" s="1"/>
  <c r="R13" i="35"/>
  <c r="AD13" i="35" s="1"/>
  <c r="X13" i="39"/>
  <c r="AJ13" i="39" s="1"/>
  <c r="U13" i="39"/>
  <c r="AG13" i="39" s="1"/>
  <c r="W13" i="39"/>
  <c r="AI13" i="39" s="1"/>
  <c r="Y13" i="39"/>
  <c r="AK13" i="39" s="1"/>
  <c r="V13" i="39"/>
  <c r="AH13" i="39" s="1"/>
  <c r="T13" i="39"/>
  <c r="AF13" i="39" s="1"/>
  <c r="S13" i="39"/>
  <c r="AE13" i="39" s="1"/>
  <c r="R13" i="39"/>
  <c r="AD13" i="39" s="1"/>
  <c r="Z13" i="39"/>
  <c r="AL13" i="39" s="1"/>
  <c r="C18" i="35"/>
  <c r="D17" i="35"/>
  <c r="G17" i="35" s="1"/>
  <c r="J17" i="35" s="1"/>
  <c r="E17" i="35"/>
  <c r="H17" i="35" s="1"/>
  <c r="K17" i="35" s="1"/>
  <c r="I17" i="35"/>
  <c r="L17" i="35" s="1"/>
  <c r="I17" i="33"/>
  <c r="L17" i="33" s="1"/>
  <c r="E17" i="39"/>
  <c r="H17" i="39" s="1"/>
  <c r="K17" i="39" s="1"/>
  <c r="C18" i="39"/>
  <c r="D17" i="39"/>
  <c r="G17" i="39" s="1"/>
  <c r="J17" i="39" s="1"/>
  <c r="F17" i="39"/>
  <c r="I17" i="39" s="1"/>
  <c r="L17" i="39" s="1"/>
  <c r="AB14" i="30"/>
  <c r="F17" i="26"/>
  <c r="I17" i="26" s="1"/>
  <c r="L17" i="26" s="1"/>
  <c r="E17" i="26"/>
  <c r="H17" i="26" s="1"/>
  <c r="K17" i="26" s="1"/>
  <c r="C18" i="26"/>
  <c r="D17" i="26"/>
  <c r="G17" i="26" s="1"/>
  <c r="J17" i="26" s="1"/>
  <c r="Q15" i="24"/>
  <c r="AB13" i="26"/>
  <c r="M16" i="32"/>
  <c r="P15" i="35"/>
  <c r="AA15" i="35" s="1"/>
  <c r="N15" i="35"/>
  <c r="AA14" i="39"/>
  <c r="AC14" i="39" s="1"/>
  <c r="AB14" i="22"/>
  <c r="S14" i="25"/>
  <c r="AE14" i="25" s="1"/>
  <c r="W14" i="25"/>
  <c r="AI14" i="25" s="1"/>
  <c r="Z14" i="25"/>
  <c r="AL14" i="25" s="1"/>
  <c r="V14" i="25"/>
  <c r="AH14" i="25" s="1"/>
  <c r="U14" i="25"/>
  <c r="AG14" i="25" s="1"/>
  <c r="R14" i="25"/>
  <c r="AD14" i="25" s="1"/>
  <c r="X14" i="25"/>
  <c r="AJ14" i="25" s="1"/>
  <c r="Y14" i="25"/>
  <c r="AK14" i="25" s="1"/>
  <c r="T14" i="25"/>
  <c r="AF14" i="25" s="1"/>
  <c r="F17" i="32"/>
  <c r="I17" i="32" s="1"/>
  <c r="L17" i="32" s="1"/>
  <c r="D17" i="32"/>
  <c r="G17" i="32" s="1"/>
  <c r="J17" i="32" s="1"/>
  <c r="E17" i="32"/>
  <c r="H17" i="32" s="1"/>
  <c r="K17" i="32" s="1"/>
  <c r="C18" i="32"/>
  <c r="M16" i="26"/>
  <c r="Q14" i="22"/>
  <c r="U15" i="29"/>
  <c r="AG15" i="29" s="1"/>
  <c r="R16" i="40"/>
  <c r="AD16" i="40" s="1"/>
  <c r="S16" i="19"/>
  <c r="AE16" i="19" s="1"/>
  <c r="X15" i="29"/>
  <c r="AJ15" i="29" s="1"/>
  <c r="W15" i="37"/>
  <c r="AI15" i="37" s="1"/>
  <c r="U15" i="21"/>
  <c r="AG15" i="21" s="1"/>
  <c r="V15" i="34"/>
  <c r="AH15" i="34" s="1"/>
  <c r="V16" i="40"/>
  <c r="AH16" i="40" s="1"/>
  <c r="U14" i="20"/>
  <c r="AG14" i="20" s="1"/>
  <c r="Y15" i="21"/>
  <c r="AK15" i="21" s="1"/>
  <c r="X14" i="20"/>
  <c r="AJ14" i="20" s="1"/>
  <c r="S14" i="20"/>
  <c r="AE14" i="20" s="1"/>
  <c r="Z15" i="21"/>
  <c r="AL15" i="21" s="1"/>
  <c r="Y15" i="34"/>
  <c r="AK15" i="34" s="1"/>
  <c r="V15" i="21"/>
  <c r="AH15" i="21" s="1"/>
  <c r="T16" i="40"/>
  <c r="AF16" i="40" s="1"/>
  <c r="W15" i="34"/>
  <c r="AI15" i="34" s="1"/>
  <c r="O18" i="27"/>
  <c r="Y16" i="40"/>
  <c r="AK16" i="40" s="1"/>
  <c r="S16" i="40"/>
  <c r="AE16" i="40" s="1"/>
  <c r="W15" i="29"/>
  <c r="AI15" i="29" s="1"/>
  <c r="AH15" i="37"/>
  <c r="S15" i="29"/>
  <c r="AE15" i="29" s="1"/>
  <c r="Z15" i="34"/>
  <c r="AL15" i="34" s="1"/>
  <c r="Z16" i="40"/>
  <c r="AL16" i="40" s="1"/>
  <c r="N16" i="34"/>
  <c r="O16" i="34" s="1"/>
  <c r="AB16" i="40"/>
  <c r="W16" i="40"/>
  <c r="AI16" i="40" s="1"/>
  <c r="X15" i="37"/>
  <c r="AJ15" i="37" s="1"/>
  <c r="U15" i="37"/>
  <c r="AG15" i="37" s="1"/>
  <c r="R15" i="37"/>
  <c r="AD15" i="37" s="1"/>
  <c r="S15" i="37"/>
  <c r="AE15" i="37" s="1"/>
  <c r="O17" i="38"/>
  <c r="O15" i="20"/>
  <c r="S15" i="21"/>
  <c r="AE15" i="21" s="1"/>
  <c r="X15" i="34"/>
  <c r="AJ15" i="34" s="1"/>
  <c r="R15" i="34"/>
  <c r="AD15" i="34" s="1"/>
  <c r="T15" i="21"/>
  <c r="AF15" i="21" s="1"/>
  <c r="W15" i="21"/>
  <c r="AI15" i="21" s="1"/>
  <c r="S15" i="34"/>
  <c r="AE15" i="34" s="1"/>
  <c r="Q16" i="29"/>
  <c r="S16" i="29" s="1"/>
  <c r="Q16" i="37"/>
  <c r="S16" i="37" s="1"/>
  <c r="Q17" i="27"/>
  <c r="U17" i="27" s="1"/>
  <c r="AG17" i="27" s="1"/>
  <c r="U15" i="34"/>
  <c r="AG15" i="34" s="1"/>
  <c r="O16" i="37"/>
  <c r="Q15" i="8"/>
  <c r="V15" i="8" s="1"/>
  <c r="Q16" i="21"/>
  <c r="V16" i="21" s="1"/>
  <c r="AH16" i="21" s="1"/>
  <c r="N16" i="29"/>
  <c r="O16" i="29" s="1"/>
  <c r="M18" i="38"/>
  <c r="O18" i="38" s="1"/>
  <c r="Q17" i="19"/>
  <c r="V17" i="19" s="1"/>
  <c r="Q15" i="20"/>
  <c r="T15" i="20" s="1"/>
  <c r="M19" i="27"/>
  <c r="P19" i="27" s="1"/>
  <c r="Q17" i="40"/>
  <c r="R17" i="40" s="1"/>
  <c r="Q16" i="34"/>
  <c r="S16" i="34" s="1"/>
  <c r="Q17" i="38"/>
  <c r="R17" i="38" s="1"/>
  <c r="Q16" i="38"/>
  <c r="Q15" i="28"/>
  <c r="Q18" i="27"/>
  <c r="R18" i="27" s="1"/>
  <c r="M17" i="36"/>
  <c r="P17" i="36" s="1"/>
  <c r="Q15" i="36"/>
  <c r="W15" i="36" s="1"/>
  <c r="AI15" i="36" s="1"/>
  <c r="M18" i="40"/>
  <c r="P18" i="40" s="1"/>
  <c r="N18" i="40"/>
  <c r="C20" i="40"/>
  <c r="E19" i="40"/>
  <c r="H19" i="40" s="1"/>
  <c r="K19" i="40" s="1"/>
  <c r="F19" i="40"/>
  <c r="I19" i="40" s="1"/>
  <c r="L19" i="40" s="1"/>
  <c r="D19" i="40"/>
  <c r="G19" i="40" s="1"/>
  <c r="J19" i="40" s="1"/>
  <c r="AA17" i="40"/>
  <c r="AC17" i="40" s="1"/>
  <c r="AG16" i="40"/>
  <c r="O17" i="40"/>
  <c r="C20" i="38"/>
  <c r="F20" i="38" s="1"/>
  <c r="D19" i="38"/>
  <c r="G19" i="38" s="1"/>
  <c r="J19" i="38" s="1"/>
  <c r="H19" i="38"/>
  <c r="K19" i="38" s="1"/>
  <c r="I19" i="38"/>
  <c r="L19" i="38" s="1"/>
  <c r="AB16" i="38"/>
  <c r="AA17" i="38"/>
  <c r="AC17" i="38" s="1"/>
  <c r="M17" i="37"/>
  <c r="O17" i="37" s="1"/>
  <c r="AB15" i="37"/>
  <c r="C19" i="37"/>
  <c r="E18" i="37"/>
  <c r="H18" i="37" s="1"/>
  <c r="K18" i="37" s="1"/>
  <c r="F18" i="37"/>
  <c r="I18" i="37" s="1"/>
  <c r="L18" i="37" s="1"/>
  <c r="D18" i="37"/>
  <c r="G18" i="37" s="1"/>
  <c r="J18" i="37" s="1"/>
  <c r="AA16" i="37"/>
  <c r="AC16" i="37" s="1"/>
  <c r="AB15" i="29"/>
  <c r="AA15" i="36"/>
  <c r="AC15" i="36" s="1"/>
  <c r="P16" i="36"/>
  <c r="N17" i="36"/>
  <c r="C19" i="36"/>
  <c r="F19" i="36" s="1"/>
  <c r="E18" i="36"/>
  <c r="H18" i="36" s="1"/>
  <c r="K18" i="36" s="1"/>
  <c r="D18" i="36"/>
  <c r="G18" i="36" s="1"/>
  <c r="J18" i="36" s="1"/>
  <c r="I18" i="36"/>
  <c r="L18" i="36" s="1"/>
  <c r="O16" i="36"/>
  <c r="M17" i="34"/>
  <c r="P17" i="34" s="1"/>
  <c r="C19" i="34"/>
  <c r="D18" i="34"/>
  <c r="G18" i="34" s="1"/>
  <c r="J18" i="34" s="1"/>
  <c r="E18" i="34"/>
  <c r="H18" i="34" s="1"/>
  <c r="K18" i="34" s="1"/>
  <c r="I18" i="34"/>
  <c r="L18" i="34" s="1"/>
  <c r="AC15" i="34"/>
  <c r="AA16" i="34"/>
  <c r="F19" i="33"/>
  <c r="N19" i="31"/>
  <c r="M17" i="29"/>
  <c r="P17" i="29" s="1"/>
  <c r="C19" i="29"/>
  <c r="E18" i="29"/>
  <c r="H18" i="29" s="1"/>
  <c r="K18" i="29" s="1"/>
  <c r="D18" i="29"/>
  <c r="G18" i="29" s="1"/>
  <c r="J18" i="29" s="1"/>
  <c r="I18" i="29"/>
  <c r="L18" i="29" s="1"/>
  <c r="AL15" i="29"/>
  <c r="AA16" i="29"/>
  <c r="M17" i="28"/>
  <c r="N17" i="28" s="1"/>
  <c r="P16" i="28"/>
  <c r="O16" i="28"/>
  <c r="AB15" i="28"/>
  <c r="C19" i="28"/>
  <c r="E19" i="28" s="1"/>
  <c r="D18" i="28"/>
  <c r="G18" i="28" s="1"/>
  <c r="J18" i="28" s="1"/>
  <c r="H18" i="28"/>
  <c r="K18" i="28" s="1"/>
  <c r="I18" i="28"/>
  <c r="L18" i="28" s="1"/>
  <c r="AA17" i="27"/>
  <c r="AC17" i="27" s="1"/>
  <c r="N19" i="27"/>
  <c r="C21" i="27"/>
  <c r="F20" i="27"/>
  <c r="I20" i="27" s="1"/>
  <c r="L20" i="27" s="1"/>
  <c r="D20" i="27"/>
  <c r="G20" i="27" s="1"/>
  <c r="J20" i="27" s="1"/>
  <c r="E20" i="27"/>
  <c r="H20" i="27" s="1"/>
  <c r="K20" i="27" s="1"/>
  <c r="AA18" i="27"/>
  <c r="AC18" i="27" s="1"/>
  <c r="N19" i="25"/>
  <c r="E20" i="25"/>
  <c r="F20" i="25"/>
  <c r="AB15" i="21"/>
  <c r="P17" i="21"/>
  <c r="AA17" i="21" s="1"/>
  <c r="AC17" i="21" s="1"/>
  <c r="AF16" i="19"/>
  <c r="AB16" i="19"/>
  <c r="AA15" i="8"/>
  <c r="AC15" i="8" s="1"/>
  <c r="AB14" i="20"/>
  <c r="K8" i="1" s="1"/>
  <c r="AC14" i="8"/>
  <c r="AB14" i="8"/>
  <c r="AA16" i="21"/>
  <c r="AC16" i="21" s="1"/>
  <c r="O15" i="8"/>
  <c r="M18" i="21"/>
  <c r="O18" i="21" s="1"/>
  <c r="C20" i="21"/>
  <c r="H19" i="21"/>
  <c r="K19" i="21" s="1"/>
  <c r="D19" i="21"/>
  <c r="G19" i="21" s="1"/>
  <c r="J19" i="21" s="1"/>
  <c r="I19" i="21"/>
  <c r="L19" i="21" s="1"/>
  <c r="AL14" i="20"/>
  <c r="N16" i="20"/>
  <c r="AA15" i="20"/>
  <c r="C18" i="20"/>
  <c r="D17" i="20"/>
  <c r="G17" i="20" s="1"/>
  <c r="J17" i="20" s="1"/>
  <c r="F17" i="20"/>
  <c r="I17" i="20" s="1"/>
  <c r="L17" i="20" s="1"/>
  <c r="E17" i="20"/>
  <c r="N18" i="19"/>
  <c r="C20" i="19"/>
  <c r="F19" i="19"/>
  <c r="E19" i="19"/>
  <c r="D19" i="19"/>
  <c r="AA17" i="19"/>
  <c r="AC17" i="19" s="1"/>
  <c r="P16" i="8"/>
  <c r="N16" i="8"/>
  <c r="M17" i="8"/>
  <c r="C19" i="8"/>
  <c r="E19" i="8" s="1"/>
  <c r="F18" i="8"/>
  <c r="I18" i="8" s="1"/>
  <c r="L18" i="8" s="1"/>
  <c r="D18" i="8"/>
  <c r="G18" i="8" s="1"/>
  <c r="J18" i="8" s="1"/>
  <c r="H18" i="8"/>
  <c r="K18" i="8" s="1"/>
  <c r="DE10" i="1" l="1"/>
  <c r="DN10" i="1" s="1"/>
  <c r="AJ22" i="44"/>
  <c r="CU11" i="1"/>
  <c r="Z24" i="47"/>
  <c r="AL24" i="47" s="1"/>
  <c r="AB22" i="52"/>
  <c r="CV11" i="1"/>
  <c r="CZ10" i="1"/>
  <c r="DM10" i="1" s="1"/>
  <c r="DP10" i="1" s="1"/>
  <c r="DB11" i="1"/>
  <c r="DC11" i="1" s="1"/>
  <c r="DA11" i="1"/>
  <c r="AA22" i="53"/>
  <c r="AC22" i="53" s="1"/>
  <c r="X22" i="53"/>
  <c r="AJ22" i="53" s="1"/>
  <c r="O17" i="19"/>
  <c r="R24" i="47"/>
  <c r="AD24" i="47" s="1"/>
  <c r="R22" i="53"/>
  <c r="AD22" i="53" s="1"/>
  <c r="CT12" i="1"/>
  <c r="DA44" i="1" s="1"/>
  <c r="DA45" i="1" s="1"/>
  <c r="Y22" i="53"/>
  <c r="AK22" i="53" s="1"/>
  <c r="CS12" i="1"/>
  <c r="DF12" i="1" s="1"/>
  <c r="W22" i="53"/>
  <c r="AI22" i="53" s="1"/>
  <c r="Z22" i="53"/>
  <c r="AL22" i="53" s="1"/>
  <c r="CM13" i="1"/>
  <c r="EO13" i="1"/>
  <c r="CI14" i="1"/>
  <c r="EK14" i="1"/>
  <c r="CD14" i="1"/>
  <c r="EF14" i="1"/>
  <c r="CJ13" i="1"/>
  <c r="EL13" i="1"/>
  <c r="CH14" i="1"/>
  <c r="EJ14" i="1"/>
  <c r="CF13" i="1"/>
  <c r="EH13" i="1"/>
  <c r="CN13" i="1"/>
  <c r="EP13" i="1"/>
  <c r="CJ14" i="1"/>
  <c r="EL14" i="1"/>
  <c r="ED12" i="1"/>
  <c r="DO12" i="1" s="1"/>
  <c r="CH13" i="1"/>
  <c r="EJ13" i="1"/>
  <c r="CK14" i="1"/>
  <c r="EM14" i="1"/>
  <c r="CI13" i="1"/>
  <c r="EK13" i="1"/>
  <c r="CN14" i="1"/>
  <c r="EP14" i="1"/>
  <c r="CK13" i="1"/>
  <c r="EM13" i="1"/>
  <c r="CL14" i="1"/>
  <c r="EN14" i="1"/>
  <c r="CM14" i="1"/>
  <c r="EO14" i="1"/>
  <c r="CL13" i="1"/>
  <c r="EN13" i="1"/>
  <c r="CO13" i="1"/>
  <c r="EQ13" i="1"/>
  <c r="CO14" i="1"/>
  <c r="EQ14" i="1"/>
  <c r="AI22" i="44"/>
  <c r="AE22" i="44"/>
  <c r="AG22" i="44"/>
  <c r="AF22" i="44"/>
  <c r="AB22" i="44"/>
  <c r="DK12" i="1"/>
  <c r="DL12" i="1" s="1"/>
  <c r="S22" i="53"/>
  <c r="AE22" i="53" s="1"/>
  <c r="U22" i="53"/>
  <c r="AG22" i="53" s="1"/>
  <c r="DI13" i="1"/>
  <c r="DJ13" i="1" s="1"/>
  <c r="DH13" i="1"/>
  <c r="AA23" i="49"/>
  <c r="AC23" i="49" s="1"/>
  <c r="M25" i="49"/>
  <c r="U23" i="49"/>
  <c r="AG23" i="49" s="1"/>
  <c r="X23" i="49"/>
  <c r="AJ23" i="49" s="1"/>
  <c r="T23" i="49"/>
  <c r="AF23" i="49" s="1"/>
  <c r="S23" i="49"/>
  <c r="AE23" i="49" s="1"/>
  <c r="W23" i="49"/>
  <c r="AI23" i="49" s="1"/>
  <c r="R23" i="49"/>
  <c r="AD23" i="49" s="1"/>
  <c r="Z23" i="49"/>
  <c r="AL23" i="49" s="1"/>
  <c r="Y23" i="49"/>
  <c r="AK23" i="49" s="1"/>
  <c r="V23" i="49"/>
  <c r="AH23" i="49" s="1"/>
  <c r="C27" i="49"/>
  <c r="D26" i="49"/>
  <c r="G26" i="49" s="1"/>
  <c r="J26" i="49" s="1"/>
  <c r="F26" i="49"/>
  <c r="I26" i="49" s="1"/>
  <c r="L26" i="49" s="1"/>
  <c r="E26" i="49"/>
  <c r="H26" i="49" s="1"/>
  <c r="K26" i="49" s="1"/>
  <c r="AC22" i="49"/>
  <c r="AB22" i="49"/>
  <c r="R22" i="49"/>
  <c r="AD22" i="49" s="1"/>
  <c r="S22" i="49"/>
  <c r="AE22" i="49" s="1"/>
  <c r="V22" i="49"/>
  <c r="AH22" i="49" s="1"/>
  <c r="Z22" i="49"/>
  <c r="AL22" i="49" s="1"/>
  <c r="Y22" i="49"/>
  <c r="AK22" i="49" s="1"/>
  <c r="W22" i="49"/>
  <c r="AI22" i="49" s="1"/>
  <c r="U22" i="49"/>
  <c r="AG22" i="49" s="1"/>
  <c r="T22" i="49"/>
  <c r="AF22" i="49" s="1"/>
  <c r="X22" i="49"/>
  <c r="AJ22" i="49" s="1"/>
  <c r="N24" i="49"/>
  <c r="O24" i="49" s="1"/>
  <c r="P24" i="49"/>
  <c r="Q24" i="49" s="1"/>
  <c r="AH22" i="44"/>
  <c r="AL22" i="44"/>
  <c r="Z22" i="56"/>
  <c r="AL22" i="56" s="1"/>
  <c r="P25" i="47"/>
  <c r="Q25" i="47" s="1"/>
  <c r="Z25" i="47" s="1"/>
  <c r="AL25" i="47" s="1"/>
  <c r="AB21" i="57"/>
  <c r="R22" i="43"/>
  <c r="AD22" i="43" s="1"/>
  <c r="BO15" i="1"/>
  <c r="CG15" i="1" s="1"/>
  <c r="AB21" i="43"/>
  <c r="O24" i="50"/>
  <c r="AC22" i="48"/>
  <c r="P23" i="44"/>
  <c r="Q23" i="44" s="1"/>
  <c r="Z23" i="44" s="1"/>
  <c r="AG23" i="50"/>
  <c r="Y22" i="43"/>
  <c r="AK22" i="43" s="1"/>
  <c r="W22" i="43"/>
  <c r="AI22" i="43" s="1"/>
  <c r="AH23" i="50"/>
  <c r="S22" i="43"/>
  <c r="AE22" i="43" s="1"/>
  <c r="X22" i="43"/>
  <c r="AJ22" i="43" s="1"/>
  <c r="U22" i="43"/>
  <c r="AG22" i="43" s="1"/>
  <c r="AK23" i="50"/>
  <c r="AL23" i="50"/>
  <c r="Y22" i="56"/>
  <c r="AK22" i="56" s="1"/>
  <c r="AJ23" i="50"/>
  <c r="V22" i="56"/>
  <c r="AH22" i="56" s="1"/>
  <c r="AK8" i="1"/>
  <c r="R24" i="45"/>
  <c r="AD24" i="45" s="1"/>
  <c r="Y24" i="45"/>
  <c r="AK24" i="45" s="1"/>
  <c r="P22" i="46"/>
  <c r="AA22" i="46" s="1"/>
  <c r="AF23" i="50"/>
  <c r="P23" i="56"/>
  <c r="Q23" i="56" s="1"/>
  <c r="S23" i="56" s="1"/>
  <c r="AE23" i="56" s="1"/>
  <c r="AD23" i="50"/>
  <c r="AL21" i="55"/>
  <c r="BK14" i="1"/>
  <c r="EE14" i="1" s="1"/>
  <c r="R22" i="56"/>
  <c r="AD22" i="56" s="1"/>
  <c r="Z22" i="43"/>
  <c r="AL22" i="43" s="1"/>
  <c r="N23" i="58"/>
  <c r="O23" i="58" s="1"/>
  <c r="AF22" i="56"/>
  <c r="AH23" i="51"/>
  <c r="AJ23" i="51"/>
  <c r="W22" i="56"/>
  <c r="AI22" i="56" s="1"/>
  <c r="O23" i="43"/>
  <c r="V22" i="43"/>
  <c r="AH22" i="43" s="1"/>
  <c r="AA22" i="43"/>
  <c r="AC22" i="43" s="1"/>
  <c r="X22" i="56"/>
  <c r="AJ22" i="56" s="1"/>
  <c r="BY13" i="1"/>
  <c r="AE23" i="50"/>
  <c r="AE22" i="56"/>
  <c r="AB21" i="55"/>
  <c r="AB21" i="60"/>
  <c r="AB22" i="54"/>
  <c r="AG22" i="64"/>
  <c r="U22" i="56"/>
  <c r="AG22" i="56" s="1"/>
  <c r="AD23" i="65"/>
  <c r="M24" i="56"/>
  <c r="P24" i="56" s="1"/>
  <c r="Q24" i="56" s="1"/>
  <c r="W22" i="59"/>
  <c r="AI22" i="59" s="1"/>
  <c r="U24" i="45"/>
  <c r="AG24" i="45" s="1"/>
  <c r="V6" i="1"/>
  <c r="W24" i="45"/>
  <c r="AI24" i="45" s="1"/>
  <c r="AA24" i="45"/>
  <c r="AC24" i="45" s="1"/>
  <c r="AI23" i="51"/>
  <c r="AA22" i="55"/>
  <c r="AC22" i="55" s="1"/>
  <c r="AB20" i="46"/>
  <c r="BN14" i="1" s="1"/>
  <c r="M23" i="46"/>
  <c r="AJ21" i="55"/>
  <c r="M24" i="43"/>
  <c r="O24" i="43" s="1"/>
  <c r="AG23" i="51"/>
  <c r="AC23" i="54"/>
  <c r="Z22" i="63"/>
  <c r="AL22" i="63" s="1"/>
  <c r="AD21" i="55"/>
  <c r="AA21" i="46"/>
  <c r="AC21" i="46" s="1"/>
  <c r="AI23" i="50"/>
  <c r="AK23" i="51"/>
  <c r="R22" i="63"/>
  <c r="AD22" i="63" s="1"/>
  <c r="AE21" i="55"/>
  <c r="AF23" i="51"/>
  <c r="S22" i="63"/>
  <c r="AE22" i="63" s="1"/>
  <c r="V22" i="63"/>
  <c r="AH22" i="63" s="1"/>
  <c r="AH21" i="55"/>
  <c r="AA22" i="56"/>
  <c r="BZ13" i="1"/>
  <c r="BZ14" i="1"/>
  <c r="AA23" i="43"/>
  <c r="AC23" i="43" s="1"/>
  <c r="R22" i="62"/>
  <c r="AD22" i="62" s="1"/>
  <c r="Z22" i="55"/>
  <c r="Y22" i="55"/>
  <c r="W22" i="55"/>
  <c r="V22" i="55"/>
  <c r="U22" i="55"/>
  <c r="T22" i="55"/>
  <c r="S22" i="55"/>
  <c r="R22" i="55"/>
  <c r="X22" i="55"/>
  <c r="R23" i="43"/>
  <c r="V23" i="43"/>
  <c r="T23" i="43"/>
  <c r="U23" i="43"/>
  <c r="S23" i="43"/>
  <c r="Y23" i="43"/>
  <c r="X23" i="43"/>
  <c r="W23" i="43"/>
  <c r="Z23" i="43"/>
  <c r="AK21" i="55"/>
  <c r="H25" i="43"/>
  <c r="K25" i="43" s="1"/>
  <c r="F25" i="43"/>
  <c r="I25" i="43" s="1"/>
  <c r="L25" i="43" s="1"/>
  <c r="D25" i="43"/>
  <c r="G25" i="43" s="1"/>
  <c r="J25" i="43" s="1"/>
  <c r="C26" i="43"/>
  <c r="T24" i="45"/>
  <c r="AF24" i="45" s="1"/>
  <c r="I24" i="46"/>
  <c r="L24" i="46" s="1"/>
  <c r="H24" i="46"/>
  <c r="K24" i="46" s="1"/>
  <c r="C25" i="46"/>
  <c r="D24" i="46"/>
  <c r="G24" i="46" s="1"/>
  <c r="J24" i="46" s="1"/>
  <c r="X24" i="45"/>
  <c r="AJ24" i="45" s="1"/>
  <c r="AL23" i="51"/>
  <c r="AF21" i="55"/>
  <c r="Z24" i="45"/>
  <c r="AL24" i="45" s="1"/>
  <c r="X23" i="52"/>
  <c r="AJ23" i="52" s="1"/>
  <c r="S22" i="59"/>
  <c r="AE22" i="59" s="1"/>
  <c r="M24" i="55"/>
  <c r="V24" i="45"/>
  <c r="AH24" i="45" s="1"/>
  <c r="W23" i="52"/>
  <c r="AI23" i="52" s="1"/>
  <c r="Z22" i="59"/>
  <c r="AL22" i="59" s="1"/>
  <c r="C26" i="55"/>
  <c r="E25" i="55"/>
  <c r="H25" i="55" s="1"/>
  <c r="K25" i="55" s="1"/>
  <c r="D25" i="55"/>
  <c r="G25" i="55" s="1"/>
  <c r="J25" i="55" s="1"/>
  <c r="I25" i="55"/>
  <c r="L25" i="55" s="1"/>
  <c r="AG21" i="55"/>
  <c r="C26" i="56"/>
  <c r="E25" i="56"/>
  <c r="H25" i="56" s="1"/>
  <c r="K25" i="56" s="1"/>
  <c r="D25" i="56"/>
  <c r="G25" i="56" s="1"/>
  <c r="J25" i="56" s="1"/>
  <c r="I25" i="56"/>
  <c r="L25" i="56" s="1"/>
  <c r="T21" i="46"/>
  <c r="AF21" i="46" s="1"/>
  <c r="S21" i="46"/>
  <c r="AE21" i="46" s="1"/>
  <c r="W21" i="46"/>
  <c r="AI21" i="46" s="1"/>
  <c r="R21" i="46"/>
  <c r="AD21" i="46" s="1"/>
  <c r="U21" i="46"/>
  <c r="AG21" i="46" s="1"/>
  <c r="X21" i="46"/>
  <c r="AJ21" i="46" s="1"/>
  <c r="Z21" i="46"/>
  <c r="AL21" i="46" s="1"/>
  <c r="Y21" i="46"/>
  <c r="AK21" i="46" s="1"/>
  <c r="V21" i="46"/>
  <c r="AH21" i="46" s="1"/>
  <c r="N23" i="55"/>
  <c r="O23" i="55" s="1"/>
  <c r="P23" i="55"/>
  <c r="Q23" i="55" s="1"/>
  <c r="X22" i="59"/>
  <c r="AJ22" i="59" s="1"/>
  <c r="O22" i="55"/>
  <c r="AI21" i="55"/>
  <c r="U22" i="60"/>
  <c r="AG22" i="60" s="1"/>
  <c r="Y22" i="60"/>
  <c r="AK22" i="60" s="1"/>
  <c r="W22" i="60"/>
  <c r="AI22" i="60" s="1"/>
  <c r="N23" i="60"/>
  <c r="O23" i="60" s="1"/>
  <c r="Y22" i="63"/>
  <c r="AK22" i="63" s="1"/>
  <c r="U23" i="52"/>
  <c r="AG23" i="52" s="1"/>
  <c r="M18" i="19"/>
  <c r="P18" i="19" s="1"/>
  <c r="Q18" i="19" s="1"/>
  <c r="Y18" i="19" s="1"/>
  <c r="AK23" i="65"/>
  <c r="AD23" i="51"/>
  <c r="V22" i="59"/>
  <c r="AH22" i="59" s="1"/>
  <c r="W22" i="63"/>
  <c r="AI22" i="63" s="1"/>
  <c r="AL23" i="65"/>
  <c r="AE23" i="51"/>
  <c r="AC23" i="51"/>
  <c r="X22" i="62"/>
  <c r="AJ22" i="62" s="1"/>
  <c r="AG23" i="65"/>
  <c r="R22" i="60"/>
  <c r="AD22" i="60" s="1"/>
  <c r="U22" i="63"/>
  <c r="AG22" i="63" s="1"/>
  <c r="AE23" i="65"/>
  <c r="AB23" i="51"/>
  <c r="AA22" i="59"/>
  <c r="AC22" i="59" s="1"/>
  <c r="AH23" i="65"/>
  <c r="AB22" i="58"/>
  <c r="R22" i="59"/>
  <c r="AD22" i="59" s="1"/>
  <c r="AB21" i="62"/>
  <c r="T22" i="63"/>
  <c r="AF22" i="63" s="1"/>
  <c r="O23" i="62"/>
  <c r="Y22" i="59"/>
  <c r="AK22" i="59" s="1"/>
  <c r="M25" i="51"/>
  <c r="N25" i="51" s="1"/>
  <c r="O25" i="51" s="1"/>
  <c r="M24" i="64"/>
  <c r="P24" i="64" s="1"/>
  <c r="Q24" i="64" s="1"/>
  <c r="AF23" i="65"/>
  <c r="AH22" i="64"/>
  <c r="N24" i="48"/>
  <c r="O24" i="48" s="1"/>
  <c r="AC22" i="58"/>
  <c r="P23" i="63"/>
  <c r="Q23" i="63" s="1"/>
  <c r="S23" i="63" s="1"/>
  <c r="AE23" i="63" s="1"/>
  <c r="AK22" i="64"/>
  <c r="P25" i="45"/>
  <c r="Q25" i="45" s="1"/>
  <c r="S25" i="45" s="1"/>
  <c r="AE25" i="45" s="1"/>
  <c r="AI23" i="65"/>
  <c r="T22" i="62"/>
  <c r="AF22" i="62" s="1"/>
  <c r="AJ23" i="65"/>
  <c r="Z23" i="52"/>
  <c r="AL23" i="52" s="1"/>
  <c r="AA23" i="52"/>
  <c r="AC23" i="52" s="1"/>
  <c r="M24" i="60"/>
  <c r="P24" i="60" s="1"/>
  <c r="Q24" i="60" s="1"/>
  <c r="U22" i="62"/>
  <c r="AG22" i="62" s="1"/>
  <c r="Y23" i="52"/>
  <c r="AK23" i="52" s="1"/>
  <c r="P24" i="52"/>
  <c r="Q24" i="52" s="1"/>
  <c r="Y24" i="52" s="1"/>
  <c r="AK24" i="52" s="1"/>
  <c r="V22" i="62"/>
  <c r="AH22" i="62" s="1"/>
  <c r="AC22" i="44"/>
  <c r="S23" i="52"/>
  <c r="AE23" i="52" s="1"/>
  <c r="S22" i="60"/>
  <c r="AE22" i="60" s="1"/>
  <c r="Y22" i="62"/>
  <c r="AK22" i="62" s="1"/>
  <c r="AA22" i="62"/>
  <c r="AC22" i="62" s="1"/>
  <c r="AL22" i="64"/>
  <c r="T22" i="60"/>
  <c r="AF22" i="60" s="1"/>
  <c r="W22" i="62"/>
  <c r="AI22" i="62" s="1"/>
  <c r="V23" i="52"/>
  <c r="AH23" i="52" s="1"/>
  <c r="T22" i="59"/>
  <c r="AF22" i="59" s="1"/>
  <c r="V22" i="60"/>
  <c r="AH22" i="60" s="1"/>
  <c r="AA22" i="60"/>
  <c r="AC22" i="60" s="1"/>
  <c r="X22" i="60"/>
  <c r="AJ22" i="60" s="1"/>
  <c r="Z22" i="62"/>
  <c r="AL22" i="62" s="1"/>
  <c r="AA22" i="63"/>
  <c r="AC22" i="63" s="1"/>
  <c r="P23" i="59"/>
  <c r="Q23" i="59" s="1"/>
  <c r="W23" i="59" s="1"/>
  <c r="AI23" i="59" s="1"/>
  <c r="M25" i="48"/>
  <c r="N25" i="48" s="1"/>
  <c r="O25" i="48" s="1"/>
  <c r="M24" i="61"/>
  <c r="M24" i="59"/>
  <c r="N24" i="59" s="1"/>
  <c r="AD22" i="64"/>
  <c r="AB22" i="64"/>
  <c r="AE22" i="64"/>
  <c r="Q22" i="57"/>
  <c r="AA22" i="57"/>
  <c r="AJ22" i="64"/>
  <c r="AC23" i="48"/>
  <c r="T23" i="52"/>
  <c r="AF23" i="52" s="1"/>
  <c r="M24" i="44"/>
  <c r="P24" i="44" s="1"/>
  <c r="Q24" i="44" s="1"/>
  <c r="AB22" i="53"/>
  <c r="N23" i="53"/>
  <c r="O23" i="53" s="1"/>
  <c r="P23" i="57"/>
  <c r="Q23" i="57" s="1"/>
  <c r="W23" i="57" s="1"/>
  <c r="AI23" i="57" s="1"/>
  <c r="AF22" i="64"/>
  <c r="AI22" i="64"/>
  <c r="P24" i="65"/>
  <c r="Q24" i="65" s="1"/>
  <c r="S24" i="65" s="1"/>
  <c r="AE24" i="65" s="1"/>
  <c r="M25" i="65"/>
  <c r="O25" i="65" s="1"/>
  <c r="AB23" i="65"/>
  <c r="C27" i="65"/>
  <c r="H26" i="65"/>
  <c r="K26" i="65" s="1"/>
  <c r="I26" i="65"/>
  <c r="L26" i="65" s="1"/>
  <c r="G26" i="65"/>
  <c r="J26" i="65" s="1"/>
  <c r="N23" i="64"/>
  <c r="O23" i="64" s="1"/>
  <c r="C26" i="64"/>
  <c r="F25" i="64"/>
  <c r="I25" i="64" s="1"/>
  <c r="L25" i="64" s="1"/>
  <c r="E25" i="64"/>
  <c r="H25" i="64" s="1"/>
  <c r="K25" i="64" s="1"/>
  <c r="D25" i="64"/>
  <c r="G25" i="64" s="1"/>
  <c r="J25" i="64" s="1"/>
  <c r="AC22" i="64"/>
  <c r="R23" i="64"/>
  <c r="T23" i="64"/>
  <c r="V23" i="64"/>
  <c r="U23" i="64"/>
  <c r="S23" i="64"/>
  <c r="Z23" i="64"/>
  <c r="Y23" i="64"/>
  <c r="X23" i="64"/>
  <c r="W23" i="64"/>
  <c r="AA23" i="64"/>
  <c r="M24" i="63"/>
  <c r="O24" i="63" s="1"/>
  <c r="C26" i="63"/>
  <c r="D25" i="63"/>
  <c r="G25" i="63" s="1"/>
  <c r="J25" i="63" s="1"/>
  <c r="F25" i="63"/>
  <c r="I25" i="63" s="1"/>
  <c r="L25" i="63" s="1"/>
  <c r="H25" i="63"/>
  <c r="K25" i="63" s="1"/>
  <c r="AA23" i="62"/>
  <c r="AC23" i="62" s="1"/>
  <c r="M24" i="62"/>
  <c r="P24" i="62" s="1"/>
  <c r="Q24" i="62" s="1"/>
  <c r="C26" i="62"/>
  <c r="D25" i="62"/>
  <c r="G25" i="62" s="1"/>
  <c r="J25" i="62" s="1"/>
  <c r="I25" i="62"/>
  <c r="L25" i="62" s="1"/>
  <c r="H25" i="62"/>
  <c r="K25" i="62" s="1"/>
  <c r="R23" i="62"/>
  <c r="Y23" i="62"/>
  <c r="X23" i="62"/>
  <c r="W23" i="62"/>
  <c r="V23" i="62"/>
  <c r="U23" i="62"/>
  <c r="T23" i="62"/>
  <c r="S23" i="62"/>
  <c r="Z23" i="62"/>
  <c r="C26" i="61"/>
  <c r="F25" i="61"/>
  <c r="L25" i="61" s="1"/>
  <c r="E25" i="61"/>
  <c r="K25" i="61" s="1"/>
  <c r="D25" i="61"/>
  <c r="AL22" i="60"/>
  <c r="V23" i="60"/>
  <c r="U23" i="60"/>
  <c r="W23" i="60"/>
  <c r="T23" i="60"/>
  <c r="S23" i="60"/>
  <c r="R23" i="60"/>
  <c r="Z23" i="60"/>
  <c r="Y23" i="60"/>
  <c r="X23" i="60"/>
  <c r="C26" i="60"/>
  <c r="E25" i="60"/>
  <c r="H25" i="60" s="1"/>
  <c r="K25" i="60" s="1"/>
  <c r="D25" i="60"/>
  <c r="G25" i="60" s="1"/>
  <c r="J25" i="60" s="1"/>
  <c r="I25" i="60"/>
  <c r="L25" i="60" s="1"/>
  <c r="AA23" i="60"/>
  <c r="C26" i="59"/>
  <c r="D25" i="59"/>
  <c r="G25" i="59" s="1"/>
  <c r="J25" i="59" s="1"/>
  <c r="E25" i="59"/>
  <c r="H25" i="59" s="1"/>
  <c r="K25" i="59" s="1"/>
  <c r="I25" i="59"/>
  <c r="L25" i="59" s="1"/>
  <c r="M24" i="58"/>
  <c r="P24" i="58" s="1"/>
  <c r="Q24" i="58" s="1"/>
  <c r="AL22" i="58"/>
  <c r="AA23" i="58"/>
  <c r="AE22" i="58"/>
  <c r="AD22" i="58"/>
  <c r="AG22" i="58"/>
  <c r="C26" i="58"/>
  <c r="E25" i="58"/>
  <c r="H25" i="58" s="1"/>
  <c r="K25" i="58" s="1"/>
  <c r="D25" i="58"/>
  <c r="G25" i="58" s="1"/>
  <c r="J25" i="58" s="1"/>
  <c r="I25" i="58"/>
  <c r="L25" i="58" s="1"/>
  <c r="AF22" i="58"/>
  <c r="AH22" i="58"/>
  <c r="AK22" i="58"/>
  <c r="R23" i="58"/>
  <c r="Z23" i="58"/>
  <c r="AL23" i="58" s="1"/>
  <c r="Y23" i="58"/>
  <c r="X23" i="58"/>
  <c r="W23" i="58"/>
  <c r="U23" i="58"/>
  <c r="T23" i="58"/>
  <c r="S23" i="58"/>
  <c r="V23" i="58"/>
  <c r="AI22" i="58"/>
  <c r="AJ22" i="58"/>
  <c r="M24" i="57"/>
  <c r="O24" i="57" s="1"/>
  <c r="C26" i="57"/>
  <c r="E25" i="57"/>
  <c r="H25" i="57" s="1"/>
  <c r="K25" i="57" s="1"/>
  <c r="F25" i="57"/>
  <c r="I25" i="57" s="1"/>
  <c r="L25" i="57" s="1"/>
  <c r="D25" i="57"/>
  <c r="G25" i="57" s="1"/>
  <c r="J25" i="57" s="1"/>
  <c r="AG23" i="54"/>
  <c r="AD23" i="54"/>
  <c r="AK23" i="54"/>
  <c r="AH23" i="54"/>
  <c r="AJ23" i="54"/>
  <c r="AI23" i="54"/>
  <c r="P24" i="54"/>
  <c r="Q24" i="54" s="1"/>
  <c r="R24" i="54" s="1"/>
  <c r="AL23" i="54"/>
  <c r="M25" i="54"/>
  <c r="P25" i="54" s="1"/>
  <c r="Q25" i="54" s="1"/>
  <c r="AE23" i="54"/>
  <c r="AF23" i="54"/>
  <c r="C27" i="54"/>
  <c r="E26" i="54"/>
  <c r="H26" i="54" s="1"/>
  <c r="K26" i="54" s="1"/>
  <c r="D26" i="54"/>
  <c r="G26" i="54" s="1"/>
  <c r="J26" i="54" s="1"/>
  <c r="I26" i="54"/>
  <c r="L26" i="54" s="1"/>
  <c r="AB23" i="54"/>
  <c r="O24" i="54"/>
  <c r="M24" i="53"/>
  <c r="P24" i="53" s="1"/>
  <c r="Q24" i="53" s="1"/>
  <c r="C26" i="53"/>
  <c r="D25" i="53"/>
  <c r="G25" i="53" s="1"/>
  <c r="J25" i="53" s="1"/>
  <c r="E25" i="53"/>
  <c r="H25" i="53" s="1"/>
  <c r="K25" i="53" s="1"/>
  <c r="I25" i="53"/>
  <c r="L25" i="53" s="1"/>
  <c r="R23" i="53"/>
  <c r="V23" i="53"/>
  <c r="Z23" i="53"/>
  <c r="Y23" i="53"/>
  <c r="X23" i="53"/>
  <c r="W23" i="53"/>
  <c r="U23" i="53"/>
  <c r="T23" i="53"/>
  <c r="S23" i="53"/>
  <c r="AA23" i="53"/>
  <c r="M25" i="52"/>
  <c r="P25" i="52" s="1"/>
  <c r="Q25" i="52" s="1"/>
  <c r="C27" i="52"/>
  <c r="D26" i="52"/>
  <c r="G26" i="52" s="1"/>
  <c r="J26" i="52" s="1"/>
  <c r="I26" i="52"/>
  <c r="L26" i="52" s="1"/>
  <c r="H26" i="52"/>
  <c r="K26" i="52" s="1"/>
  <c r="N24" i="51"/>
  <c r="O24" i="51" s="1"/>
  <c r="AA24" i="51"/>
  <c r="C27" i="51"/>
  <c r="F26" i="51"/>
  <c r="I26" i="51" s="1"/>
  <c r="L26" i="51" s="1"/>
  <c r="D26" i="51"/>
  <c r="G26" i="51" s="1"/>
  <c r="J26" i="51" s="1"/>
  <c r="E26" i="51"/>
  <c r="H26" i="51" s="1"/>
  <c r="K26" i="51" s="1"/>
  <c r="V24" i="51"/>
  <c r="U24" i="51"/>
  <c r="X24" i="51"/>
  <c r="R24" i="51"/>
  <c r="Y24" i="51"/>
  <c r="W24" i="51"/>
  <c r="T24" i="51"/>
  <c r="S24" i="51"/>
  <c r="Z24" i="51"/>
  <c r="M25" i="50"/>
  <c r="O25" i="50" s="1"/>
  <c r="AA24" i="50"/>
  <c r="AC24" i="50" s="1"/>
  <c r="C27" i="50"/>
  <c r="D26" i="50"/>
  <c r="G26" i="50" s="1"/>
  <c r="J26" i="50" s="1"/>
  <c r="I26" i="50"/>
  <c r="L26" i="50" s="1"/>
  <c r="H26" i="50"/>
  <c r="K26" i="50" s="1"/>
  <c r="V24" i="50"/>
  <c r="U24" i="50"/>
  <c r="X24" i="50"/>
  <c r="Z24" i="50"/>
  <c r="Y24" i="50"/>
  <c r="AK24" i="50" s="1"/>
  <c r="W24" i="50"/>
  <c r="T24" i="50"/>
  <c r="AF24" i="50" s="1"/>
  <c r="S24" i="50"/>
  <c r="R24" i="50"/>
  <c r="AD24" i="50" s="1"/>
  <c r="AB23" i="50"/>
  <c r="AA24" i="48"/>
  <c r="O23" i="48"/>
  <c r="AB23" i="48" s="1"/>
  <c r="C27" i="48"/>
  <c r="D26" i="48"/>
  <c r="G26" i="48" s="1"/>
  <c r="J26" i="48" s="1"/>
  <c r="F26" i="48"/>
  <c r="I26" i="48" s="1"/>
  <c r="L26" i="48" s="1"/>
  <c r="E26" i="48"/>
  <c r="H26" i="48" s="1"/>
  <c r="K26" i="48" s="1"/>
  <c r="V24" i="48"/>
  <c r="U24" i="48"/>
  <c r="X24" i="48"/>
  <c r="Z24" i="48"/>
  <c r="Y24" i="48"/>
  <c r="W24" i="48"/>
  <c r="T24" i="48"/>
  <c r="S24" i="48"/>
  <c r="R24" i="48"/>
  <c r="M26" i="47"/>
  <c r="O26" i="47" s="1"/>
  <c r="C28" i="47"/>
  <c r="E27" i="47"/>
  <c r="H27" i="47" s="1"/>
  <c r="K27" i="47" s="1"/>
  <c r="F27" i="47"/>
  <c r="I27" i="47" s="1"/>
  <c r="L27" i="47" s="1"/>
  <c r="D27" i="47"/>
  <c r="G27" i="47" s="1"/>
  <c r="J27" i="47" s="1"/>
  <c r="Y25" i="47"/>
  <c r="AK25" i="47" s="1"/>
  <c r="R25" i="47"/>
  <c r="AD25" i="47" s="1"/>
  <c r="U25" i="47"/>
  <c r="AG25" i="47" s="1"/>
  <c r="T25" i="47"/>
  <c r="AF25" i="47" s="1"/>
  <c r="S25" i="47"/>
  <c r="AE25" i="47" s="1"/>
  <c r="W25" i="47"/>
  <c r="AI25" i="47" s="1"/>
  <c r="V25" i="47"/>
  <c r="AH25" i="47" s="1"/>
  <c r="AA25" i="47"/>
  <c r="AC25" i="47" s="1"/>
  <c r="AB24" i="47"/>
  <c r="M26" i="45"/>
  <c r="P26" i="45" s="1"/>
  <c r="Q26" i="45" s="1"/>
  <c r="C28" i="45"/>
  <c r="D27" i="45"/>
  <c r="G27" i="45" s="1"/>
  <c r="J27" i="45" s="1"/>
  <c r="H27" i="45"/>
  <c r="K27" i="45" s="1"/>
  <c r="I27" i="45"/>
  <c r="L27" i="45" s="1"/>
  <c r="C26" i="44"/>
  <c r="F25" i="44"/>
  <c r="I25" i="44" s="1"/>
  <c r="L25" i="44" s="1"/>
  <c r="E25" i="44"/>
  <c r="H25" i="44" s="1"/>
  <c r="K25" i="44" s="1"/>
  <c r="D25" i="44"/>
  <c r="G25" i="44" s="1"/>
  <c r="J25" i="44" s="1"/>
  <c r="O23" i="44"/>
  <c r="W23" i="44"/>
  <c r="V23" i="44"/>
  <c r="U23" i="44"/>
  <c r="Y23" i="44"/>
  <c r="T23" i="44"/>
  <c r="R23" i="44"/>
  <c r="AA23" i="44"/>
  <c r="AC23" i="44" s="1"/>
  <c r="M17" i="23"/>
  <c r="C19" i="23"/>
  <c r="D18" i="23"/>
  <c r="G18" i="23" s="1"/>
  <c r="J18" i="23" s="1"/>
  <c r="E18" i="23"/>
  <c r="H18" i="23" s="1"/>
  <c r="K18" i="23" s="1"/>
  <c r="F18" i="23"/>
  <c r="I18" i="23" s="1"/>
  <c r="L18" i="23" s="1"/>
  <c r="AK7" i="1"/>
  <c r="N16" i="23"/>
  <c r="O16" i="23" s="1"/>
  <c r="P16" i="23"/>
  <c r="AA15" i="23"/>
  <c r="AC15" i="23" s="1"/>
  <c r="Q15" i="23"/>
  <c r="H17" i="20"/>
  <c r="K17" i="20" s="1"/>
  <c r="M17" i="20" s="1"/>
  <c r="P17" i="20" s="1"/>
  <c r="BD11" i="1"/>
  <c r="BE11" i="1"/>
  <c r="G19" i="19"/>
  <c r="J19" i="19" s="1"/>
  <c r="H19" i="19"/>
  <c r="K19" i="19" s="1"/>
  <c r="BC11" i="1"/>
  <c r="I19" i="19"/>
  <c r="L19" i="19" s="1"/>
  <c r="X5" i="1"/>
  <c r="BF5" i="1"/>
  <c r="D23" i="1"/>
  <c r="O3" i="14"/>
  <c r="P3" i="14" s="1"/>
  <c r="Y6" i="1"/>
  <c r="Q15" i="25"/>
  <c r="Y15" i="25" s="1"/>
  <c r="AK15" i="25" s="1"/>
  <c r="AM7" i="1"/>
  <c r="AC15" i="24"/>
  <c r="AA5" i="1"/>
  <c r="AB5" i="1"/>
  <c r="AC5" i="1"/>
  <c r="AD5" i="1"/>
  <c r="AE5" i="1"/>
  <c r="Z4" i="1"/>
  <c r="Q15" i="33"/>
  <c r="V15" i="33" s="1"/>
  <c r="AH15" i="33" s="1"/>
  <c r="V14" i="24"/>
  <c r="AH14" i="24" s="1"/>
  <c r="AY8" i="1"/>
  <c r="AY9" i="1"/>
  <c r="AV9" i="1"/>
  <c r="AI9" i="1"/>
  <c r="AW7" i="1"/>
  <c r="AQ9" i="1"/>
  <c r="AH8" i="1"/>
  <c r="AF10" i="1"/>
  <c r="BA7" i="1"/>
  <c r="AN7" i="1"/>
  <c r="AG8" i="1"/>
  <c r="AJ7" i="1"/>
  <c r="AT7" i="1"/>
  <c r="AU7" i="1"/>
  <c r="AU8" i="1"/>
  <c r="AS8" i="1"/>
  <c r="BB10" i="1"/>
  <c r="AM8" i="1"/>
  <c r="AR8" i="1"/>
  <c r="AT8" i="1"/>
  <c r="T14" i="24"/>
  <c r="AF14" i="24" s="1"/>
  <c r="X14" i="24"/>
  <c r="AJ14" i="24" s="1"/>
  <c r="AB15" i="25"/>
  <c r="L9" i="1" s="1"/>
  <c r="Y14" i="24"/>
  <c r="AK14" i="24" s="1"/>
  <c r="R14" i="24"/>
  <c r="AD14" i="24" s="1"/>
  <c r="U15" i="39"/>
  <c r="AG15" i="39" s="1"/>
  <c r="AF15" i="39"/>
  <c r="W15" i="39"/>
  <c r="AI15" i="39" s="1"/>
  <c r="AA15" i="39"/>
  <c r="V15" i="39"/>
  <c r="AH15" i="39" s="1"/>
  <c r="R15" i="39"/>
  <c r="AD15" i="39" s="1"/>
  <c r="Z15" i="39"/>
  <c r="AL15" i="39" s="1"/>
  <c r="O16" i="25"/>
  <c r="AB16" i="25" s="1"/>
  <c r="AC14" i="32"/>
  <c r="U14" i="24"/>
  <c r="AG14" i="24" s="1"/>
  <c r="Y15" i="39"/>
  <c r="AK15" i="39" s="1"/>
  <c r="S15" i="39"/>
  <c r="AE15" i="39" s="1"/>
  <c r="X15" i="39"/>
  <c r="AJ15" i="39" s="1"/>
  <c r="N16" i="33"/>
  <c r="O16" i="33" s="1"/>
  <c r="M17" i="25"/>
  <c r="P17" i="25" s="1"/>
  <c r="AA17" i="25" s="1"/>
  <c r="AC17" i="25" s="1"/>
  <c r="Z14" i="24"/>
  <c r="AL14" i="24" s="1"/>
  <c r="W14" i="24"/>
  <c r="AI14" i="24" s="1"/>
  <c r="H7" i="1"/>
  <c r="U16" i="29"/>
  <c r="AG16" i="29" s="1"/>
  <c r="X16" i="29"/>
  <c r="AJ16" i="29" s="1"/>
  <c r="R17" i="19"/>
  <c r="AD17" i="19" s="1"/>
  <c r="W6" i="1"/>
  <c r="AA15" i="30"/>
  <c r="I8" i="1"/>
  <c r="R7" i="1"/>
  <c r="Z17" i="19"/>
  <c r="AL17" i="19" s="1"/>
  <c r="S17" i="19"/>
  <c r="AE17" i="19" s="1"/>
  <c r="M17" i="22"/>
  <c r="W17" i="19"/>
  <c r="AI17" i="19" s="1"/>
  <c r="T17" i="19"/>
  <c r="AF17" i="19" s="1"/>
  <c r="Z17" i="27"/>
  <c r="AL17" i="27" s="1"/>
  <c r="Z15" i="8"/>
  <c r="AL15" i="8" s="1"/>
  <c r="R15" i="20"/>
  <c r="AD15" i="20" s="1"/>
  <c r="S16" i="21"/>
  <c r="AE16" i="21" s="1"/>
  <c r="M17" i="35"/>
  <c r="N17" i="35" s="1"/>
  <c r="M17" i="33"/>
  <c r="M7" i="1"/>
  <c r="P7" i="1"/>
  <c r="AC15" i="26"/>
  <c r="X15" i="8"/>
  <c r="AJ15" i="8" s="1"/>
  <c r="Y15" i="20"/>
  <c r="AK15" i="20" s="1"/>
  <c r="T16" i="21"/>
  <c r="AF16" i="21" s="1"/>
  <c r="P17" i="31"/>
  <c r="AA17" i="31" s="1"/>
  <c r="AC17" i="31" s="1"/>
  <c r="O17" i="31"/>
  <c r="W15" i="8"/>
  <c r="AI15" i="8" s="1"/>
  <c r="W15" i="20"/>
  <c r="AI15" i="20" s="1"/>
  <c r="S15" i="8"/>
  <c r="AE15" i="8" s="1"/>
  <c r="V15" i="20"/>
  <c r="AH15" i="20" s="1"/>
  <c r="X16" i="21"/>
  <c r="AJ16" i="21" s="1"/>
  <c r="S7" i="1"/>
  <c r="O7" i="1"/>
  <c r="P16" i="24"/>
  <c r="AA16" i="24" s="1"/>
  <c r="AB16" i="24" s="1"/>
  <c r="U7" i="1"/>
  <c r="AA16" i="30"/>
  <c r="Y17" i="19"/>
  <c r="AK17" i="19" s="1"/>
  <c r="S15" i="20"/>
  <c r="AE15" i="20" s="1"/>
  <c r="Z16" i="21"/>
  <c r="AL16" i="21" s="1"/>
  <c r="N7" i="1"/>
  <c r="O7" i="14" s="1"/>
  <c r="P7" i="14" s="1"/>
  <c r="Y16" i="21"/>
  <c r="AK16" i="21" s="1"/>
  <c r="V16" i="29"/>
  <c r="AH16" i="29" s="1"/>
  <c r="W17" i="40"/>
  <c r="AI17" i="40" s="1"/>
  <c r="AB15" i="26"/>
  <c r="AB16" i="31"/>
  <c r="AC16" i="31"/>
  <c r="M17" i="30"/>
  <c r="P17" i="30" s="1"/>
  <c r="AA17" i="30" s="1"/>
  <c r="T7" i="1"/>
  <c r="O13" i="14" s="1"/>
  <c r="P13" i="14" s="1"/>
  <c r="Q7" i="1"/>
  <c r="M17" i="24"/>
  <c r="N17" i="24" s="1"/>
  <c r="P18" i="38"/>
  <c r="Q18" i="38" s="1"/>
  <c r="R18" i="38" s="1"/>
  <c r="AD18" i="38" s="1"/>
  <c r="Q15" i="26"/>
  <c r="V17" i="40"/>
  <c r="AH17" i="40" s="1"/>
  <c r="V18" i="27"/>
  <c r="AH18" i="27" s="1"/>
  <c r="Y15" i="8"/>
  <c r="AK15" i="8" s="1"/>
  <c r="X15" i="20"/>
  <c r="AJ15" i="20" s="1"/>
  <c r="AC16" i="29"/>
  <c r="Y17" i="40"/>
  <c r="AK17" i="40" s="1"/>
  <c r="N16" i="30"/>
  <c r="M18" i="31"/>
  <c r="AB15" i="20"/>
  <c r="K9" i="1" s="1"/>
  <c r="M17" i="32"/>
  <c r="C20" i="31"/>
  <c r="E19" i="31"/>
  <c r="H19" i="31" s="1"/>
  <c r="K19" i="31" s="1"/>
  <c r="D19" i="31"/>
  <c r="G19" i="31" s="1"/>
  <c r="J19" i="31" s="1"/>
  <c r="I19" i="31"/>
  <c r="L19" i="31" s="1"/>
  <c r="Q16" i="31"/>
  <c r="R15" i="31"/>
  <c r="AD15" i="31" s="1"/>
  <c r="V15" i="31"/>
  <c r="AH15" i="31" s="1"/>
  <c r="T15" i="31"/>
  <c r="AF15" i="31" s="1"/>
  <c r="U15" i="31"/>
  <c r="AG15" i="31" s="1"/>
  <c r="S15" i="31"/>
  <c r="AE15" i="31" s="1"/>
  <c r="Y15" i="31"/>
  <c r="AK15" i="31" s="1"/>
  <c r="Z15" i="31"/>
  <c r="AL15" i="31" s="1"/>
  <c r="X15" i="31"/>
  <c r="AJ15" i="31" s="1"/>
  <c r="W15" i="31"/>
  <c r="AI15" i="31" s="1"/>
  <c r="R15" i="8"/>
  <c r="AD15" i="8" s="1"/>
  <c r="X17" i="19"/>
  <c r="AJ17" i="19" s="1"/>
  <c r="U15" i="20"/>
  <c r="AG15" i="20" s="1"/>
  <c r="E18" i="39"/>
  <c r="H18" i="39" s="1"/>
  <c r="K18" i="39" s="1"/>
  <c r="C19" i="39"/>
  <c r="D18" i="39"/>
  <c r="G18" i="39" s="1"/>
  <c r="J18" i="39" s="1"/>
  <c r="F18" i="39"/>
  <c r="I18" i="39" s="1"/>
  <c r="L18" i="39" s="1"/>
  <c r="C19" i="33"/>
  <c r="I19" i="33" s="1"/>
  <c r="L19" i="33" s="1"/>
  <c r="D18" i="33"/>
  <c r="G18" i="33" s="1"/>
  <c r="J18" i="33" s="1"/>
  <c r="E18" i="33"/>
  <c r="H18" i="33" s="1"/>
  <c r="K18" i="33" s="1"/>
  <c r="I18" i="33"/>
  <c r="L18" i="33" s="1"/>
  <c r="S15" i="30"/>
  <c r="AE15" i="30" s="1"/>
  <c r="X15" i="30"/>
  <c r="AJ15" i="30" s="1"/>
  <c r="U15" i="30"/>
  <c r="AG15" i="30" s="1"/>
  <c r="Z15" i="30"/>
  <c r="AL15" i="30" s="1"/>
  <c r="W15" i="30"/>
  <c r="AI15" i="30" s="1"/>
  <c r="V15" i="30"/>
  <c r="AH15" i="30" s="1"/>
  <c r="T15" i="30"/>
  <c r="AF15" i="30" s="1"/>
  <c r="R15" i="30"/>
  <c r="AD15" i="30" s="1"/>
  <c r="Y15" i="30"/>
  <c r="AK15" i="30" s="1"/>
  <c r="T15" i="8"/>
  <c r="AF15" i="8" s="1"/>
  <c r="R15" i="24"/>
  <c r="AD15" i="24" s="1"/>
  <c r="Z15" i="24"/>
  <c r="AL15" i="24" s="1"/>
  <c r="V15" i="24"/>
  <c r="AH15" i="24" s="1"/>
  <c r="Y15" i="24"/>
  <c r="AK15" i="24" s="1"/>
  <c r="X15" i="24"/>
  <c r="AJ15" i="24" s="1"/>
  <c r="W15" i="24"/>
  <c r="AI15" i="24" s="1"/>
  <c r="U15" i="24"/>
  <c r="AG15" i="24" s="1"/>
  <c r="S15" i="24"/>
  <c r="AE15" i="24" s="1"/>
  <c r="T15" i="24"/>
  <c r="AF15" i="24" s="1"/>
  <c r="O16" i="22"/>
  <c r="P16" i="22"/>
  <c r="T14" i="39"/>
  <c r="AF14" i="39" s="1"/>
  <c r="W14" i="39"/>
  <c r="AI14" i="39" s="1"/>
  <c r="Y14" i="39"/>
  <c r="AK14" i="39" s="1"/>
  <c r="R14" i="39"/>
  <c r="AD14" i="39" s="1"/>
  <c r="Z14" i="39"/>
  <c r="AL14" i="39" s="1"/>
  <c r="S14" i="39"/>
  <c r="AE14" i="39" s="1"/>
  <c r="V14" i="39"/>
  <c r="AH14" i="39" s="1"/>
  <c r="U14" i="39"/>
  <c r="AG14" i="39" s="1"/>
  <c r="X14" i="39"/>
  <c r="AJ14" i="39" s="1"/>
  <c r="U15" i="8"/>
  <c r="AG15" i="8" s="1"/>
  <c r="U17" i="19"/>
  <c r="AG17" i="19" s="1"/>
  <c r="Z14" i="22"/>
  <c r="AL14" i="22" s="1"/>
  <c r="U14" i="22"/>
  <c r="AG14" i="22" s="1"/>
  <c r="T14" i="22"/>
  <c r="AF14" i="22" s="1"/>
  <c r="W14" i="22"/>
  <c r="AI14" i="22" s="1"/>
  <c r="S14" i="22"/>
  <c r="AE14" i="22" s="1"/>
  <c r="Y14" i="22"/>
  <c r="AK14" i="22" s="1"/>
  <c r="X14" i="22"/>
  <c r="AJ14" i="22" s="1"/>
  <c r="V14" i="22"/>
  <c r="AH14" i="22" s="1"/>
  <c r="R14" i="22"/>
  <c r="AD14" i="22" s="1"/>
  <c r="M17" i="26"/>
  <c r="AC15" i="33"/>
  <c r="AB15" i="33"/>
  <c r="AB15" i="32"/>
  <c r="AB15" i="22"/>
  <c r="N16" i="26"/>
  <c r="O16" i="26" s="1"/>
  <c r="P16" i="26"/>
  <c r="F18" i="26"/>
  <c r="I18" i="26" s="1"/>
  <c r="L18" i="26" s="1"/>
  <c r="E18" i="26"/>
  <c r="H18" i="26" s="1"/>
  <c r="K18" i="26" s="1"/>
  <c r="D18" i="26"/>
  <c r="G18" i="26" s="1"/>
  <c r="J18" i="26" s="1"/>
  <c r="C19" i="26"/>
  <c r="Q15" i="32"/>
  <c r="C19" i="25"/>
  <c r="D18" i="25"/>
  <c r="G18" i="25" s="1"/>
  <c r="J18" i="25" s="1"/>
  <c r="H18" i="25"/>
  <c r="K18" i="25" s="1"/>
  <c r="I18" i="25"/>
  <c r="L18" i="25" s="1"/>
  <c r="AC16" i="34"/>
  <c r="F18" i="32"/>
  <c r="I18" i="32" s="1"/>
  <c r="L18" i="32" s="1"/>
  <c r="C19" i="32"/>
  <c r="E18" i="32"/>
  <c r="H18" i="32" s="1"/>
  <c r="K18" i="32" s="1"/>
  <c r="D18" i="32"/>
  <c r="G18" i="32" s="1"/>
  <c r="J18" i="32" s="1"/>
  <c r="P16" i="35"/>
  <c r="AA16" i="35" s="1"/>
  <c r="N16" i="35"/>
  <c r="Q15" i="22"/>
  <c r="R16" i="30"/>
  <c r="S16" i="30"/>
  <c r="Z16" i="30"/>
  <c r="Y16" i="30"/>
  <c r="W16" i="30"/>
  <c r="T16" i="30"/>
  <c r="U16" i="30"/>
  <c r="X16" i="30"/>
  <c r="V16" i="30"/>
  <c r="Y16" i="34"/>
  <c r="AK16" i="34" s="1"/>
  <c r="O15" i="35"/>
  <c r="AB15" i="35" s="1"/>
  <c r="AC15" i="35"/>
  <c r="AB14" i="39"/>
  <c r="Q15" i="35"/>
  <c r="Z14" i="35"/>
  <c r="AL14" i="35" s="1"/>
  <c r="W14" i="35"/>
  <c r="AI14" i="35" s="1"/>
  <c r="U14" i="35"/>
  <c r="AG14" i="35" s="1"/>
  <c r="X14" i="35"/>
  <c r="AJ14" i="35" s="1"/>
  <c r="T14" i="35"/>
  <c r="AF14" i="35" s="1"/>
  <c r="R14" i="35"/>
  <c r="AD14" i="35" s="1"/>
  <c r="V14" i="35"/>
  <c r="AH14" i="35" s="1"/>
  <c r="S14" i="35"/>
  <c r="AE14" i="35" s="1"/>
  <c r="Y14" i="35"/>
  <c r="AK14" i="35" s="1"/>
  <c r="AA16" i="33"/>
  <c r="Q16" i="33"/>
  <c r="D18" i="30"/>
  <c r="G18" i="30" s="1"/>
  <c r="J18" i="30" s="1"/>
  <c r="I18" i="30"/>
  <c r="L18" i="30" s="1"/>
  <c r="C19" i="30"/>
  <c r="E18" i="30"/>
  <c r="H18" i="30" s="1"/>
  <c r="K18" i="30" s="1"/>
  <c r="F18" i="24"/>
  <c r="I18" i="24" s="1"/>
  <c r="L18" i="24" s="1"/>
  <c r="D18" i="24"/>
  <c r="G18" i="24" s="1"/>
  <c r="J18" i="24" s="1"/>
  <c r="C19" i="24"/>
  <c r="E18" i="24"/>
  <c r="H18" i="24" s="1"/>
  <c r="K18" i="24" s="1"/>
  <c r="P16" i="32"/>
  <c r="AA16" i="32" s="1"/>
  <c r="AC16" i="32" s="1"/>
  <c r="O16" i="32"/>
  <c r="C19" i="35"/>
  <c r="D18" i="35"/>
  <c r="G18" i="35" s="1"/>
  <c r="J18" i="35" s="1"/>
  <c r="E18" i="35"/>
  <c r="H18" i="35" s="1"/>
  <c r="K18" i="35" s="1"/>
  <c r="I18" i="35"/>
  <c r="L18" i="35" s="1"/>
  <c r="N16" i="39"/>
  <c r="O16" i="39" s="1"/>
  <c r="P16" i="39"/>
  <c r="D18" i="22"/>
  <c r="G18" i="22" s="1"/>
  <c r="J18" i="22" s="1"/>
  <c r="E18" i="22"/>
  <c r="H18" i="22" s="1"/>
  <c r="K18" i="22" s="1"/>
  <c r="F18" i="22"/>
  <c r="I18" i="22" s="1"/>
  <c r="L18" i="22" s="1"/>
  <c r="C19" i="22"/>
  <c r="Q16" i="25"/>
  <c r="M17" i="39"/>
  <c r="T14" i="26"/>
  <c r="AF14" i="26" s="1"/>
  <c r="S14" i="26"/>
  <c r="AE14" i="26" s="1"/>
  <c r="X14" i="26"/>
  <c r="AJ14" i="26" s="1"/>
  <c r="Y14" i="26"/>
  <c r="AK14" i="26" s="1"/>
  <c r="R14" i="26"/>
  <c r="AD14" i="26" s="1"/>
  <c r="Z14" i="26"/>
  <c r="AL14" i="26" s="1"/>
  <c r="W14" i="26"/>
  <c r="AI14" i="26" s="1"/>
  <c r="V14" i="26"/>
  <c r="AH14" i="26" s="1"/>
  <c r="U14" i="26"/>
  <c r="AG14" i="26" s="1"/>
  <c r="AB14" i="26"/>
  <c r="Z16" i="29"/>
  <c r="AL16" i="29" s="1"/>
  <c r="AD18" i="27"/>
  <c r="AD17" i="38"/>
  <c r="Z15" i="20"/>
  <c r="AL15" i="20" s="1"/>
  <c r="W16" i="29"/>
  <c r="AI16" i="29" s="1"/>
  <c r="AF15" i="20"/>
  <c r="T17" i="27"/>
  <c r="AF17" i="27" s="1"/>
  <c r="S17" i="27"/>
  <c r="AE17" i="27" s="1"/>
  <c r="AE16" i="34"/>
  <c r="R16" i="21"/>
  <c r="AD16" i="21" s="1"/>
  <c r="X18" i="27"/>
  <c r="AJ18" i="27" s="1"/>
  <c r="W16" i="34"/>
  <c r="AI16" i="34" s="1"/>
  <c r="Y18" i="27"/>
  <c r="AK18" i="27" s="1"/>
  <c r="Z18" i="27"/>
  <c r="AL18" i="27" s="1"/>
  <c r="Y16" i="29"/>
  <c r="AK16" i="29" s="1"/>
  <c r="X16" i="34"/>
  <c r="AJ16" i="34" s="1"/>
  <c r="Z16" i="37"/>
  <c r="AL16" i="37" s="1"/>
  <c r="R16" i="37"/>
  <c r="AD16" i="37" s="1"/>
  <c r="U17" i="40"/>
  <c r="AG17" i="40" s="1"/>
  <c r="R16" i="29"/>
  <c r="AD16" i="29" s="1"/>
  <c r="Y16" i="37"/>
  <c r="AK16" i="37" s="1"/>
  <c r="T16" i="29"/>
  <c r="AF16" i="29" s="1"/>
  <c r="U16" i="37"/>
  <c r="AG16" i="37" s="1"/>
  <c r="V16" i="37"/>
  <c r="AH16" i="37" s="1"/>
  <c r="Y17" i="38"/>
  <c r="AK17" i="38" s="1"/>
  <c r="T16" i="37"/>
  <c r="AF16" i="37" s="1"/>
  <c r="U18" i="27"/>
  <c r="AG18" i="27" s="1"/>
  <c r="V17" i="38"/>
  <c r="AH17" i="38" s="1"/>
  <c r="W17" i="27"/>
  <c r="AI17" i="27" s="1"/>
  <c r="S17" i="40"/>
  <c r="AE17" i="40" s="1"/>
  <c r="U16" i="34"/>
  <c r="AG16" i="34" s="1"/>
  <c r="S17" i="38"/>
  <c r="AE17" i="38" s="1"/>
  <c r="Z16" i="34"/>
  <c r="AL16" i="34" s="1"/>
  <c r="T17" i="38"/>
  <c r="AF17" i="38" s="1"/>
  <c r="M19" i="40"/>
  <c r="P19" i="40" s="1"/>
  <c r="N17" i="29"/>
  <c r="O17" i="29" s="1"/>
  <c r="V16" i="34"/>
  <c r="AH16" i="34" s="1"/>
  <c r="U17" i="38"/>
  <c r="AG17" i="38" s="1"/>
  <c r="AE16" i="37"/>
  <c r="T16" i="34"/>
  <c r="AF16" i="34" s="1"/>
  <c r="Z17" i="38"/>
  <c r="AL17" i="38" s="1"/>
  <c r="X17" i="38"/>
  <c r="AJ17" i="38" s="1"/>
  <c r="R16" i="34"/>
  <c r="AD16" i="34" s="1"/>
  <c r="AD17" i="40"/>
  <c r="W16" i="37"/>
  <c r="AI16" i="37" s="1"/>
  <c r="X16" i="37"/>
  <c r="AJ16" i="37" s="1"/>
  <c r="W17" i="38"/>
  <c r="AI17" i="38" s="1"/>
  <c r="T17" i="40"/>
  <c r="AF17" i="40" s="1"/>
  <c r="X17" i="40"/>
  <c r="AJ17" i="40" s="1"/>
  <c r="W16" i="21"/>
  <c r="AI16" i="21" s="1"/>
  <c r="U16" i="21"/>
  <c r="AG16" i="21" s="1"/>
  <c r="P17" i="37"/>
  <c r="AA17" i="37" s="1"/>
  <c r="AC17" i="37" s="1"/>
  <c r="Z17" i="40"/>
  <c r="AL17" i="40" s="1"/>
  <c r="P17" i="28"/>
  <c r="Q17" i="28" s="1"/>
  <c r="Q17" i="29"/>
  <c r="S17" i="29" s="1"/>
  <c r="Q17" i="34"/>
  <c r="U17" i="34" s="1"/>
  <c r="Q16" i="20"/>
  <c r="V16" i="20" s="1"/>
  <c r="S18" i="27"/>
  <c r="AE18" i="27" s="1"/>
  <c r="N17" i="34"/>
  <c r="O17" i="34" s="1"/>
  <c r="Z15" i="36"/>
  <c r="AL15" i="36" s="1"/>
  <c r="T15" i="28"/>
  <c r="AF15" i="28" s="1"/>
  <c r="S15" i="28"/>
  <c r="AE15" i="28" s="1"/>
  <c r="R15" i="28"/>
  <c r="AD15" i="28" s="1"/>
  <c r="X15" i="28"/>
  <c r="AJ15" i="28" s="1"/>
  <c r="Y15" i="28"/>
  <c r="AK15" i="28" s="1"/>
  <c r="U15" i="28"/>
  <c r="AG15" i="28" s="1"/>
  <c r="Z15" i="28"/>
  <c r="AL15" i="28" s="1"/>
  <c r="W15" i="28"/>
  <c r="AI15" i="28" s="1"/>
  <c r="V15" i="28"/>
  <c r="AH15" i="28" s="1"/>
  <c r="T18" i="27"/>
  <c r="AF18" i="27" s="1"/>
  <c r="Q16" i="28"/>
  <c r="Z16" i="28" s="1"/>
  <c r="AL16" i="28" s="1"/>
  <c r="U16" i="38"/>
  <c r="AG16" i="38" s="1"/>
  <c r="R16" i="38"/>
  <c r="AD16" i="38" s="1"/>
  <c r="Z16" i="38"/>
  <c r="AL16" i="38" s="1"/>
  <c r="W16" i="38"/>
  <c r="AI16" i="38" s="1"/>
  <c r="V16" i="38"/>
  <c r="AH16" i="38" s="1"/>
  <c r="Y16" i="38"/>
  <c r="AK16" i="38" s="1"/>
  <c r="T16" i="38"/>
  <c r="AF16" i="38" s="1"/>
  <c r="S16" i="38"/>
  <c r="AE16" i="38" s="1"/>
  <c r="X16" i="38"/>
  <c r="AJ16" i="38" s="1"/>
  <c r="V15" i="36"/>
  <c r="AH15" i="36" s="1"/>
  <c r="S15" i="36"/>
  <c r="AE15" i="36" s="1"/>
  <c r="X15" i="36"/>
  <c r="AJ15" i="36" s="1"/>
  <c r="R17" i="27"/>
  <c r="AD17" i="27" s="1"/>
  <c r="Y17" i="27"/>
  <c r="AK17" i="27" s="1"/>
  <c r="X17" i="27"/>
  <c r="AJ17" i="27" s="1"/>
  <c r="V17" i="27"/>
  <c r="AH17" i="27" s="1"/>
  <c r="W18" i="27"/>
  <c r="AI18" i="27" s="1"/>
  <c r="M18" i="37"/>
  <c r="O18" i="37" s="1"/>
  <c r="Q17" i="36"/>
  <c r="T17" i="36" s="1"/>
  <c r="U15" i="36"/>
  <c r="AG15" i="36" s="1"/>
  <c r="T15" i="36"/>
  <c r="AF15" i="36" s="1"/>
  <c r="R15" i="36"/>
  <c r="AD15" i="36" s="1"/>
  <c r="Q18" i="40"/>
  <c r="U18" i="40" s="1"/>
  <c r="AA16" i="8"/>
  <c r="O17" i="28"/>
  <c r="Y15" i="36"/>
  <c r="AK15" i="36" s="1"/>
  <c r="Q17" i="21"/>
  <c r="S17" i="21" s="1"/>
  <c r="AE17" i="21" s="1"/>
  <c r="Q19" i="27"/>
  <c r="W19" i="27" s="1"/>
  <c r="Q16" i="36"/>
  <c r="Z16" i="36" s="1"/>
  <c r="AL16" i="36" s="1"/>
  <c r="AB17" i="40"/>
  <c r="N19" i="40"/>
  <c r="C21" i="40"/>
  <c r="D20" i="40"/>
  <c r="G20" i="40" s="1"/>
  <c r="J20" i="40" s="1"/>
  <c r="F20" i="40"/>
  <c r="I20" i="40" s="1"/>
  <c r="L20" i="40" s="1"/>
  <c r="E20" i="40"/>
  <c r="H20" i="40" s="1"/>
  <c r="K20" i="40" s="1"/>
  <c r="O18" i="40"/>
  <c r="AA18" i="40"/>
  <c r="AC18" i="40" s="1"/>
  <c r="M19" i="38"/>
  <c r="O19" i="38" s="1"/>
  <c r="AB17" i="38"/>
  <c r="C21" i="38"/>
  <c r="F21" i="38" s="1"/>
  <c r="D20" i="38"/>
  <c r="G20" i="38" s="1"/>
  <c r="J20" i="38" s="1"/>
  <c r="H20" i="38"/>
  <c r="K20" i="38" s="1"/>
  <c r="I20" i="38"/>
  <c r="L20" i="38" s="1"/>
  <c r="C20" i="37"/>
  <c r="F19" i="37"/>
  <c r="I19" i="37" s="1"/>
  <c r="L19" i="37" s="1"/>
  <c r="D19" i="37"/>
  <c r="G19" i="37" s="1"/>
  <c r="J19" i="37" s="1"/>
  <c r="E19" i="37"/>
  <c r="H19" i="37" s="1"/>
  <c r="K19" i="37" s="1"/>
  <c r="AB16" i="37"/>
  <c r="AA16" i="36"/>
  <c r="AC16" i="36" s="1"/>
  <c r="AB18" i="27"/>
  <c r="AA16" i="28"/>
  <c r="AC16" i="28" s="1"/>
  <c r="AA17" i="36"/>
  <c r="AB15" i="36"/>
  <c r="M18" i="36"/>
  <c r="P18" i="36" s="1"/>
  <c r="N18" i="36"/>
  <c r="C20" i="36"/>
  <c r="F20" i="36" s="1"/>
  <c r="E19" i="36"/>
  <c r="H19" i="36" s="1"/>
  <c r="K19" i="36" s="1"/>
  <c r="D19" i="36"/>
  <c r="G19" i="36" s="1"/>
  <c r="J19" i="36" s="1"/>
  <c r="I19" i="36"/>
  <c r="L19" i="36" s="1"/>
  <c r="O17" i="36"/>
  <c r="M18" i="34"/>
  <c r="P18" i="34" s="1"/>
  <c r="C20" i="34"/>
  <c r="D19" i="34"/>
  <c r="G19" i="34" s="1"/>
  <c r="J19" i="34" s="1"/>
  <c r="E19" i="34"/>
  <c r="H19" i="34" s="1"/>
  <c r="K19" i="34" s="1"/>
  <c r="I19" i="34"/>
  <c r="L19" i="34" s="1"/>
  <c r="AB16" i="34"/>
  <c r="AA17" i="34"/>
  <c r="F20" i="33"/>
  <c r="N20" i="31"/>
  <c r="AE16" i="29"/>
  <c r="M18" i="29"/>
  <c r="N18" i="29" s="1"/>
  <c r="C20" i="29"/>
  <c r="D19" i="29"/>
  <c r="G19" i="29" s="1"/>
  <c r="J19" i="29" s="1"/>
  <c r="E19" i="29"/>
  <c r="H19" i="29" s="1"/>
  <c r="K19" i="29" s="1"/>
  <c r="I19" i="29"/>
  <c r="L19" i="29" s="1"/>
  <c r="AB16" i="29"/>
  <c r="AA17" i="29"/>
  <c r="M18" i="28"/>
  <c r="N18" i="28" s="1"/>
  <c r="C20" i="28"/>
  <c r="E20" i="28" s="1"/>
  <c r="D19" i="28"/>
  <c r="G19" i="28" s="1"/>
  <c r="J19" i="28" s="1"/>
  <c r="H19" i="28"/>
  <c r="K19" i="28" s="1"/>
  <c r="I19" i="28"/>
  <c r="L19" i="28" s="1"/>
  <c r="M20" i="27"/>
  <c r="P20" i="27" s="1"/>
  <c r="AB17" i="27"/>
  <c r="N20" i="27"/>
  <c r="AA19" i="27"/>
  <c r="AC19" i="27" s="1"/>
  <c r="C22" i="27"/>
  <c r="F21" i="27"/>
  <c r="I21" i="27" s="1"/>
  <c r="L21" i="27" s="1"/>
  <c r="D21" i="27"/>
  <c r="G21" i="27" s="1"/>
  <c r="J21" i="27" s="1"/>
  <c r="E21" i="27"/>
  <c r="H21" i="27" s="1"/>
  <c r="K21" i="27" s="1"/>
  <c r="O19" i="27"/>
  <c r="N20" i="25"/>
  <c r="F21" i="25"/>
  <c r="E21" i="25"/>
  <c r="AH15" i="8"/>
  <c r="AB15" i="8"/>
  <c r="P18" i="21"/>
  <c r="O16" i="20"/>
  <c r="AC15" i="20"/>
  <c r="O16" i="8"/>
  <c r="AB16" i="21"/>
  <c r="M19" i="21"/>
  <c r="O19" i="21" s="1"/>
  <c r="C21" i="21"/>
  <c r="D20" i="21"/>
  <c r="G20" i="21" s="1"/>
  <c r="J20" i="21" s="1"/>
  <c r="H20" i="21"/>
  <c r="K20" i="21" s="1"/>
  <c r="I20" i="21"/>
  <c r="L20" i="21" s="1"/>
  <c r="AB17" i="21"/>
  <c r="N17" i="20"/>
  <c r="AA16" i="20"/>
  <c r="AC16" i="20" s="1"/>
  <c r="C19" i="20"/>
  <c r="F18" i="20"/>
  <c r="I18" i="20" s="1"/>
  <c r="L18" i="20" s="1"/>
  <c r="E18" i="20"/>
  <c r="D18" i="20"/>
  <c r="G18" i="20" s="1"/>
  <c r="J18" i="20" s="1"/>
  <c r="AB17" i="19"/>
  <c r="N19" i="19"/>
  <c r="AH17" i="19"/>
  <c r="C21" i="19"/>
  <c r="D20" i="19"/>
  <c r="E20" i="19"/>
  <c r="F20" i="19"/>
  <c r="AA18" i="19"/>
  <c r="P17" i="8"/>
  <c r="N17" i="8"/>
  <c r="Q16" i="8"/>
  <c r="U16" i="8" s="1"/>
  <c r="M18" i="8"/>
  <c r="C20" i="8"/>
  <c r="E20" i="8" s="1"/>
  <c r="D19" i="8"/>
  <c r="G19" i="8" s="1"/>
  <c r="J19" i="8" s="1"/>
  <c r="F19" i="8"/>
  <c r="I19" i="8" s="1"/>
  <c r="L19" i="8" s="1"/>
  <c r="H19" i="8"/>
  <c r="K19" i="8" s="1"/>
  <c r="CY11" i="1" l="1"/>
  <c r="CZ11" i="1" s="1"/>
  <c r="DM11" i="1" s="1"/>
  <c r="DP11" i="1" s="1"/>
  <c r="CU12" i="1"/>
  <c r="X23" i="44"/>
  <c r="DA12" i="1"/>
  <c r="AH23" i="58"/>
  <c r="CS13" i="1"/>
  <c r="DF13" i="1" s="1"/>
  <c r="AE24" i="50"/>
  <c r="CV12" i="1"/>
  <c r="CY12" i="1" s="1"/>
  <c r="CZ12" i="1" s="1"/>
  <c r="AL24" i="50"/>
  <c r="AE23" i="58"/>
  <c r="AJ24" i="50"/>
  <c r="DB12" i="1"/>
  <c r="DC12" i="1" s="1"/>
  <c r="S23" i="44"/>
  <c r="CT13" i="1"/>
  <c r="DA46" i="1" s="1"/>
  <c r="DA47" i="1" s="1"/>
  <c r="CF14" i="1"/>
  <c r="EH14" i="1"/>
  <c r="ED14" i="1" s="1"/>
  <c r="DO14" i="1" s="1"/>
  <c r="ED13" i="1"/>
  <c r="DO13" i="1" s="1"/>
  <c r="AH24" i="50"/>
  <c r="AB23" i="58"/>
  <c r="DK13" i="1"/>
  <c r="DL13" i="1" s="1"/>
  <c r="X25" i="47"/>
  <c r="AJ25" i="47" s="1"/>
  <c r="CC14" i="1"/>
  <c r="DH14" i="1"/>
  <c r="DI14" i="1"/>
  <c r="DJ14" i="1" s="1"/>
  <c r="AG24" i="50"/>
  <c r="AG23" i="58"/>
  <c r="BL15" i="1"/>
  <c r="AA23" i="57"/>
  <c r="AC23" i="57" s="1"/>
  <c r="AB23" i="49"/>
  <c r="BP15" i="1"/>
  <c r="AI23" i="58"/>
  <c r="AI24" i="50"/>
  <c r="AD23" i="58"/>
  <c r="AF24" i="48"/>
  <c r="N25" i="49"/>
  <c r="O25" i="49" s="1"/>
  <c r="P25" i="49"/>
  <c r="M26" i="49"/>
  <c r="V24" i="49"/>
  <c r="AH24" i="49" s="1"/>
  <c r="U24" i="49"/>
  <c r="AG24" i="49" s="1"/>
  <c r="X24" i="49"/>
  <c r="AJ24" i="49" s="1"/>
  <c r="R24" i="49"/>
  <c r="AD24" i="49" s="1"/>
  <c r="Z24" i="49"/>
  <c r="AL24" i="49" s="1"/>
  <c r="Y24" i="49"/>
  <c r="AK24" i="49" s="1"/>
  <c r="W24" i="49"/>
  <c r="AI24" i="49" s="1"/>
  <c r="T24" i="49"/>
  <c r="AF24" i="49" s="1"/>
  <c r="S24" i="49"/>
  <c r="AE24" i="49" s="1"/>
  <c r="AA24" i="49"/>
  <c r="AC24" i="49" s="1"/>
  <c r="C28" i="49"/>
  <c r="E27" i="49"/>
  <c r="H27" i="49" s="1"/>
  <c r="K27" i="49" s="1"/>
  <c r="F27" i="49"/>
  <c r="I27" i="49" s="1"/>
  <c r="L27" i="49" s="1"/>
  <c r="D27" i="49"/>
  <c r="G27" i="49" s="1"/>
  <c r="J27" i="49" s="1"/>
  <c r="Z23" i="56"/>
  <c r="AL23" i="56" s="1"/>
  <c r="T23" i="56"/>
  <c r="AF23" i="56" s="1"/>
  <c r="Q22" i="46"/>
  <c r="Y22" i="46" s="1"/>
  <c r="AK22" i="46" s="1"/>
  <c r="AB22" i="55"/>
  <c r="BV15" i="1"/>
  <c r="U23" i="56"/>
  <c r="AG23" i="56" s="1"/>
  <c r="R23" i="56"/>
  <c r="AD23" i="56" s="1"/>
  <c r="V23" i="56"/>
  <c r="AH23" i="56" s="1"/>
  <c r="Y23" i="56"/>
  <c r="AK23" i="56" s="1"/>
  <c r="BQ15" i="1"/>
  <c r="U23" i="57"/>
  <c r="AG23" i="57" s="1"/>
  <c r="BW15" i="1"/>
  <c r="BR15" i="1"/>
  <c r="AB24" i="45"/>
  <c r="BX15" i="1"/>
  <c r="ER15" i="1" s="1"/>
  <c r="W23" i="56"/>
  <c r="AI23" i="56" s="1"/>
  <c r="AK23" i="43"/>
  <c r="AF23" i="58"/>
  <c r="X23" i="56"/>
  <c r="AJ23" i="56" s="1"/>
  <c r="AE23" i="43"/>
  <c r="N24" i="44"/>
  <c r="O24" i="44" s="1"/>
  <c r="AA23" i="56"/>
  <c r="AC23" i="56" s="1"/>
  <c r="AB22" i="43"/>
  <c r="BK15" i="1"/>
  <c r="EE15" i="1" s="1"/>
  <c r="Z25" i="45"/>
  <c r="AL25" i="45" s="1"/>
  <c r="AH24" i="48"/>
  <c r="Z24" i="52"/>
  <c r="AL24" i="52" s="1"/>
  <c r="AK23" i="58"/>
  <c r="AI23" i="43"/>
  <c r="O24" i="56"/>
  <c r="T24" i="52"/>
  <c r="AF24" i="52" s="1"/>
  <c r="AJ23" i="43"/>
  <c r="AG23" i="43"/>
  <c r="AF23" i="43"/>
  <c r="R25" i="45"/>
  <c r="AD25" i="45" s="1"/>
  <c r="U25" i="45"/>
  <c r="AG25" i="45" s="1"/>
  <c r="V25" i="45"/>
  <c r="AH25" i="45" s="1"/>
  <c r="AH23" i="43"/>
  <c r="W25" i="45"/>
  <c r="AI25" i="45" s="1"/>
  <c r="X23" i="63"/>
  <c r="AJ23" i="63" s="1"/>
  <c r="AD23" i="43"/>
  <c r="X25" i="45"/>
  <c r="AJ25" i="45" s="1"/>
  <c r="AJ24" i="48"/>
  <c r="P25" i="51"/>
  <c r="Q25" i="51" s="1"/>
  <c r="W25" i="51" s="1"/>
  <c r="AI25" i="51" s="1"/>
  <c r="Z23" i="63"/>
  <c r="AL23" i="63" s="1"/>
  <c r="O18" i="19"/>
  <c r="Y25" i="45"/>
  <c r="AK25" i="45" s="1"/>
  <c r="AG24" i="48"/>
  <c r="R24" i="52"/>
  <c r="AD24" i="52" s="1"/>
  <c r="AJ23" i="58"/>
  <c r="AL23" i="43"/>
  <c r="W23" i="63"/>
  <c r="AI23" i="63" s="1"/>
  <c r="AA25" i="45"/>
  <c r="AC25" i="45" s="1"/>
  <c r="AD24" i="48"/>
  <c r="X24" i="52"/>
  <c r="AJ24" i="52" s="1"/>
  <c r="T25" i="45"/>
  <c r="AF25" i="45" s="1"/>
  <c r="AE24" i="48"/>
  <c r="U24" i="52"/>
  <c r="AG24" i="52" s="1"/>
  <c r="AK24" i="48"/>
  <c r="AC24" i="48"/>
  <c r="AL24" i="48"/>
  <c r="BT15" i="1"/>
  <c r="AI24" i="48"/>
  <c r="P25" i="48"/>
  <c r="Q25" i="48" s="1"/>
  <c r="Z25" i="48" s="1"/>
  <c r="AL25" i="48" s="1"/>
  <c r="AB23" i="52"/>
  <c r="P24" i="43"/>
  <c r="Q24" i="43" s="1"/>
  <c r="U24" i="43" s="1"/>
  <c r="AG24" i="43" s="1"/>
  <c r="BU15" i="1"/>
  <c r="X23" i="57"/>
  <c r="AJ23" i="57" s="1"/>
  <c r="AK23" i="60"/>
  <c r="AH23" i="62"/>
  <c r="AC23" i="60"/>
  <c r="AD23" i="62"/>
  <c r="AL23" i="62"/>
  <c r="BY14" i="1"/>
  <c r="Y23" i="63"/>
  <c r="AK23" i="63" s="1"/>
  <c r="BS15" i="1"/>
  <c r="AB21" i="46"/>
  <c r="BN15" i="1" s="1"/>
  <c r="R23" i="59"/>
  <c r="AD23" i="59" s="1"/>
  <c r="AA24" i="56"/>
  <c r="AC24" i="56" s="1"/>
  <c r="V24" i="52"/>
  <c r="AH24" i="52" s="1"/>
  <c r="AK23" i="53"/>
  <c r="AE23" i="62"/>
  <c r="T23" i="63"/>
  <c r="AF23" i="63" s="1"/>
  <c r="AF22" i="55"/>
  <c r="AL23" i="53"/>
  <c r="AF23" i="62"/>
  <c r="R23" i="63"/>
  <c r="AD23" i="63" s="1"/>
  <c r="S24" i="52"/>
  <c r="AE24" i="52" s="1"/>
  <c r="AA24" i="52"/>
  <c r="AC24" i="52" s="1"/>
  <c r="N24" i="60"/>
  <c r="O24" i="60" s="1"/>
  <c r="AG23" i="62"/>
  <c r="AH22" i="55"/>
  <c r="M25" i="56"/>
  <c r="O25" i="56" s="1"/>
  <c r="W24" i="52"/>
  <c r="AI24" i="52" s="1"/>
  <c r="AC23" i="53"/>
  <c r="AB22" i="60"/>
  <c r="AI23" i="62"/>
  <c r="AA23" i="63"/>
  <c r="AC23" i="63" s="1"/>
  <c r="M25" i="43"/>
  <c r="P25" i="43" s="1"/>
  <c r="Q25" i="43" s="1"/>
  <c r="AK22" i="55"/>
  <c r="AJ23" i="62"/>
  <c r="U23" i="63"/>
  <c r="AG23" i="63" s="1"/>
  <c r="AL22" i="55"/>
  <c r="AC22" i="56"/>
  <c r="AB22" i="56"/>
  <c r="BO16" i="1" s="1"/>
  <c r="CG16" i="1" s="1"/>
  <c r="P23" i="46"/>
  <c r="Q23" i="46" s="1"/>
  <c r="O23" i="46"/>
  <c r="T23" i="59"/>
  <c r="AF23" i="59" s="1"/>
  <c r="N24" i="64"/>
  <c r="O24" i="64" s="1"/>
  <c r="AA23" i="55"/>
  <c r="AC23" i="55" s="1"/>
  <c r="M25" i="55"/>
  <c r="Z23" i="55"/>
  <c r="AL23" i="55" s="1"/>
  <c r="X23" i="55"/>
  <c r="AJ23" i="55" s="1"/>
  <c r="R23" i="55"/>
  <c r="AD23" i="55" s="1"/>
  <c r="W23" i="55"/>
  <c r="AI23" i="55" s="1"/>
  <c r="V23" i="55"/>
  <c r="AH23" i="55" s="1"/>
  <c r="Y23" i="55"/>
  <c r="AK23" i="55" s="1"/>
  <c r="U23" i="55"/>
  <c r="AG23" i="55" s="1"/>
  <c r="T23" i="55"/>
  <c r="AF23" i="55" s="1"/>
  <c r="S23" i="55"/>
  <c r="AE23" i="55" s="1"/>
  <c r="M24" i="46"/>
  <c r="AJ22" i="55"/>
  <c r="D26" i="55"/>
  <c r="G26" i="55" s="1"/>
  <c r="J26" i="55" s="1"/>
  <c r="I26" i="55"/>
  <c r="L26" i="55" s="1"/>
  <c r="C27" i="55"/>
  <c r="E26" i="55"/>
  <c r="H26" i="55" s="1"/>
  <c r="K26" i="55" s="1"/>
  <c r="D25" i="46"/>
  <c r="G25" i="46" s="1"/>
  <c r="J25" i="46" s="1"/>
  <c r="C26" i="46"/>
  <c r="H25" i="46"/>
  <c r="K25" i="46" s="1"/>
  <c r="I25" i="46"/>
  <c r="L25" i="46" s="1"/>
  <c r="AD22" i="55"/>
  <c r="AC22" i="46"/>
  <c r="AB22" i="46"/>
  <c r="AE22" i="55"/>
  <c r="U24" i="56"/>
  <c r="S24" i="56"/>
  <c r="Z24" i="56"/>
  <c r="Y24" i="56"/>
  <c r="X24" i="56"/>
  <c r="W24" i="56"/>
  <c r="T24" i="56"/>
  <c r="R24" i="56"/>
  <c r="V24" i="56"/>
  <c r="AF23" i="53"/>
  <c r="X23" i="59"/>
  <c r="AJ23" i="59" s="1"/>
  <c r="AG23" i="53"/>
  <c r="Z23" i="59"/>
  <c r="AL23" i="59" s="1"/>
  <c r="AB23" i="43"/>
  <c r="AG22" i="55"/>
  <c r="S23" i="59"/>
  <c r="AE23" i="59" s="1"/>
  <c r="U23" i="59"/>
  <c r="AG23" i="59" s="1"/>
  <c r="C27" i="56"/>
  <c r="D26" i="56"/>
  <c r="G26" i="56" s="1"/>
  <c r="J26" i="56" s="1"/>
  <c r="E26" i="56"/>
  <c r="H26" i="56" s="1"/>
  <c r="K26" i="56" s="1"/>
  <c r="I26" i="56"/>
  <c r="L26" i="56" s="1"/>
  <c r="N24" i="55"/>
  <c r="O24" i="55" s="1"/>
  <c r="P24" i="55"/>
  <c r="Q24" i="55" s="1"/>
  <c r="H26" i="43"/>
  <c r="K26" i="43" s="1"/>
  <c r="C27" i="43"/>
  <c r="D26" i="43"/>
  <c r="G26" i="43" s="1"/>
  <c r="J26" i="43" s="1"/>
  <c r="F26" i="43"/>
  <c r="I26" i="43" s="1"/>
  <c r="L26" i="43" s="1"/>
  <c r="AI22" i="55"/>
  <c r="Y23" i="57"/>
  <c r="AK23" i="57" s="1"/>
  <c r="S23" i="57"/>
  <c r="AE23" i="57" s="1"/>
  <c r="T23" i="57"/>
  <c r="AF23" i="57" s="1"/>
  <c r="R23" i="57"/>
  <c r="AD23" i="57" s="1"/>
  <c r="O25" i="52"/>
  <c r="AK23" i="62"/>
  <c r="V23" i="63"/>
  <c r="AH23" i="63" s="1"/>
  <c r="AB22" i="59"/>
  <c r="O26" i="45"/>
  <c r="P25" i="50"/>
  <c r="Q25" i="50" s="1"/>
  <c r="Z25" i="50" s="1"/>
  <c r="AL25" i="50" s="1"/>
  <c r="AI23" i="53"/>
  <c r="Z23" i="57"/>
  <c r="AL23" i="57" s="1"/>
  <c r="V23" i="59"/>
  <c r="AH23" i="59" s="1"/>
  <c r="AA24" i="44"/>
  <c r="AB24" i="44" s="1"/>
  <c r="O24" i="62"/>
  <c r="V23" i="57"/>
  <c r="AH23" i="57" s="1"/>
  <c r="AD23" i="53"/>
  <c r="AB22" i="63"/>
  <c r="P26" i="47"/>
  <c r="Q26" i="47" s="1"/>
  <c r="R26" i="47" s="1"/>
  <c r="AD26" i="47" s="1"/>
  <c r="Y23" i="59"/>
  <c r="AK23" i="59" s="1"/>
  <c r="M19" i="19"/>
  <c r="P19" i="19" s="1"/>
  <c r="Y24" i="54"/>
  <c r="AK24" i="54" s="1"/>
  <c r="T24" i="65"/>
  <c r="AF24" i="65" s="1"/>
  <c r="U24" i="65"/>
  <c r="AG24" i="65" s="1"/>
  <c r="X24" i="65"/>
  <c r="AJ24" i="65" s="1"/>
  <c r="AB22" i="62"/>
  <c r="AB24" i="48"/>
  <c r="AC23" i="58"/>
  <c r="N24" i="58"/>
  <c r="O24" i="58" s="1"/>
  <c r="AE23" i="48"/>
  <c r="AB24" i="51"/>
  <c r="AE23" i="53"/>
  <c r="AB15" i="23"/>
  <c r="AJ23" i="53"/>
  <c r="AA23" i="59"/>
  <c r="AB23" i="59" s="1"/>
  <c r="P24" i="59"/>
  <c r="Q24" i="59" s="1"/>
  <c r="Y24" i="59" s="1"/>
  <c r="R24" i="65"/>
  <c r="AD24" i="65" s="1"/>
  <c r="P24" i="57"/>
  <c r="Q24" i="57" s="1"/>
  <c r="W24" i="57" s="1"/>
  <c r="AI24" i="57" s="1"/>
  <c r="M26" i="51"/>
  <c r="N26" i="51" s="1"/>
  <c r="O26" i="51" s="1"/>
  <c r="AH23" i="53"/>
  <c r="W24" i="65"/>
  <c r="AI24" i="65" s="1"/>
  <c r="AG23" i="48"/>
  <c r="AF24" i="51"/>
  <c r="M26" i="52"/>
  <c r="P26" i="52" s="1"/>
  <c r="Q26" i="52" s="1"/>
  <c r="N24" i="53"/>
  <c r="O24" i="53" s="1"/>
  <c r="P25" i="65"/>
  <c r="Q25" i="65" s="1"/>
  <c r="Z25" i="65" s="1"/>
  <c r="AL25" i="65" s="1"/>
  <c r="AJ23" i="48"/>
  <c r="AI24" i="51"/>
  <c r="M25" i="61"/>
  <c r="P24" i="63"/>
  <c r="Q24" i="63" s="1"/>
  <c r="X24" i="63" s="1"/>
  <c r="AJ24" i="63" s="1"/>
  <c r="M26" i="50"/>
  <c r="O26" i="50" s="1"/>
  <c r="AC23" i="64"/>
  <c r="AA24" i="65"/>
  <c r="V24" i="65"/>
  <c r="AH24" i="65" s="1"/>
  <c r="AE23" i="44"/>
  <c r="M26" i="48"/>
  <c r="P26" i="48" s="1"/>
  <c r="Q26" i="48" s="1"/>
  <c r="AC24" i="51"/>
  <c r="AA24" i="54"/>
  <c r="AC24" i="54" s="1"/>
  <c r="M26" i="65"/>
  <c r="O26" i="65" s="1"/>
  <c r="AC22" i="57"/>
  <c r="AB22" i="57"/>
  <c r="M25" i="44"/>
  <c r="N25" i="44" s="1"/>
  <c r="AD23" i="48"/>
  <c r="AL23" i="48"/>
  <c r="U24" i="54"/>
  <c r="AG24" i="54" s="1"/>
  <c r="M25" i="60"/>
  <c r="P25" i="60" s="1"/>
  <c r="Q25" i="60" s="1"/>
  <c r="AJ23" i="64"/>
  <c r="AA24" i="64"/>
  <c r="Y24" i="65"/>
  <c r="AK24" i="65" s="1"/>
  <c r="V22" i="57"/>
  <c r="AH22" i="57" s="1"/>
  <c r="U22" i="57"/>
  <c r="AG22" i="57" s="1"/>
  <c r="T22" i="57"/>
  <c r="AF22" i="57" s="1"/>
  <c r="S22" i="57"/>
  <c r="AE22" i="57" s="1"/>
  <c r="R22" i="57"/>
  <c r="AD22" i="57" s="1"/>
  <c r="X22" i="57"/>
  <c r="AJ22" i="57" s="1"/>
  <c r="Z22" i="57"/>
  <c r="AL22" i="57" s="1"/>
  <c r="Y22" i="57"/>
  <c r="AK22" i="57" s="1"/>
  <c r="W22" i="57"/>
  <c r="AI22" i="57" s="1"/>
  <c r="AF23" i="48"/>
  <c r="AH23" i="48"/>
  <c r="AK23" i="48"/>
  <c r="Z24" i="65"/>
  <c r="AL24" i="65" s="1"/>
  <c r="M27" i="47"/>
  <c r="P27" i="47" s="1"/>
  <c r="Q27" i="47" s="1"/>
  <c r="AI23" i="48"/>
  <c r="M25" i="64"/>
  <c r="P25" i="64" s="1"/>
  <c r="Q25" i="64" s="1"/>
  <c r="C28" i="65"/>
  <c r="G27" i="65"/>
  <c r="J27" i="65" s="1"/>
  <c r="I27" i="65"/>
  <c r="L27" i="65" s="1"/>
  <c r="H27" i="65"/>
  <c r="K27" i="65" s="1"/>
  <c r="AI23" i="64"/>
  <c r="AL23" i="64"/>
  <c r="AK23" i="64"/>
  <c r="AD23" i="64"/>
  <c r="V24" i="64"/>
  <c r="U24" i="64"/>
  <c r="X24" i="64"/>
  <c r="Z24" i="64"/>
  <c r="Y24" i="64"/>
  <c r="W24" i="64"/>
  <c r="T24" i="64"/>
  <c r="S24" i="64"/>
  <c r="R24" i="64"/>
  <c r="AE23" i="64"/>
  <c r="AG23" i="64"/>
  <c r="AH23" i="64"/>
  <c r="AF23" i="64"/>
  <c r="C27" i="64"/>
  <c r="E26" i="64"/>
  <c r="H26" i="64" s="1"/>
  <c r="K26" i="64" s="1"/>
  <c r="F26" i="64"/>
  <c r="I26" i="64" s="1"/>
  <c r="L26" i="64" s="1"/>
  <c r="D26" i="64"/>
  <c r="G26" i="64" s="1"/>
  <c r="J26" i="64" s="1"/>
  <c r="AB23" i="64"/>
  <c r="M25" i="63"/>
  <c r="P25" i="63" s="1"/>
  <c r="Q25" i="63" s="1"/>
  <c r="C27" i="63"/>
  <c r="F26" i="63"/>
  <c r="I26" i="63" s="1"/>
  <c r="L26" i="63" s="1"/>
  <c r="D26" i="63"/>
  <c r="G26" i="63" s="1"/>
  <c r="J26" i="63" s="1"/>
  <c r="H26" i="63"/>
  <c r="K26" i="63" s="1"/>
  <c r="M25" i="62"/>
  <c r="O25" i="62" s="1"/>
  <c r="AB23" i="62"/>
  <c r="C27" i="62"/>
  <c r="D26" i="62"/>
  <c r="G26" i="62" s="1"/>
  <c r="J26" i="62" s="1"/>
  <c r="H26" i="62"/>
  <c r="K26" i="62" s="1"/>
  <c r="I26" i="62"/>
  <c r="L26" i="62" s="1"/>
  <c r="V24" i="62"/>
  <c r="U24" i="62"/>
  <c r="Z24" i="62"/>
  <c r="Y24" i="62"/>
  <c r="X24" i="62"/>
  <c r="W24" i="62"/>
  <c r="T24" i="62"/>
  <c r="S24" i="62"/>
  <c r="R24" i="62"/>
  <c r="AA24" i="62"/>
  <c r="AC24" i="62" s="1"/>
  <c r="C27" i="61"/>
  <c r="D26" i="61"/>
  <c r="F26" i="61"/>
  <c r="L26" i="61" s="1"/>
  <c r="E26" i="61"/>
  <c r="K26" i="61" s="1"/>
  <c r="AE23" i="60"/>
  <c r="AF23" i="60"/>
  <c r="AD23" i="60"/>
  <c r="AI23" i="60"/>
  <c r="AL23" i="60"/>
  <c r="AG23" i="60"/>
  <c r="AH23" i="60"/>
  <c r="AJ23" i="60"/>
  <c r="C27" i="60"/>
  <c r="E26" i="60"/>
  <c r="H26" i="60" s="1"/>
  <c r="K26" i="60" s="1"/>
  <c r="D26" i="60"/>
  <c r="G26" i="60" s="1"/>
  <c r="J26" i="60" s="1"/>
  <c r="I26" i="60"/>
  <c r="L26" i="60" s="1"/>
  <c r="U24" i="60"/>
  <c r="Z24" i="60"/>
  <c r="Y24" i="60"/>
  <c r="X24" i="60"/>
  <c r="W24" i="60"/>
  <c r="V24" i="60"/>
  <c r="T24" i="60"/>
  <c r="R24" i="60"/>
  <c r="S24" i="60"/>
  <c r="AA24" i="60"/>
  <c r="AB23" i="60"/>
  <c r="M25" i="59"/>
  <c r="P25" i="59" s="1"/>
  <c r="Q25" i="59" s="1"/>
  <c r="C27" i="59"/>
  <c r="D26" i="59"/>
  <c r="G26" i="59" s="1"/>
  <c r="J26" i="59" s="1"/>
  <c r="E26" i="59"/>
  <c r="H26" i="59" s="1"/>
  <c r="K26" i="59" s="1"/>
  <c r="I26" i="59"/>
  <c r="L26" i="59" s="1"/>
  <c r="O24" i="59"/>
  <c r="M25" i="58"/>
  <c r="P25" i="58" s="1"/>
  <c r="Q25" i="58" s="1"/>
  <c r="C27" i="58"/>
  <c r="D26" i="58"/>
  <c r="G26" i="58" s="1"/>
  <c r="J26" i="58" s="1"/>
  <c r="E26" i="58"/>
  <c r="H26" i="58" s="1"/>
  <c r="K26" i="58" s="1"/>
  <c r="I26" i="58"/>
  <c r="L26" i="58" s="1"/>
  <c r="V24" i="58"/>
  <c r="U24" i="58"/>
  <c r="Z24" i="58"/>
  <c r="Y24" i="58"/>
  <c r="W24" i="58"/>
  <c r="T24" i="58"/>
  <c r="S24" i="58"/>
  <c r="R24" i="58"/>
  <c r="X24" i="58"/>
  <c r="AA24" i="58"/>
  <c r="M25" i="57"/>
  <c r="O25" i="57" s="1"/>
  <c r="C27" i="57"/>
  <c r="D26" i="57"/>
  <c r="G26" i="57" s="1"/>
  <c r="J26" i="57" s="1"/>
  <c r="E26" i="57"/>
  <c r="H26" i="57" s="1"/>
  <c r="K26" i="57" s="1"/>
  <c r="F26" i="57"/>
  <c r="I26" i="57" s="1"/>
  <c r="L26" i="57" s="1"/>
  <c r="V24" i="54"/>
  <c r="AH24" i="54" s="1"/>
  <c r="T24" i="54"/>
  <c r="AF24" i="54" s="1"/>
  <c r="W24" i="54"/>
  <c r="AI24" i="54" s="1"/>
  <c r="X24" i="54"/>
  <c r="AJ24" i="54" s="1"/>
  <c r="N25" i="54"/>
  <c r="O25" i="54" s="1"/>
  <c r="S24" i="54"/>
  <c r="AE24" i="54" s="1"/>
  <c r="Z24" i="54"/>
  <c r="AL24" i="54" s="1"/>
  <c r="M26" i="54"/>
  <c r="P26" i="54" s="1"/>
  <c r="Q26" i="54" s="1"/>
  <c r="AA25" i="54"/>
  <c r="C28" i="54"/>
  <c r="E27" i="54"/>
  <c r="H27" i="54" s="1"/>
  <c r="K27" i="54" s="1"/>
  <c r="D27" i="54"/>
  <c r="G27" i="54" s="1"/>
  <c r="J27" i="54" s="1"/>
  <c r="I27" i="54"/>
  <c r="L27" i="54" s="1"/>
  <c r="AD24" i="54"/>
  <c r="Z25" i="54"/>
  <c r="Y25" i="54"/>
  <c r="S25" i="54"/>
  <c r="X25" i="54"/>
  <c r="W25" i="54"/>
  <c r="V25" i="54"/>
  <c r="U25" i="54"/>
  <c r="T25" i="54"/>
  <c r="R25" i="54"/>
  <c r="AB23" i="53"/>
  <c r="M25" i="53"/>
  <c r="P25" i="53" s="1"/>
  <c r="Q25" i="53" s="1"/>
  <c r="C27" i="53"/>
  <c r="E26" i="53"/>
  <c r="H26" i="53" s="1"/>
  <c r="K26" i="53" s="1"/>
  <c r="D26" i="53"/>
  <c r="G26" i="53" s="1"/>
  <c r="J26" i="53" s="1"/>
  <c r="I26" i="53"/>
  <c r="L26" i="53" s="1"/>
  <c r="V24" i="53"/>
  <c r="Z24" i="53"/>
  <c r="Y24" i="53"/>
  <c r="S24" i="53"/>
  <c r="X24" i="53"/>
  <c r="W24" i="53"/>
  <c r="U24" i="53"/>
  <c r="T24" i="53"/>
  <c r="R24" i="53"/>
  <c r="AA24" i="53"/>
  <c r="AA25" i="52"/>
  <c r="AC25" i="52" s="1"/>
  <c r="C28" i="52"/>
  <c r="D27" i="52"/>
  <c r="G27" i="52" s="1"/>
  <c r="J27" i="52" s="1"/>
  <c r="I27" i="52"/>
  <c r="L27" i="52" s="1"/>
  <c r="H27" i="52"/>
  <c r="K27" i="52" s="1"/>
  <c r="Z25" i="52"/>
  <c r="Y25" i="52"/>
  <c r="R25" i="52"/>
  <c r="V25" i="52"/>
  <c r="U25" i="52"/>
  <c r="T25" i="52"/>
  <c r="S25" i="52"/>
  <c r="X25" i="52"/>
  <c r="W25" i="52"/>
  <c r="AL24" i="51"/>
  <c r="Z25" i="51"/>
  <c r="AL25" i="51" s="1"/>
  <c r="R25" i="51"/>
  <c r="AD25" i="51" s="1"/>
  <c r="V25" i="51"/>
  <c r="AH25" i="51" s="1"/>
  <c r="T25" i="51"/>
  <c r="AF25" i="51" s="1"/>
  <c r="AE24" i="51"/>
  <c r="AA25" i="51"/>
  <c r="AB25" i="51" s="1"/>
  <c r="AK24" i="51"/>
  <c r="AD24" i="51"/>
  <c r="AJ24" i="51"/>
  <c r="AG24" i="51"/>
  <c r="AH24" i="51"/>
  <c r="C28" i="51"/>
  <c r="F27" i="51"/>
  <c r="I27" i="51" s="1"/>
  <c r="L27" i="51" s="1"/>
  <c r="D27" i="51"/>
  <c r="G27" i="51" s="1"/>
  <c r="J27" i="51" s="1"/>
  <c r="E27" i="51"/>
  <c r="H27" i="51" s="1"/>
  <c r="K27" i="51" s="1"/>
  <c r="C28" i="50"/>
  <c r="D27" i="50"/>
  <c r="G27" i="50" s="1"/>
  <c r="J27" i="50" s="1"/>
  <c r="I27" i="50"/>
  <c r="L27" i="50" s="1"/>
  <c r="H27" i="50"/>
  <c r="K27" i="50" s="1"/>
  <c r="AB24" i="50"/>
  <c r="C28" i="48"/>
  <c r="F27" i="48"/>
  <c r="I27" i="48" s="1"/>
  <c r="L27" i="48" s="1"/>
  <c r="E27" i="48"/>
  <c r="H27" i="48" s="1"/>
  <c r="K27" i="48" s="1"/>
  <c r="D27" i="48"/>
  <c r="G27" i="48" s="1"/>
  <c r="J27" i="48" s="1"/>
  <c r="T25" i="48"/>
  <c r="AF25" i="48" s="1"/>
  <c r="S25" i="48"/>
  <c r="AE25" i="48" s="1"/>
  <c r="X25" i="48"/>
  <c r="AJ25" i="48" s="1"/>
  <c r="W25" i="48"/>
  <c r="AI25" i="48" s="1"/>
  <c r="C29" i="47"/>
  <c r="D28" i="47"/>
  <c r="G28" i="47" s="1"/>
  <c r="J28" i="47" s="1"/>
  <c r="F28" i="47"/>
  <c r="I28" i="47" s="1"/>
  <c r="L28" i="47" s="1"/>
  <c r="E28" i="47"/>
  <c r="H28" i="47" s="1"/>
  <c r="K28" i="47" s="1"/>
  <c r="AB25" i="47"/>
  <c r="M27" i="45"/>
  <c r="O27" i="45" s="1"/>
  <c r="C29" i="45"/>
  <c r="D28" i="45"/>
  <c r="G28" i="45" s="1"/>
  <c r="J28" i="45" s="1"/>
  <c r="H28" i="45"/>
  <c r="K28" i="45" s="1"/>
  <c r="I28" i="45"/>
  <c r="L28" i="45" s="1"/>
  <c r="T26" i="45"/>
  <c r="W26" i="45"/>
  <c r="V26" i="45"/>
  <c r="U26" i="45"/>
  <c r="S26" i="45"/>
  <c r="R26" i="45"/>
  <c r="Z26" i="45"/>
  <c r="Y26" i="45"/>
  <c r="X26" i="45"/>
  <c r="AA26" i="45"/>
  <c r="AC26" i="45" s="1"/>
  <c r="AB23" i="44"/>
  <c r="AI23" i="44"/>
  <c r="AD23" i="44"/>
  <c r="AF23" i="44"/>
  <c r="AL23" i="44"/>
  <c r="AJ23" i="44"/>
  <c r="C27" i="44"/>
  <c r="F26" i="44"/>
  <c r="I26" i="44" s="1"/>
  <c r="L26" i="44" s="1"/>
  <c r="E26" i="44"/>
  <c r="H26" i="44" s="1"/>
  <c r="K26" i="44" s="1"/>
  <c r="D26" i="44"/>
  <c r="G26" i="44" s="1"/>
  <c r="J26" i="44" s="1"/>
  <c r="AG23" i="44"/>
  <c r="AK23" i="44"/>
  <c r="AH23" i="44"/>
  <c r="Z24" i="44"/>
  <c r="Y24" i="44"/>
  <c r="AK24" i="44" s="1"/>
  <c r="W24" i="44"/>
  <c r="AI24" i="44" s="1"/>
  <c r="T24" i="44"/>
  <c r="U24" i="44"/>
  <c r="AG24" i="44" s="1"/>
  <c r="R24" i="44"/>
  <c r="X24" i="44"/>
  <c r="AJ24" i="44" s="1"/>
  <c r="V24" i="44"/>
  <c r="S24" i="44"/>
  <c r="AE24" i="44" s="1"/>
  <c r="Q16" i="23"/>
  <c r="AA16" i="23"/>
  <c r="AC16" i="23" s="1"/>
  <c r="M18" i="23"/>
  <c r="W15" i="23"/>
  <c r="AI15" i="23" s="1"/>
  <c r="V15" i="23"/>
  <c r="AH15" i="23" s="1"/>
  <c r="U15" i="23"/>
  <c r="AG15" i="23" s="1"/>
  <c r="X15" i="23"/>
  <c r="AJ15" i="23" s="1"/>
  <c r="R15" i="23"/>
  <c r="AD15" i="23" s="1"/>
  <c r="Z15" i="23"/>
  <c r="AL15" i="23" s="1"/>
  <c r="Y15" i="23"/>
  <c r="AK15" i="23" s="1"/>
  <c r="T15" i="23"/>
  <c r="AF15" i="23" s="1"/>
  <c r="S15" i="23"/>
  <c r="AE15" i="23" s="1"/>
  <c r="F19" i="23"/>
  <c r="I19" i="23" s="1"/>
  <c r="L19" i="23" s="1"/>
  <c r="E19" i="23"/>
  <c r="H19" i="23" s="1"/>
  <c r="K19" i="23" s="1"/>
  <c r="D19" i="23"/>
  <c r="G19" i="23" s="1"/>
  <c r="J19" i="23" s="1"/>
  <c r="C20" i="23"/>
  <c r="N17" i="23"/>
  <c r="O17" i="23" s="1"/>
  <c r="P17" i="23"/>
  <c r="H18" i="20"/>
  <c r="K18" i="20" s="1"/>
  <c r="M18" i="20" s="1"/>
  <c r="P18" i="20" s="1"/>
  <c r="BD12" i="1"/>
  <c r="G20" i="19"/>
  <c r="J20" i="19" s="1"/>
  <c r="H20" i="19"/>
  <c r="K20" i="19" s="1"/>
  <c r="I20" i="19"/>
  <c r="L20" i="19" s="1"/>
  <c r="BC12" i="1"/>
  <c r="BE12" i="1"/>
  <c r="X6" i="1"/>
  <c r="BF6" i="1"/>
  <c r="D17" i="1"/>
  <c r="O9" i="14"/>
  <c r="P9" i="14" s="1"/>
  <c r="V7" i="1"/>
  <c r="O2" i="14"/>
  <c r="P2" i="14" s="1"/>
  <c r="D22" i="1"/>
  <c r="O10" i="14"/>
  <c r="P10" i="14" s="1"/>
  <c r="D18" i="1"/>
  <c r="D15" i="1"/>
  <c r="O6" i="14"/>
  <c r="P6" i="14" s="1"/>
  <c r="O11" i="14"/>
  <c r="P11" i="14" s="1"/>
  <c r="D19" i="1"/>
  <c r="D27" i="1"/>
  <c r="O14" i="14"/>
  <c r="O8" i="14"/>
  <c r="P8" i="14" s="1"/>
  <c r="D16" i="1"/>
  <c r="D20" i="1"/>
  <c r="O12" i="14"/>
  <c r="P12" i="14" s="1"/>
  <c r="T15" i="33"/>
  <c r="AF15" i="33" s="1"/>
  <c r="Y7" i="1"/>
  <c r="W15" i="33"/>
  <c r="AI15" i="33" s="1"/>
  <c r="X15" i="25"/>
  <c r="AJ15" i="25" s="1"/>
  <c r="U15" i="25"/>
  <c r="AG15" i="25" s="1"/>
  <c r="W15" i="25"/>
  <c r="AI15" i="25" s="1"/>
  <c r="R15" i="25"/>
  <c r="AD15" i="25" s="1"/>
  <c r="V15" i="25"/>
  <c r="AH15" i="25" s="1"/>
  <c r="U15" i="33"/>
  <c r="AG15" i="33" s="1"/>
  <c r="S15" i="25"/>
  <c r="AE15" i="25" s="1"/>
  <c r="Z15" i="33"/>
  <c r="AL15" i="33" s="1"/>
  <c r="T15" i="25"/>
  <c r="AF15" i="25" s="1"/>
  <c r="Z15" i="25"/>
  <c r="AL15" i="25" s="1"/>
  <c r="Y15" i="33"/>
  <c r="AK15" i="33" s="1"/>
  <c r="S15" i="33"/>
  <c r="AE15" i="33" s="1"/>
  <c r="X15" i="33"/>
  <c r="AJ15" i="33" s="1"/>
  <c r="R15" i="33"/>
  <c r="AD15" i="33" s="1"/>
  <c r="AA6" i="1"/>
  <c r="AD6" i="1"/>
  <c r="AB6" i="1"/>
  <c r="AE6" i="1"/>
  <c r="AC6" i="1"/>
  <c r="Z5" i="1"/>
  <c r="AF11" i="1"/>
  <c r="AN8" i="1"/>
  <c r="AX9" i="1"/>
  <c r="AV10" i="1"/>
  <c r="AS9" i="1"/>
  <c r="AJ8" i="1"/>
  <c r="AL9" i="1"/>
  <c r="BA9" i="1"/>
  <c r="AQ10" i="1"/>
  <c r="AI10" i="1"/>
  <c r="AZ10" i="1"/>
  <c r="AY10" i="1"/>
  <c r="AR9" i="1"/>
  <c r="AH9" i="1"/>
  <c r="AG9" i="1"/>
  <c r="AP9" i="1"/>
  <c r="BB11" i="1"/>
  <c r="BA8" i="1"/>
  <c r="AL8" i="1"/>
  <c r="AW8" i="1"/>
  <c r="AZ11" i="1"/>
  <c r="AO11" i="1"/>
  <c r="AO12" i="1"/>
  <c r="AC15" i="39"/>
  <c r="AB15" i="39"/>
  <c r="Y17" i="29"/>
  <c r="AK17" i="29" s="1"/>
  <c r="O17" i="25"/>
  <c r="AB17" i="25" s="1"/>
  <c r="P17" i="35"/>
  <c r="M18" i="35"/>
  <c r="M18" i="25"/>
  <c r="P18" i="25" s="1"/>
  <c r="AA18" i="25" s="1"/>
  <c r="AC18" i="25" s="1"/>
  <c r="P17" i="24"/>
  <c r="Q17" i="24" s="1"/>
  <c r="N17" i="30"/>
  <c r="O17" i="30" s="1"/>
  <c r="AB17" i="30" s="1"/>
  <c r="O17" i="35"/>
  <c r="O19" i="40"/>
  <c r="Q16" i="24"/>
  <c r="Z16" i="24" s="1"/>
  <c r="AL16" i="24" s="1"/>
  <c r="X16" i="20"/>
  <c r="AJ16" i="20" s="1"/>
  <c r="U16" i="20"/>
  <c r="AG16" i="20" s="1"/>
  <c r="R17" i="34"/>
  <c r="AD17" i="34" s="1"/>
  <c r="L10" i="1"/>
  <c r="W7" i="1"/>
  <c r="Y16" i="20"/>
  <c r="AK16" i="20" s="1"/>
  <c r="Q17" i="37"/>
  <c r="X17" i="37" s="1"/>
  <c r="AJ17" i="37" s="1"/>
  <c r="AA18" i="38"/>
  <c r="AC18" i="38" s="1"/>
  <c r="Z16" i="20"/>
  <c r="AL16" i="20" s="1"/>
  <c r="R16" i="20"/>
  <c r="AD16" i="20" s="1"/>
  <c r="T17" i="34"/>
  <c r="AF17" i="34" s="1"/>
  <c r="T18" i="19"/>
  <c r="AF18" i="19" s="1"/>
  <c r="X18" i="19"/>
  <c r="AJ18" i="19" s="1"/>
  <c r="AC15" i="30"/>
  <c r="AB15" i="30"/>
  <c r="O8" i="1"/>
  <c r="T17" i="29"/>
  <c r="AF17" i="29" s="1"/>
  <c r="H8" i="1"/>
  <c r="V8" i="1" s="1"/>
  <c r="V19" i="27"/>
  <c r="AH19" i="27" s="1"/>
  <c r="X17" i="34"/>
  <c r="AJ17" i="34" s="1"/>
  <c r="R16" i="28"/>
  <c r="AD16" i="28" s="1"/>
  <c r="P17" i="22"/>
  <c r="O17" i="22"/>
  <c r="M8" i="1"/>
  <c r="X16" i="28"/>
  <c r="AJ16" i="28" s="1"/>
  <c r="T8" i="1"/>
  <c r="T16" i="28"/>
  <c r="AF16" i="28" s="1"/>
  <c r="V17" i="34"/>
  <c r="AH17" i="34" s="1"/>
  <c r="W17" i="34"/>
  <c r="AI17" i="34" s="1"/>
  <c r="S8" i="1"/>
  <c r="U8" i="1"/>
  <c r="N17" i="33"/>
  <c r="O17" i="33" s="1"/>
  <c r="P17" i="33"/>
  <c r="S16" i="20"/>
  <c r="AE16" i="20" s="1"/>
  <c r="Y17" i="34"/>
  <c r="AK17" i="34" s="1"/>
  <c r="Z17" i="34"/>
  <c r="AL17" i="34" s="1"/>
  <c r="W16" i="28"/>
  <c r="AI16" i="28" s="1"/>
  <c r="M19" i="31"/>
  <c r="AB17" i="31"/>
  <c r="Q17" i="31"/>
  <c r="T16" i="20"/>
  <c r="AF16" i="20" s="1"/>
  <c r="Z17" i="21"/>
  <c r="AL17" i="21" s="1"/>
  <c r="S17" i="34"/>
  <c r="AE17" i="34" s="1"/>
  <c r="R8" i="1"/>
  <c r="M18" i="24"/>
  <c r="P18" i="24" s="1"/>
  <c r="AA18" i="24" s="1"/>
  <c r="AC16" i="30"/>
  <c r="O16" i="30"/>
  <c r="AB16" i="30" s="1"/>
  <c r="X17" i="36"/>
  <c r="AJ17" i="36" s="1"/>
  <c r="Y16" i="28"/>
  <c r="AK16" i="28" s="1"/>
  <c r="AA17" i="28"/>
  <c r="AC17" i="28" s="1"/>
  <c r="O17" i="24"/>
  <c r="AC16" i="24"/>
  <c r="V18" i="19"/>
  <c r="AH18" i="19" s="1"/>
  <c r="W16" i="20"/>
  <c r="AI16" i="20" s="1"/>
  <c r="X19" i="27"/>
  <c r="AJ19" i="27" s="1"/>
  <c r="N8" i="1"/>
  <c r="W15" i="26"/>
  <c r="AI15" i="26" s="1"/>
  <c r="T15" i="26"/>
  <c r="AF15" i="26" s="1"/>
  <c r="Y15" i="26"/>
  <c r="AK15" i="26" s="1"/>
  <c r="R15" i="26"/>
  <c r="AD15" i="26" s="1"/>
  <c r="X15" i="26"/>
  <c r="AJ15" i="26" s="1"/>
  <c r="V15" i="26"/>
  <c r="AH15" i="26" s="1"/>
  <c r="Z15" i="26"/>
  <c r="AL15" i="26" s="1"/>
  <c r="S15" i="26"/>
  <c r="AE15" i="26" s="1"/>
  <c r="U15" i="26"/>
  <c r="AG15" i="26" s="1"/>
  <c r="W18" i="19"/>
  <c r="AI18" i="19" s="1"/>
  <c r="S18" i="19"/>
  <c r="M18" i="26"/>
  <c r="P18" i="26" s="1"/>
  <c r="C21" i="31"/>
  <c r="D20" i="31"/>
  <c r="G20" i="31" s="1"/>
  <c r="J20" i="31" s="1"/>
  <c r="I20" i="31"/>
  <c r="L20" i="31" s="1"/>
  <c r="E20" i="31"/>
  <c r="H20" i="31" s="1"/>
  <c r="K20" i="31" s="1"/>
  <c r="Q8" i="1"/>
  <c r="O17" i="32"/>
  <c r="P17" i="32"/>
  <c r="P8" i="1"/>
  <c r="M18" i="30"/>
  <c r="P18" i="30" s="1"/>
  <c r="X16" i="31"/>
  <c r="AJ16" i="31" s="1"/>
  <c r="U16" i="31"/>
  <c r="AG16" i="31" s="1"/>
  <c r="R16" i="31"/>
  <c r="AD16" i="31" s="1"/>
  <c r="V16" i="31"/>
  <c r="AH16" i="31" s="1"/>
  <c r="W16" i="31"/>
  <c r="AI16" i="31" s="1"/>
  <c r="S16" i="31"/>
  <c r="AE16" i="31" s="1"/>
  <c r="T16" i="31"/>
  <c r="AF16" i="31" s="1"/>
  <c r="Y16" i="31"/>
  <c r="AK16" i="31" s="1"/>
  <c r="Z16" i="31"/>
  <c r="AL16" i="31" s="1"/>
  <c r="P18" i="31"/>
  <c r="AA18" i="31" s="1"/>
  <c r="AC18" i="31" s="1"/>
  <c r="O18" i="31"/>
  <c r="M18" i="22"/>
  <c r="C20" i="30"/>
  <c r="D19" i="30"/>
  <c r="G19" i="30" s="1"/>
  <c r="J19" i="30" s="1"/>
  <c r="E19" i="30"/>
  <c r="H19" i="30" s="1"/>
  <c r="K19" i="30" s="1"/>
  <c r="I19" i="30"/>
  <c r="L19" i="30" s="1"/>
  <c r="Q16" i="26"/>
  <c r="AA16" i="26"/>
  <c r="AC16" i="26" s="1"/>
  <c r="Q17" i="25"/>
  <c r="Z18" i="19"/>
  <c r="AC17" i="29"/>
  <c r="Z17" i="29"/>
  <c r="AL17" i="29" s="1"/>
  <c r="Q16" i="32"/>
  <c r="Z15" i="22"/>
  <c r="AL15" i="22" s="1"/>
  <c r="T15" i="22"/>
  <c r="AF15" i="22" s="1"/>
  <c r="R15" i="22"/>
  <c r="AD15" i="22" s="1"/>
  <c r="U15" i="22"/>
  <c r="AG15" i="22" s="1"/>
  <c r="X15" i="22"/>
  <c r="AJ15" i="22" s="1"/>
  <c r="W15" i="22"/>
  <c r="AI15" i="22" s="1"/>
  <c r="S15" i="22"/>
  <c r="AE15" i="22" s="1"/>
  <c r="V15" i="22"/>
  <c r="AH15" i="22" s="1"/>
  <c r="Y15" i="22"/>
  <c r="AK15" i="22" s="1"/>
  <c r="AA16" i="39"/>
  <c r="AC16" i="39" s="1"/>
  <c r="Q16" i="39"/>
  <c r="N17" i="26"/>
  <c r="O17" i="26" s="1"/>
  <c r="P17" i="26"/>
  <c r="M18" i="33"/>
  <c r="U18" i="19"/>
  <c r="AG18" i="19" s="1"/>
  <c r="T16" i="33"/>
  <c r="AF16" i="33" s="1"/>
  <c r="Y16" i="33"/>
  <c r="AK16" i="33" s="1"/>
  <c r="V16" i="33"/>
  <c r="AH16" i="33" s="1"/>
  <c r="U16" i="33"/>
  <c r="AG16" i="33" s="1"/>
  <c r="R16" i="33"/>
  <c r="AD16" i="33" s="1"/>
  <c r="S16" i="33"/>
  <c r="AE16" i="33" s="1"/>
  <c r="Z16" i="33"/>
  <c r="AL16" i="33" s="1"/>
  <c r="X16" i="33"/>
  <c r="AJ16" i="33" s="1"/>
  <c r="W16" i="33"/>
  <c r="AI16" i="33" s="1"/>
  <c r="O16" i="35"/>
  <c r="AB16" i="35" s="1"/>
  <c r="AC16" i="35"/>
  <c r="C20" i="33"/>
  <c r="I20" i="33" s="1"/>
  <c r="L20" i="33" s="1"/>
  <c r="D19" i="33"/>
  <c r="G19" i="33" s="1"/>
  <c r="J19" i="33" s="1"/>
  <c r="E19" i="33"/>
  <c r="H19" i="33" s="1"/>
  <c r="K19" i="33" s="1"/>
  <c r="N17" i="39"/>
  <c r="O17" i="39" s="1"/>
  <c r="P17" i="39"/>
  <c r="AC16" i="33"/>
  <c r="AB16" i="33"/>
  <c r="Q16" i="35"/>
  <c r="C20" i="25"/>
  <c r="D19" i="25"/>
  <c r="G19" i="25" s="1"/>
  <c r="J19" i="25" s="1"/>
  <c r="H19" i="25"/>
  <c r="K19" i="25" s="1"/>
  <c r="I19" i="25"/>
  <c r="L19" i="25" s="1"/>
  <c r="E19" i="24"/>
  <c r="H19" i="24" s="1"/>
  <c r="K19" i="24" s="1"/>
  <c r="C20" i="24"/>
  <c r="F19" i="24"/>
  <c r="I19" i="24" s="1"/>
  <c r="L19" i="24" s="1"/>
  <c r="D19" i="24"/>
  <c r="G19" i="24" s="1"/>
  <c r="J19" i="24" s="1"/>
  <c r="S15" i="35"/>
  <c r="AE15" i="35" s="1"/>
  <c r="Z15" i="35"/>
  <c r="AL15" i="35" s="1"/>
  <c r="R15" i="35"/>
  <c r="AD15" i="35" s="1"/>
  <c r="X15" i="35"/>
  <c r="AJ15" i="35" s="1"/>
  <c r="V15" i="35"/>
  <c r="AH15" i="35" s="1"/>
  <c r="U15" i="35"/>
  <c r="AG15" i="35" s="1"/>
  <c r="Y15" i="35"/>
  <c r="AK15" i="35" s="1"/>
  <c r="W15" i="35"/>
  <c r="AI15" i="35" s="1"/>
  <c r="T15" i="35"/>
  <c r="AF15" i="35" s="1"/>
  <c r="M18" i="32"/>
  <c r="M18" i="39"/>
  <c r="R17" i="29"/>
  <c r="AD17" i="29" s="1"/>
  <c r="U16" i="25"/>
  <c r="AG16" i="25" s="1"/>
  <c r="Z16" i="25"/>
  <c r="AL16" i="25" s="1"/>
  <c r="R16" i="25"/>
  <c r="AD16" i="25" s="1"/>
  <c r="T16" i="25"/>
  <c r="AF16" i="25" s="1"/>
  <c r="S16" i="25"/>
  <c r="AE16" i="25" s="1"/>
  <c r="V16" i="25"/>
  <c r="AH16" i="25" s="1"/>
  <c r="Y16" i="25"/>
  <c r="AK16" i="25" s="1"/>
  <c r="X16" i="25"/>
  <c r="AJ16" i="25" s="1"/>
  <c r="W16" i="25"/>
  <c r="AI16" i="25" s="1"/>
  <c r="X15" i="32"/>
  <c r="AJ15" i="32" s="1"/>
  <c r="Y15" i="32"/>
  <c r="AK15" i="32" s="1"/>
  <c r="T15" i="32"/>
  <c r="AF15" i="32" s="1"/>
  <c r="Z15" i="32"/>
  <c r="AL15" i="32" s="1"/>
  <c r="S15" i="32"/>
  <c r="AE15" i="32" s="1"/>
  <c r="R15" i="32"/>
  <c r="AD15" i="32" s="1"/>
  <c r="V15" i="32"/>
  <c r="AH15" i="32" s="1"/>
  <c r="W15" i="32"/>
  <c r="AI15" i="32" s="1"/>
  <c r="U15" i="32"/>
  <c r="AG15" i="32" s="1"/>
  <c r="E19" i="26"/>
  <c r="H19" i="26" s="1"/>
  <c r="K19" i="26" s="1"/>
  <c r="F19" i="26"/>
  <c r="I19" i="26" s="1"/>
  <c r="L19" i="26" s="1"/>
  <c r="C20" i="26"/>
  <c r="D19" i="26"/>
  <c r="G19" i="26" s="1"/>
  <c r="J19" i="26" s="1"/>
  <c r="Q16" i="22"/>
  <c r="AA16" i="22"/>
  <c r="E19" i="39"/>
  <c r="H19" i="39" s="1"/>
  <c r="K19" i="39" s="1"/>
  <c r="F19" i="39"/>
  <c r="I19" i="39" s="1"/>
  <c r="L19" i="39" s="1"/>
  <c r="C20" i="39"/>
  <c r="D19" i="39"/>
  <c r="G19" i="39" s="1"/>
  <c r="J19" i="39" s="1"/>
  <c r="C20" i="22"/>
  <c r="F19" i="22"/>
  <c r="I19" i="22" s="1"/>
  <c r="L19" i="22" s="1"/>
  <c r="E19" i="22"/>
  <c r="H19" i="22" s="1"/>
  <c r="K19" i="22" s="1"/>
  <c r="D19" i="22"/>
  <c r="G19" i="22" s="1"/>
  <c r="J19" i="22" s="1"/>
  <c r="F19" i="32"/>
  <c r="I19" i="32" s="1"/>
  <c r="L19" i="32" s="1"/>
  <c r="C20" i="32"/>
  <c r="D19" i="32"/>
  <c r="G19" i="32" s="1"/>
  <c r="J19" i="32" s="1"/>
  <c r="E19" i="32"/>
  <c r="H19" i="32" s="1"/>
  <c r="K19" i="32" s="1"/>
  <c r="R18" i="19"/>
  <c r="AD18" i="19" s="1"/>
  <c r="V17" i="29"/>
  <c r="AH17" i="29" s="1"/>
  <c r="C20" i="35"/>
  <c r="E19" i="35"/>
  <c r="H19" i="35" s="1"/>
  <c r="K19" i="35" s="1"/>
  <c r="D19" i="35"/>
  <c r="G19" i="35" s="1"/>
  <c r="J19" i="35" s="1"/>
  <c r="I19" i="35"/>
  <c r="L19" i="35" s="1"/>
  <c r="W17" i="29"/>
  <c r="AI17" i="29" s="1"/>
  <c r="AB16" i="32"/>
  <c r="Q17" i="30"/>
  <c r="Z19" i="27"/>
  <c r="AL19" i="27" s="1"/>
  <c r="T19" i="27"/>
  <c r="AF19" i="27" s="1"/>
  <c r="AC16" i="8"/>
  <c r="X17" i="29"/>
  <c r="AJ17" i="29" s="1"/>
  <c r="X17" i="28"/>
  <c r="AJ17" i="28" s="1"/>
  <c r="W17" i="28"/>
  <c r="AI17" i="28" s="1"/>
  <c r="U19" i="27"/>
  <c r="AG19" i="27" s="1"/>
  <c r="AC17" i="34"/>
  <c r="U17" i="29"/>
  <c r="AG17" i="29" s="1"/>
  <c r="U16" i="28"/>
  <c r="AG16" i="28" s="1"/>
  <c r="Y17" i="21"/>
  <c r="AK17" i="21" s="1"/>
  <c r="W17" i="21"/>
  <c r="AI17" i="21" s="1"/>
  <c r="S16" i="28"/>
  <c r="AE16" i="28" s="1"/>
  <c r="Z17" i="36"/>
  <c r="AL17" i="36" s="1"/>
  <c r="Y17" i="28"/>
  <c r="AK17" i="28" s="1"/>
  <c r="V17" i="36"/>
  <c r="AH17" i="36" s="1"/>
  <c r="W17" i="36"/>
  <c r="AI17" i="36" s="1"/>
  <c r="AB16" i="8"/>
  <c r="S17" i="36"/>
  <c r="AE17" i="36" s="1"/>
  <c r="P18" i="37"/>
  <c r="Q18" i="37" s="1"/>
  <c r="W18" i="37" s="1"/>
  <c r="AI18" i="37" s="1"/>
  <c r="Z17" i="28"/>
  <c r="AL17" i="28" s="1"/>
  <c r="R17" i="28"/>
  <c r="AD17" i="28" s="1"/>
  <c r="S17" i="28"/>
  <c r="AE17" i="28" s="1"/>
  <c r="T17" i="28"/>
  <c r="AF17" i="28" s="1"/>
  <c r="W18" i="38"/>
  <c r="AI18" i="38" s="1"/>
  <c r="U17" i="28"/>
  <c r="AG17" i="28" s="1"/>
  <c r="Z18" i="38"/>
  <c r="AL18" i="38" s="1"/>
  <c r="Z18" i="40"/>
  <c r="AL18" i="40" s="1"/>
  <c r="V17" i="21"/>
  <c r="AH17" i="21" s="1"/>
  <c r="V17" i="28"/>
  <c r="AH17" i="28" s="1"/>
  <c r="Y17" i="36"/>
  <c r="AK17" i="36" s="1"/>
  <c r="R17" i="21"/>
  <c r="AD17" i="21" s="1"/>
  <c r="U17" i="21"/>
  <c r="AG17" i="21" s="1"/>
  <c r="S19" i="27"/>
  <c r="AE19" i="27" s="1"/>
  <c r="R17" i="36"/>
  <c r="AD17" i="36" s="1"/>
  <c r="V16" i="36"/>
  <c r="AH16" i="36" s="1"/>
  <c r="U16" i="36"/>
  <c r="AG16" i="36" s="1"/>
  <c r="T16" i="36"/>
  <c r="AF16" i="36" s="1"/>
  <c r="V18" i="40"/>
  <c r="AH18" i="40" s="1"/>
  <c r="AB16" i="36"/>
  <c r="R16" i="36"/>
  <c r="AD16" i="36" s="1"/>
  <c r="S18" i="40"/>
  <c r="AE18" i="40" s="1"/>
  <c r="Y19" i="27"/>
  <c r="AK19" i="27" s="1"/>
  <c r="AE17" i="29"/>
  <c r="P18" i="29"/>
  <c r="Q18" i="29" s="1"/>
  <c r="AG17" i="34"/>
  <c r="S18" i="38"/>
  <c r="AE18" i="38" s="1"/>
  <c r="X18" i="40"/>
  <c r="AJ18" i="40" s="1"/>
  <c r="R18" i="40"/>
  <c r="AD18" i="40" s="1"/>
  <c r="AB16" i="28"/>
  <c r="U18" i="38"/>
  <c r="AG18" i="38" s="1"/>
  <c r="AF17" i="36"/>
  <c r="Y18" i="38"/>
  <c r="AK18" i="38" s="1"/>
  <c r="W18" i="40"/>
  <c r="AI18" i="40" s="1"/>
  <c r="Q20" i="27"/>
  <c r="X20" i="27" s="1"/>
  <c r="Q18" i="36"/>
  <c r="S18" i="36" s="1"/>
  <c r="Q18" i="34"/>
  <c r="Z18" i="34" s="1"/>
  <c r="P19" i="38"/>
  <c r="AA19" i="38" s="1"/>
  <c r="AC19" i="38" s="1"/>
  <c r="N18" i="34"/>
  <c r="O18" i="34" s="1"/>
  <c r="X18" i="38"/>
  <c r="AJ18" i="38" s="1"/>
  <c r="Q18" i="21"/>
  <c r="V18" i="21" s="1"/>
  <c r="AH18" i="21" s="1"/>
  <c r="AC17" i="36"/>
  <c r="AA17" i="8"/>
  <c r="Q17" i="20"/>
  <c r="X17" i="20" s="1"/>
  <c r="Q19" i="19"/>
  <c r="X19" i="19" s="1"/>
  <c r="M20" i="40"/>
  <c r="P20" i="40" s="1"/>
  <c r="W16" i="36"/>
  <c r="AI16" i="36" s="1"/>
  <c r="Y16" i="36"/>
  <c r="AK16" i="36" s="1"/>
  <c r="R19" i="27"/>
  <c r="AD19" i="27" s="1"/>
  <c r="U17" i="36"/>
  <c r="AG17" i="36" s="1"/>
  <c r="X17" i="21"/>
  <c r="AJ17" i="21" s="1"/>
  <c r="T18" i="38"/>
  <c r="AF18" i="38" s="1"/>
  <c r="Y18" i="40"/>
  <c r="AK18" i="40" s="1"/>
  <c r="P18" i="28"/>
  <c r="AA18" i="28" s="1"/>
  <c r="T17" i="21"/>
  <c r="AF17" i="21" s="1"/>
  <c r="X16" i="36"/>
  <c r="AJ16" i="36" s="1"/>
  <c r="V18" i="38"/>
  <c r="AH18" i="38" s="1"/>
  <c r="T18" i="40"/>
  <c r="AF18" i="40" s="1"/>
  <c r="O18" i="28"/>
  <c r="AB17" i="36"/>
  <c r="V16" i="28"/>
  <c r="AH16" i="28" s="1"/>
  <c r="S16" i="36"/>
  <c r="AE16" i="36" s="1"/>
  <c r="M20" i="38"/>
  <c r="O20" i="38" s="1"/>
  <c r="Q19" i="40"/>
  <c r="U19" i="40" s="1"/>
  <c r="N20" i="40"/>
  <c r="C22" i="40"/>
  <c r="E21" i="40"/>
  <c r="H21" i="40" s="1"/>
  <c r="K21" i="40" s="1"/>
  <c r="F21" i="40"/>
  <c r="I21" i="40" s="1"/>
  <c r="L21" i="40" s="1"/>
  <c r="D21" i="40"/>
  <c r="G21" i="40" s="1"/>
  <c r="J21" i="40" s="1"/>
  <c r="AB18" i="40"/>
  <c r="AG18" i="40"/>
  <c r="AA19" i="40"/>
  <c r="C22" i="38"/>
  <c r="F22" i="38" s="1"/>
  <c r="D21" i="38"/>
  <c r="G21" i="38" s="1"/>
  <c r="J21" i="38" s="1"/>
  <c r="I21" i="38"/>
  <c r="L21" i="38" s="1"/>
  <c r="H21" i="38"/>
  <c r="K21" i="38" s="1"/>
  <c r="M19" i="37"/>
  <c r="O19" i="37" s="1"/>
  <c r="C21" i="37"/>
  <c r="F20" i="37"/>
  <c r="I20" i="37" s="1"/>
  <c r="L20" i="37" s="1"/>
  <c r="D20" i="37"/>
  <c r="G20" i="37" s="1"/>
  <c r="J20" i="37" s="1"/>
  <c r="E20" i="37"/>
  <c r="H20" i="37" s="1"/>
  <c r="K20" i="37" s="1"/>
  <c r="AB17" i="37"/>
  <c r="AB17" i="34"/>
  <c r="M19" i="36"/>
  <c r="N19" i="36"/>
  <c r="C21" i="36"/>
  <c r="F21" i="36" s="1"/>
  <c r="E20" i="36"/>
  <c r="H20" i="36" s="1"/>
  <c r="K20" i="36" s="1"/>
  <c r="D20" i="36"/>
  <c r="G20" i="36" s="1"/>
  <c r="J20" i="36" s="1"/>
  <c r="I20" i="36"/>
  <c r="L20" i="36" s="1"/>
  <c r="AA18" i="36"/>
  <c r="AC18" i="36" s="1"/>
  <c r="O18" i="36"/>
  <c r="M19" i="34"/>
  <c r="P19" i="34" s="1"/>
  <c r="D20" i="34"/>
  <c r="G20" i="34" s="1"/>
  <c r="J20" i="34" s="1"/>
  <c r="C21" i="34"/>
  <c r="E20" i="34"/>
  <c r="H20" i="34" s="1"/>
  <c r="K20" i="34" s="1"/>
  <c r="I20" i="34"/>
  <c r="L20" i="34" s="1"/>
  <c r="AA18" i="34"/>
  <c r="F21" i="33"/>
  <c r="N21" i="31"/>
  <c r="M19" i="29"/>
  <c r="P19" i="29" s="1"/>
  <c r="C21" i="29"/>
  <c r="D20" i="29"/>
  <c r="G20" i="29" s="1"/>
  <c r="J20" i="29" s="1"/>
  <c r="E20" i="29"/>
  <c r="H20" i="29" s="1"/>
  <c r="K20" i="29" s="1"/>
  <c r="I20" i="29"/>
  <c r="L20" i="29" s="1"/>
  <c r="O18" i="29"/>
  <c r="AB17" i="29"/>
  <c r="M19" i="28"/>
  <c r="N19" i="28" s="1"/>
  <c r="C21" i="28"/>
  <c r="E21" i="28" s="1"/>
  <c r="D20" i="28"/>
  <c r="G20" i="28" s="1"/>
  <c r="J20" i="28" s="1"/>
  <c r="H20" i="28"/>
  <c r="K20" i="28" s="1"/>
  <c r="I20" i="28"/>
  <c r="L20" i="28" s="1"/>
  <c r="M21" i="27"/>
  <c r="P21" i="27" s="1"/>
  <c r="AI19" i="27"/>
  <c r="N21" i="27"/>
  <c r="C23" i="27"/>
  <c r="E22" i="27"/>
  <c r="H22" i="27" s="1"/>
  <c r="K22" i="27" s="1"/>
  <c r="D22" i="27"/>
  <c r="G22" i="27" s="1"/>
  <c r="J22" i="27" s="1"/>
  <c r="F22" i="27"/>
  <c r="I22" i="27" s="1"/>
  <c r="L22" i="27" s="1"/>
  <c r="AA20" i="27"/>
  <c r="AC20" i="27" s="1"/>
  <c r="AB19" i="27"/>
  <c r="O20" i="27"/>
  <c r="N21" i="25"/>
  <c r="F22" i="25"/>
  <c r="E22" i="25"/>
  <c r="AK18" i="19"/>
  <c r="AA18" i="21"/>
  <c r="AC18" i="21" s="1"/>
  <c r="AG16" i="8"/>
  <c r="AH16" i="20"/>
  <c r="AB18" i="19"/>
  <c r="W16" i="8"/>
  <c r="AI16" i="8" s="1"/>
  <c r="O17" i="8"/>
  <c r="P19" i="21"/>
  <c r="V16" i="8"/>
  <c r="AH16" i="8" s="1"/>
  <c r="M20" i="21"/>
  <c r="O20" i="21" s="1"/>
  <c r="C22" i="21"/>
  <c r="D21" i="21"/>
  <c r="G21" i="21" s="1"/>
  <c r="J21" i="21" s="1"/>
  <c r="I21" i="21"/>
  <c r="L21" i="21" s="1"/>
  <c r="H21" i="21"/>
  <c r="K21" i="21" s="1"/>
  <c r="N18" i="20"/>
  <c r="C20" i="20"/>
  <c r="F19" i="20"/>
  <c r="I19" i="20" s="1"/>
  <c r="L19" i="20" s="1"/>
  <c r="E19" i="20"/>
  <c r="D19" i="20"/>
  <c r="G19" i="20" s="1"/>
  <c r="J19" i="20" s="1"/>
  <c r="AB16" i="20"/>
  <c r="AA17" i="20"/>
  <c r="AC17" i="20" s="1"/>
  <c r="O17" i="20"/>
  <c r="N20" i="19"/>
  <c r="AC18" i="19"/>
  <c r="AA19" i="19"/>
  <c r="AC19" i="19" s="1"/>
  <c r="C22" i="19"/>
  <c r="E21" i="19"/>
  <c r="F21" i="19"/>
  <c r="D21" i="19"/>
  <c r="O19" i="19"/>
  <c r="S16" i="8"/>
  <c r="AE16" i="8" s="1"/>
  <c r="R16" i="8"/>
  <c r="AD16" i="8" s="1"/>
  <c r="Q17" i="8"/>
  <c r="U17" i="8" s="1"/>
  <c r="Z16" i="8"/>
  <c r="AL16" i="8" s="1"/>
  <c r="T16" i="8"/>
  <c r="AF16" i="8" s="1"/>
  <c r="P18" i="8"/>
  <c r="N18" i="8"/>
  <c r="X16" i="8"/>
  <c r="AJ16" i="8" s="1"/>
  <c r="Y16" i="8"/>
  <c r="AK16" i="8" s="1"/>
  <c r="M19" i="8"/>
  <c r="C21" i="8"/>
  <c r="E21" i="8" s="1"/>
  <c r="F20" i="8"/>
  <c r="I20" i="8" s="1"/>
  <c r="L20" i="8" s="1"/>
  <c r="D20" i="8"/>
  <c r="G20" i="8" s="1"/>
  <c r="J20" i="8" s="1"/>
  <c r="H20" i="8"/>
  <c r="K20" i="8" s="1"/>
  <c r="AB23" i="57" l="1"/>
  <c r="DE11" i="1"/>
  <c r="DN11" i="1" s="1"/>
  <c r="CT14" i="1"/>
  <c r="DA48" i="1" s="1"/>
  <c r="DA49" i="1" s="1"/>
  <c r="DB13" i="1"/>
  <c r="DC13" i="1" s="1"/>
  <c r="DE12" i="1"/>
  <c r="DN12" i="1" s="1"/>
  <c r="DM12" i="1"/>
  <c r="DP12" i="1" s="1"/>
  <c r="DA13" i="1"/>
  <c r="CV13" i="1"/>
  <c r="AL24" i="44"/>
  <c r="BL16" i="1"/>
  <c r="EF16" i="1" s="1"/>
  <c r="AL18" i="19"/>
  <c r="AE18" i="19"/>
  <c r="AH24" i="44"/>
  <c r="CU13" i="1"/>
  <c r="X25" i="51"/>
  <c r="AJ25" i="51" s="1"/>
  <c r="AA25" i="48"/>
  <c r="AC25" i="48" s="1"/>
  <c r="Y25" i="51"/>
  <c r="AK25" i="51" s="1"/>
  <c r="CH15" i="1"/>
  <c r="EJ15" i="1"/>
  <c r="CL15" i="1"/>
  <c r="EN15" i="1"/>
  <c r="CJ15" i="1"/>
  <c r="EL15" i="1"/>
  <c r="CN15" i="1"/>
  <c r="EP15" i="1"/>
  <c r="U25" i="48"/>
  <c r="AG25" i="48" s="1"/>
  <c r="CO15" i="1"/>
  <c r="EQ15" i="1"/>
  <c r="CD15" i="1"/>
  <c r="EF15" i="1"/>
  <c r="CF15" i="1"/>
  <c r="EH15" i="1"/>
  <c r="CK15" i="1"/>
  <c r="EM15" i="1"/>
  <c r="CM15" i="1"/>
  <c r="EO15" i="1"/>
  <c r="CI15" i="1"/>
  <c r="EK15" i="1"/>
  <c r="U22" i="46"/>
  <c r="AG22" i="46" s="1"/>
  <c r="BS16" i="1" s="1"/>
  <c r="V22" i="46"/>
  <c r="AH22" i="46" s="1"/>
  <c r="BT16" i="1" s="1"/>
  <c r="T22" i="46"/>
  <c r="AF22" i="46" s="1"/>
  <c r="BR16" i="1" s="1"/>
  <c r="S22" i="46"/>
  <c r="AE22" i="46" s="1"/>
  <c r="BQ16" i="1" s="1"/>
  <c r="W22" i="46"/>
  <c r="AI22" i="46" s="1"/>
  <c r="BU16" i="1" s="1"/>
  <c r="DK14" i="1"/>
  <c r="DL14" i="1" s="1"/>
  <c r="AC24" i="44"/>
  <c r="CC15" i="1"/>
  <c r="DH15" i="1"/>
  <c r="DI15" i="1"/>
  <c r="DJ15" i="1" s="1"/>
  <c r="X26" i="47"/>
  <c r="AJ26" i="47" s="1"/>
  <c r="AB23" i="63"/>
  <c r="AK24" i="62"/>
  <c r="R25" i="48"/>
  <c r="AD25" i="48" s="1"/>
  <c r="AL24" i="56"/>
  <c r="X22" i="46"/>
  <c r="AJ22" i="46" s="1"/>
  <c r="BV16" i="1" s="1"/>
  <c r="R22" i="46"/>
  <c r="AD22" i="46" s="1"/>
  <c r="BP16" i="1" s="1"/>
  <c r="AF24" i="44"/>
  <c r="AD24" i="44"/>
  <c r="Z22" i="46"/>
  <c r="AL22" i="46" s="1"/>
  <c r="BX16" i="1" s="1"/>
  <c r="ER16" i="1" s="1"/>
  <c r="AG24" i="56"/>
  <c r="Q25" i="49"/>
  <c r="AA25" i="49"/>
  <c r="AB25" i="49" s="1"/>
  <c r="M27" i="49"/>
  <c r="N26" i="49"/>
  <c r="O26" i="49" s="1"/>
  <c r="P26" i="49"/>
  <c r="Q26" i="49" s="1"/>
  <c r="AE24" i="56"/>
  <c r="S24" i="43"/>
  <c r="AE24" i="43" s="1"/>
  <c r="D28" i="49"/>
  <c r="G28" i="49" s="1"/>
  <c r="J28" i="49" s="1"/>
  <c r="C29" i="49"/>
  <c r="E28" i="49"/>
  <c r="H28" i="49" s="1"/>
  <c r="K28" i="49" s="1"/>
  <c r="F28" i="49"/>
  <c r="I28" i="49" s="1"/>
  <c r="L28" i="49" s="1"/>
  <c r="AB24" i="49"/>
  <c r="BW16" i="1"/>
  <c r="CV14" i="1"/>
  <c r="N26" i="48"/>
  <c r="AJ26" i="45"/>
  <c r="AK26" i="45"/>
  <c r="V25" i="48"/>
  <c r="AH25" i="48" s="1"/>
  <c r="U25" i="51"/>
  <c r="AG25" i="51" s="1"/>
  <c r="AI26" i="45"/>
  <c r="O26" i="52"/>
  <c r="AH24" i="56"/>
  <c r="AD24" i="56"/>
  <c r="AF24" i="56"/>
  <c r="AI24" i="56"/>
  <c r="AK24" i="56"/>
  <c r="AH25" i="52"/>
  <c r="Z26" i="47"/>
  <c r="AL26" i="47" s="1"/>
  <c r="AB25" i="45"/>
  <c r="AB23" i="56"/>
  <c r="BO17" i="1" s="1"/>
  <c r="CG17" i="1" s="1"/>
  <c r="AB24" i="52"/>
  <c r="AE25" i="52"/>
  <c r="AF25" i="52"/>
  <c r="AK25" i="52"/>
  <c r="CS14" i="1"/>
  <c r="DF14" i="1" s="1"/>
  <c r="AA24" i="59"/>
  <c r="AC24" i="59" s="1"/>
  <c r="AG25" i="52"/>
  <c r="AH26" i="45"/>
  <c r="AL25" i="52"/>
  <c r="Z24" i="59"/>
  <c r="AL24" i="59" s="1"/>
  <c r="V24" i="59"/>
  <c r="AH24" i="62"/>
  <c r="P25" i="44"/>
  <c r="Q25" i="44" s="1"/>
  <c r="V25" i="44" s="1"/>
  <c r="AC23" i="59"/>
  <c r="BL17" i="1" s="1"/>
  <c r="S26" i="47"/>
  <c r="AE26" i="47" s="1"/>
  <c r="AF26" i="45"/>
  <c r="T26" i="47"/>
  <c r="AF26" i="47" s="1"/>
  <c r="AD25" i="52"/>
  <c r="AJ24" i="56"/>
  <c r="AL26" i="45"/>
  <c r="Y25" i="48"/>
  <c r="AK25" i="48" s="1"/>
  <c r="V25" i="50"/>
  <c r="AH25" i="50" s="1"/>
  <c r="AC24" i="60"/>
  <c r="Z24" i="43"/>
  <c r="AL24" i="43" s="1"/>
  <c r="AD26" i="45"/>
  <c r="S25" i="50"/>
  <c r="AE25" i="50" s="1"/>
  <c r="S25" i="51"/>
  <c r="AE25" i="51" s="1"/>
  <c r="AI25" i="52"/>
  <c r="AJ24" i="62"/>
  <c r="V25" i="65"/>
  <c r="AH25" i="65" s="1"/>
  <c r="Y24" i="43"/>
  <c r="AK24" i="43" s="1"/>
  <c r="BZ15" i="1"/>
  <c r="P26" i="50"/>
  <c r="Q26" i="50" s="1"/>
  <c r="T26" i="50" s="1"/>
  <c r="AF26" i="50" s="1"/>
  <c r="T25" i="50"/>
  <c r="AF25" i="50" s="1"/>
  <c r="AG26" i="45"/>
  <c r="U26" i="47"/>
  <c r="AG26" i="47" s="1"/>
  <c r="R25" i="50"/>
  <c r="AD25" i="50" s="1"/>
  <c r="AL24" i="62"/>
  <c r="T24" i="43"/>
  <c r="AF24" i="43" s="1"/>
  <c r="Y25" i="50"/>
  <c r="AK25" i="50" s="1"/>
  <c r="AG24" i="62"/>
  <c r="V24" i="43"/>
  <c r="AH24" i="43" s="1"/>
  <c r="Z24" i="57"/>
  <c r="AL24" i="57" s="1"/>
  <c r="AA24" i="43"/>
  <c r="AC24" i="43" s="1"/>
  <c r="AA25" i="50"/>
  <c r="AC25" i="50" s="1"/>
  <c r="AE26" i="45"/>
  <c r="W25" i="50"/>
  <c r="AI25" i="50" s="1"/>
  <c r="W24" i="43"/>
  <c r="AI24" i="43" s="1"/>
  <c r="V26" i="47"/>
  <c r="AH26" i="47" s="1"/>
  <c r="AF24" i="58"/>
  <c r="AA26" i="47"/>
  <c r="AC26" i="47" s="1"/>
  <c r="P26" i="51"/>
  <c r="Q26" i="51" s="1"/>
  <c r="R26" i="51" s="1"/>
  <c r="AD26" i="51" s="1"/>
  <c r="AG24" i="58"/>
  <c r="AH24" i="58"/>
  <c r="R25" i="65"/>
  <c r="AD25" i="65" s="1"/>
  <c r="W26" i="47"/>
  <c r="AI26" i="47" s="1"/>
  <c r="U25" i="50"/>
  <c r="AG25" i="50" s="1"/>
  <c r="X24" i="43"/>
  <c r="AJ24" i="43" s="1"/>
  <c r="R24" i="43"/>
  <c r="AD24" i="43" s="1"/>
  <c r="Y26" i="47"/>
  <c r="AK26" i="47" s="1"/>
  <c r="X25" i="50"/>
  <c r="AJ25" i="50" s="1"/>
  <c r="Y24" i="57"/>
  <c r="AK24" i="57" s="1"/>
  <c r="AC24" i="64"/>
  <c r="M26" i="43"/>
  <c r="O26" i="43" s="1"/>
  <c r="M20" i="19"/>
  <c r="P20" i="19" s="1"/>
  <c r="M26" i="56"/>
  <c r="P26" i="56" s="1"/>
  <c r="Q26" i="56" s="1"/>
  <c r="AJ25" i="52"/>
  <c r="BY15" i="1"/>
  <c r="AA23" i="46"/>
  <c r="AC23" i="46" s="1"/>
  <c r="V24" i="63"/>
  <c r="AH24" i="63" s="1"/>
  <c r="R24" i="57"/>
  <c r="AD24" i="57" s="1"/>
  <c r="AC24" i="58"/>
  <c r="BK16" i="1"/>
  <c r="EE16" i="1" s="1"/>
  <c r="S24" i="57"/>
  <c r="AE24" i="57" s="1"/>
  <c r="AJ24" i="58"/>
  <c r="T24" i="57"/>
  <c r="AF24" i="57" s="1"/>
  <c r="AD24" i="58"/>
  <c r="P25" i="56"/>
  <c r="Q25" i="56" s="1"/>
  <c r="S25" i="56" s="1"/>
  <c r="AE25" i="56" s="1"/>
  <c r="V24" i="57"/>
  <c r="AH24" i="57" s="1"/>
  <c r="AE24" i="58"/>
  <c r="AA24" i="57"/>
  <c r="AC24" i="57" s="1"/>
  <c r="AI24" i="58"/>
  <c r="AE24" i="62"/>
  <c r="U24" i="57"/>
  <c r="AG24" i="57" s="1"/>
  <c r="AF24" i="62"/>
  <c r="X24" i="57"/>
  <c r="AJ24" i="57" s="1"/>
  <c r="AL24" i="58"/>
  <c r="AI24" i="62"/>
  <c r="O25" i="43"/>
  <c r="AB24" i="56"/>
  <c r="BO18" i="1" s="1"/>
  <c r="CG18" i="1" s="1"/>
  <c r="S25" i="65"/>
  <c r="AE25" i="65" s="1"/>
  <c r="M26" i="55"/>
  <c r="AD24" i="62"/>
  <c r="T23" i="46"/>
  <c r="AF23" i="46" s="1"/>
  <c r="BR17" i="1" s="1"/>
  <c r="V23" i="46"/>
  <c r="AH23" i="46" s="1"/>
  <c r="BT17" i="1" s="1"/>
  <c r="R23" i="46"/>
  <c r="AD23" i="46" s="1"/>
  <c r="BP17" i="1" s="1"/>
  <c r="U23" i="46"/>
  <c r="AG23" i="46" s="1"/>
  <c r="BS17" i="1" s="1"/>
  <c r="S23" i="46"/>
  <c r="AE23" i="46" s="1"/>
  <c r="BQ17" i="1" s="1"/>
  <c r="W23" i="46"/>
  <c r="AI23" i="46" s="1"/>
  <c r="BU17" i="1" s="1"/>
  <c r="Z23" i="46"/>
  <c r="AL23" i="46" s="1"/>
  <c r="BX17" i="1" s="1"/>
  <c r="ER17" i="1" s="1"/>
  <c r="Y23" i="46"/>
  <c r="AK23" i="46" s="1"/>
  <c r="BW17" i="1" s="1"/>
  <c r="X23" i="46"/>
  <c r="AJ23" i="46" s="1"/>
  <c r="BV17" i="1" s="1"/>
  <c r="S24" i="55"/>
  <c r="AE24" i="55" s="1"/>
  <c r="R24" i="55"/>
  <c r="AD24" i="55" s="1"/>
  <c r="Z24" i="55"/>
  <c r="AL24" i="55" s="1"/>
  <c r="Y24" i="55"/>
  <c r="AK24" i="55" s="1"/>
  <c r="V24" i="55"/>
  <c r="AH24" i="55" s="1"/>
  <c r="X24" i="55"/>
  <c r="AJ24" i="55" s="1"/>
  <c r="U24" i="55"/>
  <c r="AG24" i="55" s="1"/>
  <c r="W24" i="55"/>
  <c r="AI24" i="55" s="1"/>
  <c r="T24" i="55"/>
  <c r="AF24" i="55" s="1"/>
  <c r="C27" i="46"/>
  <c r="H26" i="46"/>
  <c r="K26" i="46" s="1"/>
  <c r="D26" i="46"/>
  <c r="G26" i="46" s="1"/>
  <c r="J26" i="46" s="1"/>
  <c r="I26" i="46"/>
  <c r="L26" i="46" s="1"/>
  <c r="AB23" i="55"/>
  <c r="BK17" i="1" s="1"/>
  <c r="EE17" i="1" s="1"/>
  <c r="M25" i="46"/>
  <c r="AA25" i="43"/>
  <c r="AC25" i="43" s="1"/>
  <c r="C28" i="55"/>
  <c r="E27" i="55"/>
  <c r="H27" i="55" s="1"/>
  <c r="K27" i="55" s="1"/>
  <c r="D27" i="55"/>
  <c r="G27" i="55" s="1"/>
  <c r="J27" i="55" s="1"/>
  <c r="I27" i="55"/>
  <c r="L27" i="55" s="1"/>
  <c r="T25" i="43"/>
  <c r="R25" i="43"/>
  <c r="Z25" i="43"/>
  <c r="S25" i="43"/>
  <c r="Y25" i="43"/>
  <c r="X25" i="43"/>
  <c r="W25" i="43"/>
  <c r="V25" i="43"/>
  <c r="U25" i="43"/>
  <c r="X24" i="59"/>
  <c r="AJ24" i="59" s="1"/>
  <c r="C28" i="43"/>
  <c r="F27" i="43"/>
  <c r="I27" i="43" s="1"/>
  <c r="L27" i="43" s="1"/>
  <c r="D27" i="43"/>
  <c r="G27" i="43" s="1"/>
  <c r="J27" i="43" s="1"/>
  <c r="H27" i="43"/>
  <c r="K27" i="43" s="1"/>
  <c r="D27" i="56"/>
  <c r="G27" i="56" s="1"/>
  <c r="J27" i="56" s="1"/>
  <c r="E27" i="56"/>
  <c r="H27" i="56" s="1"/>
  <c r="K27" i="56" s="1"/>
  <c r="I27" i="56"/>
  <c r="L27" i="56" s="1"/>
  <c r="C28" i="56"/>
  <c r="AA24" i="55"/>
  <c r="AC24" i="55" s="1"/>
  <c r="O24" i="46"/>
  <c r="P24" i="46"/>
  <c r="P25" i="55"/>
  <c r="Q25" i="55" s="1"/>
  <c r="N25" i="55"/>
  <c r="O25" i="55" s="1"/>
  <c r="O27" i="47"/>
  <c r="W24" i="59"/>
  <c r="AI24" i="59" s="1"/>
  <c r="U24" i="59"/>
  <c r="AG24" i="59" s="1"/>
  <c r="Z24" i="63"/>
  <c r="AL24" i="63" s="1"/>
  <c r="R24" i="59"/>
  <c r="AD24" i="59" s="1"/>
  <c r="U25" i="65"/>
  <c r="AG25" i="65" s="1"/>
  <c r="S24" i="59"/>
  <c r="AE24" i="59" s="1"/>
  <c r="T24" i="59"/>
  <c r="AF24" i="59" s="1"/>
  <c r="AA24" i="63"/>
  <c r="AC24" i="63" s="1"/>
  <c r="AB24" i="64"/>
  <c r="R24" i="63"/>
  <c r="AD24" i="63" s="1"/>
  <c r="T24" i="63"/>
  <c r="AF24" i="63" s="1"/>
  <c r="BN16" i="1"/>
  <c r="AA25" i="65"/>
  <c r="AC25" i="65" s="1"/>
  <c r="O25" i="63"/>
  <c r="X25" i="65"/>
  <c r="AJ25" i="65" s="1"/>
  <c r="P26" i="65"/>
  <c r="Q26" i="65" s="1"/>
  <c r="V26" i="65" s="1"/>
  <c r="AH26" i="65" s="1"/>
  <c r="AB19" i="40"/>
  <c r="T25" i="65"/>
  <c r="AF25" i="65" s="1"/>
  <c r="N25" i="59"/>
  <c r="O25" i="59" s="1"/>
  <c r="W25" i="65"/>
  <c r="AI25" i="65" s="1"/>
  <c r="Y25" i="65"/>
  <c r="AK25" i="65" s="1"/>
  <c r="AC24" i="53"/>
  <c r="AK24" i="58"/>
  <c r="M26" i="61"/>
  <c r="S24" i="63"/>
  <c r="AE24" i="63" s="1"/>
  <c r="AH24" i="64"/>
  <c r="M26" i="44"/>
  <c r="N26" i="44" s="1"/>
  <c r="O26" i="44" s="1"/>
  <c r="AB24" i="54"/>
  <c r="Y24" i="63"/>
  <c r="AK24" i="63" s="1"/>
  <c r="M27" i="51"/>
  <c r="P27" i="51" s="1"/>
  <c r="Q27" i="51" s="1"/>
  <c r="M27" i="48"/>
  <c r="P27" i="48" s="1"/>
  <c r="Q27" i="48" s="1"/>
  <c r="AH25" i="54"/>
  <c r="AB25" i="52"/>
  <c r="AI25" i="54"/>
  <c r="U24" i="63"/>
  <c r="AG24" i="63" s="1"/>
  <c r="P27" i="45"/>
  <c r="Q27" i="45" s="1"/>
  <c r="Z27" i="45" s="1"/>
  <c r="AL27" i="45" s="1"/>
  <c r="AJ25" i="54"/>
  <c r="N25" i="60"/>
  <c r="O25" i="60" s="1"/>
  <c r="W24" i="63"/>
  <c r="AI24" i="63" s="1"/>
  <c r="AE25" i="54"/>
  <c r="AI24" i="60"/>
  <c r="P25" i="62"/>
  <c r="Q25" i="62" s="1"/>
  <c r="Y25" i="62" s="1"/>
  <c r="AK25" i="62" s="1"/>
  <c r="AK25" i="54"/>
  <c r="N25" i="64"/>
  <c r="O25" i="64" s="1"/>
  <c r="AC24" i="65"/>
  <c r="AB24" i="65"/>
  <c r="AL25" i="54"/>
  <c r="AB25" i="54"/>
  <c r="AB26" i="45"/>
  <c r="M26" i="57"/>
  <c r="O26" i="57" s="1"/>
  <c r="M26" i="64"/>
  <c r="P26" i="64" s="1"/>
  <c r="Q26" i="64" s="1"/>
  <c r="M27" i="65"/>
  <c r="P27" i="65" s="1"/>
  <c r="Q27" i="65" s="1"/>
  <c r="C29" i="65"/>
  <c r="G28" i="65"/>
  <c r="J28" i="65" s="1"/>
  <c r="I28" i="65"/>
  <c r="L28" i="65" s="1"/>
  <c r="H28" i="65"/>
  <c r="K28" i="65" s="1"/>
  <c r="AD24" i="64"/>
  <c r="AE24" i="64"/>
  <c r="AF24" i="64"/>
  <c r="AI24" i="64"/>
  <c r="C28" i="64"/>
  <c r="D27" i="64"/>
  <c r="G27" i="64" s="1"/>
  <c r="J27" i="64" s="1"/>
  <c r="F27" i="64"/>
  <c r="I27" i="64" s="1"/>
  <c r="L27" i="64" s="1"/>
  <c r="E27" i="64"/>
  <c r="H27" i="64" s="1"/>
  <c r="K27" i="64" s="1"/>
  <c r="AK24" i="64"/>
  <c r="AL24" i="64"/>
  <c r="Z25" i="64"/>
  <c r="Y25" i="64"/>
  <c r="R25" i="64"/>
  <c r="U25" i="64"/>
  <c r="T25" i="64"/>
  <c r="S25" i="64"/>
  <c r="X25" i="64"/>
  <c r="W25" i="64"/>
  <c r="V25" i="64"/>
  <c r="AJ24" i="64"/>
  <c r="AA25" i="64"/>
  <c r="AG24" i="64"/>
  <c r="M26" i="63"/>
  <c r="P26" i="63" s="1"/>
  <c r="Q26" i="63" s="1"/>
  <c r="C28" i="63"/>
  <c r="D27" i="63"/>
  <c r="G27" i="63" s="1"/>
  <c r="J27" i="63" s="1"/>
  <c r="F27" i="63"/>
  <c r="I27" i="63" s="1"/>
  <c r="L27" i="63" s="1"/>
  <c r="H27" i="63"/>
  <c r="K27" i="63" s="1"/>
  <c r="AA25" i="63"/>
  <c r="AC25" i="63" s="1"/>
  <c r="Z25" i="63"/>
  <c r="Y25" i="63"/>
  <c r="X25" i="63"/>
  <c r="W25" i="63"/>
  <c r="V25" i="63"/>
  <c r="U25" i="63"/>
  <c r="T25" i="63"/>
  <c r="S25" i="63"/>
  <c r="R25" i="63"/>
  <c r="M26" i="62"/>
  <c r="O26" i="62" s="1"/>
  <c r="AB24" i="62"/>
  <c r="C28" i="62"/>
  <c r="D27" i="62"/>
  <c r="G27" i="62" s="1"/>
  <c r="J27" i="62" s="1"/>
  <c r="I27" i="62"/>
  <c r="L27" i="62" s="1"/>
  <c r="H27" i="62"/>
  <c r="K27" i="62" s="1"/>
  <c r="C28" i="61"/>
  <c r="E27" i="61"/>
  <c r="K27" i="61" s="1"/>
  <c r="D27" i="61"/>
  <c r="F27" i="61"/>
  <c r="L27" i="61" s="1"/>
  <c r="AA25" i="60"/>
  <c r="AE24" i="60"/>
  <c r="M26" i="60"/>
  <c r="P26" i="60" s="1"/>
  <c r="Q26" i="60" s="1"/>
  <c r="AD24" i="60"/>
  <c r="AF24" i="60"/>
  <c r="AH24" i="60"/>
  <c r="C28" i="60"/>
  <c r="E27" i="60"/>
  <c r="H27" i="60" s="1"/>
  <c r="K27" i="60" s="1"/>
  <c r="D27" i="60"/>
  <c r="G27" i="60" s="1"/>
  <c r="J27" i="60" s="1"/>
  <c r="I27" i="60"/>
  <c r="L27" i="60" s="1"/>
  <c r="AJ24" i="60"/>
  <c r="AK24" i="60"/>
  <c r="Y25" i="60"/>
  <c r="T25" i="60"/>
  <c r="S25" i="60"/>
  <c r="V25" i="60"/>
  <c r="U25" i="60"/>
  <c r="R25" i="60"/>
  <c r="Z25" i="60"/>
  <c r="X25" i="60"/>
  <c r="W25" i="60"/>
  <c r="AB24" i="60"/>
  <c r="AL24" i="60"/>
  <c r="AG24" i="60"/>
  <c r="M26" i="59"/>
  <c r="N26" i="59" s="1"/>
  <c r="O26" i="59" s="1"/>
  <c r="AH24" i="59"/>
  <c r="AK24" i="59"/>
  <c r="AA25" i="59"/>
  <c r="C28" i="59"/>
  <c r="D27" i="59"/>
  <c r="G27" i="59" s="1"/>
  <c r="J27" i="59" s="1"/>
  <c r="E27" i="59"/>
  <c r="H27" i="59" s="1"/>
  <c r="K27" i="59" s="1"/>
  <c r="I27" i="59"/>
  <c r="L27" i="59" s="1"/>
  <c r="Z25" i="59"/>
  <c r="Y25" i="59"/>
  <c r="R25" i="59"/>
  <c r="U25" i="59"/>
  <c r="T25" i="59"/>
  <c r="S25" i="59"/>
  <c r="X25" i="59"/>
  <c r="W25" i="59"/>
  <c r="V25" i="59"/>
  <c r="AB24" i="58"/>
  <c r="M26" i="58"/>
  <c r="P26" i="58" s="1"/>
  <c r="Q26" i="58" s="1"/>
  <c r="N25" i="58"/>
  <c r="O25" i="58" s="1"/>
  <c r="C28" i="58"/>
  <c r="D27" i="58"/>
  <c r="G27" i="58" s="1"/>
  <c r="J27" i="58" s="1"/>
  <c r="E27" i="58"/>
  <c r="H27" i="58" s="1"/>
  <c r="K27" i="58" s="1"/>
  <c r="I27" i="58"/>
  <c r="L27" i="58" s="1"/>
  <c r="Z25" i="58"/>
  <c r="Y25" i="58"/>
  <c r="R25" i="58"/>
  <c r="W25" i="58"/>
  <c r="V25" i="58"/>
  <c r="U25" i="58"/>
  <c r="T25" i="58"/>
  <c r="X25" i="58"/>
  <c r="S25" i="58"/>
  <c r="AA25" i="58"/>
  <c r="P25" i="57"/>
  <c r="Q25" i="57" s="1"/>
  <c r="Y25" i="57" s="1"/>
  <c r="AK25" i="57" s="1"/>
  <c r="C28" i="57"/>
  <c r="D27" i="57"/>
  <c r="G27" i="57" s="1"/>
  <c r="J27" i="57" s="1"/>
  <c r="E27" i="57"/>
  <c r="H27" i="57" s="1"/>
  <c r="K27" i="57" s="1"/>
  <c r="F27" i="57"/>
  <c r="I27" i="57" s="1"/>
  <c r="L27" i="57" s="1"/>
  <c r="AD25" i="54"/>
  <c r="AC25" i="54"/>
  <c r="AF25" i="54"/>
  <c r="N26" i="54"/>
  <c r="O26" i="54" s="1"/>
  <c r="AG25" i="54"/>
  <c r="M27" i="54"/>
  <c r="P27" i="54" s="1"/>
  <c r="Q27" i="54" s="1"/>
  <c r="C29" i="54"/>
  <c r="D28" i="54"/>
  <c r="G28" i="54" s="1"/>
  <c r="J28" i="54" s="1"/>
  <c r="E28" i="54"/>
  <c r="H28" i="54" s="1"/>
  <c r="K28" i="54" s="1"/>
  <c r="I28" i="54"/>
  <c r="L28" i="54" s="1"/>
  <c r="T26" i="54"/>
  <c r="S26" i="54"/>
  <c r="W26" i="54"/>
  <c r="Z26" i="54"/>
  <c r="Y26" i="54"/>
  <c r="X26" i="54"/>
  <c r="V26" i="54"/>
  <c r="U26" i="54"/>
  <c r="R26" i="54"/>
  <c r="AA26" i="54"/>
  <c r="N25" i="53"/>
  <c r="O25" i="53" s="1"/>
  <c r="AD24" i="53"/>
  <c r="AG24" i="53"/>
  <c r="AI24" i="53"/>
  <c r="M26" i="53"/>
  <c r="P26" i="53" s="1"/>
  <c r="Q26" i="53" s="1"/>
  <c r="AJ24" i="53"/>
  <c r="AE24" i="53"/>
  <c r="AA25" i="53"/>
  <c r="AF24" i="53"/>
  <c r="AK24" i="53"/>
  <c r="AL24" i="53"/>
  <c r="C28" i="53"/>
  <c r="D27" i="53"/>
  <c r="G27" i="53" s="1"/>
  <c r="J27" i="53" s="1"/>
  <c r="E27" i="53"/>
  <c r="H27" i="53" s="1"/>
  <c r="K27" i="53" s="1"/>
  <c r="I27" i="53"/>
  <c r="L27" i="53" s="1"/>
  <c r="Z25" i="53"/>
  <c r="W25" i="53"/>
  <c r="V25" i="53"/>
  <c r="T25" i="53"/>
  <c r="S25" i="53"/>
  <c r="R25" i="53"/>
  <c r="U25" i="53"/>
  <c r="Y25" i="53"/>
  <c r="X25" i="53"/>
  <c r="AB24" i="53"/>
  <c r="AH24" i="53"/>
  <c r="M27" i="52"/>
  <c r="P27" i="52" s="1"/>
  <c r="Q27" i="52" s="1"/>
  <c r="C29" i="52"/>
  <c r="D28" i="52"/>
  <c r="G28" i="52" s="1"/>
  <c r="J28" i="52" s="1"/>
  <c r="I28" i="52"/>
  <c r="L28" i="52" s="1"/>
  <c r="H28" i="52"/>
  <c r="K28" i="52" s="1"/>
  <c r="T26" i="52"/>
  <c r="S26" i="52"/>
  <c r="V26" i="52"/>
  <c r="U26" i="52"/>
  <c r="Z26" i="52"/>
  <c r="Y26" i="52"/>
  <c r="X26" i="52"/>
  <c r="W26" i="52"/>
  <c r="R26" i="52"/>
  <c r="AD26" i="52" s="1"/>
  <c r="AA26" i="52"/>
  <c r="AC26" i="52" s="1"/>
  <c r="AC25" i="51"/>
  <c r="C29" i="51"/>
  <c r="F28" i="51"/>
  <c r="I28" i="51" s="1"/>
  <c r="L28" i="51" s="1"/>
  <c r="D28" i="51"/>
  <c r="G28" i="51" s="1"/>
  <c r="J28" i="51" s="1"/>
  <c r="E28" i="51"/>
  <c r="H28" i="51" s="1"/>
  <c r="K28" i="51" s="1"/>
  <c r="M27" i="50"/>
  <c r="O27" i="50" s="1"/>
  <c r="S26" i="50"/>
  <c r="AE26" i="50" s="1"/>
  <c r="Z26" i="50"/>
  <c r="AL26" i="50" s="1"/>
  <c r="C29" i="50"/>
  <c r="D28" i="50"/>
  <c r="G28" i="50" s="1"/>
  <c r="J28" i="50" s="1"/>
  <c r="H28" i="50"/>
  <c r="K28" i="50" s="1"/>
  <c r="I28" i="50"/>
  <c r="L28" i="50" s="1"/>
  <c r="AB25" i="48"/>
  <c r="C29" i="48"/>
  <c r="F28" i="48"/>
  <c r="I28" i="48" s="1"/>
  <c r="L28" i="48" s="1"/>
  <c r="D28" i="48"/>
  <c r="G28" i="48" s="1"/>
  <c r="J28" i="48" s="1"/>
  <c r="E28" i="48"/>
  <c r="H28" i="48" s="1"/>
  <c r="K28" i="48" s="1"/>
  <c r="T26" i="48"/>
  <c r="S26" i="48"/>
  <c r="V26" i="48"/>
  <c r="Z26" i="48"/>
  <c r="Y26" i="48"/>
  <c r="X26" i="48"/>
  <c r="W26" i="48"/>
  <c r="U26" i="48"/>
  <c r="R26" i="48"/>
  <c r="O26" i="48"/>
  <c r="AA26" i="48"/>
  <c r="M28" i="47"/>
  <c r="O28" i="47" s="1"/>
  <c r="C30" i="47"/>
  <c r="D29" i="47"/>
  <c r="G29" i="47" s="1"/>
  <c r="J29" i="47" s="1"/>
  <c r="F29" i="47"/>
  <c r="I29" i="47" s="1"/>
  <c r="L29" i="47" s="1"/>
  <c r="E29" i="47"/>
  <c r="H29" i="47" s="1"/>
  <c r="K29" i="47" s="1"/>
  <c r="X27" i="47"/>
  <c r="W27" i="47"/>
  <c r="Z27" i="47"/>
  <c r="T27" i="47"/>
  <c r="S27" i="47"/>
  <c r="R27" i="47"/>
  <c r="Y27" i="47"/>
  <c r="V27" i="47"/>
  <c r="U27" i="47"/>
  <c r="AA27" i="47"/>
  <c r="AC27" i="47" s="1"/>
  <c r="M28" i="45"/>
  <c r="O28" i="45" s="1"/>
  <c r="C30" i="45"/>
  <c r="D29" i="45"/>
  <c r="G29" i="45" s="1"/>
  <c r="J29" i="45" s="1"/>
  <c r="H29" i="45"/>
  <c r="K29" i="45" s="1"/>
  <c r="I29" i="45"/>
  <c r="L29" i="45" s="1"/>
  <c r="C28" i="44"/>
  <c r="E27" i="44"/>
  <c r="H27" i="44" s="1"/>
  <c r="K27" i="44" s="1"/>
  <c r="F27" i="44"/>
  <c r="I27" i="44" s="1"/>
  <c r="L27" i="44" s="1"/>
  <c r="D27" i="44"/>
  <c r="G27" i="44" s="1"/>
  <c r="J27" i="44" s="1"/>
  <c r="U25" i="44"/>
  <c r="T25" i="44"/>
  <c r="X25" i="44"/>
  <c r="Y25" i="44"/>
  <c r="W25" i="44"/>
  <c r="R25" i="44"/>
  <c r="Z25" i="44"/>
  <c r="AA25" i="44"/>
  <c r="AC25" i="44" s="1"/>
  <c r="O25" i="44"/>
  <c r="M19" i="23"/>
  <c r="P19" i="23" s="1"/>
  <c r="Q19" i="23" s="1"/>
  <c r="AA17" i="23"/>
  <c r="AC17" i="23" s="1"/>
  <c r="Q17" i="23"/>
  <c r="AK9" i="1"/>
  <c r="C21" i="23"/>
  <c r="D20" i="23"/>
  <c r="G20" i="23" s="1"/>
  <c r="J20" i="23" s="1"/>
  <c r="F20" i="23"/>
  <c r="I20" i="23" s="1"/>
  <c r="L20" i="23" s="1"/>
  <c r="E20" i="23"/>
  <c r="H20" i="23" s="1"/>
  <c r="K20" i="23" s="1"/>
  <c r="N18" i="23"/>
  <c r="O18" i="23" s="1"/>
  <c r="P18" i="23"/>
  <c r="X16" i="23"/>
  <c r="AJ16" i="23" s="1"/>
  <c r="U16" i="23"/>
  <c r="AG16" i="23" s="1"/>
  <c r="Z16" i="23"/>
  <c r="AL16" i="23" s="1"/>
  <c r="W16" i="23"/>
  <c r="AI16" i="23" s="1"/>
  <c r="R16" i="23"/>
  <c r="AD16" i="23" s="1"/>
  <c r="T16" i="23"/>
  <c r="AF16" i="23" s="1"/>
  <c r="Y16" i="23"/>
  <c r="AK16" i="23" s="1"/>
  <c r="S16" i="23"/>
  <c r="AE16" i="23" s="1"/>
  <c r="V16" i="23"/>
  <c r="AH16" i="23" s="1"/>
  <c r="AB16" i="23"/>
  <c r="H19" i="20"/>
  <c r="K19" i="20" s="1"/>
  <c r="M19" i="20" s="1"/>
  <c r="P19" i="20" s="1"/>
  <c r="BD13" i="1"/>
  <c r="BE13" i="1"/>
  <c r="H21" i="19"/>
  <c r="K21" i="19" s="1"/>
  <c r="BC13" i="1"/>
  <c r="G21" i="19"/>
  <c r="J21" i="19" s="1"/>
  <c r="I21" i="19"/>
  <c r="L21" i="19" s="1"/>
  <c r="X7" i="1"/>
  <c r="BF7" i="1"/>
  <c r="P15" i="14"/>
  <c r="D28" i="1" s="1"/>
  <c r="C33" i="1" s="1"/>
  <c r="D38" i="1" s="1"/>
  <c r="Y8" i="1"/>
  <c r="AM9" i="1"/>
  <c r="V17" i="37"/>
  <c r="AH17" i="37" s="1"/>
  <c r="Z17" i="37"/>
  <c r="AL17" i="37" s="1"/>
  <c r="AU9" i="1"/>
  <c r="T17" i="37"/>
  <c r="AF17" i="37" s="1"/>
  <c r="AA7" i="1"/>
  <c r="AB7" i="1"/>
  <c r="AC7" i="1"/>
  <c r="AD7" i="1"/>
  <c r="AE7" i="1"/>
  <c r="Z6" i="1"/>
  <c r="AB18" i="38"/>
  <c r="U17" i="37"/>
  <c r="AG17" i="37" s="1"/>
  <c r="R17" i="37"/>
  <c r="AD17" i="37" s="1"/>
  <c r="AG19" i="40"/>
  <c r="BB12" i="1"/>
  <c r="AG10" i="1"/>
  <c r="AT9" i="1"/>
  <c r="AZ12" i="1"/>
  <c r="AQ11" i="1"/>
  <c r="AJ9" i="1"/>
  <c r="AI11" i="1"/>
  <c r="AP11" i="1"/>
  <c r="AV11" i="1"/>
  <c r="AO13" i="1"/>
  <c r="AX10" i="1"/>
  <c r="AF12" i="1"/>
  <c r="AU10" i="1"/>
  <c r="AS10" i="1"/>
  <c r="AN9" i="1"/>
  <c r="AP10" i="1"/>
  <c r="AH10" i="1"/>
  <c r="AM10" i="1"/>
  <c r="AX11" i="1"/>
  <c r="AW9" i="1"/>
  <c r="L11" i="1"/>
  <c r="AB17" i="28"/>
  <c r="AC17" i="30"/>
  <c r="U16" i="24"/>
  <c r="AG16" i="24" s="1"/>
  <c r="R16" i="24"/>
  <c r="AD16" i="24" s="1"/>
  <c r="I9" i="1"/>
  <c r="S17" i="37"/>
  <c r="AE17" i="37" s="1"/>
  <c r="V16" i="24"/>
  <c r="AH16" i="24" s="1"/>
  <c r="O18" i="25"/>
  <c r="AB18" i="25" s="1"/>
  <c r="Y16" i="24"/>
  <c r="AK16" i="24" s="1"/>
  <c r="T16" i="24"/>
  <c r="AF16" i="24" s="1"/>
  <c r="W16" i="24"/>
  <c r="AI16" i="24" s="1"/>
  <c r="H9" i="1"/>
  <c r="X16" i="24"/>
  <c r="AJ16" i="24" s="1"/>
  <c r="W8" i="1"/>
  <c r="W17" i="37"/>
  <c r="AI17" i="37" s="1"/>
  <c r="Y17" i="37"/>
  <c r="AK17" i="37" s="1"/>
  <c r="S16" i="24"/>
  <c r="AE16" i="24" s="1"/>
  <c r="AA17" i="35"/>
  <c r="AC17" i="35" s="1"/>
  <c r="Q17" i="35"/>
  <c r="AA17" i="24"/>
  <c r="AC17" i="24" s="1"/>
  <c r="N18" i="35"/>
  <c r="P18" i="35"/>
  <c r="R17" i="20"/>
  <c r="AD17" i="20" s="1"/>
  <c r="U17" i="20"/>
  <c r="AG17" i="20" s="1"/>
  <c r="T17" i="20"/>
  <c r="AF17" i="20" s="1"/>
  <c r="U18" i="34"/>
  <c r="AG18" i="34" s="1"/>
  <c r="S17" i="20"/>
  <c r="AE17" i="20" s="1"/>
  <c r="Z18" i="36"/>
  <c r="AL18" i="36" s="1"/>
  <c r="AA18" i="29"/>
  <c r="AC18" i="29" s="1"/>
  <c r="U18" i="36"/>
  <c r="AG18" i="36" s="1"/>
  <c r="T9" i="1"/>
  <c r="AA18" i="37"/>
  <c r="AC18" i="37" s="1"/>
  <c r="Y18" i="34"/>
  <c r="AK18" i="34" s="1"/>
  <c r="P9" i="1"/>
  <c r="Y17" i="20"/>
  <c r="AK17" i="20" s="1"/>
  <c r="AG16" i="30"/>
  <c r="AL16" i="30"/>
  <c r="U20" i="27"/>
  <c r="AG20" i="27" s="1"/>
  <c r="Z19" i="19"/>
  <c r="AL19" i="19" s="1"/>
  <c r="Y19" i="19"/>
  <c r="AK19" i="19" s="1"/>
  <c r="R18" i="36"/>
  <c r="AD18" i="36" s="1"/>
  <c r="AA17" i="22"/>
  <c r="Q17" i="22"/>
  <c r="AD16" i="30"/>
  <c r="AE16" i="30"/>
  <c r="Z17" i="20"/>
  <c r="AL17" i="20" s="1"/>
  <c r="W18" i="21"/>
  <c r="AI18" i="21" s="1"/>
  <c r="AK16" i="30"/>
  <c r="W17" i="20"/>
  <c r="AI17" i="20" s="1"/>
  <c r="T20" i="27"/>
  <c r="AF20" i="27" s="1"/>
  <c r="AA18" i="26"/>
  <c r="Q18" i="26"/>
  <c r="Z18" i="26" s="1"/>
  <c r="M9" i="1"/>
  <c r="N18" i="24"/>
  <c r="O18" i="24" s="1"/>
  <c r="AB18" i="24" s="1"/>
  <c r="N9" i="1"/>
  <c r="AF16" i="30"/>
  <c r="AA17" i="33"/>
  <c r="AC17" i="33" s="1"/>
  <c r="Q17" i="33"/>
  <c r="S17" i="31"/>
  <c r="AE17" i="31" s="1"/>
  <c r="T17" i="31"/>
  <c r="AF17" i="31" s="1"/>
  <c r="R17" i="31"/>
  <c r="AD17" i="31" s="1"/>
  <c r="V17" i="31"/>
  <c r="AH17" i="31" s="1"/>
  <c r="U17" i="31"/>
  <c r="AG17" i="31" s="1"/>
  <c r="X17" i="31"/>
  <c r="AJ17" i="31" s="1"/>
  <c r="Z17" i="31"/>
  <c r="AL17" i="31" s="1"/>
  <c r="Y17" i="31"/>
  <c r="AK17" i="31" s="1"/>
  <c r="W17" i="31"/>
  <c r="AI17" i="31" s="1"/>
  <c r="V20" i="27"/>
  <c r="AH20" i="27" s="1"/>
  <c r="V19" i="19"/>
  <c r="AH19" i="19" s="1"/>
  <c r="X18" i="36"/>
  <c r="AJ18" i="36" s="1"/>
  <c r="P19" i="31"/>
  <c r="O19" i="31"/>
  <c r="Y18" i="21"/>
  <c r="AK18" i="21" s="1"/>
  <c r="Q9" i="1"/>
  <c r="AH16" i="30"/>
  <c r="R18" i="34"/>
  <c r="AD18" i="34" s="1"/>
  <c r="W19" i="19"/>
  <c r="AI19" i="19" s="1"/>
  <c r="W20" i="27"/>
  <c r="AI20" i="27" s="1"/>
  <c r="V18" i="34"/>
  <c r="AH18" i="34" s="1"/>
  <c r="N18" i="30"/>
  <c r="O18" i="30" s="1"/>
  <c r="W18" i="34"/>
  <c r="AI18" i="34" s="1"/>
  <c r="AA18" i="30"/>
  <c r="X18" i="34"/>
  <c r="AJ18" i="34" s="1"/>
  <c r="AJ16" i="30"/>
  <c r="AB16" i="26"/>
  <c r="AI16" i="30"/>
  <c r="M19" i="32"/>
  <c r="M19" i="30"/>
  <c r="N19" i="30" s="1"/>
  <c r="O19" i="30" s="1"/>
  <c r="M20" i="31"/>
  <c r="R9" i="1"/>
  <c r="C22" i="31"/>
  <c r="D21" i="31"/>
  <c r="G21" i="31" s="1"/>
  <c r="J21" i="31" s="1"/>
  <c r="E21" i="31"/>
  <c r="H21" i="31" s="1"/>
  <c r="K21" i="31" s="1"/>
  <c r="I21" i="31"/>
  <c r="L21" i="31" s="1"/>
  <c r="R19" i="19"/>
  <c r="AD19" i="19" s="1"/>
  <c r="V17" i="20"/>
  <c r="AH17" i="20" s="1"/>
  <c r="T18" i="36"/>
  <c r="AF18" i="36" s="1"/>
  <c r="AB18" i="31"/>
  <c r="N18" i="26"/>
  <c r="O18" i="26" s="1"/>
  <c r="AB16" i="39"/>
  <c r="Q18" i="31"/>
  <c r="T19" i="19"/>
  <c r="AF19" i="19" s="1"/>
  <c r="S20" i="27"/>
  <c r="AE20" i="27" s="1"/>
  <c r="Y18" i="36"/>
  <c r="AK18" i="36" s="1"/>
  <c r="M19" i="25"/>
  <c r="P19" i="25" s="1"/>
  <c r="O9" i="1"/>
  <c r="AA17" i="32"/>
  <c r="AC17" i="32" s="1"/>
  <c r="Q17" i="32"/>
  <c r="U9" i="1"/>
  <c r="S9" i="1"/>
  <c r="AC17" i="8"/>
  <c r="M19" i="24"/>
  <c r="N19" i="24" s="1"/>
  <c r="O19" i="24" s="1"/>
  <c r="Z18" i="21"/>
  <c r="AL18" i="21" s="1"/>
  <c r="F20" i="32"/>
  <c r="I20" i="32" s="1"/>
  <c r="L20" i="32" s="1"/>
  <c r="C21" i="32"/>
  <c r="D20" i="32"/>
  <c r="G20" i="32" s="1"/>
  <c r="J20" i="32" s="1"/>
  <c r="E20" i="32"/>
  <c r="H20" i="32" s="1"/>
  <c r="K20" i="32" s="1"/>
  <c r="E20" i="39"/>
  <c r="H20" i="39" s="1"/>
  <c r="K20" i="39" s="1"/>
  <c r="C21" i="39"/>
  <c r="D20" i="39"/>
  <c r="G20" i="39" s="1"/>
  <c r="J20" i="39" s="1"/>
  <c r="F20" i="39"/>
  <c r="I20" i="39" s="1"/>
  <c r="L20" i="39" s="1"/>
  <c r="N18" i="39"/>
  <c r="O18" i="39" s="1"/>
  <c r="P18" i="39"/>
  <c r="AA18" i="39" s="1"/>
  <c r="C21" i="25"/>
  <c r="D20" i="25"/>
  <c r="G20" i="25" s="1"/>
  <c r="J20" i="25" s="1"/>
  <c r="I20" i="25"/>
  <c r="L20" i="25" s="1"/>
  <c r="H20" i="25"/>
  <c r="K20" i="25" s="1"/>
  <c r="M19" i="33"/>
  <c r="D20" i="30"/>
  <c r="G20" i="30" s="1"/>
  <c r="J20" i="30" s="1"/>
  <c r="I20" i="30"/>
  <c r="L20" i="30" s="1"/>
  <c r="C21" i="30"/>
  <c r="E20" i="30"/>
  <c r="H20" i="30" s="1"/>
  <c r="K20" i="30" s="1"/>
  <c r="M19" i="35"/>
  <c r="O18" i="32"/>
  <c r="P18" i="32"/>
  <c r="AA18" i="32" s="1"/>
  <c r="AC18" i="32" s="1"/>
  <c r="C21" i="33"/>
  <c r="I21" i="33" s="1"/>
  <c r="L21" i="33" s="1"/>
  <c r="E20" i="33"/>
  <c r="H20" i="33" s="1"/>
  <c r="K20" i="33" s="1"/>
  <c r="D20" i="33"/>
  <c r="G20" i="33" s="1"/>
  <c r="J20" i="33" s="1"/>
  <c r="Q18" i="25"/>
  <c r="P18" i="22"/>
  <c r="AA18" i="22" s="1"/>
  <c r="AC18" i="22" s="1"/>
  <c r="O18" i="22"/>
  <c r="M19" i="22"/>
  <c r="S16" i="35"/>
  <c r="AE16" i="35" s="1"/>
  <c r="T16" i="35"/>
  <c r="AF16" i="35" s="1"/>
  <c r="Z16" i="35"/>
  <c r="AL16" i="35" s="1"/>
  <c r="X16" i="35"/>
  <c r="AJ16" i="35" s="1"/>
  <c r="W16" i="35"/>
  <c r="AI16" i="35" s="1"/>
  <c r="V16" i="35"/>
  <c r="AH16" i="35" s="1"/>
  <c r="U16" i="35"/>
  <c r="AG16" i="35" s="1"/>
  <c r="Y16" i="35"/>
  <c r="AK16" i="35" s="1"/>
  <c r="R16" i="35"/>
  <c r="AD16" i="35" s="1"/>
  <c r="Y17" i="25"/>
  <c r="AK17" i="25" s="1"/>
  <c r="Z17" i="25"/>
  <c r="AL17" i="25" s="1"/>
  <c r="X17" i="25"/>
  <c r="AJ17" i="25" s="1"/>
  <c r="S17" i="25"/>
  <c r="AE17" i="25" s="1"/>
  <c r="T17" i="25"/>
  <c r="AF17" i="25" s="1"/>
  <c r="U17" i="25"/>
  <c r="AG17" i="25" s="1"/>
  <c r="R17" i="25"/>
  <c r="AD17" i="25" s="1"/>
  <c r="W17" i="25"/>
  <c r="AI17" i="25" s="1"/>
  <c r="V17" i="25"/>
  <c r="AH17" i="25" s="1"/>
  <c r="C21" i="35"/>
  <c r="E20" i="35"/>
  <c r="H20" i="35" s="1"/>
  <c r="K20" i="35" s="1"/>
  <c r="D20" i="35"/>
  <c r="G20" i="35" s="1"/>
  <c r="J20" i="35" s="1"/>
  <c r="I20" i="35"/>
  <c r="L20" i="35" s="1"/>
  <c r="AB16" i="22"/>
  <c r="I10" i="1" s="1"/>
  <c r="AC16" i="22"/>
  <c r="W16" i="39"/>
  <c r="AI16" i="39" s="1"/>
  <c r="V16" i="39"/>
  <c r="AH16" i="39" s="1"/>
  <c r="T16" i="39"/>
  <c r="AF16" i="39" s="1"/>
  <c r="U16" i="39"/>
  <c r="AG16" i="39" s="1"/>
  <c r="S16" i="39"/>
  <c r="AE16" i="39" s="1"/>
  <c r="R16" i="39"/>
  <c r="AD16" i="39" s="1"/>
  <c r="X16" i="39"/>
  <c r="AJ16" i="39" s="1"/>
  <c r="Z16" i="39"/>
  <c r="AL16" i="39" s="1"/>
  <c r="Y16" i="39"/>
  <c r="AK16" i="39" s="1"/>
  <c r="S17" i="30"/>
  <c r="AE17" i="30" s="1"/>
  <c r="R17" i="30"/>
  <c r="AD17" i="30" s="1"/>
  <c r="X17" i="30"/>
  <c r="AJ17" i="30" s="1"/>
  <c r="W17" i="30"/>
  <c r="AI17" i="30" s="1"/>
  <c r="Y17" i="30"/>
  <c r="AK17" i="30" s="1"/>
  <c r="Z17" i="30"/>
  <c r="AL17" i="30" s="1"/>
  <c r="T17" i="30"/>
  <c r="AF17" i="30" s="1"/>
  <c r="V17" i="30"/>
  <c r="AH17" i="30" s="1"/>
  <c r="U17" i="30"/>
  <c r="AG17" i="30" s="1"/>
  <c r="R16" i="22"/>
  <c r="AD16" i="22" s="1"/>
  <c r="V16" i="22"/>
  <c r="AH16" i="22" s="1"/>
  <c r="W16" i="22"/>
  <c r="AI16" i="22" s="1"/>
  <c r="Y16" i="22"/>
  <c r="AK16" i="22" s="1"/>
  <c r="U16" i="22"/>
  <c r="AG16" i="22" s="1"/>
  <c r="T16" i="22"/>
  <c r="AF16" i="22" s="1"/>
  <c r="S16" i="22"/>
  <c r="AE16" i="22" s="1"/>
  <c r="X16" i="22"/>
  <c r="AJ16" i="22" s="1"/>
  <c r="Z16" i="22"/>
  <c r="AL16" i="22" s="1"/>
  <c r="C21" i="24"/>
  <c r="F20" i="24"/>
  <c r="I20" i="24" s="1"/>
  <c r="L20" i="24" s="1"/>
  <c r="E20" i="24"/>
  <c r="H20" i="24" s="1"/>
  <c r="K20" i="24" s="1"/>
  <c r="D20" i="24"/>
  <c r="G20" i="24" s="1"/>
  <c r="J20" i="24" s="1"/>
  <c r="F20" i="22"/>
  <c r="I20" i="22" s="1"/>
  <c r="L20" i="22" s="1"/>
  <c r="C21" i="22"/>
  <c r="D20" i="22"/>
  <c r="G20" i="22" s="1"/>
  <c r="J20" i="22" s="1"/>
  <c r="E20" i="22"/>
  <c r="H20" i="22" s="1"/>
  <c r="K20" i="22" s="1"/>
  <c r="M19" i="26"/>
  <c r="AA17" i="39"/>
  <c r="AC17" i="39" s="1"/>
  <c r="Q17" i="39"/>
  <c r="N18" i="33"/>
  <c r="O18" i="33" s="1"/>
  <c r="P18" i="33"/>
  <c r="U16" i="32"/>
  <c r="AG16" i="32" s="1"/>
  <c r="R16" i="32"/>
  <c r="AD16" i="32" s="1"/>
  <c r="X16" i="32"/>
  <c r="AJ16" i="32" s="1"/>
  <c r="T16" i="32"/>
  <c r="AF16" i="32" s="1"/>
  <c r="S16" i="32"/>
  <c r="AE16" i="32" s="1"/>
  <c r="V16" i="32"/>
  <c r="AH16" i="32" s="1"/>
  <c r="Y16" i="32"/>
  <c r="AK16" i="32" s="1"/>
  <c r="Z16" i="32"/>
  <c r="AL16" i="32" s="1"/>
  <c r="W16" i="32"/>
  <c r="AI16" i="32" s="1"/>
  <c r="Y16" i="26"/>
  <c r="AK16" i="26" s="1"/>
  <c r="W16" i="26"/>
  <c r="AI16" i="26" s="1"/>
  <c r="R16" i="26"/>
  <c r="AD16" i="26" s="1"/>
  <c r="V16" i="26"/>
  <c r="AH16" i="26" s="1"/>
  <c r="S16" i="26"/>
  <c r="AE16" i="26" s="1"/>
  <c r="T16" i="26"/>
  <c r="AF16" i="26" s="1"/>
  <c r="Z16" i="26"/>
  <c r="AL16" i="26" s="1"/>
  <c r="U16" i="26"/>
  <c r="AG16" i="26" s="1"/>
  <c r="X16" i="26"/>
  <c r="AJ16" i="26" s="1"/>
  <c r="Q18" i="24"/>
  <c r="V18" i="36"/>
  <c r="AH18" i="36" s="1"/>
  <c r="D20" i="26"/>
  <c r="G20" i="26" s="1"/>
  <c r="J20" i="26" s="1"/>
  <c r="E20" i="26"/>
  <c r="H20" i="26" s="1"/>
  <c r="K20" i="26" s="1"/>
  <c r="F20" i="26"/>
  <c r="I20" i="26" s="1"/>
  <c r="L20" i="26" s="1"/>
  <c r="C21" i="26"/>
  <c r="AA17" i="26"/>
  <c r="AC17" i="26" s="1"/>
  <c r="Q17" i="26"/>
  <c r="W18" i="36"/>
  <c r="AI18" i="36" s="1"/>
  <c r="U17" i="24"/>
  <c r="AG17" i="24" s="1"/>
  <c r="S17" i="24"/>
  <c r="AE17" i="24" s="1"/>
  <c r="Z17" i="24"/>
  <c r="AL17" i="24" s="1"/>
  <c r="X17" i="24"/>
  <c r="AJ17" i="24" s="1"/>
  <c r="W17" i="24"/>
  <c r="AI17" i="24" s="1"/>
  <c r="Y17" i="24"/>
  <c r="AK17" i="24" s="1"/>
  <c r="T17" i="24"/>
  <c r="AF17" i="24" s="1"/>
  <c r="V17" i="24"/>
  <c r="AH17" i="24" s="1"/>
  <c r="R17" i="24"/>
  <c r="AD17" i="24" s="1"/>
  <c r="Q18" i="30"/>
  <c r="M19" i="39"/>
  <c r="Y20" i="27"/>
  <c r="AK20" i="27" s="1"/>
  <c r="Z20" i="27"/>
  <c r="AL20" i="27" s="1"/>
  <c r="AB17" i="8"/>
  <c r="R18" i="29"/>
  <c r="AD18" i="29" s="1"/>
  <c r="V18" i="29"/>
  <c r="AH18" i="29" s="1"/>
  <c r="U18" i="29"/>
  <c r="AG18" i="29" s="1"/>
  <c r="Y18" i="29"/>
  <c r="AK18" i="29" s="1"/>
  <c r="Y18" i="37"/>
  <c r="AK18" i="37" s="1"/>
  <c r="X18" i="37"/>
  <c r="AJ18" i="37" s="1"/>
  <c r="V18" i="37"/>
  <c r="AH18" i="37" s="1"/>
  <c r="S18" i="37"/>
  <c r="AE18" i="37" s="1"/>
  <c r="Z18" i="37"/>
  <c r="AL18" i="37" s="1"/>
  <c r="X19" i="40"/>
  <c r="AJ19" i="40" s="1"/>
  <c r="Y19" i="40"/>
  <c r="AK19" i="40" s="1"/>
  <c r="AC18" i="34"/>
  <c r="T18" i="34"/>
  <c r="AF18" i="34" s="1"/>
  <c r="R20" i="27"/>
  <c r="AD20" i="27" s="1"/>
  <c r="S18" i="34"/>
  <c r="AE18" i="34" s="1"/>
  <c r="X18" i="21"/>
  <c r="AJ18" i="21" s="1"/>
  <c r="R18" i="21"/>
  <c r="AD18" i="21" s="1"/>
  <c r="U18" i="21"/>
  <c r="AG18" i="21" s="1"/>
  <c r="T18" i="21"/>
  <c r="AF18" i="21" s="1"/>
  <c r="Z18" i="29"/>
  <c r="AL18" i="29" s="1"/>
  <c r="S19" i="19"/>
  <c r="AE19" i="19" s="1"/>
  <c r="T18" i="29"/>
  <c r="AF18" i="29" s="1"/>
  <c r="U18" i="37"/>
  <c r="AG18" i="37" s="1"/>
  <c r="T19" i="40"/>
  <c r="AF19" i="40" s="1"/>
  <c r="U19" i="19"/>
  <c r="AG19" i="19" s="1"/>
  <c r="T18" i="37"/>
  <c r="AF18" i="37" s="1"/>
  <c r="Z19" i="40"/>
  <c r="AL19" i="40" s="1"/>
  <c r="W19" i="40"/>
  <c r="AI19" i="40" s="1"/>
  <c r="AC18" i="28"/>
  <c r="AB18" i="28"/>
  <c r="M20" i="36"/>
  <c r="P20" i="36" s="1"/>
  <c r="S18" i="29"/>
  <c r="AE18" i="29" s="1"/>
  <c r="W18" i="29"/>
  <c r="AI18" i="29" s="1"/>
  <c r="N19" i="29"/>
  <c r="O19" i="29" s="1"/>
  <c r="R18" i="37"/>
  <c r="AD18" i="37" s="1"/>
  <c r="X18" i="29"/>
  <c r="AJ18" i="29" s="1"/>
  <c r="P20" i="38"/>
  <c r="AA20" i="38" s="1"/>
  <c r="AC20" i="38" s="1"/>
  <c r="S18" i="21"/>
  <c r="AE18" i="21" s="1"/>
  <c r="P19" i="28"/>
  <c r="Q19" i="28" s="1"/>
  <c r="AL18" i="34"/>
  <c r="Q19" i="29"/>
  <c r="V19" i="29" s="1"/>
  <c r="Q21" i="27"/>
  <c r="S21" i="27" s="1"/>
  <c r="Q19" i="34"/>
  <c r="X19" i="34" s="1"/>
  <c r="Q19" i="21"/>
  <c r="W19" i="21" s="1"/>
  <c r="AI19" i="21" s="1"/>
  <c r="P19" i="37"/>
  <c r="AA19" i="37" s="1"/>
  <c r="AC19" i="37" s="1"/>
  <c r="M21" i="40"/>
  <c r="P21" i="40" s="1"/>
  <c r="Q18" i="28"/>
  <c r="M22" i="27"/>
  <c r="P22" i="27" s="1"/>
  <c r="S19" i="40"/>
  <c r="AE19" i="40" s="1"/>
  <c r="R19" i="40"/>
  <c r="AD19" i="40" s="1"/>
  <c r="Q18" i="20"/>
  <c r="R18" i="20" s="1"/>
  <c r="Q20" i="19"/>
  <c r="X20" i="19" s="1"/>
  <c r="N19" i="34"/>
  <c r="O19" i="34" s="1"/>
  <c r="Q20" i="40"/>
  <c r="X20" i="40" s="1"/>
  <c r="Q18" i="8"/>
  <c r="V18" i="8" s="1"/>
  <c r="K10" i="1"/>
  <c r="O19" i="36"/>
  <c r="M20" i="37"/>
  <c r="P20" i="37" s="1"/>
  <c r="V19" i="40"/>
  <c r="AH19" i="40" s="1"/>
  <c r="Q19" i="38"/>
  <c r="O19" i="28"/>
  <c r="N21" i="40"/>
  <c r="AC19" i="40"/>
  <c r="C23" i="40"/>
  <c r="F22" i="40"/>
  <c r="I22" i="40" s="1"/>
  <c r="L22" i="40" s="1"/>
  <c r="E22" i="40"/>
  <c r="H22" i="40" s="1"/>
  <c r="K22" i="40" s="1"/>
  <c r="D22" i="40"/>
  <c r="G22" i="40" s="1"/>
  <c r="J22" i="40" s="1"/>
  <c r="O20" i="40"/>
  <c r="AA20" i="40"/>
  <c r="AC20" i="40" s="1"/>
  <c r="M21" i="38"/>
  <c r="O21" i="38" s="1"/>
  <c r="AB19" i="38"/>
  <c r="C23" i="38"/>
  <c r="F23" i="38" s="1"/>
  <c r="D22" i="38"/>
  <c r="G22" i="38" s="1"/>
  <c r="J22" i="38" s="1"/>
  <c r="I22" i="38"/>
  <c r="L22" i="38" s="1"/>
  <c r="H22" i="38"/>
  <c r="K22" i="38" s="1"/>
  <c r="C22" i="37"/>
  <c r="D21" i="37"/>
  <c r="G21" i="37" s="1"/>
  <c r="J21" i="37" s="1"/>
  <c r="F21" i="37"/>
  <c r="I21" i="37" s="1"/>
  <c r="L21" i="37" s="1"/>
  <c r="E21" i="37"/>
  <c r="H21" i="37" s="1"/>
  <c r="K21" i="37" s="1"/>
  <c r="P19" i="36"/>
  <c r="N20" i="36"/>
  <c r="AB18" i="36"/>
  <c r="C22" i="36"/>
  <c r="F22" i="36" s="1"/>
  <c r="D21" i="36"/>
  <c r="G21" i="36" s="1"/>
  <c r="J21" i="36" s="1"/>
  <c r="I21" i="36"/>
  <c r="L21" i="36" s="1"/>
  <c r="E21" i="36"/>
  <c r="H21" i="36" s="1"/>
  <c r="K21" i="36" s="1"/>
  <c r="AE18" i="36"/>
  <c r="M20" i="34"/>
  <c r="P20" i="34" s="1"/>
  <c r="AB18" i="34"/>
  <c r="C22" i="34"/>
  <c r="D21" i="34"/>
  <c r="G21" i="34" s="1"/>
  <c r="J21" i="34" s="1"/>
  <c r="E21" i="34"/>
  <c r="H21" i="34" s="1"/>
  <c r="K21" i="34" s="1"/>
  <c r="I21" i="34"/>
  <c r="L21" i="34" s="1"/>
  <c r="AA19" i="34"/>
  <c r="F22" i="33"/>
  <c r="N22" i="31"/>
  <c r="M20" i="29"/>
  <c r="P20" i="29" s="1"/>
  <c r="C22" i="29"/>
  <c r="D21" i="29"/>
  <c r="G21" i="29" s="1"/>
  <c r="J21" i="29" s="1"/>
  <c r="E21" i="29"/>
  <c r="H21" i="29" s="1"/>
  <c r="K21" i="29" s="1"/>
  <c r="I21" i="29"/>
  <c r="L21" i="29" s="1"/>
  <c r="AA19" i="29"/>
  <c r="M20" i="28"/>
  <c r="N20" i="28" s="1"/>
  <c r="C22" i="28"/>
  <c r="E22" i="28" s="1"/>
  <c r="D21" i="28"/>
  <c r="G21" i="28" s="1"/>
  <c r="J21" i="28" s="1"/>
  <c r="H21" i="28"/>
  <c r="K21" i="28" s="1"/>
  <c r="I21" i="28"/>
  <c r="L21" i="28" s="1"/>
  <c r="AJ20" i="27"/>
  <c r="N22" i="27"/>
  <c r="C24" i="27"/>
  <c r="D23" i="27"/>
  <c r="G23" i="27" s="1"/>
  <c r="J23" i="27" s="1"/>
  <c r="E23" i="27"/>
  <c r="H23" i="27" s="1"/>
  <c r="K23" i="27" s="1"/>
  <c r="F23" i="27"/>
  <c r="I23" i="27" s="1"/>
  <c r="L23" i="27" s="1"/>
  <c r="AB20" i="27"/>
  <c r="AA21" i="27"/>
  <c r="AC21" i="27" s="1"/>
  <c r="O21" i="27"/>
  <c r="N22" i="25"/>
  <c r="E23" i="25"/>
  <c r="F23" i="25"/>
  <c r="P20" i="21"/>
  <c r="AA20" i="21" s="1"/>
  <c r="AC20" i="21" s="1"/>
  <c r="AB18" i="21"/>
  <c r="T17" i="8"/>
  <c r="AF17" i="8" s="1"/>
  <c r="Z17" i="8"/>
  <c r="AL17" i="8" s="1"/>
  <c r="AA19" i="21"/>
  <c r="AC19" i="21" s="1"/>
  <c r="S17" i="8"/>
  <c r="AE17" i="8" s="1"/>
  <c r="V17" i="8"/>
  <c r="AH17" i="8" s="1"/>
  <c r="R17" i="8"/>
  <c r="AD17" i="8" s="1"/>
  <c r="X17" i="8"/>
  <c r="AJ17" i="8" s="1"/>
  <c r="W17" i="8"/>
  <c r="AI17" i="8" s="1"/>
  <c r="Y17" i="8"/>
  <c r="AK17" i="8" s="1"/>
  <c r="AG17" i="8"/>
  <c r="O18" i="8"/>
  <c r="AJ19" i="19"/>
  <c r="AB17" i="20"/>
  <c r="K11" i="1" s="1"/>
  <c r="M21" i="21"/>
  <c r="O21" i="21" s="1"/>
  <c r="C23" i="21"/>
  <c r="D22" i="21"/>
  <c r="G22" i="21" s="1"/>
  <c r="J22" i="21" s="1"/>
  <c r="I22" i="21"/>
  <c r="L22" i="21" s="1"/>
  <c r="H22" i="21"/>
  <c r="K22" i="21" s="1"/>
  <c r="AJ17" i="20"/>
  <c r="N19" i="20"/>
  <c r="C21" i="20"/>
  <c r="E20" i="20"/>
  <c r="F20" i="20"/>
  <c r="I20" i="20" s="1"/>
  <c r="L20" i="20" s="1"/>
  <c r="D20" i="20"/>
  <c r="G20" i="20" s="1"/>
  <c r="J20" i="20" s="1"/>
  <c r="AA18" i="20"/>
  <c r="AC18" i="20" s="1"/>
  <c r="O18" i="20"/>
  <c r="N21" i="19"/>
  <c r="C23" i="19"/>
  <c r="D22" i="19"/>
  <c r="E22" i="19"/>
  <c r="F22" i="19"/>
  <c r="AA20" i="19"/>
  <c r="AC20" i="19" s="1"/>
  <c r="AB19" i="19"/>
  <c r="O20" i="19"/>
  <c r="AA18" i="8"/>
  <c r="AC18" i="8" s="1"/>
  <c r="P19" i="8"/>
  <c r="N19" i="8"/>
  <c r="M20" i="8"/>
  <c r="P20" i="8" s="1"/>
  <c r="C22" i="8"/>
  <c r="E22" i="8" s="1"/>
  <c r="F21" i="8"/>
  <c r="I21" i="8" s="1"/>
  <c r="L21" i="8" s="1"/>
  <c r="D21" i="8"/>
  <c r="G21" i="8" s="1"/>
  <c r="J21" i="8" s="1"/>
  <c r="H21" i="8"/>
  <c r="K21" i="8" s="1"/>
  <c r="S25" i="44" l="1"/>
  <c r="DA14" i="1"/>
  <c r="AF26" i="52"/>
  <c r="CY13" i="1"/>
  <c r="DE13" i="1" s="1"/>
  <c r="DN13" i="1" s="1"/>
  <c r="CU14" i="1"/>
  <c r="CY14" i="1" s="1"/>
  <c r="CZ14" i="1" s="1"/>
  <c r="AG26" i="52"/>
  <c r="CD16" i="1"/>
  <c r="AL26" i="52"/>
  <c r="AH26" i="52"/>
  <c r="AE26" i="52"/>
  <c r="ED15" i="1"/>
  <c r="DO15" i="1" s="1"/>
  <c r="CK17" i="1"/>
  <c r="EM17" i="1"/>
  <c r="CH17" i="1"/>
  <c r="EJ17" i="1"/>
  <c r="CL17" i="1"/>
  <c r="EN17" i="1"/>
  <c r="CT15" i="1"/>
  <c r="DA50" i="1" s="1"/>
  <c r="DA51" i="1" s="1"/>
  <c r="CJ17" i="1"/>
  <c r="EL17" i="1"/>
  <c r="CD17" i="1"/>
  <c r="EF17" i="1"/>
  <c r="CH16" i="1"/>
  <c r="EJ16" i="1"/>
  <c r="CN16" i="1"/>
  <c r="EP16" i="1"/>
  <c r="CN17" i="1"/>
  <c r="EP17" i="1"/>
  <c r="CO16" i="1"/>
  <c r="EQ16" i="1"/>
  <c r="CM16" i="1"/>
  <c r="EO16" i="1"/>
  <c r="CO17" i="1"/>
  <c r="EQ17" i="1"/>
  <c r="CI16" i="1"/>
  <c r="EK16" i="1"/>
  <c r="CJ16" i="1"/>
  <c r="EL16" i="1"/>
  <c r="CM17" i="1"/>
  <c r="EO17" i="1"/>
  <c r="CL16" i="1"/>
  <c r="EN16" i="1"/>
  <c r="CF16" i="1"/>
  <c r="EH16" i="1"/>
  <c r="CI17" i="1"/>
  <c r="EK17" i="1"/>
  <c r="CK16" i="1"/>
  <c r="EM16" i="1"/>
  <c r="CZ13" i="1"/>
  <c r="DM13" i="1" s="1"/>
  <c r="DP13" i="1" s="1"/>
  <c r="AI26" i="52"/>
  <c r="AJ25" i="43"/>
  <c r="AK26" i="52"/>
  <c r="AJ26" i="52"/>
  <c r="R26" i="50"/>
  <c r="AD26" i="50" s="1"/>
  <c r="U26" i="50"/>
  <c r="AG26" i="50" s="1"/>
  <c r="W26" i="50"/>
  <c r="AI26" i="50" s="1"/>
  <c r="X26" i="50"/>
  <c r="AJ26" i="50" s="1"/>
  <c r="Y26" i="50"/>
  <c r="AK26" i="50" s="1"/>
  <c r="Y26" i="51"/>
  <c r="AK26" i="51" s="1"/>
  <c r="X26" i="51"/>
  <c r="AJ26" i="51" s="1"/>
  <c r="AC26" i="48"/>
  <c r="U26" i="51"/>
  <c r="AG26" i="51" s="1"/>
  <c r="DK15" i="1"/>
  <c r="DL15" i="1" s="1"/>
  <c r="V26" i="50"/>
  <c r="AH26" i="50" s="1"/>
  <c r="W26" i="51"/>
  <c r="AI26" i="51" s="1"/>
  <c r="CC16" i="1"/>
  <c r="DH16" i="1"/>
  <c r="DI16" i="1"/>
  <c r="DJ16" i="1" s="1"/>
  <c r="T26" i="51"/>
  <c r="AF26" i="51" s="1"/>
  <c r="AB26" i="47"/>
  <c r="Z26" i="51"/>
  <c r="AL26" i="51" s="1"/>
  <c r="AA26" i="51"/>
  <c r="AB26" i="51" s="1"/>
  <c r="S26" i="51"/>
  <c r="AE26" i="51" s="1"/>
  <c r="AB24" i="59"/>
  <c r="V26" i="51"/>
  <c r="AH26" i="51" s="1"/>
  <c r="AC25" i="49"/>
  <c r="M28" i="49"/>
  <c r="X25" i="49"/>
  <c r="AJ25" i="49" s="1"/>
  <c r="R25" i="49"/>
  <c r="AD25" i="49" s="1"/>
  <c r="Z25" i="49"/>
  <c r="AL25" i="49" s="1"/>
  <c r="S25" i="49"/>
  <c r="AE25" i="49" s="1"/>
  <c r="Y25" i="49"/>
  <c r="AK25" i="49" s="1"/>
  <c r="U25" i="49"/>
  <c r="AG25" i="49" s="1"/>
  <c r="T25" i="49"/>
  <c r="AF25" i="49" s="1"/>
  <c r="V25" i="49"/>
  <c r="AH25" i="49" s="1"/>
  <c r="W25" i="49"/>
  <c r="AI25" i="49" s="1"/>
  <c r="R26" i="49"/>
  <c r="AD26" i="49" s="1"/>
  <c r="Z26" i="49"/>
  <c r="AL26" i="49" s="1"/>
  <c r="S26" i="49"/>
  <c r="AE26" i="49" s="1"/>
  <c r="T26" i="49"/>
  <c r="AF26" i="49" s="1"/>
  <c r="V26" i="49"/>
  <c r="AH26" i="49" s="1"/>
  <c r="Y26" i="49"/>
  <c r="AK26" i="49" s="1"/>
  <c r="X26" i="49"/>
  <c r="AJ26" i="49" s="1"/>
  <c r="W26" i="49"/>
  <c r="AI26" i="49" s="1"/>
  <c r="U26" i="49"/>
  <c r="AG26" i="49" s="1"/>
  <c r="AA26" i="49"/>
  <c r="AC26" i="49" s="1"/>
  <c r="P27" i="49"/>
  <c r="Q27" i="49" s="1"/>
  <c r="N27" i="49"/>
  <c r="O27" i="49" s="1"/>
  <c r="C30" i="49"/>
  <c r="E29" i="49"/>
  <c r="H29" i="49" s="1"/>
  <c r="K29" i="49" s="1"/>
  <c r="F29" i="49"/>
  <c r="I29" i="49" s="1"/>
  <c r="L29" i="49" s="1"/>
  <c r="D29" i="49"/>
  <c r="G29" i="49" s="1"/>
  <c r="J29" i="49" s="1"/>
  <c r="Z26" i="65"/>
  <c r="AL26" i="65" s="1"/>
  <c r="AA27" i="45"/>
  <c r="AC27" i="45" s="1"/>
  <c r="DB14" i="1"/>
  <c r="DC14" i="1" s="1"/>
  <c r="AA26" i="50"/>
  <c r="AC26" i="50" s="1"/>
  <c r="AG25" i="58"/>
  <c r="R27" i="45"/>
  <c r="AD27" i="45" s="1"/>
  <c r="AK25" i="43"/>
  <c r="N27" i="48"/>
  <c r="O27" i="48" s="1"/>
  <c r="AI27" i="47"/>
  <c r="AG27" i="47"/>
  <c r="U27" i="45"/>
  <c r="AG27" i="45" s="1"/>
  <c r="AL27" i="47"/>
  <c r="AE25" i="43"/>
  <c r="W25" i="56"/>
  <c r="AI25" i="56" s="1"/>
  <c r="AB24" i="43"/>
  <c r="AH25" i="43"/>
  <c r="CS15" i="1"/>
  <c r="DF15" i="1" s="1"/>
  <c r="AB25" i="50"/>
  <c r="BZ16" i="1"/>
  <c r="AL25" i="43"/>
  <c r="O26" i="56"/>
  <c r="AD25" i="43"/>
  <c r="M21" i="19"/>
  <c r="P21" i="19" s="1"/>
  <c r="T27" i="45"/>
  <c r="AF27" i="45" s="1"/>
  <c r="AD27" i="47"/>
  <c r="N27" i="51"/>
  <c r="O27" i="51" s="1"/>
  <c r="W27" i="45"/>
  <c r="AI27" i="45" s="1"/>
  <c r="AH27" i="47"/>
  <c r="W26" i="65"/>
  <c r="AI26" i="65" s="1"/>
  <c r="AG25" i="43"/>
  <c r="AC25" i="60"/>
  <c r="Y26" i="65"/>
  <c r="AK26" i="65" s="1"/>
  <c r="S27" i="45"/>
  <c r="AE27" i="45" s="1"/>
  <c r="R25" i="56"/>
  <c r="AD25" i="56" s="1"/>
  <c r="X27" i="45"/>
  <c r="AJ27" i="45" s="1"/>
  <c r="BY16" i="1"/>
  <c r="AD25" i="63"/>
  <c r="AF25" i="43"/>
  <c r="P26" i="44"/>
  <c r="Q26" i="44" s="1"/>
  <c r="X26" i="44" s="1"/>
  <c r="AJ26" i="44" s="1"/>
  <c r="Y27" i="45"/>
  <c r="AK27" i="45" s="1"/>
  <c r="AA26" i="65"/>
  <c r="AC26" i="65" s="1"/>
  <c r="S26" i="65"/>
  <c r="AE26" i="65" s="1"/>
  <c r="T25" i="56"/>
  <c r="AF25" i="56" s="1"/>
  <c r="U25" i="56"/>
  <c r="AG25" i="56" s="1"/>
  <c r="AK27" i="47"/>
  <c r="V25" i="56"/>
  <c r="AH25" i="56" s="1"/>
  <c r="AB24" i="57"/>
  <c r="AE27" i="47"/>
  <c r="P26" i="43"/>
  <c r="Q26" i="43" s="1"/>
  <c r="V26" i="43" s="1"/>
  <c r="AH26" i="43" s="1"/>
  <c r="AF27" i="47"/>
  <c r="AA25" i="55"/>
  <c r="AB25" i="55" s="1"/>
  <c r="AB23" i="46"/>
  <c r="BN17" i="1" s="1"/>
  <c r="AJ27" i="47"/>
  <c r="Y25" i="56"/>
  <c r="AK25" i="56" s="1"/>
  <c r="AA25" i="56"/>
  <c r="AC25" i="56" s="1"/>
  <c r="Z25" i="56"/>
  <c r="AL25" i="56" s="1"/>
  <c r="AK25" i="63"/>
  <c r="X25" i="56"/>
  <c r="AJ25" i="56" s="1"/>
  <c r="AI25" i="43"/>
  <c r="AL25" i="63"/>
  <c r="R26" i="65"/>
  <c r="AD26" i="65" s="1"/>
  <c r="M27" i="43"/>
  <c r="O27" i="43" s="1"/>
  <c r="P26" i="55"/>
  <c r="Q26" i="55" s="1"/>
  <c r="N26" i="55"/>
  <c r="O26" i="55" s="1"/>
  <c r="AF25" i="63"/>
  <c r="T26" i="65"/>
  <c r="AF26" i="65" s="1"/>
  <c r="AB25" i="43"/>
  <c r="P26" i="57"/>
  <c r="Q26" i="57" s="1"/>
  <c r="U26" i="57" s="1"/>
  <c r="AG26" i="57" s="1"/>
  <c r="M27" i="55"/>
  <c r="M27" i="56"/>
  <c r="P27" i="56" s="1"/>
  <c r="Q27" i="56" s="1"/>
  <c r="BZ17" i="1"/>
  <c r="D28" i="43"/>
  <c r="G28" i="43" s="1"/>
  <c r="J28" i="43" s="1"/>
  <c r="C29" i="43"/>
  <c r="H28" i="43"/>
  <c r="K28" i="43" s="1"/>
  <c r="F28" i="43"/>
  <c r="I28" i="43" s="1"/>
  <c r="L28" i="43" s="1"/>
  <c r="P25" i="46"/>
  <c r="Q25" i="46" s="1"/>
  <c r="O25" i="46"/>
  <c r="AA26" i="56"/>
  <c r="AC26" i="56" s="1"/>
  <c r="I28" i="56"/>
  <c r="L28" i="56" s="1"/>
  <c r="C29" i="56"/>
  <c r="D28" i="56"/>
  <c r="G28" i="56" s="1"/>
  <c r="J28" i="56" s="1"/>
  <c r="E28" i="56"/>
  <c r="H28" i="56" s="1"/>
  <c r="K28" i="56" s="1"/>
  <c r="Z26" i="56"/>
  <c r="Y26" i="56"/>
  <c r="X26" i="56"/>
  <c r="W26" i="56"/>
  <c r="U26" i="56"/>
  <c r="R26" i="56"/>
  <c r="T26" i="56"/>
  <c r="S26" i="56"/>
  <c r="V26" i="56"/>
  <c r="AB24" i="63"/>
  <c r="U26" i="65"/>
  <c r="AG26" i="65" s="1"/>
  <c r="AB25" i="65"/>
  <c r="Z25" i="55"/>
  <c r="AL25" i="55" s="1"/>
  <c r="Y25" i="55"/>
  <c r="AK25" i="55" s="1"/>
  <c r="X25" i="55"/>
  <c r="AJ25" i="55" s="1"/>
  <c r="W25" i="55"/>
  <c r="AI25" i="55" s="1"/>
  <c r="V25" i="55"/>
  <c r="AH25" i="55" s="1"/>
  <c r="U25" i="55"/>
  <c r="AG25" i="55" s="1"/>
  <c r="T25" i="55"/>
  <c r="AF25" i="55" s="1"/>
  <c r="S25" i="55"/>
  <c r="AE25" i="55" s="1"/>
  <c r="R25" i="55"/>
  <c r="AD25" i="55" s="1"/>
  <c r="I28" i="55"/>
  <c r="L28" i="55" s="1"/>
  <c r="C29" i="55"/>
  <c r="D28" i="55"/>
  <c r="G28" i="55" s="1"/>
  <c r="J28" i="55" s="1"/>
  <c r="E28" i="55"/>
  <c r="H28" i="55" s="1"/>
  <c r="K28" i="55" s="1"/>
  <c r="X26" i="65"/>
  <c r="AJ26" i="65" s="1"/>
  <c r="Q24" i="46"/>
  <c r="AA24" i="46"/>
  <c r="M26" i="46"/>
  <c r="C28" i="46"/>
  <c r="I27" i="46"/>
  <c r="L27" i="46" s="1"/>
  <c r="D27" i="46"/>
  <c r="G27" i="46" s="1"/>
  <c r="J27" i="46" s="1"/>
  <c r="H27" i="46"/>
  <c r="K27" i="46" s="1"/>
  <c r="AB24" i="55"/>
  <c r="AB25" i="63"/>
  <c r="V25" i="62"/>
  <c r="AH25" i="62" s="1"/>
  <c r="AE25" i="58"/>
  <c r="V27" i="45"/>
  <c r="AH27" i="45" s="1"/>
  <c r="AI25" i="58"/>
  <c r="V19" i="23"/>
  <c r="Y19" i="23"/>
  <c r="S19" i="23"/>
  <c r="R19" i="23"/>
  <c r="W19" i="23"/>
  <c r="T19" i="23"/>
  <c r="Z19" i="23"/>
  <c r="U19" i="23"/>
  <c r="P26" i="59"/>
  <c r="Q26" i="59" s="1"/>
  <c r="S26" i="59" s="1"/>
  <c r="AE26" i="59" s="1"/>
  <c r="AI25" i="63"/>
  <c r="AJ25" i="63"/>
  <c r="CC17" i="1"/>
  <c r="AC25" i="59"/>
  <c r="AE25" i="63"/>
  <c r="AJ25" i="64"/>
  <c r="AG25" i="63"/>
  <c r="AH25" i="63"/>
  <c r="S25" i="62"/>
  <c r="AE25" i="62" s="1"/>
  <c r="Z25" i="62"/>
  <c r="AL25" i="62" s="1"/>
  <c r="AB25" i="59"/>
  <c r="O26" i="63"/>
  <c r="R25" i="62"/>
  <c r="AD25" i="62" s="1"/>
  <c r="AB25" i="64"/>
  <c r="O27" i="65"/>
  <c r="AE26" i="54"/>
  <c r="AB25" i="53"/>
  <c r="AF25" i="64"/>
  <c r="M27" i="62"/>
  <c r="O27" i="62" s="1"/>
  <c r="AL25" i="58"/>
  <c r="AJ25" i="60"/>
  <c r="T25" i="62"/>
  <c r="AF25" i="62" s="1"/>
  <c r="AB27" i="47"/>
  <c r="U25" i="62"/>
  <c r="AG25" i="62" s="1"/>
  <c r="AK25" i="64"/>
  <c r="M27" i="44"/>
  <c r="N27" i="44" s="1"/>
  <c r="O27" i="44" s="1"/>
  <c r="P28" i="45"/>
  <c r="Q28" i="45" s="1"/>
  <c r="V28" i="45" s="1"/>
  <c r="AH28" i="45" s="1"/>
  <c r="AC25" i="53"/>
  <c r="R25" i="57"/>
  <c r="AD25" i="57" s="1"/>
  <c r="AJ25" i="58"/>
  <c r="AG25" i="60"/>
  <c r="W25" i="62"/>
  <c r="AI25" i="62" s="1"/>
  <c r="N27" i="54"/>
  <c r="O27" i="54" s="1"/>
  <c r="X25" i="62"/>
  <c r="AJ25" i="62" s="1"/>
  <c r="AI25" i="64"/>
  <c r="AI26" i="54"/>
  <c r="AA25" i="62"/>
  <c r="AC25" i="62" s="1"/>
  <c r="AJ26" i="54"/>
  <c r="N26" i="58"/>
  <c r="O26" i="58" s="1"/>
  <c r="P27" i="50"/>
  <c r="Q27" i="50" s="1"/>
  <c r="R27" i="50" s="1"/>
  <c r="AD27" i="50" s="1"/>
  <c r="AK26" i="54"/>
  <c r="U25" i="57"/>
  <c r="AG25" i="57" s="1"/>
  <c r="AH25" i="58"/>
  <c r="AH25" i="60"/>
  <c r="P26" i="62"/>
  <c r="Q26" i="62" s="1"/>
  <c r="U26" i="62" s="1"/>
  <c r="AG26" i="62" s="1"/>
  <c r="AG25" i="64"/>
  <c r="N26" i="64"/>
  <c r="O26" i="64" s="1"/>
  <c r="X19" i="23"/>
  <c r="AB26" i="52"/>
  <c r="AL26" i="54"/>
  <c r="V25" i="57"/>
  <c r="AH25" i="57" s="1"/>
  <c r="AD25" i="64"/>
  <c r="P28" i="47"/>
  <c r="Q28" i="47" s="1"/>
  <c r="W28" i="47" s="1"/>
  <c r="AI28" i="47" s="1"/>
  <c r="W25" i="57"/>
  <c r="AI25" i="57" s="1"/>
  <c r="X25" i="57"/>
  <c r="AJ25" i="57" s="1"/>
  <c r="AC25" i="64"/>
  <c r="AL25" i="64"/>
  <c r="AH25" i="44"/>
  <c r="S25" i="57"/>
  <c r="AE25" i="57" s="1"/>
  <c r="AB25" i="58"/>
  <c r="M27" i="63"/>
  <c r="O27" i="63" s="1"/>
  <c r="AH25" i="64"/>
  <c r="O27" i="52"/>
  <c r="T25" i="57"/>
  <c r="AF25" i="57" s="1"/>
  <c r="AH25" i="53"/>
  <c r="AG26" i="54"/>
  <c r="Z25" i="57"/>
  <c r="AL25" i="57" s="1"/>
  <c r="AL25" i="44"/>
  <c r="AH26" i="54"/>
  <c r="AF25" i="58"/>
  <c r="AD25" i="60"/>
  <c r="AE25" i="64"/>
  <c r="M27" i="64"/>
  <c r="P27" i="64" s="1"/>
  <c r="Q27" i="64" s="1"/>
  <c r="M28" i="65"/>
  <c r="O28" i="65" s="1"/>
  <c r="C30" i="65"/>
  <c r="G29" i="65"/>
  <c r="J29" i="65" s="1"/>
  <c r="I29" i="65"/>
  <c r="L29" i="65" s="1"/>
  <c r="H29" i="65"/>
  <c r="K29" i="65" s="1"/>
  <c r="X27" i="65"/>
  <c r="W27" i="65"/>
  <c r="Z27" i="65"/>
  <c r="Y27" i="65"/>
  <c r="V27" i="65"/>
  <c r="U27" i="65"/>
  <c r="T27" i="65"/>
  <c r="R27" i="65"/>
  <c r="S27" i="65"/>
  <c r="AA27" i="65"/>
  <c r="AC27" i="65" s="1"/>
  <c r="C29" i="64"/>
  <c r="E28" i="64"/>
  <c r="H28" i="64" s="1"/>
  <c r="K28" i="64" s="1"/>
  <c r="F28" i="64"/>
  <c r="I28" i="64" s="1"/>
  <c r="L28" i="64" s="1"/>
  <c r="D28" i="64"/>
  <c r="G28" i="64" s="1"/>
  <c r="J28" i="64" s="1"/>
  <c r="T26" i="64"/>
  <c r="S26" i="64"/>
  <c r="V26" i="64"/>
  <c r="Z26" i="64"/>
  <c r="Y26" i="64"/>
  <c r="X26" i="64"/>
  <c r="W26" i="64"/>
  <c r="U26" i="64"/>
  <c r="R26" i="64"/>
  <c r="AA26" i="64"/>
  <c r="C29" i="63"/>
  <c r="D28" i="63"/>
  <c r="G28" i="63" s="1"/>
  <c r="J28" i="63" s="1"/>
  <c r="F28" i="63"/>
  <c r="I28" i="63" s="1"/>
  <c r="L28" i="63" s="1"/>
  <c r="H28" i="63"/>
  <c r="K28" i="63" s="1"/>
  <c r="T26" i="63"/>
  <c r="S26" i="63"/>
  <c r="V26" i="63"/>
  <c r="Z26" i="63"/>
  <c r="Y26" i="63"/>
  <c r="X26" i="63"/>
  <c r="W26" i="63"/>
  <c r="U26" i="63"/>
  <c r="R26" i="63"/>
  <c r="AA26" i="63"/>
  <c r="AC26" i="63" s="1"/>
  <c r="C29" i="62"/>
  <c r="D28" i="62"/>
  <c r="G28" i="62" s="1"/>
  <c r="J28" i="62" s="1"/>
  <c r="I28" i="62"/>
  <c r="L28" i="62" s="1"/>
  <c r="H28" i="62"/>
  <c r="K28" i="62" s="1"/>
  <c r="M27" i="61"/>
  <c r="C29" i="61"/>
  <c r="F28" i="61"/>
  <c r="L28" i="61" s="1"/>
  <c r="E28" i="61"/>
  <c r="K28" i="61" s="1"/>
  <c r="D28" i="61"/>
  <c r="AB25" i="60"/>
  <c r="N26" i="60"/>
  <c r="O26" i="60" s="1"/>
  <c r="AL25" i="60"/>
  <c r="M27" i="60"/>
  <c r="N27" i="60" s="1"/>
  <c r="C29" i="60"/>
  <c r="E28" i="60"/>
  <c r="H28" i="60" s="1"/>
  <c r="K28" i="60" s="1"/>
  <c r="D28" i="60"/>
  <c r="G28" i="60" s="1"/>
  <c r="J28" i="60" s="1"/>
  <c r="I28" i="60"/>
  <c r="L28" i="60" s="1"/>
  <c r="AE25" i="60"/>
  <c r="AF25" i="60"/>
  <c r="AK25" i="60"/>
  <c r="S26" i="60"/>
  <c r="X26" i="60"/>
  <c r="W26" i="60"/>
  <c r="Z26" i="60"/>
  <c r="Y26" i="60"/>
  <c r="V26" i="60"/>
  <c r="U26" i="60"/>
  <c r="T26" i="60"/>
  <c r="R26" i="60"/>
  <c r="AA26" i="60"/>
  <c r="AI25" i="60"/>
  <c r="AD25" i="59"/>
  <c r="AF25" i="59"/>
  <c r="AG25" i="59"/>
  <c r="AK25" i="59"/>
  <c r="M27" i="59"/>
  <c r="N27" i="59" s="1"/>
  <c r="AJ25" i="59"/>
  <c r="C29" i="59"/>
  <c r="E28" i="59"/>
  <c r="H28" i="59" s="1"/>
  <c r="K28" i="59" s="1"/>
  <c r="D28" i="59"/>
  <c r="G28" i="59" s="1"/>
  <c r="J28" i="59" s="1"/>
  <c r="I28" i="59"/>
  <c r="L28" i="59" s="1"/>
  <c r="AE25" i="59"/>
  <c r="AL25" i="59"/>
  <c r="AH25" i="59"/>
  <c r="AI25" i="59"/>
  <c r="M27" i="58"/>
  <c r="P27" i="58" s="1"/>
  <c r="Q27" i="58" s="1"/>
  <c r="AD25" i="58"/>
  <c r="AK25" i="58"/>
  <c r="AC25" i="58"/>
  <c r="C29" i="58"/>
  <c r="D28" i="58"/>
  <c r="G28" i="58" s="1"/>
  <c r="J28" i="58" s="1"/>
  <c r="E28" i="58"/>
  <c r="H28" i="58" s="1"/>
  <c r="K28" i="58" s="1"/>
  <c r="I28" i="58"/>
  <c r="L28" i="58" s="1"/>
  <c r="T26" i="58"/>
  <c r="S26" i="58"/>
  <c r="R26" i="58"/>
  <c r="Y26" i="58"/>
  <c r="X26" i="58"/>
  <c r="W26" i="58"/>
  <c r="V26" i="58"/>
  <c r="Z26" i="58"/>
  <c r="U26" i="58"/>
  <c r="AA26" i="58"/>
  <c r="M27" i="57"/>
  <c r="P27" i="57" s="1"/>
  <c r="Q27" i="57" s="1"/>
  <c r="AA25" i="57"/>
  <c r="C29" i="57"/>
  <c r="E28" i="57"/>
  <c r="H28" i="57" s="1"/>
  <c r="K28" i="57" s="1"/>
  <c r="D28" i="57"/>
  <c r="G28" i="57" s="1"/>
  <c r="J28" i="57" s="1"/>
  <c r="F28" i="57"/>
  <c r="I28" i="57" s="1"/>
  <c r="L28" i="57" s="1"/>
  <c r="AF26" i="54"/>
  <c r="AB26" i="54"/>
  <c r="AD26" i="54"/>
  <c r="M28" i="54"/>
  <c r="P28" i="54" s="1"/>
  <c r="Q28" i="54" s="1"/>
  <c r="AC26" i="54"/>
  <c r="C30" i="54"/>
  <c r="D29" i="54"/>
  <c r="G29" i="54" s="1"/>
  <c r="J29" i="54" s="1"/>
  <c r="E29" i="54"/>
  <c r="H29" i="54" s="1"/>
  <c r="K29" i="54" s="1"/>
  <c r="I29" i="54"/>
  <c r="L29" i="54" s="1"/>
  <c r="X27" i="54"/>
  <c r="W27" i="54"/>
  <c r="Y27" i="54"/>
  <c r="V27" i="54"/>
  <c r="U27" i="54"/>
  <c r="T27" i="54"/>
  <c r="S27" i="54"/>
  <c r="R27" i="54"/>
  <c r="Z27" i="54"/>
  <c r="AA27" i="54"/>
  <c r="AD25" i="53"/>
  <c r="N26" i="53"/>
  <c r="O26" i="53" s="1"/>
  <c r="AF25" i="53"/>
  <c r="AJ25" i="53"/>
  <c r="AL25" i="53"/>
  <c r="AK25" i="53"/>
  <c r="M27" i="53"/>
  <c r="P27" i="53" s="1"/>
  <c r="AG25" i="53"/>
  <c r="AE25" i="53"/>
  <c r="C29" i="53"/>
  <c r="E28" i="53"/>
  <c r="H28" i="53" s="1"/>
  <c r="K28" i="53" s="1"/>
  <c r="D28" i="53"/>
  <c r="G28" i="53" s="1"/>
  <c r="J28" i="53" s="1"/>
  <c r="I28" i="53"/>
  <c r="L28" i="53" s="1"/>
  <c r="AA26" i="53"/>
  <c r="T26" i="53"/>
  <c r="U26" i="53"/>
  <c r="S26" i="53"/>
  <c r="Y26" i="53"/>
  <c r="Z26" i="53"/>
  <c r="X26" i="53"/>
  <c r="W26" i="53"/>
  <c r="V26" i="53"/>
  <c r="R26" i="53"/>
  <c r="AI25" i="53"/>
  <c r="M28" i="52"/>
  <c r="P28" i="52" s="1"/>
  <c r="Q28" i="52" s="1"/>
  <c r="C30" i="52"/>
  <c r="D29" i="52"/>
  <c r="G29" i="52" s="1"/>
  <c r="J29" i="52" s="1"/>
  <c r="H29" i="52"/>
  <c r="K29" i="52" s="1"/>
  <c r="I29" i="52"/>
  <c r="L29" i="52" s="1"/>
  <c r="X27" i="52"/>
  <c r="W27" i="52"/>
  <c r="Z27" i="52"/>
  <c r="U27" i="52"/>
  <c r="T27" i="52"/>
  <c r="S27" i="52"/>
  <c r="R27" i="52"/>
  <c r="Y27" i="52"/>
  <c r="V27" i="52"/>
  <c r="AA27" i="52"/>
  <c r="AC27" i="52" s="1"/>
  <c r="M28" i="51"/>
  <c r="AA27" i="51"/>
  <c r="C30" i="51"/>
  <c r="F29" i="51"/>
  <c r="I29" i="51" s="1"/>
  <c r="L29" i="51" s="1"/>
  <c r="E29" i="51"/>
  <c r="H29" i="51" s="1"/>
  <c r="K29" i="51" s="1"/>
  <c r="D29" i="51"/>
  <c r="G29" i="51" s="1"/>
  <c r="J29" i="51" s="1"/>
  <c r="X27" i="51"/>
  <c r="W27" i="51"/>
  <c r="Z27" i="51"/>
  <c r="Y27" i="51"/>
  <c r="U27" i="51"/>
  <c r="V27" i="51"/>
  <c r="T27" i="51"/>
  <c r="S27" i="51"/>
  <c r="R27" i="51"/>
  <c r="M28" i="50"/>
  <c r="P28" i="50" s="1"/>
  <c r="Q28" i="50" s="1"/>
  <c r="C30" i="50"/>
  <c r="D29" i="50"/>
  <c r="G29" i="50" s="1"/>
  <c r="J29" i="50" s="1"/>
  <c r="I29" i="50"/>
  <c r="L29" i="50" s="1"/>
  <c r="H29" i="50"/>
  <c r="K29" i="50" s="1"/>
  <c r="AB26" i="48"/>
  <c r="AA27" i="48"/>
  <c r="AC27" i="48" s="1"/>
  <c r="M28" i="48"/>
  <c r="N28" i="48" s="1"/>
  <c r="AD26" i="48"/>
  <c r="AJ26" i="48"/>
  <c r="C30" i="48"/>
  <c r="D29" i="48"/>
  <c r="G29" i="48" s="1"/>
  <c r="J29" i="48" s="1"/>
  <c r="F29" i="48"/>
  <c r="I29" i="48" s="1"/>
  <c r="L29" i="48" s="1"/>
  <c r="E29" i="48"/>
  <c r="H29" i="48" s="1"/>
  <c r="K29" i="48" s="1"/>
  <c r="AI26" i="48"/>
  <c r="AK26" i="48"/>
  <c r="AL26" i="48"/>
  <c r="AH26" i="48"/>
  <c r="X27" i="48"/>
  <c r="W27" i="48"/>
  <c r="Z27" i="48"/>
  <c r="T27" i="48"/>
  <c r="S27" i="48"/>
  <c r="R27" i="48"/>
  <c r="Y27" i="48"/>
  <c r="V27" i="48"/>
  <c r="U27" i="48"/>
  <c r="AE26" i="48"/>
  <c r="AG26" i="48"/>
  <c r="AF26" i="48"/>
  <c r="M29" i="47"/>
  <c r="O29" i="47" s="1"/>
  <c r="C31" i="47"/>
  <c r="E30" i="47"/>
  <c r="H30" i="47" s="1"/>
  <c r="K30" i="47" s="1"/>
  <c r="F30" i="47"/>
  <c r="I30" i="47" s="1"/>
  <c r="L30" i="47" s="1"/>
  <c r="D30" i="47"/>
  <c r="G30" i="47" s="1"/>
  <c r="J30" i="47" s="1"/>
  <c r="M29" i="45"/>
  <c r="O29" i="45" s="1"/>
  <c r="C31" i="45"/>
  <c r="H30" i="45"/>
  <c r="K30" i="45" s="1"/>
  <c r="D30" i="45"/>
  <c r="G30" i="45" s="1"/>
  <c r="J30" i="45" s="1"/>
  <c r="I30" i="45"/>
  <c r="L30" i="45" s="1"/>
  <c r="AA26" i="44"/>
  <c r="AC26" i="44" s="1"/>
  <c r="AK25" i="44"/>
  <c r="C29" i="44"/>
  <c r="F28" i="44"/>
  <c r="I28" i="44" s="1"/>
  <c r="L28" i="44" s="1"/>
  <c r="E28" i="44"/>
  <c r="H28" i="44" s="1"/>
  <c r="K28" i="44" s="1"/>
  <c r="D28" i="44"/>
  <c r="G28" i="44" s="1"/>
  <c r="J28" i="44" s="1"/>
  <c r="AJ25" i="44"/>
  <c r="AD25" i="44"/>
  <c r="AI25" i="44"/>
  <c r="AF25" i="44"/>
  <c r="AG25" i="44"/>
  <c r="S26" i="44"/>
  <c r="AE26" i="44" s="1"/>
  <c r="U26" i="44"/>
  <c r="AG26" i="44" s="1"/>
  <c r="AB25" i="44"/>
  <c r="AE25" i="44"/>
  <c r="N19" i="23"/>
  <c r="O19" i="23" s="1"/>
  <c r="AK10" i="1"/>
  <c r="M20" i="23"/>
  <c r="C22" i="23"/>
  <c r="D21" i="23"/>
  <c r="G21" i="23" s="1"/>
  <c r="J21" i="23" s="1"/>
  <c r="E21" i="23"/>
  <c r="H21" i="23" s="1"/>
  <c r="K21" i="23" s="1"/>
  <c r="F21" i="23"/>
  <c r="I21" i="23" s="1"/>
  <c r="L21" i="23" s="1"/>
  <c r="AA19" i="23"/>
  <c r="T17" i="23"/>
  <c r="AF17" i="23" s="1"/>
  <c r="W17" i="23"/>
  <c r="AI17" i="23" s="1"/>
  <c r="V17" i="23"/>
  <c r="AH17" i="23" s="1"/>
  <c r="X17" i="23"/>
  <c r="AJ17" i="23" s="1"/>
  <c r="S17" i="23"/>
  <c r="AE17" i="23" s="1"/>
  <c r="U17" i="23"/>
  <c r="AG17" i="23" s="1"/>
  <c r="Z17" i="23"/>
  <c r="AL17" i="23" s="1"/>
  <c r="Y17" i="23"/>
  <c r="AK17" i="23" s="1"/>
  <c r="R17" i="23"/>
  <c r="AD17" i="23" s="1"/>
  <c r="Q18" i="23"/>
  <c r="AA18" i="23"/>
  <c r="AC18" i="23" s="1"/>
  <c r="AB17" i="23"/>
  <c r="BC14" i="1"/>
  <c r="I22" i="19"/>
  <c r="L22" i="19" s="1"/>
  <c r="H22" i="19"/>
  <c r="K22" i="19" s="1"/>
  <c r="H20" i="20"/>
  <c r="K20" i="20" s="1"/>
  <c r="M20" i="20" s="1"/>
  <c r="P20" i="20" s="1"/>
  <c r="BD14" i="1"/>
  <c r="BE14" i="1"/>
  <c r="G22" i="19"/>
  <c r="J22" i="19" s="1"/>
  <c r="X8" i="1"/>
  <c r="BF8" i="1"/>
  <c r="Y9" i="1"/>
  <c r="AA8" i="1"/>
  <c r="AE8" i="1"/>
  <c r="AB8" i="1"/>
  <c r="AD8" i="1"/>
  <c r="AC8" i="1"/>
  <c r="Z7" i="1"/>
  <c r="Y18" i="26"/>
  <c r="AK18" i="26" s="1"/>
  <c r="R18" i="26"/>
  <c r="AD18" i="26" s="1"/>
  <c r="AI12" i="1"/>
  <c r="AW10" i="1"/>
  <c r="AY12" i="1"/>
  <c r="AY11" i="1"/>
  <c r="BB13" i="1"/>
  <c r="AG11" i="1"/>
  <c r="AJ10" i="1"/>
  <c r="AV12" i="1"/>
  <c r="AL11" i="1"/>
  <c r="AF13" i="1"/>
  <c r="BA10" i="1"/>
  <c r="AR10" i="1"/>
  <c r="AL10" i="1"/>
  <c r="AQ12" i="1"/>
  <c r="AH11" i="1"/>
  <c r="AN10" i="1"/>
  <c r="AT10" i="1"/>
  <c r="AO14" i="1"/>
  <c r="AR11" i="1"/>
  <c r="AM11" i="1"/>
  <c r="AS11" i="1"/>
  <c r="AX12" i="1"/>
  <c r="AB18" i="29"/>
  <c r="X18" i="26"/>
  <c r="AJ18" i="26" s="1"/>
  <c r="S18" i="26"/>
  <c r="AE18" i="26" s="1"/>
  <c r="T18" i="26"/>
  <c r="AF18" i="26" s="1"/>
  <c r="V9" i="1"/>
  <c r="W18" i="26"/>
  <c r="AI18" i="26" s="1"/>
  <c r="AB18" i="37"/>
  <c r="V18" i="26"/>
  <c r="AH18" i="26" s="1"/>
  <c r="U18" i="26"/>
  <c r="AG18" i="26" s="1"/>
  <c r="AB17" i="24"/>
  <c r="Y17" i="35"/>
  <c r="AK17" i="35" s="1"/>
  <c r="U17" i="35"/>
  <c r="AG17" i="35" s="1"/>
  <c r="R17" i="35"/>
  <c r="AD17" i="35" s="1"/>
  <c r="V17" i="35"/>
  <c r="AH17" i="35" s="1"/>
  <c r="T17" i="35"/>
  <c r="AF17" i="35" s="1"/>
  <c r="S17" i="35"/>
  <c r="AE17" i="35" s="1"/>
  <c r="X17" i="35"/>
  <c r="AJ17" i="35" s="1"/>
  <c r="W17" i="35"/>
  <c r="AI17" i="35" s="1"/>
  <c r="Z17" i="35"/>
  <c r="AL17" i="35" s="1"/>
  <c r="AB17" i="35"/>
  <c r="P19" i="30"/>
  <c r="AA19" i="30" s="1"/>
  <c r="AC19" i="30" s="1"/>
  <c r="AA18" i="35"/>
  <c r="Q18" i="35"/>
  <c r="O18" i="35"/>
  <c r="M10" i="1"/>
  <c r="R19" i="29"/>
  <c r="AD19" i="29" s="1"/>
  <c r="S19" i="29"/>
  <c r="AE19" i="29" s="1"/>
  <c r="AB18" i="30"/>
  <c r="X19" i="29"/>
  <c r="AJ19" i="29" s="1"/>
  <c r="U20" i="19"/>
  <c r="AG20" i="19" s="1"/>
  <c r="W19" i="29"/>
  <c r="AI19" i="29" s="1"/>
  <c r="Y19" i="29"/>
  <c r="AK19" i="29" s="1"/>
  <c r="Z19" i="29"/>
  <c r="AL19" i="29" s="1"/>
  <c r="T19" i="29"/>
  <c r="AF19" i="29" s="1"/>
  <c r="T20" i="19"/>
  <c r="AF20" i="19" s="1"/>
  <c r="W18" i="8"/>
  <c r="AI18" i="8" s="1"/>
  <c r="L12" i="1"/>
  <c r="AB18" i="26"/>
  <c r="AB17" i="33"/>
  <c r="O10" i="1"/>
  <c r="H10" i="1"/>
  <c r="V10" i="1" s="1"/>
  <c r="AC18" i="39"/>
  <c r="T17" i="22"/>
  <c r="AF17" i="22" s="1"/>
  <c r="X17" i="22"/>
  <c r="AJ17" i="22" s="1"/>
  <c r="W17" i="22"/>
  <c r="AI17" i="22" s="1"/>
  <c r="V17" i="22"/>
  <c r="AH17" i="22" s="1"/>
  <c r="R17" i="22"/>
  <c r="AD17" i="22" s="1"/>
  <c r="U17" i="22"/>
  <c r="AG17" i="22" s="1"/>
  <c r="Z17" i="22"/>
  <c r="AL17" i="22" s="1"/>
  <c r="Y17" i="22"/>
  <c r="AK17" i="22" s="1"/>
  <c r="S17" i="22"/>
  <c r="AE17" i="22" s="1"/>
  <c r="AB17" i="22"/>
  <c r="AC17" i="22"/>
  <c r="AC18" i="30"/>
  <c r="P19" i="24"/>
  <c r="U19" i="21"/>
  <c r="AG19" i="21" s="1"/>
  <c r="R19" i="21"/>
  <c r="AD19" i="21" s="1"/>
  <c r="N10" i="1"/>
  <c r="S18" i="20"/>
  <c r="AE18" i="20" s="1"/>
  <c r="Z19" i="21"/>
  <c r="AL19" i="21" s="1"/>
  <c r="AA19" i="31"/>
  <c r="AC19" i="31" s="1"/>
  <c r="Q19" i="31"/>
  <c r="Q10" i="1"/>
  <c r="AB18" i="39"/>
  <c r="T18" i="20"/>
  <c r="AF18" i="20" s="1"/>
  <c r="X18" i="8"/>
  <c r="AJ18" i="8" s="1"/>
  <c r="Z18" i="20"/>
  <c r="AL18" i="20" s="1"/>
  <c r="O19" i="25"/>
  <c r="AC18" i="24"/>
  <c r="S10" i="1"/>
  <c r="U10" i="1"/>
  <c r="M20" i="39"/>
  <c r="Y17" i="33"/>
  <c r="AK17" i="33" s="1"/>
  <c r="W17" i="33"/>
  <c r="AI17" i="33" s="1"/>
  <c r="U17" i="33"/>
  <c r="AG17" i="33" s="1"/>
  <c r="Z17" i="33"/>
  <c r="AL17" i="33" s="1"/>
  <c r="T17" i="33"/>
  <c r="AF17" i="33" s="1"/>
  <c r="X17" i="33"/>
  <c r="AJ17" i="33" s="1"/>
  <c r="V17" i="33"/>
  <c r="AH17" i="33" s="1"/>
  <c r="R17" i="33"/>
  <c r="AD17" i="33" s="1"/>
  <c r="S17" i="33"/>
  <c r="AE17" i="33" s="1"/>
  <c r="AB17" i="32"/>
  <c r="R10" i="1"/>
  <c r="AA19" i="28"/>
  <c r="AC19" i="28" s="1"/>
  <c r="T10" i="1"/>
  <c r="Y20" i="19"/>
  <c r="AK20" i="19" s="1"/>
  <c r="W9" i="1"/>
  <c r="AC18" i="26"/>
  <c r="O20" i="36"/>
  <c r="Z21" i="27"/>
  <c r="AL21" i="27" s="1"/>
  <c r="W21" i="27"/>
  <c r="AI21" i="27" s="1"/>
  <c r="R20" i="19"/>
  <c r="AD20" i="19" s="1"/>
  <c r="Y19" i="21"/>
  <c r="AK19" i="21" s="1"/>
  <c r="R21" i="27"/>
  <c r="AD21" i="27" s="1"/>
  <c r="AL18" i="26"/>
  <c r="AB17" i="26"/>
  <c r="P10" i="1"/>
  <c r="M20" i="32"/>
  <c r="M20" i="24"/>
  <c r="P20" i="24" s="1"/>
  <c r="Y18" i="31"/>
  <c r="AK18" i="31" s="1"/>
  <c r="U18" i="31"/>
  <c r="AG18" i="31" s="1"/>
  <c r="T18" i="31"/>
  <c r="AF18" i="31" s="1"/>
  <c r="S18" i="31"/>
  <c r="AE18" i="31" s="1"/>
  <c r="Z18" i="31"/>
  <c r="AL18" i="31" s="1"/>
  <c r="W18" i="31"/>
  <c r="AI18" i="31" s="1"/>
  <c r="R18" i="31"/>
  <c r="AD18" i="31" s="1"/>
  <c r="V18" i="31"/>
  <c r="AH18" i="31" s="1"/>
  <c r="X18" i="31"/>
  <c r="AJ18" i="31" s="1"/>
  <c r="T17" i="32"/>
  <c r="AF17" i="32" s="1"/>
  <c r="S17" i="32"/>
  <c r="AE17" i="32" s="1"/>
  <c r="Z17" i="32"/>
  <c r="AL17" i="32" s="1"/>
  <c r="W17" i="32"/>
  <c r="AI17" i="32" s="1"/>
  <c r="Y17" i="32"/>
  <c r="AK17" i="32" s="1"/>
  <c r="V17" i="32"/>
  <c r="AH17" i="32" s="1"/>
  <c r="U17" i="32"/>
  <c r="AG17" i="32" s="1"/>
  <c r="X17" i="32"/>
  <c r="AJ17" i="32" s="1"/>
  <c r="R17" i="32"/>
  <c r="AD17" i="32" s="1"/>
  <c r="M21" i="31"/>
  <c r="M20" i="30"/>
  <c r="N20" i="30" s="1"/>
  <c r="O20" i="30" s="1"/>
  <c r="D22" i="31"/>
  <c r="G22" i="31" s="1"/>
  <c r="J22" i="31" s="1"/>
  <c r="I22" i="31"/>
  <c r="L22" i="31" s="1"/>
  <c r="C23" i="31"/>
  <c r="E22" i="31"/>
  <c r="H22" i="31" s="1"/>
  <c r="K22" i="31" s="1"/>
  <c r="S20" i="19"/>
  <c r="AE20" i="19" s="1"/>
  <c r="V18" i="20"/>
  <c r="AH18" i="20" s="1"/>
  <c r="T19" i="21"/>
  <c r="AF19" i="21" s="1"/>
  <c r="R18" i="8"/>
  <c r="AD18" i="8" s="1"/>
  <c r="O20" i="37"/>
  <c r="P20" i="31"/>
  <c r="AA20" i="31" s="1"/>
  <c r="AC20" i="31" s="1"/>
  <c r="O20" i="31"/>
  <c r="M20" i="25"/>
  <c r="O20" i="25" s="1"/>
  <c r="AA19" i="25"/>
  <c r="AC19" i="25" s="1"/>
  <c r="Z20" i="19"/>
  <c r="AL20" i="19" s="1"/>
  <c r="O19" i="32"/>
  <c r="P19" i="32"/>
  <c r="F21" i="26"/>
  <c r="I21" i="26" s="1"/>
  <c r="L21" i="26" s="1"/>
  <c r="E21" i="26"/>
  <c r="H21" i="26" s="1"/>
  <c r="K21" i="26" s="1"/>
  <c r="D21" i="26"/>
  <c r="G21" i="26" s="1"/>
  <c r="J21" i="26" s="1"/>
  <c r="C22" i="26"/>
  <c r="P19" i="35"/>
  <c r="AA19" i="35" s="1"/>
  <c r="N19" i="35"/>
  <c r="O19" i="35" s="1"/>
  <c r="Q19" i="25"/>
  <c r="N19" i="39"/>
  <c r="O19" i="39" s="1"/>
  <c r="P19" i="39"/>
  <c r="N19" i="26"/>
  <c r="O19" i="26" s="1"/>
  <c r="P19" i="26"/>
  <c r="AA19" i="26" s="1"/>
  <c r="Q18" i="22"/>
  <c r="AB17" i="39"/>
  <c r="D21" i="25"/>
  <c r="G21" i="25" s="1"/>
  <c r="J21" i="25" s="1"/>
  <c r="C22" i="25"/>
  <c r="I21" i="25"/>
  <c r="L21" i="25" s="1"/>
  <c r="H21" i="25"/>
  <c r="K21" i="25" s="1"/>
  <c r="Z18" i="30"/>
  <c r="AL18" i="30" s="1"/>
  <c r="W18" i="30"/>
  <c r="AI18" i="30" s="1"/>
  <c r="U18" i="30"/>
  <c r="AG18" i="30" s="1"/>
  <c r="V18" i="30"/>
  <c r="AH18" i="30" s="1"/>
  <c r="Y18" i="30"/>
  <c r="AK18" i="30" s="1"/>
  <c r="X18" i="30"/>
  <c r="AJ18" i="30" s="1"/>
  <c r="T18" i="30"/>
  <c r="AF18" i="30" s="1"/>
  <c r="S18" i="30"/>
  <c r="AE18" i="30" s="1"/>
  <c r="R18" i="30"/>
  <c r="AD18" i="30" s="1"/>
  <c r="M20" i="26"/>
  <c r="M20" i="22"/>
  <c r="E21" i="24"/>
  <c r="H21" i="24" s="1"/>
  <c r="K21" i="24" s="1"/>
  <c r="D21" i="24"/>
  <c r="G21" i="24" s="1"/>
  <c r="J21" i="24" s="1"/>
  <c r="C22" i="24"/>
  <c r="F21" i="24"/>
  <c r="I21" i="24" s="1"/>
  <c r="L21" i="24" s="1"/>
  <c r="S18" i="25"/>
  <c r="AE18" i="25" s="1"/>
  <c r="T18" i="25"/>
  <c r="AF18" i="25" s="1"/>
  <c r="R18" i="25"/>
  <c r="AD18" i="25" s="1"/>
  <c r="V18" i="25"/>
  <c r="AH18" i="25" s="1"/>
  <c r="W18" i="25"/>
  <c r="AI18" i="25" s="1"/>
  <c r="U18" i="25"/>
  <c r="AG18" i="25" s="1"/>
  <c r="Y18" i="25"/>
  <c r="AK18" i="25" s="1"/>
  <c r="Z18" i="25"/>
  <c r="AL18" i="25" s="1"/>
  <c r="X18" i="25"/>
  <c r="AJ18" i="25" s="1"/>
  <c r="Q18" i="39"/>
  <c r="F21" i="32"/>
  <c r="I21" i="32" s="1"/>
  <c r="L21" i="32" s="1"/>
  <c r="C22" i="32"/>
  <c r="D21" i="32"/>
  <c r="G21" i="32" s="1"/>
  <c r="J21" i="32" s="1"/>
  <c r="E21" i="32"/>
  <c r="H21" i="32" s="1"/>
  <c r="K21" i="32" s="1"/>
  <c r="C22" i="22"/>
  <c r="F21" i="22"/>
  <c r="I21" i="22" s="1"/>
  <c r="L21" i="22" s="1"/>
  <c r="E21" i="22"/>
  <c r="H21" i="22" s="1"/>
  <c r="K21" i="22" s="1"/>
  <c r="D21" i="22"/>
  <c r="G21" i="22" s="1"/>
  <c r="J21" i="22" s="1"/>
  <c r="M20" i="33"/>
  <c r="I21" i="30"/>
  <c r="L21" i="30" s="1"/>
  <c r="C22" i="30"/>
  <c r="E21" i="30"/>
  <c r="H21" i="30" s="1"/>
  <c r="K21" i="30" s="1"/>
  <c r="D21" i="30"/>
  <c r="G21" i="30" s="1"/>
  <c r="J21" i="30" s="1"/>
  <c r="Q18" i="33"/>
  <c r="U19" i="29"/>
  <c r="AG19" i="29" s="1"/>
  <c r="R19" i="34"/>
  <c r="AD19" i="34" s="1"/>
  <c r="S18" i="24"/>
  <c r="AE18" i="24" s="1"/>
  <c r="R18" i="24"/>
  <c r="AD18" i="24" s="1"/>
  <c r="U18" i="24"/>
  <c r="AG18" i="24" s="1"/>
  <c r="Z18" i="24"/>
  <c r="AL18" i="24" s="1"/>
  <c r="Y18" i="24"/>
  <c r="AK18" i="24" s="1"/>
  <c r="V18" i="24"/>
  <c r="AH18" i="24" s="1"/>
  <c r="X18" i="24"/>
  <c r="AJ18" i="24" s="1"/>
  <c r="W18" i="24"/>
  <c r="AI18" i="24" s="1"/>
  <c r="T18" i="24"/>
  <c r="AF18" i="24" s="1"/>
  <c r="AA18" i="33"/>
  <c r="AC18" i="33" s="1"/>
  <c r="M20" i="35"/>
  <c r="C22" i="33"/>
  <c r="I22" i="33" s="1"/>
  <c r="L22" i="33" s="1"/>
  <c r="D21" i="33"/>
  <c r="G21" i="33" s="1"/>
  <c r="J21" i="33" s="1"/>
  <c r="E21" i="33"/>
  <c r="H21" i="33" s="1"/>
  <c r="K21" i="33" s="1"/>
  <c r="N19" i="33"/>
  <c r="O19" i="33" s="1"/>
  <c r="P19" i="33"/>
  <c r="U17" i="26"/>
  <c r="AG17" i="26" s="1"/>
  <c r="Z17" i="26"/>
  <c r="AL17" i="26" s="1"/>
  <c r="X17" i="26"/>
  <c r="AJ17" i="26" s="1"/>
  <c r="Y17" i="26"/>
  <c r="AK17" i="26" s="1"/>
  <c r="W17" i="26"/>
  <c r="AI17" i="26" s="1"/>
  <c r="V17" i="26"/>
  <c r="AH17" i="26" s="1"/>
  <c r="R17" i="26"/>
  <c r="AD17" i="26" s="1"/>
  <c r="S17" i="26"/>
  <c r="AE17" i="26" s="1"/>
  <c r="T17" i="26"/>
  <c r="AF17" i="26" s="1"/>
  <c r="U17" i="39"/>
  <c r="AG17" i="39" s="1"/>
  <c r="R17" i="39"/>
  <c r="AD17" i="39" s="1"/>
  <c r="V17" i="39"/>
  <c r="AH17" i="39" s="1"/>
  <c r="T17" i="39"/>
  <c r="AF17" i="39" s="1"/>
  <c r="Y17" i="39"/>
  <c r="AK17" i="39" s="1"/>
  <c r="Z17" i="39"/>
  <c r="AL17" i="39" s="1"/>
  <c r="X17" i="39"/>
  <c r="AJ17" i="39" s="1"/>
  <c r="W17" i="39"/>
  <c r="AI17" i="39" s="1"/>
  <c r="S17" i="39"/>
  <c r="AE17" i="39" s="1"/>
  <c r="C22" i="35"/>
  <c r="D21" i="35"/>
  <c r="G21" i="35" s="1"/>
  <c r="J21" i="35" s="1"/>
  <c r="E21" i="35"/>
  <c r="H21" i="35" s="1"/>
  <c r="K21" i="35" s="1"/>
  <c r="I21" i="35"/>
  <c r="L21" i="35" s="1"/>
  <c r="P19" i="22"/>
  <c r="AA19" i="22" s="1"/>
  <c r="AC19" i="22" s="1"/>
  <c r="O19" i="22"/>
  <c r="Q18" i="32"/>
  <c r="AB18" i="22"/>
  <c r="AB18" i="32"/>
  <c r="E21" i="39"/>
  <c r="H21" i="39" s="1"/>
  <c r="K21" i="39" s="1"/>
  <c r="C22" i="39"/>
  <c r="F21" i="39"/>
  <c r="I21" i="39" s="1"/>
  <c r="L21" i="39" s="1"/>
  <c r="D21" i="39"/>
  <c r="G21" i="39" s="1"/>
  <c r="J21" i="39" s="1"/>
  <c r="W19" i="34"/>
  <c r="AI19" i="34" s="1"/>
  <c r="Y19" i="34"/>
  <c r="AK19" i="34" s="1"/>
  <c r="S19" i="34"/>
  <c r="AE19" i="34" s="1"/>
  <c r="Z19" i="34"/>
  <c r="AL19" i="34" s="1"/>
  <c r="V19" i="34"/>
  <c r="AH19" i="34" s="1"/>
  <c r="U21" i="27"/>
  <c r="AG21" i="27" s="1"/>
  <c r="X18" i="20"/>
  <c r="AJ18" i="20" s="1"/>
  <c r="U18" i="20"/>
  <c r="AG18" i="20" s="1"/>
  <c r="V21" i="27"/>
  <c r="AH21" i="27" s="1"/>
  <c r="AC19" i="29"/>
  <c r="T21" i="27"/>
  <c r="AF21" i="27" s="1"/>
  <c r="W18" i="20"/>
  <c r="AI18" i="20" s="1"/>
  <c r="X21" i="27"/>
  <c r="AJ21" i="27" s="1"/>
  <c r="Y21" i="27"/>
  <c r="AK21" i="27" s="1"/>
  <c r="Q20" i="38"/>
  <c r="Y20" i="38" s="1"/>
  <c r="AK20" i="38" s="1"/>
  <c r="Z18" i="8"/>
  <c r="AL18" i="8" s="1"/>
  <c r="T18" i="8"/>
  <c r="AF18" i="8" s="1"/>
  <c r="Y18" i="8"/>
  <c r="AK18" i="8" s="1"/>
  <c r="S18" i="8"/>
  <c r="AE18" i="8" s="1"/>
  <c r="U18" i="8"/>
  <c r="AG18" i="8" s="1"/>
  <c r="W20" i="19"/>
  <c r="AI20" i="19" s="1"/>
  <c r="U19" i="34"/>
  <c r="AG19" i="34" s="1"/>
  <c r="AH19" i="29"/>
  <c r="V20" i="19"/>
  <c r="AH20" i="19" s="1"/>
  <c r="O21" i="40"/>
  <c r="X19" i="21"/>
  <c r="AJ19" i="21" s="1"/>
  <c r="T20" i="40"/>
  <c r="AF20" i="40" s="1"/>
  <c r="W20" i="40"/>
  <c r="AI20" i="40" s="1"/>
  <c r="V19" i="21"/>
  <c r="AH19" i="21" s="1"/>
  <c r="S19" i="21"/>
  <c r="AE19" i="21" s="1"/>
  <c r="T19" i="34"/>
  <c r="AF19" i="34" s="1"/>
  <c r="S20" i="40"/>
  <c r="AE20" i="40" s="1"/>
  <c r="X19" i="28"/>
  <c r="AJ19" i="28" s="1"/>
  <c r="W19" i="28"/>
  <c r="AI19" i="28" s="1"/>
  <c r="V19" i="28"/>
  <c r="AH19" i="28" s="1"/>
  <c r="U19" i="28"/>
  <c r="AG19" i="28" s="1"/>
  <c r="T19" i="28"/>
  <c r="AF19" i="28" s="1"/>
  <c r="S19" i="28"/>
  <c r="AE19" i="28" s="1"/>
  <c r="R19" i="28"/>
  <c r="AD19" i="28" s="1"/>
  <c r="Z19" i="28"/>
  <c r="AL19" i="28" s="1"/>
  <c r="Y19" i="28"/>
  <c r="AK19" i="28" s="1"/>
  <c r="AC19" i="34"/>
  <c r="M22" i="38"/>
  <c r="O22" i="38" s="1"/>
  <c r="Z20" i="40"/>
  <c r="AL20" i="40" s="1"/>
  <c r="P20" i="28"/>
  <c r="AA20" i="28" s="1"/>
  <c r="AC20" i="28" s="1"/>
  <c r="Y20" i="40"/>
  <c r="AK20" i="40" s="1"/>
  <c r="O20" i="28"/>
  <c r="R20" i="40"/>
  <c r="AD20" i="40" s="1"/>
  <c r="AJ20" i="40"/>
  <c r="N20" i="34"/>
  <c r="O20" i="34" s="1"/>
  <c r="Q20" i="29"/>
  <c r="V20" i="29" s="1"/>
  <c r="Q20" i="34"/>
  <c r="T20" i="34" s="1"/>
  <c r="Y18" i="20"/>
  <c r="AK18" i="20" s="1"/>
  <c r="U20" i="40"/>
  <c r="AG20" i="40" s="1"/>
  <c r="Q22" i="27"/>
  <c r="U22" i="27" s="1"/>
  <c r="Q21" i="40"/>
  <c r="V21" i="40" s="1"/>
  <c r="Q20" i="36"/>
  <c r="Z20" i="36" s="1"/>
  <c r="Q20" i="21"/>
  <c r="U20" i="21" s="1"/>
  <c r="AG20" i="21" s="1"/>
  <c r="Q19" i="8"/>
  <c r="S19" i="8" s="1"/>
  <c r="P21" i="38"/>
  <c r="AA21" i="38" s="1"/>
  <c r="AC21" i="38" s="1"/>
  <c r="X19" i="38"/>
  <c r="AJ19" i="38" s="1"/>
  <c r="W19" i="38"/>
  <c r="AI19" i="38" s="1"/>
  <c r="T19" i="38"/>
  <c r="AF19" i="38" s="1"/>
  <c r="S19" i="38"/>
  <c r="AE19" i="38" s="1"/>
  <c r="R19" i="38"/>
  <c r="AD19" i="38" s="1"/>
  <c r="V19" i="38"/>
  <c r="AH19" i="38" s="1"/>
  <c r="U19" i="38"/>
  <c r="AG19" i="38" s="1"/>
  <c r="Z19" i="38"/>
  <c r="AL19" i="38" s="1"/>
  <c r="Y19" i="38"/>
  <c r="AK19" i="38" s="1"/>
  <c r="V18" i="28"/>
  <c r="AH18" i="28" s="1"/>
  <c r="U18" i="28"/>
  <c r="AG18" i="28" s="1"/>
  <c r="T18" i="28"/>
  <c r="AF18" i="28" s="1"/>
  <c r="S18" i="28"/>
  <c r="AE18" i="28" s="1"/>
  <c r="R18" i="28"/>
  <c r="AD18" i="28" s="1"/>
  <c r="Y18" i="28"/>
  <c r="AK18" i="28" s="1"/>
  <c r="X18" i="28"/>
  <c r="AJ18" i="28" s="1"/>
  <c r="Z18" i="28"/>
  <c r="AL18" i="28" s="1"/>
  <c r="W18" i="28"/>
  <c r="AI18" i="28" s="1"/>
  <c r="Q21" i="19"/>
  <c r="Z21" i="19" s="1"/>
  <c r="Q19" i="20"/>
  <c r="S19" i="20" s="1"/>
  <c r="Q19" i="36"/>
  <c r="U19" i="36" s="1"/>
  <c r="AG19" i="36" s="1"/>
  <c r="V20" i="40"/>
  <c r="AH20" i="40" s="1"/>
  <c r="N20" i="29"/>
  <c r="O20" i="29" s="1"/>
  <c r="Q20" i="37"/>
  <c r="W20" i="37" s="1"/>
  <c r="Q19" i="37"/>
  <c r="M22" i="40"/>
  <c r="P22" i="40" s="1"/>
  <c r="N22" i="40"/>
  <c r="C24" i="40"/>
  <c r="D23" i="40"/>
  <c r="G23" i="40" s="1"/>
  <c r="J23" i="40" s="1"/>
  <c r="E23" i="40"/>
  <c r="H23" i="40" s="1"/>
  <c r="K23" i="40" s="1"/>
  <c r="F23" i="40"/>
  <c r="I23" i="40" s="1"/>
  <c r="L23" i="40" s="1"/>
  <c r="AB20" i="40"/>
  <c r="AA21" i="40"/>
  <c r="C24" i="38"/>
  <c r="F24" i="38" s="1"/>
  <c r="D23" i="38"/>
  <c r="G23" i="38" s="1"/>
  <c r="J23" i="38" s="1"/>
  <c r="I23" i="38"/>
  <c r="L23" i="38" s="1"/>
  <c r="H23" i="38"/>
  <c r="K23" i="38" s="1"/>
  <c r="AB20" i="38"/>
  <c r="M21" i="37"/>
  <c r="P21" i="37" s="1"/>
  <c r="C23" i="37"/>
  <c r="E22" i="37"/>
  <c r="H22" i="37" s="1"/>
  <c r="K22" i="37" s="1"/>
  <c r="D22" i="37"/>
  <c r="G22" i="37" s="1"/>
  <c r="J22" i="37" s="1"/>
  <c r="F22" i="37"/>
  <c r="I22" i="37" s="1"/>
  <c r="L22" i="37" s="1"/>
  <c r="AB19" i="37"/>
  <c r="AA20" i="37"/>
  <c r="AC20" i="37" s="1"/>
  <c r="AB21" i="27"/>
  <c r="AB19" i="34"/>
  <c r="M21" i="36"/>
  <c r="P21" i="36" s="1"/>
  <c r="AA19" i="36"/>
  <c r="N21" i="36"/>
  <c r="C23" i="36"/>
  <c r="F23" i="36" s="1"/>
  <c r="D22" i="36"/>
  <c r="G22" i="36" s="1"/>
  <c r="J22" i="36" s="1"/>
  <c r="I22" i="36"/>
  <c r="L22" i="36" s="1"/>
  <c r="E22" i="36"/>
  <c r="H22" i="36" s="1"/>
  <c r="K22" i="36" s="1"/>
  <c r="AA20" i="36"/>
  <c r="AC20" i="36" s="1"/>
  <c r="M21" i="34"/>
  <c r="N21" i="34" s="1"/>
  <c r="C23" i="34"/>
  <c r="D22" i="34"/>
  <c r="G22" i="34" s="1"/>
  <c r="J22" i="34" s="1"/>
  <c r="E22" i="34"/>
  <c r="H22" i="34" s="1"/>
  <c r="K22" i="34" s="1"/>
  <c r="I22" i="34"/>
  <c r="L22" i="34" s="1"/>
  <c r="AA20" i="34"/>
  <c r="AJ19" i="34"/>
  <c r="F23" i="33"/>
  <c r="N23" i="31"/>
  <c r="M21" i="29"/>
  <c r="P21" i="29" s="1"/>
  <c r="C23" i="29"/>
  <c r="D22" i="29"/>
  <c r="G22" i="29" s="1"/>
  <c r="J22" i="29" s="1"/>
  <c r="E22" i="29"/>
  <c r="H22" i="29" s="1"/>
  <c r="K22" i="29" s="1"/>
  <c r="I22" i="29"/>
  <c r="L22" i="29" s="1"/>
  <c r="AB19" i="29"/>
  <c r="AA20" i="29"/>
  <c r="M21" i="28"/>
  <c r="N21" i="28" s="1"/>
  <c r="C23" i="28"/>
  <c r="E23" i="28" s="1"/>
  <c r="D22" i="28"/>
  <c r="G22" i="28" s="1"/>
  <c r="J22" i="28" s="1"/>
  <c r="I22" i="28"/>
  <c r="L22" i="28" s="1"/>
  <c r="H22" i="28"/>
  <c r="K22" i="28" s="1"/>
  <c r="M23" i="27"/>
  <c r="P23" i="27" s="1"/>
  <c r="N23" i="27"/>
  <c r="C25" i="27"/>
  <c r="E24" i="27"/>
  <c r="H24" i="27" s="1"/>
  <c r="K24" i="27" s="1"/>
  <c r="F24" i="27"/>
  <c r="I24" i="27" s="1"/>
  <c r="L24" i="27" s="1"/>
  <c r="D24" i="27"/>
  <c r="G24" i="27" s="1"/>
  <c r="J24" i="27" s="1"/>
  <c r="AA22" i="27"/>
  <c r="AC22" i="27" s="1"/>
  <c r="AE21" i="27"/>
  <c r="O22" i="27"/>
  <c r="AB19" i="21"/>
  <c r="N23" i="25"/>
  <c r="E24" i="25"/>
  <c r="F24" i="25"/>
  <c r="AA19" i="8"/>
  <c r="AC19" i="8" s="1"/>
  <c r="AH18" i="8"/>
  <c r="AD18" i="20"/>
  <c r="AB20" i="19"/>
  <c r="P21" i="21"/>
  <c r="O19" i="8"/>
  <c r="AB18" i="8"/>
  <c r="M22" i="21"/>
  <c r="O22" i="21" s="1"/>
  <c r="C24" i="21"/>
  <c r="D23" i="21"/>
  <c r="G23" i="21" s="1"/>
  <c r="J23" i="21" s="1"/>
  <c r="I23" i="21"/>
  <c r="L23" i="21" s="1"/>
  <c r="H23" i="21"/>
  <c r="K23" i="21" s="1"/>
  <c r="AB20" i="21"/>
  <c r="N20" i="20"/>
  <c r="C22" i="20"/>
  <c r="F21" i="20"/>
  <c r="I21" i="20" s="1"/>
  <c r="L21" i="20" s="1"/>
  <c r="E21" i="20"/>
  <c r="D21" i="20"/>
  <c r="G21" i="20" s="1"/>
  <c r="J21" i="20" s="1"/>
  <c r="AB18" i="20"/>
  <c r="AA19" i="20"/>
  <c r="AC19" i="20" s="1"/>
  <c r="O19" i="20"/>
  <c r="AJ20" i="19"/>
  <c r="N22" i="19"/>
  <c r="C24" i="19"/>
  <c r="E23" i="19"/>
  <c r="F23" i="19"/>
  <c r="D23" i="19"/>
  <c r="O21" i="19"/>
  <c r="AA21" i="19"/>
  <c r="AC21" i="19" s="1"/>
  <c r="Q20" i="8"/>
  <c r="R20" i="8" s="1"/>
  <c r="N20" i="8"/>
  <c r="M21" i="8"/>
  <c r="C23" i="8"/>
  <c r="E23" i="8" s="1"/>
  <c r="D22" i="8"/>
  <c r="G22" i="8" s="1"/>
  <c r="J22" i="8" s="1"/>
  <c r="F22" i="8"/>
  <c r="I22" i="8" s="1"/>
  <c r="L22" i="8" s="1"/>
  <c r="H22" i="8"/>
  <c r="K22" i="8" s="1"/>
  <c r="AA20" i="8"/>
  <c r="CV15" i="1" l="1"/>
  <c r="DA15" i="1"/>
  <c r="CS16" i="1"/>
  <c r="DF16" i="1" s="1"/>
  <c r="ED16" i="1"/>
  <c r="DO16" i="1" s="1"/>
  <c r="CU15" i="1"/>
  <c r="CY15" i="1" s="1"/>
  <c r="CZ15" i="1" s="1"/>
  <c r="CF17" i="1"/>
  <c r="CS17" i="1" s="1"/>
  <c r="DF17" i="1" s="1"/>
  <c r="EH17" i="1"/>
  <c r="ED17" i="1" s="1"/>
  <c r="DO17" i="1" s="1"/>
  <c r="BK18" i="1"/>
  <c r="EE18" i="1" s="1"/>
  <c r="DM14" i="1"/>
  <c r="DP14" i="1" s="1"/>
  <c r="AH19" i="23"/>
  <c r="Y26" i="44"/>
  <c r="AK26" i="44" s="1"/>
  <c r="AC26" i="51"/>
  <c r="AB27" i="45"/>
  <c r="W26" i="57"/>
  <c r="AI26" i="57" s="1"/>
  <c r="AK27" i="51"/>
  <c r="AL27" i="51"/>
  <c r="AI27" i="51"/>
  <c r="AJ27" i="51"/>
  <c r="AF27" i="51"/>
  <c r="Y26" i="57"/>
  <c r="AK26" i="57" s="1"/>
  <c r="AD27" i="51"/>
  <c r="DK16" i="1"/>
  <c r="DL16" i="1" s="1"/>
  <c r="AG27" i="51"/>
  <c r="CT16" i="1"/>
  <c r="DI17" i="1"/>
  <c r="DJ17" i="1" s="1"/>
  <c r="DH17" i="1"/>
  <c r="V26" i="57"/>
  <c r="AH26" i="57" s="1"/>
  <c r="AE27" i="51"/>
  <c r="T26" i="44"/>
  <c r="AF26" i="44" s="1"/>
  <c r="V26" i="44"/>
  <c r="AH26" i="44" s="1"/>
  <c r="R26" i="44"/>
  <c r="AD26" i="44" s="1"/>
  <c r="Z26" i="44"/>
  <c r="AL26" i="44" s="1"/>
  <c r="W26" i="44"/>
  <c r="AI26" i="44" s="1"/>
  <c r="R28" i="45"/>
  <c r="AD28" i="45" s="1"/>
  <c r="AA28" i="45"/>
  <c r="AC28" i="45" s="1"/>
  <c r="S28" i="45"/>
  <c r="AE28" i="45" s="1"/>
  <c r="U28" i="45"/>
  <c r="AG28" i="45" s="1"/>
  <c r="W28" i="45"/>
  <c r="AI28" i="45" s="1"/>
  <c r="M29" i="49"/>
  <c r="N29" i="49" s="1"/>
  <c r="O29" i="49" s="1"/>
  <c r="Y28" i="45"/>
  <c r="AK28" i="45" s="1"/>
  <c r="AA27" i="49"/>
  <c r="AB27" i="49" s="1"/>
  <c r="Z26" i="57"/>
  <c r="AL26" i="57" s="1"/>
  <c r="T28" i="45"/>
  <c r="AF28" i="45" s="1"/>
  <c r="S26" i="57"/>
  <c r="AE26" i="57" s="1"/>
  <c r="X28" i="47"/>
  <c r="AJ28" i="47" s="1"/>
  <c r="N28" i="49"/>
  <c r="O28" i="49" s="1"/>
  <c r="P28" i="49"/>
  <c r="X26" i="57"/>
  <c r="AJ26" i="57" s="1"/>
  <c r="R26" i="57"/>
  <c r="AD26" i="57" s="1"/>
  <c r="V27" i="49"/>
  <c r="AH27" i="49" s="1"/>
  <c r="U27" i="49"/>
  <c r="AG27" i="49" s="1"/>
  <c r="T27" i="49"/>
  <c r="AF27" i="49" s="1"/>
  <c r="R27" i="49"/>
  <c r="AD27" i="49" s="1"/>
  <c r="S27" i="49"/>
  <c r="AE27" i="49" s="1"/>
  <c r="X27" i="49"/>
  <c r="AJ27" i="49" s="1"/>
  <c r="W27" i="49"/>
  <c r="AI27" i="49" s="1"/>
  <c r="Z27" i="49"/>
  <c r="AL27" i="49" s="1"/>
  <c r="Y27" i="49"/>
  <c r="AK27" i="49" s="1"/>
  <c r="AB26" i="49"/>
  <c r="C31" i="49"/>
  <c r="E30" i="49"/>
  <c r="H30" i="49" s="1"/>
  <c r="K30" i="49" s="1"/>
  <c r="D30" i="49"/>
  <c r="G30" i="49" s="1"/>
  <c r="J30" i="49" s="1"/>
  <c r="F30" i="49"/>
  <c r="I30" i="49" s="1"/>
  <c r="L30" i="49" s="1"/>
  <c r="AB26" i="65"/>
  <c r="AA28" i="47"/>
  <c r="AC28" i="47" s="1"/>
  <c r="R26" i="59"/>
  <c r="AD26" i="59" s="1"/>
  <c r="Y28" i="47"/>
  <c r="AK28" i="47" s="1"/>
  <c r="DE14" i="1"/>
  <c r="DN14" i="1" s="1"/>
  <c r="P27" i="44"/>
  <c r="Q27" i="44" s="1"/>
  <c r="Z27" i="44" s="1"/>
  <c r="AL27" i="44" s="1"/>
  <c r="AB26" i="50"/>
  <c r="DB15" i="1"/>
  <c r="S27" i="50"/>
  <c r="AE27" i="50" s="1"/>
  <c r="R28" i="47"/>
  <c r="AD28" i="47" s="1"/>
  <c r="U26" i="59"/>
  <c r="AG26" i="59" s="1"/>
  <c r="AH26" i="56"/>
  <c r="X26" i="59"/>
  <c r="AJ26" i="59" s="1"/>
  <c r="AE26" i="56"/>
  <c r="AJ26" i="56"/>
  <c r="AK26" i="56"/>
  <c r="U28" i="47"/>
  <c r="AG28" i="47" s="1"/>
  <c r="AI26" i="56"/>
  <c r="V28" i="47"/>
  <c r="AH28" i="47" s="1"/>
  <c r="W26" i="59"/>
  <c r="AI26" i="59" s="1"/>
  <c r="V26" i="62"/>
  <c r="AH26" i="62" s="1"/>
  <c r="P27" i="62"/>
  <c r="Q27" i="62" s="1"/>
  <c r="U27" i="62" s="1"/>
  <c r="AG27" i="62" s="1"/>
  <c r="T26" i="57"/>
  <c r="AF26" i="57" s="1"/>
  <c r="AJ26" i="63"/>
  <c r="BL18" i="1"/>
  <c r="T26" i="43"/>
  <c r="AF26" i="43" s="1"/>
  <c r="U26" i="43"/>
  <c r="AG26" i="43" s="1"/>
  <c r="W26" i="43"/>
  <c r="AI26" i="43" s="1"/>
  <c r="AA26" i="43"/>
  <c r="AC26" i="43" s="1"/>
  <c r="AL26" i="56"/>
  <c r="AF26" i="56"/>
  <c r="AH27" i="51"/>
  <c r="AC27" i="51"/>
  <c r="X26" i="43"/>
  <c r="AJ26" i="43" s="1"/>
  <c r="AD26" i="56"/>
  <c r="AG26" i="56"/>
  <c r="AE27" i="65"/>
  <c r="AA27" i="50"/>
  <c r="AC27" i="50" s="1"/>
  <c r="AA26" i="57"/>
  <c r="AC26" i="57" s="1"/>
  <c r="BY17" i="1"/>
  <c r="AI26" i="63"/>
  <c r="M22" i="19"/>
  <c r="P22" i="19" s="1"/>
  <c r="X28" i="45"/>
  <c r="AJ28" i="45" s="1"/>
  <c r="T28" i="47"/>
  <c r="AF28" i="47" s="1"/>
  <c r="T27" i="50"/>
  <c r="AF27" i="50" s="1"/>
  <c r="AI27" i="52"/>
  <c r="AL26" i="63"/>
  <c r="S28" i="47"/>
  <c r="AE28" i="47" s="1"/>
  <c r="Z27" i="50"/>
  <c r="AL27" i="50" s="1"/>
  <c r="Z28" i="45"/>
  <c r="AL28" i="45" s="1"/>
  <c r="Z28" i="47"/>
  <c r="AL28" i="47" s="1"/>
  <c r="Z26" i="43"/>
  <c r="AL26" i="43" s="1"/>
  <c r="AB25" i="56"/>
  <c r="BO19" i="1" s="1"/>
  <c r="CG19" i="1" s="1"/>
  <c r="V27" i="50"/>
  <c r="AH27" i="50" s="1"/>
  <c r="AB25" i="62"/>
  <c r="AL27" i="52"/>
  <c r="BK19" i="1"/>
  <c r="EE19" i="1" s="1"/>
  <c r="W27" i="50"/>
  <c r="AI27" i="50" s="1"/>
  <c r="AJ27" i="52"/>
  <c r="Y26" i="43"/>
  <c r="AK26" i="43" s="1"/>
  <c r="AC25" i="55"/>
  <c r="AH27" i="52"/>
  <c r="AE26" i="58"/>
  <c r="S26" i="43"/>
  <c r="AE26" i="43" s="1"/>
  <c r="X26" i="62"/>
  <c r="AJ26" i="62" s="1"/>
  <c r="M28" i="43"/>
  <c r="O28" i="43" s="1"/>
  <c r="Z26" i="62"/>
  <c r="AL26" i="62" s="1"/>
  <c r="R26" i="43"/>
  <c r="AD26" i="43" s="1"/>
  <c r="M28" i="56"/>
  <c r="O28" i="56" s="1"/>
  <c r="O27" i="56"/>
  <c r="AA26" i="59"/>
  <c r="AB26" i="59" s="1"/>
  <c r="AL27" i="65"/>
  <c r="P27" i="43"/>
  <c r="Q27" i="43" s="1"/>
  <c r="T27" i="43" s="1"/>
  <c r="AF27" i="43" s="1"/>
  <c r="AH26" i="63"/>
  <c r="AJ27" i="65"/>
  <c r="AA26" i="55"/>
  <c r="AC26" i="55" s="1"/>
  <c r="AG26" i="63"/>
  <c r="Y27" i="50"/>
  <c r="AK27" i="50" s="1"/>
  <c r="AK26" i="63"/>
  <c r="AA25" i="46"/>
  <c r="AC25" i="46" s="1"/>
  <c r="X27" i="50"/>
  <c r="AJ27" i="50" s="1"/>
  <c r="AC27" i="54"/>
  <c r="AF26" i="63"/>
  <c r="T26" i="55"/>
  <c r="AF26" i="55" s="1"/>
  <c r="S26" i="55"/>
  <c r="AE26" i="55" s="1"/>
  <c r="W26" i="55"/>
  <c r="AI26" i="55" s="1"/>
  <c r="Z26" i="55"/>
  <c r="AL26" i="55" s="1"/>
  <c r="Y26" i="55"/>
  <c r="AK26" i="55" s="1"/>
  <c r="X26" i="55"/>
  <c r="AJ26" i="55" s="1"/>
  <c r="V26" i="55"/>
  <c r="AH26" i="55" s="1"/>
  <c r="U26" i="55"/>
  <c r="AG26" i="55" s="1"/>
  <c r="R26" i="55"/>
  <c r="AD26" i="55" s="1"/>
  <c r="T26" i="59"/>
  <c r="AF26" i="59" s="1"/>
  <c r="N27" i="55"/>
  <c r="P27" i="55"/>
  <c r="U27" i="50"/>
  <c r="AG27" i="50" s="1"/>
  <c r="M28" i="55"/>
  <c r="N28" i="55" s="1"/>
  <c r="M27" i="46"/>
  <c r="C30" i="55"/>
  <c r="E29" i="55"/>
  <c r="H29" i="55" s="1"/>
  <c r="K29" i="55" s="1"/>
  <c r="D29" i="55"/>
  <c r="G29" i="55" s="1"/>
  <c r="J29" i="55" s="1"/>
  <c r="I29" i="55"/>
  <c r="L29" i="55" s="1"/>
  <c r="C29" i="46"/>
  <c r="D28" i="46"/>
  <c r="G28" i="46" s="1"/>
  <c r="J28" i="46" s="1"/>
  <c r="I28" i="46"/>
  <c r="L28" i="46" s="1"/>
  <c r="H28" i="46"/>
  <c r="K28" i="46" s="1"/>
  <c r="D29" i="43"/>
  <c r="G29" i="43" s="1"/>
  <c r="J29" i="43" s="1"/>
  <c r="F29" i="43"/>
  <c r="I29" i="43" s="1"/>
  <c r="L29" i="43" s="1"/>
  <c r="H29" i="43"/>
  <c r="K29" i="43" s="1"/>
  <c r="C30" i="43"/>
  <c r="C30" i="56"/>
  <c r="E29" i="56"/>
  <c r="H29" i="56" s="1"/>
  <c r="K29" i="56" s="1"/>
  <c r="I29" i="56"/>
  <c r="L29" i="56" s="1"/>
  <c r="D29" i="56"/>
  <c r="G29" i="56" s="1"/>
  <c r="J29" i="56" s="1"/>
  <c r="T27" i="56"/>
  <c r="S27" i="56"/>
  <c r="R27" i="56"/>
  <c r="Y27" i="56"/>
  <c r="X27" i="56"/>
  <c r="W27" i="56"/>
  <c r="Z27" i="56"/>
  <c r="V27" i="56"/>
  <c r="U27" i="56"/>
  <c r="O26" i="46"/>
  <c r="P26" i="46"/>
  <c r="Q26" i="46" s="1"/>
  <c r="AA27" i="56"/>
  <c r="AC27" i="56" s="1"/>
  <c r="AC24" i="46"/>
  <c r="AB24" i="46"/>
  <c r="BN18" i="1" s="1"/>
  <c r="P27" i="59"/>
  <c r="Q27" i="59" s="1"/>
  <c r="T27" i="59" s="1"/>
  <c r="AE26" i="63"/>
  <c r="V24" i="46"/>
  <c r="AH24" i="46" s="1"/>
  <c r="BT18" i="1" s="1"/>
  <c r="Y24" i="46"/>
  <c r="AK24" i="46" s="1"/>
  <c r="BW18" i="1" s="1"/>
  <c r="X24" i="46"/>
  <c r="AJ24" i="46" s="1"/>
  <c r="BV18" i="1" s="1"/>
  <c r="Z24" i="46"/>
  <c r="AL24" i="46" s="1"/>
  <c r="BX18" i="1" s="1"/>
  <c r="ER18" i="1" s="1"/>
  <c r="W24" i="46"/>
  <c r="AI24" i="46" s="1"/>
  <c r="BU18" i="1" s="1"/>
  <c r="T24" i="46"/>
  <c r="AF24" i="46" s="1"/>
  <c r="BR18" i="1" s="1"/>
  <c r="R24" i="46"/>
  <c r="AD24" i="46" s="1"/>
  <c r="BP18" i="1" s="1"/>
  <c r="S24" i="46"/>
  <c r="AE24" i="46" s="1"/>
  <c r="BQ18" i="1" s="1"/>
  <c r="U24" i="46"/>
  <c r="AG24" i="46" s="1"/>
  <c r="BS18" i="1" s="1"/>
  <c r="Z25" i="46"/>
  <c r="AL25" i="46" s="1"/>
  <c r="BX19" i="1" s="1"/>
  <c r="ER19" i="1" s="1"/>
  <c r="Y25" i="46"/>
  <c r="AK25" i="46" s="1"/>
  <c r="BW19" i="1" s="1"/>
  <c r="S25" i="46"/>
  <c r="AE25" i="46" s="1"/>
  <c r="BQ19" i="1" s="1"/>
  <c r="R25" i="46"/>
  <c r="AD25" i="46" s="1"/>
  <c r="BP19" i="1" s="1"/>
  <c r="V25" i="46"/>
  <c r="AH25" i="46" s="1"/>
  <c r="BT19" i="1" s="1"/>
  <c r="X25" i="46"/>
  <c r="AJ25" i="46" s="1"/>
  <c r="BV19" i="1" s="1"/>
  <c r="W25" i="46"/>
  <c r="AI25" i="46" s="1"/>
  <c r="BU19" i="1" s="1"/>
  <c r="T25" i="46"/>
  <c r="AF25" i="46" s="1"/>
  <c r="BR19" i="1" s="1"/>
  <c r="U25" i="46"/>
  <c r="AG25" i="46" s="1"/>
  <c r="BS19" i="1" s="1"/>
  <c r="AB26" i="56"/>
  <c r="AK27" i="52"/>
  <c r="K12" i="1"/>
  <c r="AD27" i="65"/>
  <c r="AF27" i="52"/>
  <c r="W26" i="62"/>
  <c r="AI26" i="62" s="1"/>
  <c r="AD26" i="63"/>
  <c r="AG27" i="52"/>
  <c r="AD27" i="52"/>
  <c r="Y26" i="59"/>
  <c r="AK26" i="59" s="1"/>
  <c r="AE27" i="52"/>
  <c r="AJ26" i="58"/>
  <c r="Z26" i="59"/>
  <c r="AL26" i="59" s="1"/>
  <c r="AG27" i="65"/>
  <c r="AK26" i="58"/>
  <c r="V26" i="59"/>
  <c r="AH26" i="59" s="1"/>
  <c r="P27" i="63"/>
  <c r="Q27" i="63" s="1"/>
  <c r="Z27" i="63" s="1"/>
  <c r="AL27" i="63" s="1"/>
  <c r="AH27" i="65"/>
  <c r="AC26" i="64"/>
  <c r="AK27" i="65"/>
  <c r="AI27" i="65"/>
  <c r="M28" i="58"/>
  <c r="P28" i="58" s="1"/>
  <c r="Q28" i="58" s="1"/>
  <c r="P29" i="47"/>
  <c r="Q29" i="47" s="1"/>
  <c r="Z29" i="47" s="1"/>
  <c r="AL29" i="47" s="1"/>
  <c r="Y26" i="62"/>
  <c r="AK26" i="62" s="1"/>
  <c r="AB26" i="63"/>
  <c r="N27" i="64"/>
  <c r="O27" i="64" s="1"/>
  <c r="S26" i="62"/>
  <c r="AE26" i="62" s="1"/>
  <c r="O28" i="52"/>
  <c r="P27" i="60"/>
  <c r="Q27" i="60" s="1"/>
  <c r="S27" i="60" s="1"/>
  <c r="AA26" i="62"/>
  <c r="AC26" i="62" s="1"/>
  <c r="T26" i="62"/>
  <c r="AF26" i="62" s="1"/>
  <c r="P28" i="48"/>
  <c r="Q28" i="48" s="1"/>
  <c r="S28" i="48" s="1"/>
  <c r="N27" i="58"/>
  <c r="O27" i="58" s="1"/>
  <c r="R26" i="62"/>
  <c r="AD26" i="62" s="1"/>
  <c r="AF27" i="65"/>
  <c r="AF26" i="58"/>
  <c r="AF19" i="23"/>
  <c r="AC26" i="58"/>
  <c r="AG26" i="58"/>
  <c r="AL26" i="58"/>
  <c r="AH26" i="58"/>
  <c r="AI26" i="58"/>
  <c r="AB26" i="60"/>
  <c r="AB26" i="53"/>
  <c r="AD26" i="58"/>
  <c r="AB27" i="51"/>
  <c r="AC26" i="60"/>
  <c r="AB27" i="65"/>
  <c r="AC26" i="53"/>
  <c r="N28" i="54"/>
  <c r="O28" i="54" s="1"/>
  <c r="M28" i="44"/>
  <c r="P28" i="44" s="1"/>
  <c r="Q28" i="44" s="1"/>
  <c r="AB27" i="48"/>
  <c r="AL27" i="48"/>
  <c r="AB27" i="52"/>
  <c r="AH26" i="60"/>
  <c r="AB26" i="44"/>
  <c r="O28" i="50"/>
  <c r="AK26" i="60"/>
  <c r="M28" i="64"/>
  <c r="N28" i="64" s="1"/>
  <c r="AB26" i="58"/>
  <c r="AL26" i="60"/>
  <c r="P29" i="45"/>
  <c r="Q29" i="45" s="1"/>
  <c r="X29" i="45" s="1"/>
  <c r="AJ29" i="45" s="1"/>
  <c r="AI26" i="60"/>
  <c r="M29" i="65"/>
  <c r="O29" i="65" s="1"/>
  <c r="P28" i="65"/>
  <c r="C31" i="65"/>
  <c r="I30" i="65"/>
  <c r="L30" i="65" s="1"/>
  <c r="H30" i="65"/>
  <c r="K30" i="65" s="1"/>
  <c r="G30" i="65"/>
  <c r="J30" i="65" s="1"/>
  <c r="AB26" i="64"/>
  <c r="AA27" i="64"/>
  <c r="AD26" i="64"/>
  <c r="AJ26" i="64"/>
  <c r="C30" i="64"/>
  <c r="D29" i="64"/>
  <c r="G29" i="64" s="1"/>
  <c r="J29" i="64" s="1"/>
  <c r="E29" i="64"/>
  <c r="H29" i="64" s="1"/>
  <c r="K29" i="64" s="1"/>
  <c r="F29" i="64"/>
  <c r="I29" i="64" s="1"/>
  <c r="L29" i="64" s="1"/>
  <c r="AK26" i="64"/>
  <c r="AL26" i="64"/>
  <c r="AH26" i="64"/>
  <c r="X27" i="64"/>
  <c r="W27" i="64"/>
  <c r="Z27" i="64"/>
  <c r="T27" i="64"/>
  <c r="S27" i="64"/>
  <c r="R27" i="64"/>
  <c r="Y27" i="64"/>
  <c r="V27" i="64"/>
  <c r="U27" i="64"/>
  <c r="AI26" i="64"/>
  <c r="AE26" i="64"/>
  <c r="AG26" i="64"/>
  <c r="AF26" i="64"/>
  <c r="M28" i="63"/>
  <c r="P28" i="63" s="1"/>
  <c r="Q28" i="63" s="1"/>
  <c r="C30" i="63"/>
  <c r="F29" i="63"/>
  <c r="I29" i="63" s="1"/>
  <c r="L29" i="63" s="1"/>
  <c r="D29" i="63"/>
  <c r="G29" i="63" s="1"/>
  <c r="J29" i="63" s="1"/>
  <c r="H29" i="63"/>
  <c r="K29" i="63" s="1"/>
  <c r="M28" i="62"/>
  <c r="P28" i="62" s="1"/>
  <c r="Q28" i="62" s="1"/>
  <c r="C30" i="62"/>
  <c r="D29" i="62"/>
  <c r="G29" i="62" s="1"/>
  <c r="J29" i="62" s="1"/>
  <c r="H29" i="62"/>
  <c r="K29" i="62" s="1"/>
  <c r="I29" i="62"/>
  <c r="L29" i="62" s="1"/>
  <c r="V27" i="62"/>
  <c r="AH27" i="62" s="1"/>
  <c r="T27" i="62"/>
  <c r="AF27" i="62" s="1"/>
  <c r="M28" i="61"/>
  <c r="C30" i="61"/>
  <c r="F29" i="61"/>
  <c r="L29" i="61" s="1"/>
  <c r="E29" i="61"/>
  <c r="K29" i="61" s="1"/>
  <c r="D29" i="61"/>
  <c r="M28" i="60"/>
  <c r="P28" i="60" s="1"/>
  <c r="Q28" i="60" s="1"/>
  <c r="AG26" i="60"/>
  <c r="AJ26" i="60"/>
  <c r="AE26" i="60"/>
  <c r="C30" i="60"/>
  <c r="E29" i="60"/>
  <c r="H29" i="60" s="1"/>
  <c r="K29" i="60" s="1"/>
  <c r="D29" i="60"/>
  <c r="G29" i="60" s="1"/>
  <c r="J29" i="60" s="1"/>
  <c r="I29" i="60"/>
  <c r="L29" i="60" s="1"/>
  <c r="AD26" i="60"/>
  <c r="O27" i="60"/>
  <c r="AF26" i="60"/>
  <c r="O27" i="59"/>
  <c r="M28" i="59"/>
  <c r="N28" i="59" s="1"/>
  <c r="C30" i="59"/>
  <c r="E29" i="59"/>
  <c r="H29" i="59" s="1"/>
  <c r="K29" i="59" s="1"/>
  <c r="D29" i="59"/>
  <c r="G29" i="59" s="1"/>
  <c r="J29" i="59" s="1"/>
  <c r="I29" i="59"/>
  <c r="L29" i="59" s="1"/>
  <c r="X27" i="58"/>
  <c r="W27" i="58"/>
  <c r="T27" i="58"/>
  <c r="S27" i="58"/>
  <c r="R27" i="58"/>
  <c r="Z27" i="58"/>
  <c r="Y27" i="58"/>
  <c r="V27" i="58"/>
  <c r="U27" i="58"/>
  <c r="C30" i="58"/>
  <c r="D29" i="58"/>
  <c r="G29" i="58" s="1"/>
  <c r="J29" i="58" s="1"/>
  <c r="I29" i="58"/>
  <c r="L29" i="58" s="1"/>
  <c r="E29" i="58"/>
  <c r="H29" i="58" s="1"/>
  <c r="K29" i="58" s="1"/>
  <c r="AA27" i="58"/>
  <c r="M28" i="57"/>
  <c r="P28" i="57" s="1"/>
  <c r="Q28" i="57" s="1"/>
  <c r="O27" i="57"/>
  <c r="AA27" i="57"/>
  <c r="AC27" i="57" s="1"/>
  <c r="AC25" i="57"/>
  <c r="AB25" i="57"/>
  <c r="C30" i="57"/>
  <c r="E29" i="57"/>
  <c r="H29" i="57" s="1"/>
  <c r="K29" i="57" s="1"/>
  <c r="D29" i="57"/>
  <c r="G29" i="57" s="1"/>
  <c r="J29" i="57" s="1"/>
  <c r="F29" i="57"/>
  <c r="I29" i="57" s="1"/>
  <c r="L29" i="57" s="1"/>
  <c r="X27" i="57"/>
  <c r="W27" i="57"/>
  <c r="V27" i="57"/>
  <c r="U27" i="57"/>
  <c r="T27" i="57"/>
  <c r="S27" i="57"/>
  <c r="R27" i="57"/>
  <c r="Z27" i="57"/>
  <c r="Y27" i="57"/>
  <c r="AA28" i="54"/>
  <c r="AE27" i="54"/>
  <c r="AD27" i="54"/>
  <c r="M29" i="54"/>
  <c r="N29" i="54" s="1"/>
  <c r="AF27" i="54"/>
  <c r="AH27" i="54"/>
  <c r="C31" i="54"/>
  <c r="D30" i="54"/>
  <c r="G30" i="54" s="1"/>
  <c r="J30" i="54" s="1"/>
  <c r="E30" i="54"/>
  <c r="H30" i="54" s="1"/>
  <c r="K30" i="54" s="1"/>
  <c r="I30" i="54"/>
  <c r="L30" i="54" s="1"/>
  <c r="AK27" i="54"/>
  <c r="AI27" i="54"/>
  <c r="AG27" i="54"/>
  <c r="AJ27" i="54"/>
  <c r="R28" i="54"/>
  <c r="U28" i="54"/>
  <c r="Z28" i="54"/>
  <c r="Y28" i="54"/>
  <c r="X28" i="54"/>
  <c r="W28" i="54"/>
  <c r="V28" i="54"/>
  <c r="T28" i="54"/>
  <c r="S28" i="54"/>
  <c r="AB27" i="54"/>
  <c r="AL27" i="54"/>
  <c r="Q27" i="53"/>
  <c r="X27" i="53" s="1"/>
  <c r="AA27" i="53"/>
  <c r="M28" i="53"/>
  <c r="P28" i="53" s="1"/>
  <c r="Q28" i="53" s="1"/>
  <c r="N27" i="53"/>
  <c r="O27" i="53" s="1"/>
  <c r="AD26" i="53"/>
  <c r="AH26" i="53"/>
  <c r="AL26" i="53"/>
  <c r="AJ26" i="53"/>
  <c r="AK26" i="53"/>
  <c r="C30" i="53"/>
  <c r="E29" i="53"/>
  <c r="H29" i="53" s="1"/>
  <c r="K29" i="53" s="1"/>
  <c r="D29" i="53"/>
  <c r="G29" i="53" s="1"/>
  <c r="J29" i="53" s="1"/>
  <c r="I29" i="53"/>
  <c r="L29" i="53" s="1"/>
  <c r="AI26" i="53"/>
  <c r="AE26" i="53"/>
  <c r="AG26" i="53"/>
  <c r="AF26" i="53"/>
  <c r="M29" i="52"/>
  <c r="P29" i="52" s="1"/>
  <c r="Q29" i="52" s="1"/>
  <c r="C31" i="52"/>
  <c r="D30" i="52"/>
  <c r="G30" i="52" s="1"/>
  <c r="J30" i="52" s="1"/>
  <c r="H30" i="52"/>
  <c r="K30" i="52" s="1"/>
  <c r="I30" i="52"/>
  <c r="L30" i="52" s="1"/>
  <c r="R28" i="52"/>
  <c r="T28" i="52"/>
  <c r="Z28" i="52"/>
  <c r="Y28" i="52"/>
  <c r="U28" i="52"/>
  <c r="X28" i="52"/>
  <c r="W28" i="52"/>
  <c r="V28" i="52"/>
  <c r="S28" i="52"/>
  <c r="AA28" i="52"/>
  <c r="AC28" i="52" s="1"/>
  <c r="N28" i="51"/>
  <c r="O28" i="51" s="1"/>
  <c r="P28" i="51"/>
  <c r="Q28" i="51" s="1"/>
  <c r="W28" i="51" s="1"/>
  <c r="M29" i="51"/>
  <c r="N29" i="51" s="1"/>
  <c r="C31" i="51"/>
  <c r="D30" i="51"/>
  <c r="G30" i="51" s="1"/>
  <c r="J30" i="51" s="1"/>
  <c r="E30" i="51"/>
  <c r="H30" i="51" s="1"/>
  <c r="K30" i="51" s="1"/>
  <c r="F30" i="51"/>
  <c r="I30" i="51" s="1"/>
  <c r="L30" i="51" s="1"/>
  <c r="M29" i="50"/>
  <c r="O29" i="50" s="1"/>
  <c r="C31" i="50"/>
  <c r="D30" i="50"/>
  <c r="G30" i="50" s="1"/>
  <c r="J30" i="50" s="1"/>
  <c r="I30" i="50"/>
  <c r="L30" i="50" s="1"/>
  <c r="H30" i="50"/>
  <c r="K30" i="50" s="1"/>
  <c r="R28" i="50"/>
  <c r="T28" i="50"/>
  <c r="Y28" i="50"/>
  <c r="X28" i="50"/>
  <c r="W28" i="50"/>
  <c r="V28" i="50"/>
  <c r="U28" i="50"/>
  <c r="S28" i="50"/>
  <c r="Z28" i="50"/>
  <c r="AA28" i="50"/>
  <c r="AC28" i="50" s="1"/>
  <c r="AE27" i="48"/>
  <c r="M29" i="48"/>
  <c r="P29" i="48" s="1"/>
  <c r="Q29" i="48" s="1"/>
  <c r="AF27" i="48"/>
  <c r="AJ27" i="48"/>
  <c r="AI27" i="48"/>
  <c r="AG27" i="48"/>
  <c r="C31" i="48"/>
  <c r="E30" i="48"/>
  <c r="H30" i="48" s="1"/>
  <c r="K30" i="48" s="1"/>
  <c r="D30" i="48"/>
  <c r="G30" i="48" s="1"/>
  <c r="J30" i="48" s="1"/>
  <c r="F30" i="48"/>
  <c r="I30" i="48" s="1"/>
  <c r="L30" i="48" s="1"/>
  <c r="AH27" i="48"/>
  <c r="O28" i="48"/>
  <c r="AK27" i="48"/>
  <c r="AD27" i="48"/>
  <c r="M30" i="47"/>
  <c r="O30" i="47" s="1"/>
  <c r="C32" i="47"/>
  <c r="F31" i="47"/>
  <c r="I31" i="47" s="1"/>
  <c r="L31" i="47" s="1"/>
  <c r="D31" i="47"/>
  <c r="G31" i="47" s="1"/>
  <c r="J31" i="47" s="1"/>
  <c r="E31" i="47"/>
  <c r="H31" i="47" s="1"/>
  <c r="K31" i="47" s="1"/>
  <c r="M30" i="45"/>
  <c r="O30" i="45" s="1"/>
  <c r="C32" i="45"/>
  <c r="D31" i="45"/>
  <c r="G31" i="45" s="1"/>
  <c r="J31" i="45" s="1"/>
  <c r="H31" i="45"/>
  <c r="K31" i="45" s="1"/>
  <c r="I31" i="45"/>
  <c r="L31" i="45" s="1"/>
  <c r="AA27" i="44"/>
  <c r="AC27" i="44" s="1"/>
  <c r="C30" i="44"/>
  <c r="E29" i="44"/>
  <c r="H29" i="44" s="1"/>
  <c r="K29" i="44" s="1"/>
  <c r="F29" i="44"/>
  <c r="I29" i="44" s="1"/>
  <c r="L29" i="44" s="1"/>
  <c r="D29" i="44"/>
  <c r="G29" i="44" s="1"/>
  <c r="J29" i="44" s="1"/>
  <c r="R27" i="44"/>
  <c r="AD27" i="44" s="1"/>
  <c r="T27" i="44"/>
  <c r="AF27" i="44" s="1"/>
  <c r="S27" i="44"/>
  <c r="AE27" i="44" s="1"/>
  <c r="Y27" i="44"/>
  <c r="AK27" i="44" s="1"/>
  <c r="V27" i="44"/>
  <c r="AH27" i="44" s="1"/>
  <c r="X27" i="44"/>
  <c r="AJ27" i="44" s="1"/>
  <c r="W27" i="44"/>
  <c r="AI27" i="44" s="1"/>
  <c r="AE19" i="23"/>
  <c r="AK11" i="1"/>
  <c r="AD19" i="23"/>
  <c r="AI19" i="23"/>
  <c r="AK19" i="23"/>
  <c r="AL19" i="23"/>
  <c r="AG19" i="23"/>
  <c r="AJ19" i="23"/>
  <c r="Y18" i="23"/>
  <c r="AK18" i="23" s="1"/>
  <c r="Z18" i="23"/>
  <c r="AL18" i="23" s="1"/>
  <c r="X18" i="23"/>
  <c r="AJ18" i="23" s="1"/>
  <c r="S18" i="23"/>
  <c r="AE18" i="23" s="1"/>
  <c r="V18" i="23"/>
  <c r="AH18" i="23" s="1"/>
  <c r="T18" i="23"/>
  <c r="AF18" i="23" s="1"/>
  <c r="U18" i="23"/>
  <c r="AG18" i="23" s="1"/>
  <c r="R18" i="23"/>
  <c r="AD18" i="23" s="1"/>
  <c r="W18" i="23"/>
  <c r="AI18" i="23" s="1"/>
  <c r="AC19" i="23"/>
  <c r="AB19" i="23"/>
  <c r="M21" i="23"/>
  <c r="C23" i="23"/>
  <c r="D22" i="23"/>
  <c r="G22" i="23" s="1"/>
  <c r="J22" i="23" s="1"/>
  <c r="E22" i="23"/>
  <c r="H22" i="23" s="1"/>
  <c r="K22" i="23" s="1"/>
  <c r="F22" i="23"/>
  <c r="I22" i="23" s="1"/>
  <c r="L22" i="23" s="1"/>
  <c r="N20" i="23"/>
  <c r="O20" i="23" s="1"/>
  <c r="P20" i="23"/>
  <c r="AB18" i="23"/>
  <c r="G23" i="19"/>
  <c r="J23" i="19" s="1"/>
  <c r="H21" i="20"/>
  <c r="K21" i="20" s="1"/>
  <c r="M21" i="20" s="1"/>
  <c r="P21" i="20" s="1"/>
  <c r="BD15" i="1"/>
  <c r="I23" i="19"/>
  <c r="L23" i="19" s="1"/>
  <c r="BE15" i="1"/>
  <c r="H23" i="19"/>
  <c r="K23" i="19" s="1"/>
  <c r="BC15" i="1"/>
  <c r="X9" i="1"/>
  <c r="BF9" i="1"/>
  <c r="AB19" i="28"/>
  <c r="Y10" i="1"/>
  <c r="AA9" i="1"/>
  <c r="AB9" i="1"/>
  <c r="AC9" i="1"/>
  <c r="AD9" i="1"/>
  <c r="AE9" i="1"/>
  <c r="Z8" i="1"/>
  <c r="AP12" i="1"/>
  <c r="AR12" i="1"/>
  <c r="AN11" i="1"/>
  <c r="AL12" i="1"/>
  <c r="AG12" i="1"/>
  <c r="AU11" i="1"/>
  <c r="AZ13" i="1"/>
  <c r="AT11" i="1"/>
  <c r="AV13" i="1"/>
  <c r="AS12" i="1"/>
  <c r="AI13" i="1"/>
  <c r="AJ11" i="1"/>
  <c r="BA11" i="1"/>
  <c r="AM12" i="1"/>
  <c r="AN12" i="1"/>
  <c r="AQ13" i="1"/>
  <c r="AP13" i="1"/>
  <c r="AO15" i="1"/>
  <c r="AH12" i="1"/>
  <c r="BB14" i="1"/>
  <c r="AF14" i="1"/>
  <c r="AW11" i="1"/>
  <c r="AB19" i="30"/>
  <c r="AI20" i="37"/>
  <c r="AL20" i="36"/>
  <c r="Q19" i="30"/>
  <c r="U19" i="30" s="1"/>
  <c r="AG19" i="30" s="1"/>
  <c r="AB18" i="35"/>
  <c r="AC18" i="35"/>
  <c r="I12" i="1" s="1"/>
  <c r="Z18" i="35"/>
  <c r="AL18" i="35" s="1"/>
  <c r="X18" i="35"/>
  <c r="AJ18" i="35" s="1"/>
  <c r="T18" i="35"/>
  <c r="AF18" i="35" s="1"/>
  <c r="V18" i="35"/>
  <c r="AH18" i="35" s="1"/>
  <c r="U18" i="35"/>
  <c r="AG18" i="35" s="1"/>
  <c r="S18" i="35"/>
  <c r="AE18" i="35" s="1"/>
  <c r="W18" i="35"/>
  <c r="AI18" i="35" s="1"/>
  <c r="R18" i="35"/>
  <c r="AD18" i="35" s="1"/>
  <c r="Y18" i="35"/>
  <c r="AK18" i="35" s="1"/>
  <c r="P20" i="25"/>
  <c r="AA20" i="25" s="1"/>
  <c r="AC20" i="25" s="1"/>
  <c r="T19" i="20"/>
  <c r="AF19" i="20" s="1"/>
  <c r="T20" i="38"/>
  <c r="AF20" i="38" s="1"/>
  <c r="X19" i="8"/>
  <c r="AJ19" i="8" s="1"/>
  <c r="I11" i="1"/>
  <c r="R11" i="1"/>
  <c r="R19" i="8"/>
  <c r="AD19" i="8" s="1"/>
  <c r="Q19" i="24"/>
  <c r="V19" i="24" s="1"/>
  <c r="AH19" i="24" s="1"/>
  <c r="AA19" i="24"/>
  <c r="AB19" i="24" s="1"/>
  <c r="Y19" i="8"/>
  <c r="AK19" i="8" s="1"/>
  <c r="Z20" i="21"/>
  <c r="AL20" i="21" s="1"/>
  <c r="S20" i="29"/>
  <c r="AE20" i="29" s="1"/>
  <c r="S20" i="21"/>
  <c r="AE20" i="21" s="1"/>
  <c r="Z20" i="29"/>
  <c r="AL20" i="29" s="1"/>
  <c r="W10" i="1"/>
  <c r="M11" i="1"/>
  <c r="N11" i="1"/>
  <c r="S11" i="1"/>
  <c r="AB21" i="40"/>
  <c r="Z22" i="27"/>
  <c r="AL22" i="27" s="1"/>
  <c r="M21" i="35"/>
  <c r="N21" i="35" s="1"/>
  <c r="O21" i="35" s="1"/>
  <c r="M21" i="22"/>
  <c r="V20" i="38"/>
  <c r="AH20" i="38" s="1"/>
  <c r="P22" i="38"/>
  <c r="Q22" i="38" s="1"/>
  <c r="R22" i="38" s="1"/>
  <c r="AD22" i="38" s="1"/>
  <c r="Y21" i="19"/>
  <c r="AK21" i="19" s="1"/>
  <c r="P20" i="30"/>
  <c r="Q20" i="30" s="1"/>
  <c r="S21" i="19"/>
  <c r="AE21" i="19" s="1"/>
  <c r="U19" i="20"/>
  <c r="AG19" i="20" s="1"/>
  <c r="X20" i="38"/>
  <c r="AJ20" i="38" s="1"/>
  <c r="W21" i="19"/>
  <c r="AI21" i="19" s="1"/>
  <c r="Y19" i="20"/>
  <c r="AK19" i="20" s="1"/>
  <c r="O11" i="1"/>
  <c r="N20" i="39"/>
  <c r="O20" i="39" s="1"/>
  <c r="P20" i="39"/>
  <c r="AA20" i="39" s="1"/>
  <c r="Z19" i="20"/>
  <c r="AL19" i="20" s="1"/>
  <c r="V20" i="21"/>
  <c r="AH20" i="21" s="1"/>
  <c r="V19" i="20"/>
  <c r="AH19" i="20" s="1"/>
  <c r="T20" i="21"/>
  <c r="AF20" i="21" s="1"/>
  <c r="Y20" i="29"/>
  <c r="AK20" i="29" s="1"/>
  <c r="M21" i="25"/>
  <c r="P21" i="25" s="1"/>
  <c r="AA21" i="25" s="1"/>
  <c r="AC21" i="25" s="1"/>
  <c r="S19" i="31"/>
  <c r="AE19" i="31" s="1"/>
  <c r="Y19" i="31"/>
  <c r="AK19" i="31" s="1"/>
  <c r="U19" i="31"/>
  <c r="AG19" i="31" s="1"/>
  <c r="T19" i="31"/>
  <c r="AF19" i="31" s="1"/>
  <c r="X19" i="31"/>
  <c r="AJ19" i="31" s="1"/>
  <c r="V19" i="31"/>
  <c r="AH19" i="31" s="1"/>
  <c r="W19" i="31"/>
  <c r="AI19" i="31" s="1"/>
  <c r="Z19" i="31"/>
  <c r="AL19" i="31" s="1"/>
  <c r="R19" i="31"/>
  <c r="AD19" i="31" s="1"/>
  <c r="AB19" i="25"/>
  <c r="H11" i="1"/>
  <c r="AH21" i="40"/>
  <c r="R21" i="19"/>
  <c r="AD21" i="19" s="1"/>
  <c r="AB19" i="31"/>
  <c r="U11" i="1"/>
  <c r="T11" i="1"/>
  <c r="Q11" i="1"/>
  <c r="AC19" i="35"/>
  <c r="X21" i="19"/>
  <c r="AJ21" i="19" s="1"/>
  <c r="AB19" i="26"/>
  <c r="Y20" i="36"/>
  <c r="AK20" i="36" s="1"/>
  <c r="R22" i="27"/>
  <c r="AD22" i="27" s="1"/>
  <c r="P11" i="1"/>
  <c r="S22" i="27"/>
  <c r="AE22" i="27" s="1"/>
  <c r="M21" i="24"/>
  <c r="N21" i="24" s="1"/>
  <c r="O21" i="24" s="1"/>
  <c r="X22" i="27"/>
  <c r="AJ22" i="27" s="1"/>
  <c r="P20" i="32"/>
  <c r="AA20" i="32" s="1"/>
  <c r="AC20" i="32" s="1"/>
  <c r="O20" i="32"/>
  <c r="Q19" i="32"/>
  <c r="AA19" i="32"/>
  <c r="Q20" i="31"/>
  <c r="D23" i="31"/>
  <c r="G23" i="31" s="1"/>
  <c r="J23" i="31" s="1"/>
  <c r="I23" i="31"/>
  <c r="L23" i="31" s="1"/>
  <c r="C24" i="31"/>
  <c r="E23" i="31"/>
  <c r="H23" i="31" s="1"/>
  <c r="K23" i="31" s="1"/>
  <c r="T21" i="19"/>
  <c r="AF21" i="19" s="1"/>
  <c r="W21" i="40"/>
  <c r="AI21" i="40" s="1"/>
  <c r="M22" i="31"/>
  <c r="V21" i="19"/>
  <c r="AH21" i="19" s="1"/>
  <c r="X19" i="20"/>
  <c r="AJ19" i="20" s="1"/>
  <c r="M21" i="33"/>
  <c r="S20" i="38"/>
  <c r="AE20" i="38" s="1"/>
  <c r="Z20" i="38"/>
  <c r="AL20" i="38" s="1"/>
  <c r="M21" i="30"/>
  <c r="N21" i="30" s="1"/>
  <c r="O21" i="30" s="1"/>
  <c r="AB19" i="35"/>
  <c r="AA20" i="24"/>
  <c r="M21" i="32"/>
  <c r="N20" i="24"/>
  <c r="O20" i="24" s="1"/>
  <c r="P21" i="31"/>
  <c r="Q21" i="31" s="1"/>
  <c r="O21" i="31"/>
  <c r="AB20" i="31"/>
  <c r="Q19" i="33"/>
  <c r="AA19" i="33"/>
  <c r="AC19" i="33" s="1"/>
  <c r="Q19" i="26"/>
  <c r="T18" i="33"/>
  <c r="AF18" i="33" s="1"/>
  <c r="S18" i="33"/>
  <c r="AE18" i="33" s="1"/>
  <c r="V18" i="33"/>
  <c r="AH18" i="33" s="1"/>
  <c r="R18" i="33"/>
  <c r="AD18" i="33" s="1"/>
  <c r="Y18" i="33"/>
  <c r="AK18" i="33" s="1"/>
  <c r="X18" i="33"/>
  <c r="AJ18" i="33" s="1"/>
  <c r="U18" i="33"/>
  <c r="AG18" i="33" s="1"/>
  <c r="Z18" i="33"/>
  <c r="AL18" i="33" s="1"/>
  <c r="W18" i="33"/>
  <c r="AI18" i="33" s="1"/>
  <c r="N20" i="33"/>
  <c r="O20" i="33" s="1"/>
  <c r="P20" i="33"/>
  <c r="AA20" i="33" s="1"/>
  <c r="AC19" i="26"/>
  <c r="T18" i="32"/>
  <c r="AF18" i="32" s="1"/>
  <c r="W18" i="32"/>
  <c r="AI18" i="32" s="1"/>
  <c r="U18" i="32"/>
  <c r="AG18" i="32" s="1"/>
  <c r="R18" i="32"/>
  <c r="AD18" i="32" s="1"/>
  <c r="X18" i="32"/>
  <c r="AJ18" i="32" s="1"/>
  <c r="V18" i="32"/>
  <c r="AH18" i="32" s="1"/>
  <c r="S18" i="32"/>
  <c r="AE18" i="32" s="1"/>
  <c r="Z18" i="32"/>
  <c r="AL18" i="32" s="1"/>
  <c r="Y18" i="32"/>
  <c r="AK18" i="32" s="1"/>
  <c r="T18" i="39"/>
  <c r="AF18" i="39" s="1"/>
  <c r="Y18" i="39"/>
  <c r="AK18" i="39" s="1"/>
  <c r="X18" i="39"/>
  <c r="AJ18" i="39" s="1"/>
  <c r="U18" i="39"/>
  <c r="AG18" i="39" s="1"/>
  <c r="W18" i="39"/>
  <c r="AI18" i="39" s="1"/>
  <c r="S18" i="39"/>
  <c r="AE18" i="39" s="1"/>
  <c r="V18" i="39"/>
  <c r="AH18" i="39" s="1"/>
  <c r="R18" i="39"/>
  <c r="AD18" i="39" s="1"/>
  <c r="Z18" i="39"/>
  <c r="AL18" i="39" s="1"/>
  <c r="Q19" i="35"/>
  <c r="M21" i="39"/>
  <c r="AB18" i="33"/>
  <c r="D22" i="26"/>
  <c r="G22" i="26" s="1"/>
  <c r="J22" i="26" s="1"/>
  <c r="C23" i="26"/>
  <c r="E22" i="26"/>
  <c r="H22" i="26" s="1"/>
  <c r="K22" i="26" s="1"/>
  <c r="F22" i="26"/>
  <c r="I22" i="26" s="1"/>
  <c r="L22" i="26" s="1"/>
  <c r="T20" i="29"/>
  <c r="AF20" i="29" s="1"/>
  <c r="AB19" i="22"/>
  <c r="F22" i="24"/>
  <c r="I22" i="24" s="1"/>
  <c r="L22" i="24" s="1"/>
  <c r="C23" i="24"/>
  <c r="D22" i="24"/>
  <c r="G22" i="24" s="1"/>
  <c r="J22" i="24" s="1"/>
  <c r="E22" i="24"/>
  <c r="H22" i="24" s="1"/>
  <c r="K22" i="24" s="1"/>
  <c r="C23" i="25"/>
  <c r="D22" i="25"/>
  <c r="G22" i="25" s="1"/>
  <c r="J22" i="25" s="1"/>
  <c r="H22" i="25"/>
  <c r="K22" i="25" s="1"/>
  <c r="I22" i="25"/>
  <c r="L22" i="25" s="1"/>
  <c r="AA19" i="39"/>
  <c r="AC19" i="39" s="1"/>
  <c r="Q19" i="39"/>
  <c r="M21" i="26"/>
  <c r="U20" i="29"/>
  <c r="AG20" i="29" s="1"/>
  <c r="E22" i="39"/>
  <c r="H22" i="39" s="1"/>
  <c r="K22" i="39" s="1"/>
  <c r="C23" i="39"/>
  <c r="D22" i="39"/>
  <c r="G22" i="39" s="1"/>
  <c r="J22" i="39" s="1"/>
  <c r="F22" i="39"/>
  <c r="I22" i="39" s="1"/>
  <c r="L22" i="39" s="1"/>
  <c r="Q19" i="22"/>
  <c r="D22" i="22"/>
  <c r="G22" i="22" s="1"/>
  <c r="J22" i="22" s="1"/>
  <c r="F22" i="22"/>
  <c r="I22" i="22" s="1"/>
  <c r="L22" i="22" s="1"/>
  <c r="C23" i="22"/>
  <c r="E22" i="22"/>
  <c r="H22" i="22" s="1"/>
  <c r="K22" i="22" s="1"/>
  <c r="Q20" i="24"/>
  <c r="V19" i="8"/>
  <c r="AH19" i="8" s="1"/>
  <c r="U21" i="19"/>
  <c r="AG21" i="19" s="1"/>
  <c r="W20" i="29"/>
  <c r="AI20" i="29" s="1"/>
  <c r="C23" i="33"/>
  <c r="I23" i="33" s="1"/>
  <c r="L23" i="33" s="1"/>
  <c r="D22" i="33"/>
  <c r="G22" i="33" s="1"/>
  <c r="J22" i="33" s="1"/>
  <c r="E22" i="33"/>
  <c r="H22" i="33" s="1"/>
  <c r="K22" i="33" s="1"/>
  <c r="X20" i="29"/>
  <c r="AJ20" i="29" s="1"/>
  <c r="N20" i="35"/>
  <c r="O20" i="35" s="1"/>
  <c r="P20" i="35"/>
  <c r="P20" i="22"/>
  <c r="AA20" i="22" s="1"/>
  <c r="AC20" i="22" s="1"/>
  <c r="O20" i="22"/>
  <c r="N20" i="26"/>
  <c r="O20" i="26" s="1"/>
  <c r="P20" i="26"/>
  <c r="V19" i="25"/>
  <c r="AH19" i="25" s="1"/>
  <c r="Y19" i="25"/>
  <c r="AK19" i="25" s="1"/>
  <c r="R19" i="25"/>
  <c r="AD19" i="25" s="1"/>
  <c r="S19" i="25"/>
  <c r="AE19" i="25" s="1"/>
  <c r="Z19" i="25"/>
  <c r="AL19" i="25" s="1"/>
  <c r="X19" i="25"/>
  <c r="AJ19" i="25" s="1"/>
  <c r="U19" i="25"/>
  <c r="AG19" i="25" s="1"/>
  <c r="W19" i="25"/>
  <c r="AI19" i="25" s="1"/>
  <c r="T19" i="25"/>
  <c r="AF19" i="25" s="1"/>
  <c r="E22" i="35"/>
  <c r="H22" i="35" s="1"/>
  <c r="K22" i="35" s="1"/>
  <c r="D22" i="35"/>
  <c r="G22" i="35" s="1"/>
  <c r="J22" i="35" s="1"/>
  <c r="I22" i="35"/>
  <c r="L22" i="35" s="1"/>
  <c r="C23" i="35"/>
  <c r="D22" i="30"/>
  <c r="G22" i="30" s="1"/>
  <c r="J22" i="30" s="1"/>
  <c r="E22" i="30"/>
  <c r="H22" i="30" s="1"/>
  <c r="K22" i="30" s="1"/>
  <c r="C23" i="30"/>
  <c r="I22" i="30"/>
  <c r="L22" i="30" s="1"/>
  <c r="F22" i="32"/>
  <c r="I22" i="32" s="1"/>
  <c r="L22" i="32" s="1"/>
  <c r="C23" i="32"/>
  <c r="E22" i="32"/>
  <c r="H22" i="32" s="1"/>
  <c r="K22" i="32" s="1"/>
  <c r="D22" i="32"/>
  <c r="G22" i="32" s="1"/>
  <c r="J22" i="32" s="1"/>
  <c r="U18" i="22"/>
  <c r="AG18" i="22" s="1"/>
  <c r="R18" i="22"/>
  <c r="AD18" i="22" s="1"/>
  <c r="W18" i="22"/>
  <c r="AI18" i="22" s="1"/>
  <c r="Y18" i="22"/>
  <c r="AK18" i="22" s="1"/>
  <c r="T18" i="22"/>
  <c r="AF18" i="22" s="1"/>
  <c r="Z18" i="22"/>
  <c r="AL18" i="22" s="1"/>
  <c r="X18" i="22"/>
  <c r="AJ18" i="22" s="1"/>
  <c r="V18" i="22"/>
  <c r="AH18" i="22" s="1"/>
  <c r="S18" i="22"/>
  <c r="AE18" i="22" s="1"/>
  <c r="R20" i="29"/>
  <c r="AD20" i="29" s="1"/>
  <c r="S20" i="34"/>
  <c r="AE20" i="34" s="1"/>
  <c r="W20" i="34"/>
  <c r="AI20" i="34" s="1"/>
  <c r="R20" i="38"/>
  <c r="AD20" i="38" s="1"/>
  <c r="U20" i="38"/>
  <c r="AG20" i="38" s="1"/>
  <c r="W20" i="38"/>
  <c r="AI20" i="38" s="1"/>
  <c r="T19" i="8"/>
  <c r="AF19" i="8" s="1"/>
  <c r="Z19" i="8"/>
  <c r="AL19" i="8" s="1"/>
  <c r="V22" i="27"/>
  <c r="AH22" i="27" s="1"/>
  <c r="W22" i="27"/>
  <c r="AI22" i="27" s="1"/>
  <c r="S20" i="36"/>
  <c r="AE20" i="36" s="1"/>
  <c r="T20" i="36"/>
  <c r="AF20" i="36" s="1"/>
  <c r="U20" i="36"/>
  <c r="AG20" i="36" s="1"/>
  <c r="U19" i="8"/>
  <c r="AG19" i="8" s="1"/>
  <c r="T22" i="27"/>
  <c r="AF22" i="27" s="1"/>
  <c r="W19" i="8"/>
  <c r="AI19" i="8" s="1"/>
  <c r="Y22" i="27"/>
  <c r="AK22" i="27" s="1"/>
  <c r="Q20" i="28"/>
  <c r="W20" i="28" s="1"/>
  <c r="AI20" i="28" s="1"/>
  <c r="R19" i="20"/>
  <c r="AD19" i="20" s="1"/>
  <c r="R20" i="34"/>
  <c r="AD20" i="34" s="1"/>
  <c r="W19" i="20"/>
  <c r="AI19" i="20" s="1"/>
  <c r="AH20" i="29"/>
  <c r="X20" i="34"/>
  <c r="AJ20" i="34" s="1"/>
  <c r="R20" i="36"/>
  <c r="AD20" i="36" s="1"/>
  <c r="P21" i="34"/>
  <c r="Q21" i="34" s="1"/>
  <c r="Z21" i="34" s="1"/>
  <c r="W20" i="36"/>
  <c r="AI20" i="36" s="1"/>
  <c r="AC20" i="29"/>
  <c r="V20" i="37"/>
  <c r="AH20" i="37" s="1"/>
  <c r="V20" i="36"/>
  <c r="AH20" i="36" s="1"/>
  <c r="U20" i="34"/>
  <c r="AG20" i="34" s="1"/>
  <c r="Y20" i="34"/>
  <c r="AK20" i="34" s="1"/>
  <c r="V20" i="34"/>
  <c r="AH20" i="34" s="1"/>
  <c r="X19" i="36"/>
  <c r="AJ19" i="36" s="1"/>
  <c r="Z19" i="36"/>
  <c r="AL19" i="36" s="1"/>
  <c r="R21" i="40"/>
  <c r="AD21" i="40" s="1"/>
  <c r="Z20" i="34"/>
  <c r="AL20" i="34" s="1"/>
  <c r="V19" i="36"/>
  <c r="AH19" i="36" s="1"/>
  <c r="Z20" i="37"/>
  <c r="AL20" i="37" s="1"/>
  <c r="U21" i="40"/>
  <c r="AG21" i="40" s="1"/>
  <c r="T21" i="40"/>
  <c r="AF21" i="40" s="1"/>
  <c r="X20" i="36"/>
  <c r="AJ20" i="36" s="1"/>
  <c r="R20" i="21"/>
  <c r="AD20" i="21" s="1"/>
  <c r="Y20" i="37"/>
  <c r="AK20" i="37" s="1"/>
  <c r="Y21" i="40"/>
  <c r="AK21" i="40" s="1"/>
  <c r="Z21" i="40"/>
  <c r="AL21" i="40" s="1"/>
  <c r="X21" i="40"/>
  <c r="AJ21" i="40" s="1"/>
  <c r="S19" i="36"/>
  <c r="AE19" i="36" s="1"/>
  <c r="N21" i="29"/>
  <c r="O21" i="29" s="1"/>
  <c r="T19" i="36"/>
  <c r="AF19" i="36" s="1"/>
  <c r="R20" i="37"/>
  <c r="AD20" i="37" s="1"/>
  <c r="Q21" i="37"/>
  <c r="S21" i="37" s="1"/>
  <c r="Z19" i="37"/>
  <c r="AL19" i="37" s="1"/>
  <c r="V19" i="37"/>
  <c r="AH19" i="37" s="1"/>
  <c r="Y19" i="37"/>
  <c r="AK19" i="37" s="1"/>
  <c r="X19" i="37"/>
  <c r="AJ19" i="37" s="1"/>
  <c r="W19" i="37"/>
  <c r="AI19" i="37" s="1"/>
  <c r="U19" i="37"/>
  <c r="AG19" i="37" s="1"/>
  <c r="T19" i="37"/>
  <c r="AF19" i="37" s="1"/>
  <c r="R19" i="37"/>
  <c r="AD19" i="37" s="1"/>
  <c r="S19" i="37"/>
  <c r="AE19" i="37" s="1"/>
  <c r="X20" i="21"/>
  <c r="AJ20" i="21" s="1"/>
  <c r="AC20" i="34"/>
  <c r="W20" i="21"/>
  <c r="AI20" i="21" s="1"/>
  <c r="X20" i="37"/>
  <c r="AJ20" i="37" s="1"/>
  <c r="O21" i="37"/>
  <c r="Y20" i="21"/>
  <c r="AK20" i="21" s="1"/>
  <c r="T20" i="37"/>
  <c r="AF20" i="37" s="1"/>
  <c r="Q22" i="40"/>
  <c r="Y22" i="40" s="1"/>
  <c r="Q23" i="27"/>
  <c r="W23" i="27" s="1"/>
  <c r="Q21" i="36"/>
  <c r="R21" i="36" s="1"/>
  <c r="U20" i="37"/>
  <c r="AG20" i="37" s="1"/>
  <c r="Y19" i="36"/>
  <c r="AK19" i="36" s="1"/>
  <c r="W19" i="36"/>
  <c r="AI19" i="36" s="1"/>
  <c r="R19" i="36"/>
  <c r="AD19" i="36" s="1"/>
  <c r="Q20" i="20"/>
  <c r="V20" i="20" s="1"/>
  <c r="S20" i="37"/>
  <c r="AE20" i="37" s="1"/>
  <c r="S21" i="40"/>
  <c r="AE21" i="40" s="1"/>
  <c r="Q21" i="21"/>
  <c r="R21" i="21" s="1"/>
  <c r="AD21" i="21" s="1"/>
  <c r="P21" i="28"/>
  <c r="AA21" i="28" s="1"/>
  <c r="AC21" i="28" s="1"/>
  <c r="Q22" i="19"/>
  <c r="Z22" i="19" s="1"/>
  <c r="M24" i="27"/>
  <c r="P24" i="27" s="1"/>
  <c r="Q21" i="29"/>
  <c r="Z21" i="29" s="1"/>
  <c r="O21" i="28"/>
  <c r="Q21" i="38"/>
  <c r="M23" i="40"/>
  <c r="P23" i="40" s="1"/>
  <c r="AC21" i="40"/>
  <c r="N23" i="40"/>
  <c r="C25" i="40"/>
  <c r="F24" i="40"/>
  <c r="I24" i="40" s="1"/>
  <c r="L24" i="40" s="1"/>
  <c r="E24" i="40"/>
  <c r="H24" i="40" s="1"/>
  <c r="K24" i="40" s="1"/>
  <c r="D24" i="40"/>
  <c r="G24" i="40" s="1"/>
  <c r="J24" i="40" s="1"/>
  <c r="O22" i="40"/>
  <c r="AA22" i="40"/>
  <c r="AB21" i="38"/>
  <c r="M23" i="38"/>
  <c r="P23" i="38" s="1"/>
  <c r="C25" i="38"/>
  <c r="F25" i="38" s="1"/>
  <c r="D24" i="38"/>
  <c r="G24" i="38" s="1"/>
  <c r="J24" i="38" s="1"/>
  <c r="H24" i="38"/>
  <c r="K24" i="38" s="1"/>
  <c r="I24" i="38"/>
  <c r="L24" i="38" s="1"/>
  <c r="AB20" i="37"/>
  <c r="M22" i="37"/>
  <c r="O22" i="37" s="1"/>
  <c r="C24" i="37"/>
  <c r="F23" i="37"/>
  <c r="I23" i="37" s="1"/>
  <c r="L23" i="37" s="1"/>
  <c r="E23" i="37"/>
  <c r="H23" i="37" s="1"/>
  <c r="K23" i="37" s="1"/>
  <c r="D23" i="37"/>
  <c r="G23" i="37" s="1"/>
  <c r="J23" i="37" s="1"/>
  <c r="AA21" i="37"/>
  <c r="AC21" i="37" s="1"/>
  <c r="AB20" i="28"/>
  <c r="AB20" i="34"/>
  <c r="M22" i="36"/>
  <c r="P22" i="36" s="1"/>
  <c r="AB20" i="36"/>
  <c r="AB19" i="36"/>
  <c r="AC19" i="36"/>
  <c r="N22" i="36"/>
  <c r="O21" i="36"/>
  <c r="C24" i="36"/>
  <c r="F24" i="36" s="1"/>
  <c r="E23" i="36"/>
  <c r="H23" i="36" s="1"/>
  <c r="K23" i="36" s="1"/>
  <c r="D23" i="36"/>
  <c r="G23" i="36" s="1"/>
  <c r="J23" i="36" s="1"/>
  <c r="I23" i="36"/>
  <c r="L23" i="36" s="1"/>
  <c r="AA21" i="36"/>
  <c r="AC21" i="36" s="1"/>
  <c r="AF20" i="34"/>
  <c r="M22" i="34"/>
  <c r="P22" i="34" s="1"/>
  <c r="C24" i="34"/>
  <c r="E23" i="34"/>
  <c r="H23" i="34" s="1"/>
  <c r="K23" i="34" s="1"/>
  <c r="D23" i="34"/>
  <c r="G23" i="34" s="1"/>
  <c r="J23" i="34" s="1"/>
  <c r="I23" i="34"/>
  <c r="L23" i="34" s="1"/>
  <c r="O21" i="34"/>
  <c r="F24" i="33"/>
  <c r="N24" i="31"/>
  <c r="M22" i="29"/>
  <c r="P22" i="29" s="1"/>
  <c r="AB20" i="29"/>
  <c r="C24" i="29"/>
  <c r="D23" i="29"/>
  <c r="G23" i="29" s="1"/>
  <c r="J23" i="29" s="1"/>
  <c r="E23" i="29"/>
  <c r="H23" i="29" s="1"/>
  <c r="K23" i="29" s="1"/>
  <c r="I23" i="29"/>
  <c r="L23" i="29" s="1"/>
  <c r="AA21" i="29"/>
  <c r="M22" i="28"/>
  <c r="N22" i="28" s="1"/>
  <c r="C24" i="28"/>
  <c r="E24" i="28" s="1"/>
  <c r="D23" i="28"/>
  <c r="G23" i="28" s="1"/>
  <c r="J23" i="28" s="1"/>
  <c r="H23" i="28"/>
  <c r="K23" i="28" s="1"/>
  <c r="I23" i="28"/>
  <c r="L23" i="28" s="1"/>
  <c r="AB22" i="27"/>
  <c r="N24" i="27"/>
  <c r="C26" i="27"/>
  <c r="F25" i="27"/>
  <c r="I25" i="27" s="1"/>
  <c r="L25" i="27" s="1"/>
  <c r="D25" i="27"/>
  <c r="G25" i="27" s="1"/>
  <c r="J25" i="27" s="1"/>
  <c r="E25" i="27"/>
  <c r="H25" i="27" s="1"/>
  <c r="K25" i="27" s="1"/>
  <c r="AG22" i="27"/>
  <c r="O23" i="27"/>
  <c r="AA23" i="27"/>
  <c r="AC23" i="27" s="1"/>
  <c r="N24" i="25"/>
  <c r="F25" i="25"/>
  <c r="E25" i="25"/>
  <c r="AB19" i="8"/>
  <c r="AB19" i="20"/>
  <c r="K13" i="1" s="1"/>
  <c r="AA21" i="21"/>
  <c r="AC21" i="21" s="1"/>
  <c r="O22" i="19"/>
  <c r="V20" i="8"/>
  <c r="X20" i="8"/>
  <c r="AL21" i="19"/>
  <c r="Y20" i="8"/>
  <c r="W20" i="8"/>
  <c r="U20" i="8"/>
  <c r="Z20" i="8"/>
  <c r="O20" i="20"/>
  <c r="P22" i="21"/>
  <c r="O20" i="8"/>
  <c r="AB20" i="8" s="1"/>
  <c r="AC20" i="8"/>
  <c r="T20" i="8"/>
  <c r="S20" i="8"/>
  <c r="AE19" i="8"/>
  <c r="M23" i="21"/>
  <c r="P23" i="21" s="1"/>
  <c r="C25" i="21"/>
  <c r="D24" i="21"/>
  <c r="G24" i="21" s="1"/>
  <c r="J24" i="21" s="1"/>
  <c r="I24" i="21"/>
  <c r="L24" i="21" s="1"/>
  <c r="H24" i="21"/>
  <c r="K24" i="21" s="1"/>
  <c r="AE19" i="20"/>
  <c r="N21" i="20"/>
  <c r="C23" i="20"/>
  <c r="F22" i="20"/>
  <c r="I22" i="20" s="1"/>
  <c r="L22" i="20" s="1"/>
  <c r="D22" i="20"/>
  <c r="G22" i="20" s="1"/>
  <c r="J22" i="20" s="1"/>
  <c r="E22" i="20"/>
  <c r="AA20" i="20"/>
  <c r="AC20" i="20" s="1"/>
  <c r="N23" i="19"/>
  <c r="AB21" i="19"/>
  <c r="C25" i="19"/>
  <c r="F24" i="19"/>
  <c r="E24" i="19"/>
  <c r="D24" i="19"/>
  <c r="AA22" i="19"/>
  <c r="AC22" i="19" s="1"/>
  <c r="P21" i="8"/>
  <c r="N21" i="8"/>
  <c r="M22" i="8"/>
  <c r="C24" i="8"/>
  <c r="E24" i="8" s="1"/>
  <c r="F23" i="8"/>
  <c r="I23" i="8" s="1"/>
  <c r="L23" i="8" s="1"/>
  <c r="D23" i="8"/>
  <c r="G23" i="8" s="1"/>
  <c r="J23" i="8" s="1"/>
  <c r="H23" i="8"/>
  <c r="K23" i="8" s="1"/>
  <c r="AB28" i="45" l="1"/>
  <c r="CC18" i="1"/>
  <c r="CT17" i="1"/>
  <c r="DA54" i="1" s="1"/>
  <c r="DA55" i="1" s="1"/>
  <c r="CJ19" i="1"/>
  <c r="EL19" i="1"/>
  <c r="CH18" i="1"/>
  <c r="EJ18" i="1"/>
  <c r="CM19" i="1"/>
  <c r="EO19" i="1"/>
  <c r="CJ18" i="1"/>
  <c r="EL18" i="1"/>
  <c r="CN19" i="1"/>
  <c r="EP19" i="1"/>
  <c r="CM18" i="1"/>
  <c r="EO18" i="1"/>
  <c r="CD18" i="1"/>
  <c r="EF18" i="1"/>
  <c r="CL19" i="1"/>
  <c r="EN19" i="1"/>
  <c r="CH19" i="1"/>
  <c r="EJ19" i="1"/>
  <c r="CN18" i="1"/>
  <c r="EP18" i="1"/>
  <c r="CI19" i="1"/>
  <c r="EK19" i="1"/>
  <c r="CO18" i="1"/>
  <c r="EQ18" i="1"/>
  <c r="CO19" i="1"/>
  <c r="EQ19" i="1"/>
  <c r="CL18" i="1"/>
  <c r="EN18" i="1"/>
  <c r="CK18" i="1"/>
  <c r="EM18" i="1"/>
  <c r="CK19" i="1"/>
  <c r="EM19" i="1"/>
  <c r="CI18" i="1"/>
  <c r="EK18" i="1"/>
  <c r="CF18" i="1"/>
  <c r="EH18" i="1"/>
  <c r="U27" i="44"/>
  <c r="AG27" i="44" s="1"/>
  <c r="DE15" i="1"/>
  <c r="DN15" i="1" s="1"/>
  <c r="DA16" i="1"/>
  <c r="DA52" i="1"/>
  <c r="DA53" i="1" s="1"/>
  <c r="CV16" i="1"/>
  <c r="DB16" i="1" s="1"/>
  <c r="DC16" i="1" s="1"/>
  <c r="DK17" i="1"/>
  <c r="DL17" i="1" s="1"/>
  <c r="CU16" i="1"/>
  <c r="CY16" i="1" s="1"/>
  <c r="CC19" i="1"/>
  <c r="DI18" i="1"/>
  <c r="DJ18" i="1" s="1"/>
  <c r="DH18" i="1"/>
  <c r="R27" i="62"/>
  <c r="AD27" i="62" s="1"/>
  <c r="X27" i="62"/>
  <c r="AJ27" i="62" s="1"/>
  <c r="AB26" i="57"/>
  <c r="U28" i="48"/>
  <c r="BO20" i="1"/>
  <c r="CG20" i="1" s="1"/>
  <c r="AB27" i="50"/>
  <c r="AC27" i="49"/>
  <c r="Z27" i="62"/>
  <c r="AL27" i="62" s="1"/>
  <c r="AA27" i="62"/>
  <c r="AC27" i="62" s="1"/>
  <c r="P29" i="49"/>
  <c r="Q29" i="49" s="1"/>
  <c r="Q28" i="49"/>
  <c r="AA28" i="49"/>
  <c r="AC28" i="49" s="1"/>
  <c r="AB28" i="47"/>
  <c r="M30" i="49"/>
  <c r="AB26" i="43"/>
  <c r="C32" i="49"/>
  <c r="E31" i="49"/>
  <c r="H31" i="49" s="1"/>
  <c r="K31" i="49" s="1"/>
  <c r="D31" i="49"/>
  <c r="G31" i="49" s="1"/>
  <c r="J31" i="49" s="1"/>
  <c r="F31" i="49"/>
  <c r="I31" i="49" s="1"/>
  <c r="L31" i="49" s="1"/>
  <c r="BL19" i="1"/>
  <c r="DC15" i="1"/>
  <c r="DM15" i="1" s="1"/>
  <c r="DP15" i="1" s="1"/>
  <c r="AA27" i="59"/>
  <c r="AC27" i="59" s="1"/>
  <c r="V28" i="48"/>
  <c r="W28" i="48"/>
  <c r="AI28" i="48" s="1"/>
  <c r="R28" i="48"/>
  <c r="AD28" i="48" s="1"/>
  <c r="U27" i="59"/>
  <c r="AG27" i="59" s="1"/>
  <c r="Y27" i="59"/>
  <c r="AK27" i="59" s="1"/>
  <c r="Y27" i="62"/>
  <c r="AK27" i="62" s="1"/>
  <c r="S27" i="62"/>
  <c r="AE27" i="62" s="1"/>
  <c r="W27" i="62"/>
  <c r="AI27" i="62" s="1"/>
  <c r="AK27" i="56"/>
  <c r="AE27" i="56"/>
  <c r="Z29" i="45"/>
  <c r="AL29" i="45" s="1"/>
  <c r="V29" i="45"/>
  <c r="AH29" i="45" s="1"/>
  <c r="AJ28" i="52"/>
  <c r="AF28" i="52"/>
  <c r="R27" i="59"/>
  <c r="AD27" i="59" s="1"/>
  <c r="AG28" i="52"/>
  <c r="P28" i="56"/>
  <c r="Q28" i="56" s="1"/>
  <c r="Y29" i="45"/>
  <c r="AK29" i="45" s="1"/>
  <c r="AA28" i="48"/>
  <c r="AC28" i="48" s="1"/>
  <c r="AF28" i="50"/>
  <c r="AK28" i="52"/>
  <c r="AD27" i="56"/>
  <c r="AF27" i="56"/>
  <c r="W27" i="43"/>
  <c r="AI27" i="43" s="1"/>
  <c r="X27" i="43"/>
  <c r="AJ27" i="43" s="1"/>
  <c r="AA29" i="45"/>
  <c r="AC29" i="45" s="1"/>
  <c r="S27" i="59"/>
  <c r="AE27" i="59" s="1"/>
  <c r="Z27" i="59"/>
  <c r="AL27" i="59" s="1"/>
  <c r="S29" i="45"/>
  <c r="AE29" i="45" s="1"/>
  <c r="AH28" i="54"/>
  <c r="AB28" i="54"/>
  <c r="AE28" i="48"/>
  <c r="T29" i="45"/>
  <c r="AF29" i="45" s="1"/>
  <c r="X28" i="48"/>
  <c r="AJ28" i="48" s="1"/>
  <c r="W27" i="59"/>
  <c r="AI27" i="59" s="1"/>
  <c r="R29" i="45"/>
  <c r="AD29" i="45" s="1"/>
  <c r="Y28" i="48"/>
  <c r="AK28" i="48" s="1"/>
  <c r="X27" i="59"/>
  <c r="AJ27" i="59" s="1"/>
  <c r="U29" i="45"/>
  <c r="AG29" i="45" s="1"/>
  <c r="Z28" i="48"/>
  <c r="AL28" i="48" s="1"/>
  <c r="AC26" i="59"/>
  <c r="N28" i="44"/>
  <c r="O28" i="44" s="1"/>
  <c r="W29" i="45"/>
  <c r="AI29" i="45" s="1"/>
  <c r="T28" i="48"/>
  <c r="AF28" i="48" s="1"/>
  <c r="N28" i="58"/>
  <c r="O28" i="58" s="1"/>
  <c r="AG27" i="56"/>
  <c r="Y29" i="47"/>
  <c r="AK29" i="47" s="1"/>
  <c r="R27" i="43"/>
  <c r="AD27" i="43" s="1"/>
  <c r="AA27" i="43"/>
  <c r="AI28" i="54"/>
  <c r="U27" i="43"/>
  <c r="AG27" i="43" s="1"/>
  <c r="V27" i="43"/>
  <c r="AH27" i="43" s="1"/>
  <c r="Y27" i="43"/>
  <c r="AK27" i="43" s="1"/>
  <c r="S27" i="43"/>
  <c r="AE27" i="43" s="1"/>
  <c r="AH27" i="56"/>
  <c r="Z27" i="43"/>
  <c r="AL27" i="43" s="1"/>
  <c r="AL27" i="56"/>
  <c r="V27" i="59"/>
  <c r="AH27" i="59" s="1"/>
  <c r="AB25" i="46"/>
  <c r="BN19" i="1" s="1"/>
  <c r="EH19" i="1" s="1"/>
  <c r="AI27" i="56"/>
  <c r="M29" i="56"/>
  <c r="O29" i="56" s="1"/>
  <c r="AJ28" i="50"/>
  <c r="AE28" i="54"/>
  <c r="V27" i="60"/>
  <c r="AH27" i="60" s="1"/>
  <c r="Z27" i="60"/>
  <c r="AL27" i="60" s="1"/>
  <c r="AJ27" i="56"/>
  <c r="P28" i="43"/>
  <c r="Q28" i="43" s="1"/>
  <c r="X28" i="43" s="1"/>
  <c r="AJ28" i="43" s="1"/>
  <c r="AA27" i="60"/>
  <c r="AC27" i="60" s="1"/>
  <c r="Y27" i="60"/>
  <c r="AK27" i="60" s="1"/>
  <c r="T27" i="60"/>
  <c r="AF27" i="60" s="1"/>
  <c r="AA29" i="47"/>
  <c r="AC29" i="47" s="1"/>
  <c r="T29" i="47"/>
  <c r="AF29" i="47" s="1"/>
  <c r="W29" i="47"/>
  <c r="AI29" i="47" s="1"/>
  <c r="S29" i="47"/>
  <c r="AE29" i="47" s="1"/>
  <c r="R29" i="47"/>
  <c r="AD29" i="47" s="1"/>
  <c r="X29" i="47"/>
  <c r="AJ29" i="47" s="1"/>
  <c r="U29" i="47"/>
  <c r="AG29" i="47" s="1"/>
  <c r="V29" i="47"/>
  <c r="AH29" i="47" s="1"/>
  <c r="AC27" i="58"/>
  <c r="M29" i="43"/>
  <c r="P29" i="43" s="1"/>
  <c r="Q29" i="43" s="1"/>
  <c r="AB26" i="55"/>
  <c r="BK20" i="1" s="1"/>
  <c r="EE20" i="1" s="1"/>
  <c r="BZ19" i="1"/>
  <c r="O28" i="55"/>
  <c r="Q27" i="55"/>
  <c r="AA27" i="55"/>
  <c r="AC27" i="55" s="1"/>
  <c r="O27" i="55"/>
  <c r="X27" i="63"/>
  <c r="AJ27" i="63" s="1"/>
  <c r="BY18" i="1"/>
  <c r="P28" i="55"/>
  <c r="Q28" i="55" s="1"/>
  <c r="BZ18" i="1"/>
  <c r="AD28" i="50"/>
  <c r="AL28" i="52"/>
  <c r="AL28" i="50"/>
  <c r="AD28" i="52"/>
  <c r="M28" i="46"/>
  <c r="O27" i="46"/>
  <c r="P27" i="46"/>
  <c r="Q27" i="46" s="1"/>
  <c r="AG28" i="50"/>
  <c r="V26" i="46"/>
  <c r="AH26" i="46" s="1"/>
  <c r="BT20" i="1" s="1"/>
  <c r="U26" i="46"/>
  <c r="AG26" i="46" s="1"/>
  <c r="BS20" i="1" s="1"/>
  <c r="X26" i="46"/>
  <c r="AJ26" i="46" s="1"/>
  <c r="BV20" i="1" s="1"/>
  <c r="R26" i="46"/>
  <c r="AD26" i="46" s="1"/>
  <c r="BP20" i="1" s="1"/>
  <c r="Z26" i="46"/>
  <c r="AL26" i="46" s="1"/>
  <c r="BX20" i="1" s="1"/>
  <c r="ER20" i="1" s="1"/>
  <c r="T26" i="46"/>
  <c r="AF26" i="46" s="1"/>
  <c r="BR20" i="1" s="1"/>
  <c r="S26" i="46"/>
  <c r="AE26" i="46" s="1"/>
  <c r="BQ20" i="1" s="1"/>
  <c r="W26" i="46"/>
  <c r="AI26" i="46" s="1"/>
  <c r="BU20" i="1" s="1"/>
  <c r="Y26" i="46"/>
  <c r="AK26" i="46" s="1"/>
  <c r="BW20" i="1" s="1"/>
  <c r="C31" i="56"/>
  <c r="D30" i="56"/>
  <c r="G30" i="56" s="1"/>
  <c r="J30" i="56" s="1"/>
  <c r="E30" i="56"/>
  <c r="H30" i="56" s="1"/>
  <c r="K30" i="56" s="1"/>
  <c r="I30" i="56"/>
  <c r="L30" i="56" s="1"/>
  <c r="D29" i="46"/>
  <c r="G29" i="46" s="1"/>
  <c r="J29" i="46" s="1"/>
  <c r="H29" i="46"/>
  <c r="K29" i="46" s="1"/>
  <c r="I29" i="46"/>
  <c r="L29" i="46" s="1"/>
  <c r="C30" i="46"/>
  <c r="AA26" i="46"/>
  <c r="AC26" i="46" s="1"/>
  <c r="AI28" i="50"/>
  <c r="AI28" i="52"/>
  <c r="H30" i="43"/>
  <c r="K30" i="43" s="1"/>
  <c r="C31" i="43"/>
  <c r="D30" i="43"/>
  <c r="G30" i="43" s="1"/>
  <c r="J30" i="43" s="1"/>
  <c r="F30" i="43"/>
  <c r="I30" i="43" s="1"/>
  <c r="L30" i="43" s="1"/>
  <c r="M29" i="55"/>
  <c r="AK28" i="50"/>
  <c r="AB27" i="56"/>
  <c r="C31" i="55"/>
  <c r="E30" i="55"/>
  <c r="H30" i="55" s="1"/>
  <c r="K30" i="55" s="1"/>
  <c r="D30" i="55"/>
  <c r="G30" i="55" s="1"/>
  <c r="J30" i="55" s="1"/>
  <c r="I30" i="55"/>
  <c r="L30" i="55" s="1"/>
  <c r="AK28" i="54"/>
  <c r="AB26" i="62"/>
  <c r="AG28" i="54"/>
  <c r="AA27" i="63"/>
  <c r="AC27" i="63" s="1"/>
  <c r="U27" i="63"/>
  <c r="AG27" i="63" s="1"/>
  <c r="V27" i="63"/>
  <c r="AH27" i="63" s="1"/>
  <c r="Y27" i="63"/>
  <c r="AK27" i="63" s="1"/>
  <c r="AH28" i="50"/>
  <c r="X27" i="60"/>
  <c r="AJ27" i="60" s="1"/>
  <c r="W27" i="63"/>
  <c r="AI27" i="63" s="1"/>
  <c r="AJ28" i="54"/>
  <c r="U27" i="60"/>
  <c r="AG27" i="60" s="1"/>
  <c r="R27" i="63"/>
  <c r="AD27" i="63" s="1"/>
  <c r="R27" i="60"/>
  <c r="AD27" i="60" s="1"/>
  <c r="S27" i="63"/>
  <c r="AE27" i="63" s="1"/>
  <c r="W27" i="60"/>
  <c r="AI27" i="60" s="1"/>
  <c r="T27" i="63"/>
  <c r="AF27" i="63" s="1"/>
  <c r="P28" i="59"/>
  <c r="Q28" i="59" s="1"/>
  <c r="U28" i="59" s="1"/>
  <c r="M29" i="44"/>
  <c r="P29" i="44" s="1"/>
  <c r="Q29" i="44" s="1"/>
  <c r="AB27" i="64"/>
  <c r="AF27" i="57"/>
  <c r="AH27" i="57"/>
  <c r="M23" i="19"/>
  <c r="P23" i="19" s="1"/>
  <c r="AE28" i="52"/>
  <c r="AJ27" i="53"/>
  <c r="S28" i="51"/>
  <c r="AE28" i="51" s="1"/>
  <c r="AH28" i="52"/>
  <c r="U27" i="53"/>
  <c r="AG27" i="53" s="1"/>
  <c r="P29" i="65"/>
  <c r="Q29" i="65" s="1"/>
  <c r="Z29" i="65" s="1"/>
  <c r="AL29" i="65" s="1"/>
  <c r="X28" i="51"/>
  <c r="AJ28" i="51" s="1"/>
  <c r="R27" i="53"/>
  <c r="AD27" i="53" s="1"/>
  <c r="AF28" i="54"/>
  <c r="U28" i="51"/>
  <c r="AG28" i="51" s="1"/>
  <c r="AB27" i="57"/>
  <c r="P28" i="64"/>
  <c r="Q28" i="64" s="1"/>
  <c r="R28" i="64" s="1"/>
  <c r="Y28" i="51"/>
  <c r="AK28" i="51" s="1"/>
  <c r="AJ27" i="57"/>
  <c r="AC27" i="64"/>
  <c r="Z28" i="51"/>
  <c r="AL28" i="51" s="1"/>
  <c r="T28" i="51"/>
  <c r="AF28" i="51" s="1"/>
  <c r="AD28" i="54"/>
  <c r="P29" i="50"/>
  <c r="Q29" i="50" s="1"/>
  <c r="Y29" i="50" s="1"/>
  <c r="AK29" i="50" s="1"/>
  <c r="AJ27" i="58"/>
  <c r="P29" i="51"/>
  <c r="Q29" i="51" s="1"/>
  <c r="V29" i="51" s="1"/>
  <c r="AI27" i="57"/>
  <c r="W27" i="53"/>
  <c r="AI27" i="53" s="1"/>
  <c r="Y27" i="53"/>
  <c r="AK27" i="53" s="1"/>
  <c r="AK27" i="57"/>
  <c r="R28" i="51"/>
  <c r="AD28" i="51" s="1"/>
  <c r="N28" i="53"/>
  <c r="O28" i="53" s="1"/>
  <c r="AB27" i="44"/>
  <c r="AE27" i="57"/>
  <c r="O29" i="52"/>
  <c r="AB27" i="53"/>
  <c r="M30" i="48"/>
  <c r="P30" i="48" s="1"/>
  <c r="Q30" i="48" s="1"/>
  <c r="AK13" i="1"/>
  <c r="S27" i="53"/>
  <c r="AE27" i="53" s="1"/>
  <c r="AC27" i="53"/>
  <c r="P30" i="47"/>
  <c r="Q30" i="47" s="1"/>
  <c r="Y30" i="47" s="1"/>
  <c r="AK30" i="47" s="1"/>
  <c r="AA28" i="51"/>
  <c r="AC28" i="51" s="1"/>
  <c r="T27" i="53"/>
  <c r="AF27" i="53" s="1"/>
  <c r="AC28" i="54"/>
  <c r="M29" i="61"/>
  <c r="O28" i="63"/>
  <c r="M29" i="64"/>
  <c r="P29" i="64" s="1"/>
  <c r="Q29" i="64" s="1"/>
  <c r="AF27" i="64"/>
  <c r="P30" i="45"/>
  <c r="Q30" i="45" s="1"/>
  <c r="Z30" i="45" s="1"/>
  <c r="AL30" i="45" s="1"/>
  <c r="AA28" i="62"/>
  <c r="AC28" i="62" s="1"/>
  <c r="V28" i="51"/>
  <c r="AH28" i="51" s="1"/>
  <c r="Z27" i="53"/>
  <c r="AL27" i="53" s="1"/>
  <c r="AF27" i="58"/>
  <c r="M31" i="47"/>
  <c r="O31" i="47" s="1"/>
  <c r="AE28" i="50"/>
  <c r="M30" i="50"/>
  <c r="P30" i="50" s="1"/>
  <c r="Q30" i="50" s="1"/>
  <c r="V27" i="53"/>
  <c r="AH27" i="53" s="1"/>
  <c r="AL28" i="54"/>
  <c r="AG27" i="57"/>
  <c r="O28" i="57"/>
  <c r="AI27" i="58"/>
  <c r="AF27" i="59"/>
  <c r="N28" i="60"/>
  <c r="O28" i="60" s="1"/>
  <c r="M30" i="65"/>
  <c r="P30" i="65" s="1"/>
  <c r="Q30" i="65" s="1"/>
  <c r="Q28" i="65"/>
  <c r="AA28" i="65"/>
  <c r="C32" i="65"/>
  <c r="H31" i="65"/>
  <c r="K31" i="65" s="1"/>
  <c r="G31" i="65"/>
  <c r="J31" i="65" s="1"/>
  <c r="I31" i="65"/>
  <c r="L31" i="65" s="1"/>
  <c r="AD27" i="64"/>
  <c r="AE27" i="64"/>
  <c r="AI27" i="64"/>
  <c r="AJ27" i="64"/>
  <c r="C31" i="64"/>
  <c r="F30" i="64"/>
  <c r="I30" i="64" s="1"/>
  <c r="L30" i="64" s="1"/>
  <c r="E30" i="64"/>
  <c r="H30" i="64" s="1"/>
  <c r="K30" i="64" s="1"/>
  <c r="D30" i="64"/>
  <c r="G30" i="64" s="1"/>
  <c r="J30" i="64" s="1"/>
  <c r="AG27" i="64"/>
  <c r="O28" i="64"/>
  <c r="AL27" i="64"/>
  <c r="AH27" i="64"/>
  <c r="AK27" i="64"/>
  <c r="M29" i="63"/>
  <c r="O29" i="63" s="1"/>
  <c r="C31" i="63"/>
  <c r="D30" i="63"/>
  <c r="G30" i="63" s="1"/>
  <c r="J30" i="63" s="1"/>
  <c r="F30" i="63"/>
  <c r="I30" i="63" s="1"/>
  <c r="L30" i="63" s="1"/>
  <c r="H30" i="63"/>
  <c r="K30" i="63" s="1"/>
  <c r="R28" i="63"/>
  <c r="T28" i="63"/>
  <c r="Z28" i="63"/>
  <c r="Y28" i="63"/>
  <c r="X28" i="63"/>
  <c r="W28" i="63"/>
  <c r="V28" i="63"/>
  <c r="U28" i="63"/>
  <c r="S28" i="63"/>
  <c r="AA28" i="63"/>
  <c r="AC28" i="63" s="1"/>
  <c r="M29" i="62"/>
  <c r="P29" i="62" s="1"/>
  <c r="Q29" i="62" s="1"/>
  <c r="O28" i="62"/>
  <c r="C31" i="62"/>
  <c r="D30" i="62"/>
  <c r="G30" i="62" s="1"/>
  <c r="J30" i="62" s="1"/>
  <c r="I30" i="62"/>
  <c r="L30" i="62" s="1"/>
  <c r="H30" i="62"/>
  <c r="K30" i="62" s="1"/>
  <c r="R28" i="62"/>
  <c r="U28" i="62"/>
  <c r="T28" i="62"/>
  <c r="S28" i="62"/>
  <c r="Z28" i="62"/>
  <c r="Y28" i="62"/>
  <c r="X28" i="62"/>
  <c r="W28" i="62"/>
  <c r="V28" i="62"/>
  <c r="C31" i="61"/>
  <c r="D30" i="61"/>
  <c r="E30" i="61"/>
  <c r="K30" i="61" s="1"/>
  <c r="F30" i="61"/>
  <c r="L30" i="61" s="1"/>
  <c r="M29" i="60"/>
  <c r="N29" i="60" s="1"/>
  <c r="AE27" i="60"/>
  <c r="C31" i="60"/>
  <c r="E30" i="60"/>
  <c r="H30" i="60" s="1"/>
  <c r="K30" i="60" s="1"/>
  <c r="D30" i="60"/>
  <c r="G30" i="60" s="1"/>
  <c r="J30" i="60" s="1"/>
  <c r="I30" i="60"/>
  <c r="L30" i="60" s="1"/>
  <c r="V28" i="60"/>
  <c r="U28" i="60"/>
  <c r="Z28" i="60"/>
  <c r="R28" i="60"/>
  <c r="Y28" i="60"/>
  <c r="X28" i="60"/>
  <c r="W28" i="60"/>
  <c r="T28" i="60"/>
  <c r="S28" i="60"/>
  <c r="AA28" i="60"/>
  <c r="AB27" i="59"/>
  <c r="M29" i="59"/>
  <c r="P29" i="59" s="1"/>
  <c r="Q29" i="59" s="1"/>
  <c r="C31" i="59"/>
  <c r="D30" i="59"/>
  <c r="G30" i="59" s="1"/>
  <c r="J30" i="59" s="1"/>
  <c r="E30" i="59"/>
  <c r="H30" i="59" s="1"/>
  <c r="K30" i="59" s="1"/>
  <c r="I30" i="59"/>
  <c r="L30" i="59" s="1"/>
  <c r="O28" i="59"/>
  <c r="M29" i="58"/>
  <c r="P29" i="58" s="1"/>
  <c r="Q29" i="58" s="1"/>
  <c r="AB27" i="58"/>
  <c r="AD27" i="58"/>
  <c r="AE27" i="58"/>
  <c r="C31" i="58"/>
  <c r="D30" i="58"/>
  <c r="G30" i="58" s="1"/>
  <c r="J30" i="58" s="1"/>
  <c r="E30" i="58"/>
  <c r="H30" i="58" s="1"/>
  <c r="K30" i="58" s="1"/>
  <c r="I30" i="58"/>
  <c r="L30" i="58" s="1"/>
  <c r="R28" i="58"/>
  <c r="V28" i="58"/>
  <c r="U28" i="58"/>
  <c r="T28" i="58"/>
  <c r="S28" i="58"/>
  <c r="Z28" i="58"/>
  <c r="Y28" i="58"/>
  <c r="X28" i="58"/>
  <c r="W28" i="58"/>
  <c r="AK27" i="58"/>
  <c r="AG27" i="58"/>
  <c r="AH27" i="58"/>
  <c r="AL27" i="58"/>
  <c r="AA28" i="58"/>
  <c r="AL27" i="57"/>
  <c r="AD27" i="57"/>
  <c r="M29" i="57"/>
  <c r="O29" i="57" s="1"/>
  <c r="R28" i="57"/>
  <c r="X28" i="57"/>
  <c r="W28" i="57"/>
  <c r="V28" i="57"/>
  <c r="U28" i="57"/>
  <c r="T28" i="57"/>
  <c r="S28" i="57"/>
  <c r="Z28" i="57"/>
  <c r="Y28" i="57"/>
  <c r="C31" i="57"/>
  <c r="D30" i="57"/>
  <c r="G30" i="57" s="1"/>
  <c r="J30" i="57" s="1"/>
  <c r="E30" i="57"/>
  <c r="H30" i="57" s="1"/>
  <c r="K30" i="57" s="1"/>
  <c r="F30" i="57"/>
  <c r="I30" i="57" s="1"/>
  <c r="L30" i="57" s="1"/>
  <c r="AA28" i="57"/>
  <c r="AC28" i="57" s="1"/>
  <c r="P29" i="54"/>
  <c r="Q29" i="54" s="1"/>
  <c r="U29" i="54" s="1"/>
  <c r="M30" i="54"/>
  <c r="C32" i="54"/>
  <c r="E31" i="54"/>
  <c r="H31" i="54" s="1"/>
  <c r="K31" i="54" s="1"/>
  <c r="D31" i="54"/>
  <c r="G31" i="54" s="1"/>
  <c r="J31" i="54" s="1"/>
  <c r="I31" i="54"/>
  <c r="L31" i="54" s="1"/>
  <c r="O29" i="54"/>
  <c r="M29" i="53"/>
  <c r="P29" i="53" s="1"/>
  <c r="Q29" i="53" s="1"/>
  <c r="AA28" i="53"/>
  <c r="R28" i="53"/>
  <c r="Z28" i="53"/>
  <c r="Y28" i="53"/>
  <c r="T28" i="53"/>
  <c r="W28" i="53"/>
  <c r="V28" i="53"/>
  <c r="U28" i="53"/>
  <c r="S28" i="53"/>
  <c r="X28" i="53"/>
  <c r="C31" i="53"/>
  <c r="E30" i="53"/>
  <c r="H30" i="53" s="1"/>
  <c r="K30" i="53" s="1"/>
  <c r="D30" i="53"/>
  <c r="G30" i="53" s="1"/>
  <c r="J30" i="53" s="1"/>
  <c r="I30" i="53"/>
  <c r="L30" i="53" s="1"/>
  <c r="M30" i="52"/>
  <c r="P30" i="52" s="1"/>
  <c r="Q30" i="52" s="1"/>
  <c r="AA29" i="52"/>
  <c r="AC29" i="52" s="1"/>
  <c r="C32" i="52"/>
  <c r="D31" i="52"/>
  <c r="G31" i="52" s="1"/>
  <c r="J31" i="52" s="1"/>
  <c r="I31" i="52"/>
  <c r="L31" i="52" s="1"/>
  <c r="H31" i="52"/>
  <c r="K31" i="52" s="1"/>
  <c r="AB28" i="52"/>
  <c r="V29" i="52"/>
  <c r="U29" i="52"/>
  <c r="X29" i="52"/>
  <c r="T29" i="52"/>
  <c r="S29" i="52"/>
  <c r="R29" i="52"/>
  <c r="Y29" i="52"/>
  <c r="Z29" i="52"/>
  <c r="W29" i="52"/>
  <c r="M30" i="51"/>
  <c r="P30" i="51" s="1"/>
  <c r="Q30" i="51" s="1"/>
  <c r="AI28" i="51"/>
  <c r="C32" i="51"/>
  <c r="F31" i="51"/>
  <c r="I31" i="51" s="1"/>
  <c r="L31" i="51" s="1"/>
  <c r="E31" i="51"/>
  <c r="H31" i="51" s="1"/>
  <c r="K31" i="51" s="1"/>
  <c r="D31" i="51"/>
  <c r="G31" i="51" s="1"/>
  <c r="J31" i="51" s="1"/>
  <c r="O29" i="51"/>
  <c r="AB28" i="50"/>
  <c r="C32" i="50"/>
  <c r="D31" i="50"/>
  <c r="G31" i="50" s="1"/>
  <c r="J31" i="50" s="1"/>
  <c r="I31" i="50"/>
  <c r="L31" i="50" s="1"/>
  <c r="H31" i="50"/>
  <c r="K31" i="50" s="1"/>
  <c r="N29" i="48"/>
  <c r="O29" i="48" s="1"/>
  <c r="AB28" i="48"/>
  <c r="C32" i="48"/>
  <c r="E31" i="48"/>
  <c r="H31" i="48" s="1"/>
  <c r="K31" i="48" s="1"/>
  <c r="D31" i="48"/>
  <c r="G31" i="48" s="1"/>
  <c r="J31" i="48" s="1"/>
  <c r="F31" i="48"/>
  <c r="I31" i="48" s="1"/>
  <c r="L31" i="48" s="1"/>
  <c r="AG28" i="48"/>
  <c r="AH28" i="48"/>
  <c r="AA29" i="48"/>
  <c r="V29" i="48"/>
  <c r="U29" i="48"/>
  <c r="X29" i="48"/>
  <c r="S29" i="48"/>
  <c r="R29" i="48"/>
  <c r="Z29" i="48"/>
  <c r="Y29" i="48"/>
  <c r="W29" i="48"/>
  <c r="T29" i="48"/>
  <c r="C33" i="47"/>
  <c r="E32" i="47"/>
  <c r="H32" i="47" s="1"/>
  <c r="K32" i="47" s="1"/>
  <c r="F32" i="47"/>
  <c r="I32" i="47" s="1"/>
  <c r="L32" i="47" s="1"/>
  <c r="D32" i="47"/>
  <c r="G32" i="47" s="1"/>
  <c r="J32" i="47" s="1"/>
  <c r="M31" i="45"/>
  <c r="O31" i="45" s="1"/>
  <c r="C33" i="45"/>
  <c r="D32" i="45"/>
  <c r="G32" i="45" s="1"/>
  <c r="J32" i="45" s="1"/>
  <c r="H32" i="45"/>
  <c r="K32" i="45" s="1"/>
  <c r="I32" i="45"/>
  <c r="L32" i="45" s="1"/>
  <c r="X28" i="44"/>
  <c r="W28" i="44"/>
  <c r="V28" i="44"/>
  <c r="Z28" i="44"/>
  <c r="Y28" i="44"/>
  <c r="AK28" i="44" s="1"/>
  <c r="S28" i="44"/>
  <c r="AE28" i="44" s="1"/>
  <c r="U28" i="44"/>
  <c r="R28" i="44"/>
  <c r="T28" i="44"/>
  <c r="C31" i="44"/>
  <c r="F30" i="44"/>
  <c r="I30" i="44" s="1"/>
  <c r="L30" i="44" s="1"/>
  <c r="E30" i="44"/>
  <c r="H30" i="44" s="1"/>
  <c r="K30" i="44" s="1"/>
  <c r="D30" i="44"/>
  <c r="G30" i="44" s="1"/>
  <c r="J30" i="44" s="1"/>
  <c r="AA28" i="44"/>
  <c r="Q20" i="23"/>
  <c r="AA20" i="23"/>
  <c r="AC20" i="23" s="1"/>
  <c r="AK12" i="1"/>
  <c r="M22" i="23"/>
  <c r="C24" i="23"/>
  <c r="F23" i="23"/>
  <c r="I23" i="23" s="1"/>
  <c r="L23" i="23" s="1"/>
  <c r="D23" i="23"/>
  <c r="G23" i="23" s="1"/>
  <c r="J23" i="23" s="1"/>
  <c r="E23" i="23"/>
  <c r="H23" i="23" s="1"/>
  <c r="K23" i="23" s="1"/>
  <c r="N21" i="23"/>
  <c r="O21" i="23" s="1"/>
  <c r="P21" i="23"/>
  <c r="H22" i="20"/>
  <c r="K22" i="20" s="1"/>
  <c r="M22" i="20" s="1"/>
  <c r="P22" i="20" s="1"/>
  <c r="BD16" i="1"/>
  <c r="BE16" i="1"/>
  <c r="H24" i="19"/>
  <c r="K24" i="19" s="1"/>
  <c r="I24" i="19"/>
  <c r="L24" i="19" s="1"/>
  <c r="G24" i="19"/>
  <c r="J24" i="19" s="1"/>
  <c r="BC16" i="1"/>
  <c r="X10" i="1"/>
  <c r="BF10" i="1"/>
  <c r="Y11" i="1"/>
  <c r="AA22" i="38"/>
  <c r="AC22" i="38" s="1"/>
  <c r="AA10" i="1"/>
  <c r="AD10" i="1"/>
  <c r="AB10" i="1"/>
  <c r="AC10" i="1"/>
  <c r="AE10" i="1"/>
  <c r="Z9" i="1"/>
  <c r="AS13" i="1"/>
  <c r="BA12" i="1"/>
  <c r="BB15" i="1"/>
  <c r="AX13" i="1"/>
  <c r="AX14" i="1"/>
  <c r="AZ14" i="1"/>
  <c r="AO16" i="1"/>
  <c r="AF15" i="1"/>
  <c r="AJ12" i="1"/>
  <c r="AM13" i="1"/>
  <c r="AI14" i="1"/>
  <c r="AT12" i="1"/>
  <c r="AQ14" i="1"/>
  <c r="AW12" i="1"/>
  <c r="AY14" i="1"/>
  <c r="AU12" i="1"/>
  <c r="AY13" i="1"/>
  <c r="AV14" i="1"/>
  <c r="AH13" i="1"/>
  <c r="AG13" i="1"/>
  <c r="S19" i="30"/>
  <c r="AE19" i="30" s="1"/>
  <c r="T19" i="30"/>
  <c r="AF19" i="30" s="1"/>
  <c r="Y19" i="30"/>
  <c r="AK19" i="30" s="1"/>
  <c r="Z19" i="30"/>
  <c r="AL19" i="30" s="1"/>
  <c r="T19" i="24"/>
  <c r="AF19" i="24" s="1"/>
  <c r="Q20" i="25"/>
  <c r="X20" i="25" s="1"/>
  <c r="AJ20" i="25" s="1"/>
  <c r="X19" i="30"/>
  <c r="AJ19" i="30" s="1"/>
  <c r="S19" i="24"/>
  <c r="AE19" i="24" s="1"/>
  <c r="Z19" i="24"/>
  <c r="AL19" i="24" s="1"/>
  <c r="U19" i="24"/>
  <c r="AG19" i="24" s="1"/>
  <c r="V19" i="30"/>
  <c r="AH19" i="30" s="1"/>
  <c r="W19" i="30"/>
  <c r="AI19" i="30" s="1"/>
  <c r="H12" i="1"/>
  <c r="V12" i="1" s="1"/>
  <c r="R19" i="30"/>
  <c r="AD19" i="30" s="1"/>
  <c r="P21" i="35"/>
  <c r="Q21" i="35" s="1"/>
  <c r="X21" i="35" s="1"/>
  <c r="AJ21" i="35" s="1"/>
  <c r="V11" i="1"/>
  <c r="O21" i="25"/>
  <c r="AB21" i="25" s="1"/>
  <c r="P21" i="24"/>
  <c r="AA21" i="24" s="1"/>
  <c r="AC21" i="24" s="1"/>
  <c r="M22" i="26"/>
  <c r="X19" i="24"/>
  <c r="AJ19" i="24" s="1"/>
  <c r="W11" i="1"/>
  <c r="W19" i="24"/>
  <c r="AI19" i="24" s="1"/>
  <c r="R19" i="24"/>
  <c r="AD19" i="24" s="1"/>
  <c r="Y19" i="24"/>
  <c r="AK19" i="24" s="1"/>
  <c r="O12" i="1"/>
  <c r="AA21" i="34"/>
  <c r="AB21" i="34" s="1"/>
  <c r="R20" i="28"/>
  <c r="AD20" i="28" s="1"/>
  <c r="R23" i="27"/>
  <c r="AD23" i="27" s="1"/>
  <c r="AC19" i="24"/>
  <c r="M12" i="1"/>
  <c r="AB20" i="25"/>
  <c r="L14" i="1" s="1"/>
  <c r="S12" i="1"/>
  <c r="T12" i="1"/>
  <c r="AC20" i="39"/>
  <c r="P12" i="1"/>
  <c r="T20" i="30"/>
  <c r="AF20" i="30" s="1"/>
  <c r="Z20" i="30"/>
  <c r="AL20" i="30" s="1"/>
  <c r="S20" i="30"/>
  <c r="AE20" i="30" s="1"/>
  <c r="R20" i="30"/>
  <c r="AD20" i="30" s="1"/>
  <c r="Y20" i="30"/>
  <c r="AK20" i="30" s="1"/>
  <c r="U20" i="30"/>
  <c r="AG20" i="30" s="1"/>
  <c r="X20" i="30"/>
  <c r="AJ20" i="30" s="1"/>
  <c r="V20" i="30"/>
  <c r="AH20" i="30" s="1"/>
  <c r="W20" i="30"/>
  <c r="AI20" i="30" s="1"/>
  <c r="M22" i="25"/>
  <c r="P22" i="25" s="1"/>
  <c r="AA22" i="25" s="1"/>
  <c r="AC22" i="25" s="1"/>
  <c r="M22" i="30"/>
  <c r="P22" i="30" s="1"/>
  <c r="AA22" i="30" s="1"/>
  <c r="P21" i="22"/>
  <c r="AA21" i="22" s="1"/>
  <c r="AC21" i="22" s="1"/>
  <c r="O21" i="22"/>
  <c r="AA20" i="30"/>
  <c r="AB20" i="30" s="1"/>
  <c r="W22" i="19"/>
  <c r="AI22" i="19" s="1"/>
  <c r="S22" i="19"/>
  <c r="AE22" i="19" s="1"/>
  <c r="Z21" i="37"/>
  <c r="AL21" i="37" s="1"/>
  <c r="Q12" i="1"/>
  <c r="O23" i="38"/>
  <c r="AC20" i="33"/>
  <c r="M23" i="31"/>
  <c r="AC20" i="24"/>
  <c r="Y21" i="21"/>
  <c r="AK21" i="21" s="1"/>
  <c r="U12" i="1"/>
  <c r="M22" i="39"/>
  <c r="N22" i="39" s="1"/>
  <c r="O22" i="39" s="1"/>
  <c r="AB20" i="32"/>
  <c r="R12" i="1"/>
  <c r="Q20" i="39"/>
  <c r="L13" i="1"/>
  <c r="AB20" i="39"/>
  <c r="AB20" i="24"/>
  <c r="W21" i="21"/>
  <c r="AI21" i="21" s="1"/>
  <c r="Y20" i="20"/>
  <c r="AK20" i="20" s="1"/>
  <c r="U20" i="20"/>
  <c r="AG20" i="20" s="1"/>
  <c r="X20" i="20"/>
  <c r="AJ20" i="20" s="1"/>
  <c r="R20" i="20"/>
  <c r="AD20" i="20" s="1"/>
  <c r="P21" i="30"/>
  <c r="AA21" i="30" s="1"/>
  <c r="AC21" i="30" s="1"/>
  <c r="Z20" i="20"/>
  <c r="AL20" i="20" s="1"/>
  <c r="X21" i="21"/>
  <c r="AJ21" i="21" s="1"/>
  <c r="W20" i="20"/>
  <c r="AI20" i="20" s="1"/>
  <c r="T20" i="20"/>
  <c r="AF20" i="20" s="1"/>
  <c r="S20" i="20"/>
  <c r="AE20" i="20" s="1"/>
  <c r="M22" i="24"/>
  <c r="N22" i="24" s="1"/>
  <c r="O22" i="24" s="1"/>
  <c r="R21" i="31"/>
  <c r="AD21" i="31" s="1"/>
  <c r="Z21" i="31"/>
  <c r="AL21" i="31" s="1"/>
  <c r="V21" i="31"/>
  <c r="AH21" i="31" s="1"/>
  <c r="S21" i="31"/>
  <c r="AE21" i="31" s="1"/>
  <c r="U21" i="31"/>
  <c r="AG21" i="31" s="1"/>
  <c r="X21" i="31"/>
  <c r="AJ21" i="31" s="1"/>
  <c r="W21" i="31"/>
  <c r="AI21" i="31" s="1"/>
  <c r="T21" i="31"/>
  <c r="AF21" i="31" s="1"/>
  <c r="Y21" i="31"/>
  <c r="AK21" i="31" s="1"/>
  <c r="O21" i="32"/>
  <c r="P21" i="32"/>
  <c r="V20" i="31"/>
  <c r="AH20" i="31" s="1"/>
  <c r="U20" i="31"/>
  <c r="AG20" i="31" s="1"/>
  <c r="Z20" i="31"/>
  <c r="AL20" i="31" s="1"/>
  <c r="S20" i="31"/>
  <c r="AE20" i="31" s="1"/>
  <c r="X20" i="31"/>
  <c r="AJ20" i="31" s="1"/>
  <c r="Y20" i="31"/>
  <c r="AK20" i="31" s="1"/>
  <c r="T20" i="31"/>
  <c r="AF20" i="31" s="1"/>
  <c r="W20" i="31"/>
  <c r="AI20" i="31" s="1"/>
  <c r="R20" i="31"/>
  <c r="AD20" i="31" s="1"/>
  <c r="P22" i="31"/>
  <c r="AA22" i="31" s="1"/>
  <c r="O22" i="31"/>
  <c r="U21" i="21"/>
  <c r="AG21" i="21" s="1"/>
  <c r="V21" i="21"/>
  <c r="AH21" i="21" s="1"/>
  <c r="AC19" i="32"/>
  <c r="AB19" i="32"/>
  <c r="U19" i="32"/>
  <c r="AG19" i="32" s="1"/>
  <c r="W19" i="32"/>
  <c r="AI19" i="32" s="1"/>
  <c r="X19" i="32"/>
  <c r="AJ19" i="32" s="1"/>
  <c r="T19" i="32"/>
  <c r="AF19" i="32" s="1"/>
  <c r="S19" i="32"/>
  <c r="AE19" i="32" s="1"/>
  <c r="R19" i="32"/>
  <c r="AD19" i="32" s="1"/>
  <c r="Z19" i="32"/>
  <c r="AL19" i="32" s="1"/>
  <c r="Y19" i="32"/>
  <c r="AK19" i="32" s="1"/>
  <c r="V19" i="32"/>
  <c r="AH19" i="32" s="1"/>
  <c r="AB19" i="33"/>
  <c r="N12" i="1"/>
  <c r="X21" i="29"/>
  <c r="AJ21" i="29" s="1"/>
  <c r="AA21" i="31"/>
  <c r="C25" i="31"/>
  <c r="I24" i="31"/>
  <c r="L24" i="31" s="1"/>
  <c r="D24" i="31"/>
  <c r="G24" i="31" s="1"/>
  <c r="J24" i="31" s="1"/>
  <c r="E24" i="31"/>
  <c r="H24" i="31" s="1"/>
  <c r="K24" i="31" s="1"/>
  <c r="Q20" i="32"/>
  <c r="N21" i="33"/>
  <c r="O21" i="33" s="1"/>
  <c r="P21" i="33"/>
  <c r="M22" i="22"/>
  <c r="W19" i="39"/>
  <c r="AI19" i="39" s="1"/>
  <c r="Z19" i="39"/>
  <c r="AL19" i="39" s="1"/>
  <c r="U19" i="39"/>
  <c r="AG19" i="39" s="1"/>
  <c r="T19" i="39"/>
  <c r="AF19" i="39" s="1"/>
  <c r="S19" i="39"/>
  <c r="AE19" i="39" s="1"/>
  <c r="Y19" i="39"/>
  <c r="AK19" i="39" s="1"/>
  <c r="R19" i="39"/>
  <c r="AD19" i="39" s="1"/>
  <c r="V19" i="39"/>
  <c r="AH19" i="39" s="1"/>
  <c r="X19" i="39"/>
  <c r="AJ19" i="39" s="1"/>
  <c r="F23" i="24"/>
  <c r="I23" i="24" s="1"/>
  <c r="L23" i="24" s="1"/>
  <c r="D23" i="24"/>
  <c r="G23" i="24" s="1"/>
  <c r="J23" i="24" s="1"/>
  <c r="E23" i="24"/>
  <c r="H23" i="24" s="1"/>
  <c r="K23" i="24" s="1"/>
  <c r="C24" i="24"/>
  <c r="N21" i="39"/>
  <c r="O21" i="39" s="1"/>
  <c r="P21" i="39"/>
  <c r="F23" i="32"/>
  <c r="I23" i="32" s="1"/>
  <c r="L23" i="32" s="1"/>
  <c r="C24" i="32"/>
  <c r="D23" i="32"/>
  <c r="G23" i="32" s="1"/>
  <c r="J23" i="32" s="1"/>
  <c r="E23" i="32"/>
  <c r="H23" i="32" s="1"/>
  <c r="K23" i="32" s="1"/>
  <c r="S19" i="22"/>
  <c r="AE19" i="22" s="1"/>
  <c r="V19" i="22"/>
  <c r="AH19" i="22" s="1"/>
  <c r="R19" i="22"/>
  <c r="AD19" i="22" s="1"/>
  <c r="Z19" i="22"/>
  <c r="AL19" i="22" s="1"/>
  <c r="T19" i="22"/>
  <c r="AF19" i="22" s="1"/>
  <c r="X19" i="22"/>
  <c r="AJ19" i="22" s="1"/>
  <c r="W19" i="22"/>
  <c r="AI19" i="22" s="1"/>
  <c r="Y19" i="22"/>
  <c r="AK19" i="22" s="1"/>
  <c r="U19" i="22"/>
  <c r="AG19" i="22" s="1"/>
  <c r="AA20" i="26"/>
  <c r="AC20" i="26" s="1"/>
  <c r="Q20" i="26"/>
  <c r="U19" i="35"/>
  <c r="AG19" i="35" s="1"/>
  <c r="V19" i="35"/>
  <c r="AH19" i="35" s="1"/>
  <c r="R19" i="35"/>
  <c r="AD19" i="35" s="1"/>
  <c r="W19" i="35"/>
  <c r="AI19" i="35" s="1"/>
  <c r="Z19" i="35"/>
  <c r="AL19" i="35" s="1"/>
  <c r="S19" i="35"/>
  <c r="AE19" i="35" s="1"/>
  <c r="X19" i="35"/>
  <c r="AJ19" i="35" s="1"/>
  <c r="Y19" i="35"/>
  <c r="AK19" i="35" s="1"/>
  <c r="T19" i="35"/>
  <c r="AF19" i="35" s="1"/>
  <c r="AB20" i="33"/>
  <c r="U22" i="19"/>
  <c r="AG22" i="19" s="1"/>
  <c r="E23" i="39"/>
  <c r="H23" i="39" s="1"/>
  <c r="K23" i="39" s="1"/>
  <c r="C24" i="39"/>
  <c r="F23" i="39"/>
  <c r="I23" i="39" s="1"/>
  <c r="L23" i="39" s="1"/>
  <c r="D23" i="39"/>
  <c r="G23" i="39" s="1"/>
  <c r="J23" i="39" s="1"/>
  <c r="Q20" i="33"/>
  <c r="R22" i="19"/>
  <c r="AD22" i="19" s="1"/>
  <c r="AC21" i="29"/>
  <c r="U21" i="37"/>
  <c r="AG21" i="37" s="1"/>
  <c r="I23" i="30"/>
  <c r="L23" i="30" s="1"/>
  <c r="C24" i="30"/>
  <c r="E23" i="30"/>
  <c r="H23" i="30" s="1"/>
  <c r="K23" i="30" s="1"/>
  <c r="D23" i="30"/>
  <c r="G23" i="30" s="1"/>
  <c r="J23" i="30" s="1"/>
  <c r="AB20" i="22"/>
  <c r="M22" i="33"/>
  <c r="U20" i="24"/>
  <c r="AG20" i="24" s="1"/>
  <c r="V20" i="24"/>
  <c r="AH20" i="24" s="1"/>
  <c r="Z20" i="24"/>
  <c r="AL20" i="24" s="1"/>
  <c r="X20" i="24"/>
  <c r="AJ20" i="24" s="1"/>
  <c r="W20" i="24"/>
  <c r="AI20" i="24" s="1"/>
  <c r="S20" i="24"/>
  <c r="AE20" i="24" s="1"/>
  <c r="Y20" i="24"/>
  <c r="AK20" i="24" s="1"/>
  <c r="T20" i="24"/>
  <c r="AF20" i="24" s="1"/>
  <c r="R20" i="24"/>
  <c r="AD20" i="24" s="1"/>
  <c r="R21" i="37"/>
  <c r="AD21" i="37" s="1"/>
  <c r="C24" i="33"/>
  <c r="I24" i="33" s="1"/>
  <c r="L24" i="33" s="1"/>
  <c r="E23" i="33"/>
  <c r="H23" i="33" s="1"/>
  <c r="K23" i="33" s="1"/>
  <c r="D23" i="33"/>
  <c r="G23" i="33" s="1"/>
  <c r="J23" i="33" s="1"/>
  <c r="AB19" i="39"/>
  <c r="C24" i="25"/>
  <c r="D23" i="25"/>
  <c r="G23" i="25" s="1"/>
  <c r="J23" i="25" s="1"/>
  <c r="H23" i="25"/>
  <c r="K23" i="25" s="1"/>
  <c r="I23" i="25"/>
  <c r="L23" i="25" s="1"/>
  <c r="Q21" i="25"/>
  <c r="V19" i="26"/>
  <c r="AH19" i="26" s="1"/>
  <c r="S19" i="26"/>
  <c r="AE19" i="26" s="1"/>
  <c r="R19" i="26"/>
  <c r="AD19" i="26" s="1"/>
  <c r="T19" i="26"/>
  <c r="AF19" i="26" s="1"/>
  <c r="X19" i="26"/>
  <c r="AJ19" i="26" s="1"/>
  <c r="U19" i="26"/>
  <c r="AG19" i="26" s="1"/>
  <c r="W19" i="26"/>
  <c r="AI19" i="26" s="1"/>
  <c r="Y19" i="26"/>
  <c r="AK19" i="26" s="1"/>
  <c r="Z19" i="26"/>
  <c r="AL19" i="26" s="1"/>
  <c r="X22" i="19"/>
  <c r="AJ22" i="19" s="1"/>
  <c r="Y22" i="19"/>
  <c r="AK22" i="19" s="1"/>
  <c r="T21" i="37"/>
  <c r="AF21" i="37" s="1"/>
  <c r="C24" i="35"/>
  <c r="E23" i="35"/>
  <c r="H23" i="35" s="1"/>
  <c r="K23" i="35" s="1"/>
  <c r="D23" i="35"/>
  <c r="G23" i="35" s="1"/>
  <c r="J23" i="35" s="1"/>
  <c r="I23" i="35"/>
  <c r="L23" i="35" s="1"/>
  <c r="Q20" i="22"/>
  <c r="E23" i="26"/>
  <c r="H23" i="26" s="1"/>
  <c r="K23" i="26" s="1"/>
  <c r="C24" i="26"/>
  <c r="D23" i="26"/>
  <c r="G23" i="26" s="1"/>
  <c r="J23" i="26" s="1"/>
  <c r="F23" i="26"/>
  <c r="I23" i="26" s="1"/>
  <c r="L23" i="26" s="1"/>
  <c r="C24" i="22"/>
  <c r="E23" i="22"/>
  <c r="H23" i="22" s="1"/>
  <c r="K23" i="22" s="1"/>
  <c r="F23" i="22"/>
  <c r="I23" i="22" s="1"/>
  <c r="L23" i="22" s="1"/>
  <c r="D23" i="22"/>
  <c r="G23" i="22" s="1"/>
  <c r="J23" i="22" s="1"/>
  <c r="N21" i="26"/>
  <c r="O21" i="26" s="1"/>
  <c r="P21" i="26"/>
  <c r="M22" i="32"/>
  <c r="M22" i="35"/>
  <c r="Q20" i="35"/>
  <c r="AA20" i="35"/>
  <c r="S19" i="33"/>
  <c r="AE19" i="33" s="1"/>
  <c r="W19" i="33"/>
  <c r="AI19" i="33" s="1"/>
  <c r="Z19" i="33"/>
  <c r="AL19" i="33" s="1"/>
  <c r="Y19" i="33"/>
  <c r="AK19" i="33" s="1"/>
  <c r="V19" i="33"/>
  <c r="AH19" i="33" s="1"/>
  <c r="R19" i="33"/>
  <c r="AD19" i="33" s="1"/>
  <c r="X19" i="33"/>
  <c r="AJ19" i="33" s="1"/>
  <c r="U19" i="33"/>
  <c r="AG19" i="33" s="1"/>
  <c r="T19" i="33"/>
  <c r="AF19" i="33" s="1"/>
  <c r="Y21" i="29"/>
  <c r="AK21" i="29" s="1"/>
  <c r="Z23" i="27"/>
  <c r="AL23" i="27" s="1"/>
  <c r="V21" i="37"/>
  <c r="AH21" i="37" s="1"/>
  <c r="S20" i="28"/>
  <c r="AE20" i="28" s="1"/>
  <c r="V20" i="28"/>
  <c r="AH20" i="28" s="1"/>
  <c r="Z20" i="28"/>
  <c r="AL20" i="28" s="1"/>
  <c r="Y20" i="28"/>
  <c r="AK20" i="28" s="1"/>
  <c r="U20" i="28"/>
  <c r="AG20" i="28" s="1"/>
  <c r="X20" i="28"/>
  <c r="AJ20" i="28" s="1"/>
  <c r="T20" i="28"/>
  <c r="AF20" i="28" s="1"/>
  <c r="X23" i="27"/>
  <c r="AJ23" i="27" s="1"/>
  <c r="T23" i="27"/>
  <c r="AF23" i="27" s="1"/>
  <c r="U23" i="27"/>
  <c r="AG23" i="27" s="1"/>
  <c r="S21" i="36"/>
  <c r="AE21" i="36" s="1"/>
  <c r="X21" i="36"/>
  <c r="AJ21" i="36" s="1"/>
  <c r="T21" i="29"/>
  <c r="AF21" i="29" s="1"/>
  <c r="Y21" i="37"/>
  <c r="AK21" i="37" s="1"/>
  <c r="U21" i="29"/>
  <c r="AG21" i="29" s="1"/>
  <c r="S22" i="38"/>
  <c r="AE22" i="38" s="1"/>
  <c r="W21" i="29"/>
  <c r="AI21" i="29" s="1"/>
  <c r="W21" i="37"/>
  <c r="AI21" i="37" s="1"/>
  <c r="X21" i="37"/>
  <c r="AJ21" i="37" s="1"/>
  <c r="R21" i="29"/>
  <c r="AD21" i="29" s="1"/>
  <c r="S21" i="29"/>
  <c r="AE21" i="29" s="1"/>
  <c r="V21" i="29"/>
  <c r="AH21" i="29" s="1"/>
  <c r="T22" i="40"/>
  <c r="AF22" i="40" s="1"/>
  <c r="W22" i="40"/>
  <c r="AI22" i="40" s="1"/>
  <c r="AE21" i="37"/>
  <c r="U22" i="40"/>
  <c r="AG22" i="40" s="1"/>
  <c r="R22" i="40"/>
  <c r="AD22" i="40" s="1"/>
  <c r="Z22" i="38"/>
  <c r="AL22" i="38" s="1"/>
  <c r="X22" i="38"/>
  <c r="AJ22" i="38" s="1"/>
  <c r="Z22" i="40"/>
  <c r="AL22" i="40" s="1"/>
  <c r="T21" i="34"/>
  <c r="AF21" i="34" s="1"/>
  <c r="V22" i="40"/>
  <c r="AH22" i="40" s="1"/>
  <c r="Y22" i="38"/>
  <c r="AK22" i="38" s="1"/>
  <c r="Y23" i="27"/>
  <c r="AK23" i="27" s="1"/>
  <c r="V22" i="19"/>
  <c r="AH22" i="19" s="1"/>
  <c r="V21" i="36"/>
  <c r="AH21" i="36" s="1"/>
  <c r="T22" i="19"/>
  <c r="AF22" i="19" s="1"/>
  <c r="T21" i="21"/>
  <c r="AF21" i="21" s="1"/>
  <c r="R21" i="34"/>
  <c r="AD21" i="34" s="1"/>
  <c r="AK22" i="40"/>
  <c r="AL21" i="34"/>
  <c r="X21" i="34"/>
  <c r="AJ21" i="34" s="1"/>
  <c r="T21" i="36"/>
  <c r="AF21" i="36" s="1"/>
  <c r="U22" i="38"/>
  <c r="AG22" i="38" s="1"/>
  <c r="U21" i="34"/>
  <c r="AG21" i="34" s="1"/>
  <c r="N22" i="34"/>
  <c r="O22" i="34" s="1"/>
  <c r="U21" i="36"/>
  <c r="AG21" i="36" s="1"/>
  <c r="P22" i="37"/>
  <c r="Q22" i="37" s="1"/>
  <c r="V21" i="34"/>
  <c r="AH21" i="34" s="1"/>
  <c r="W21" i="36"/>
  <c r="AI21" i="36" s="1"/>
  <c r="AI23" i="27"/>
  <c r="S21" i="34"/>
  <c r="AE21" i="34" s="1"/>
  <c r="Z21" i="36"/>
  <c r="AL21" i="36" s="1"/>
  <c r="W21" i="34"/>
  <c r="AI21" i="34" s="1"/>
  <c r="Y21" i="36"/>
  <c r="AK21" i="36" s="1"/>
  <c r="S22" i="40"/>
  <c r="AE22" i="40" s="1"/>
  <c r="Y21" i="34"/>
  <c r="AK21" i="34" s="1"/>
  <c r="X22" i="40"/>
  <c r="AJ22" i="40" s="1"/>
  <c r="T22" i="38"/>
  <c r="AF22" i="38" s="1"/>
  <c r="Q22" i="29"/>
  <c r="X22" i="29" s="1"/>
  <c r="S23" i="27"/>
  <c r="AE23" i="27" s="1"/>
  <c r="M23" i="37"/>
  <c r="P23" i="37" s="1"/>
  <c r="W22" i="38"/>
  <c r="AI22" i="38" s="1"/>
  <c r="W21" i="38"/>
  <c r="AI21" i="38" s="1"/>
  <c r="V21" i="38"/>
  <c r="AH21" i="38" s="1"/>
  <c r="U21" i="38"/>
  <c r="AG21" i="38" s="1"/>
  <c r="R21" i="38"/>
  <c r="AD21" i="38" s="1"/>
  <c r="T21" i="38"/>
  <c r="AF21" i="38" s="1"/>
  <c r="S21" i="38"/>
  <c r="AE21" i="38" s="1"/>
  <c r="X21" i="38"/>
  <c r="AJ21" i="38" s="1"/>
  <c r="Z21" i="38"/>
  <c r="AL21" i="38" s="1"/>
  <c r="Y21" i="38"/>
  <c r="AK21" i="38" s="1"/>
  <c r="Q21" i="28"/>
  <c r="P22" i="28"/>
  <c r="Q24" i="27"/>
  <c r="U24" i="27" s="1"/>
  <c r="Q23" i="21"/>
  <c r="V23" i="21" s="1"/>
  <c r="Q21" i="8"/>
  <c r="R21" i="8" s="1"/>
  <c r="S21" i="21"/>
  <c r="AE21" i="21" s="1"/>
  <c r="Q23" i="19"/>
  <c r="Y23" i="19" s="1"/>
  <c r="V23" i="27"/>
  <c r="AH23" i="27" s="1"/>
  <c r="V22" i="38"/>
  <c r="AH22" i="38" s="1"/>
  <c r="Q23" i="38"/>
  <c r="Y23" i="38" s="1"/>
  <c r="Q22" i="21"/>
  <c r="X22" i="21" s="1"/>
  <c r="AJ22" i="21" s="1"/>
  <c r="Q21" i="20"/>
  <c r="S21" i="20" s="1"/>
  <c r="Q22" i="34"/>
  <c r="R22" i="34" s="1"/>
  <c r="Q23" i="40"/>
  <c r="W23" i="40" s="1"/>
  <c r="Z21" i="21"/>
  <c r="AL21" i="21" s="1"/>
  <c r="M23" i="28"/>
  <c r="N23" i="28" s="1"/>
  <c r="M23" i="34"/>
  <c r="N23" i="34" s="1"/>
  <c r="M24" i="38"/>
  <c r="O24" i="38" s="1"/>
  <c r="O23" i="40"/>
  <c r="N22" i="29"/>
  <c r="O22" i="29" s="1"/>
  <c r="O22" i="28"/>
  <c r="AC22" i="40"/>
  <c r="M24" i="40"/>
  <c r="P24" i="40" s="1"/>
  <c r="N24" i="40"/>
  <c r="C26" i="40"/>
  <c r="D25" i="40"/>
  <c r="G25" i="40" s="1"/>
  <c r="J25" i="40" s="1"/>
  <c r="E25" i="40"/>
  <c r="H25" i="40" s="1"/>
  <c r="K25" i="40" s="1"/>
  <c r="F25" i="40"/>
  <c r="I25" i="40" s="1"/>
  <c r="L25" i="40" s="1"/>
  <c r="AB22" i="40"/>
  <c r="AA23" i="40"/>
  <c r="C26" i="38"/>
  <c r="F26" i="38" s="1"/>
  <c r="D25" i="38"/>
  <c r="G25" i="38" s="1"/>
  <c r="J25" i="38" s="1"/>
  <c r="I25" i="38"/>
  <c r="L25" i="38" s="1"/>
  <c r="H25" i="38"/>
  <c r="K25" i="38" s="1"/>
  <c r="AA23" i="38"/>
  <c r="AC23" i="38" s="1"/>
  <c r="AB21" i="37"/>
  <c r="C25" i="37"/>
  <c r="D24" i="37"/>
  <c r="G24" i="37" s="1"/>
  <c r="J24" i="37" s="1"/>
  <c r="E24" i="37"/>
  <c r="H24" i="37" s="1"/>
  <c r="K24" i="37" s="1"/>
  <c r="F24" i="37"/>
  <c r="I24" i="37" s="1"/>
  <c r="L24" i="37" s="1"/>
  <c r="Q22" i="36"/>
  <c r="W22" i="36" s="1"/>
  <c r="AA22" i="36"/>
  <c r="AC22" i="36" s="1"/>
  <c r="O22" i="36"/>
  <c r="M23" i="36"/>
  <c r="N23" i="36"/>
  <c r="C25" i="36"/>
  <c r="F25" i="36" s="1"/>
  <c r="E24" i="36"/>
  <c r="H24" i="36" s="1"/>
  <c r="K24" i="36" s="1"/>
  <c r="D24" i="36"/>
  <c r="G24" i="36" s="1"/>
  <c r="J24" i="36" s="1"/>
  <c r="I24" i="36"/>
  <c r="L24" i="36" s="1"/>
  <c r="AB21" i="36"/>
  <c r="AD21" i="36"/>
  <c r="C25" i="34"/>
  <c r="E24" i="34"/>
  <c r="H24" i="34" s="1"/>
  <c r="K24" i="34" s="1"/>
  <c r="D24" i="34"/>
  <c r="G24" i="34" s="1"/>
  <c r="J24" i="34" s="1"/>
  <c r="I24" i="34"/>
  <c r="L24" i="34" s="1"/>
  <c r="AA22" i="34"/>
  <c r="F25" i="33"/>
  <c r="N25" i="31"/>
  <c r="M23" i="29"/>
  <c r="P23" i="29" s="1"/>
  <c r="AL21" i="29"/>
  <c r="C25" i="29"/>
  <c r="E24" i="29"/>
  <c r="H24" i="29" s="1"/>
  <c r="K24" i="29" s="1"/>
  <c r="D24" i="29"/>
  <c r="G24" i="29" s="1"/>
  <c r="J24" i="29" s="1"/>
  <c r="I24" i="29"/>
  <c r="L24" i="29" s="1"/>
  <c r="AB21" i="29"/>
  <c r="AA22" i="29"/>
  <c r="C25" i="28"/>
  <c r="E25" i="28" s="1"/>
  <c r="D24" i="28"/>
  <c r="G24" i="28" s="1"/>
  <c r="J24" i="28" s="1"/>
  <c r="H24" i="28"/>
  <c r="K24" i="28" s="1"/>
  <c r="I24" i="28"/>
  <c r="L24" i="28" s="1"/>
  <c r="AB21" i="28"/>
  <c r="M25" i="27"/>
  <c r="P25" i="27" s="1"/>
  <c r="N25" i="27"/>
  <c r="C27" i="27"/>
  <c r="D26" i="27"/>
  <c r="G26" i="27" s="1"/>
  <c r="J26" i="27" s="1"/>
  <c r="E26" i="27"/>
  <c r="H26" i="27" s="1"/>
  <c r="K26" i="27" s="1"/>
  <c r="F26" i="27"/>
  <c r="I26" i="27" s="1"/>
  <c r="L26" i="27" s="1"/>
  <c r="AB23" i="27"/>
  <c r="AA24" i="27"/>
  <c r="AC24" i="27" s="1"/>
  <c r="O24" i="27"/>
  <c r="AB21" i="21"/>
  <c r="N25" i="25"/>
  <c r="F26" i="25"/>
  <c r="E26" i="25"/>
  <c r="AI20" i="8"/>
  <c r="AF20" i="8"/>
  <c r="AL22" i="19"/>
  <c r="O23" i="21"/>
  <c r="AL20" i="8"/>
  <c r="AK20" i="8"/>
  <c r="AH20" i="8"/>
  <c r="AJ20" i="8"/>
  <c r="AG20" i="8"/>
  <c r="AE20" i="8"/>
  <c r="AB20" i="20"/>
  <c r="K14" i="1" s="1"/>
  <c r="O21" i="8"/>
  <c r="AH20" i="20"/>
  <c r="AB22" i="19"/>
  <c r="AD20" i="8"/>
  <c r="AA22" i="21"/>
  <c r="AC22" i="21" s="1"/>
  <c r="M24" i="21"/>
  <c r="P24" i="21" s="1"/>
  <c r="C26" i="21"/>
  <c r="D25" i="21"/>
  <c r="G25" i="21" s="1"/>
  <c r="J25" i="21" s="1"/>
  <c r="I25" i="21"/>
  <c r="L25" i="21" s="1"/>
  <c r="H25" i="21"/>
  <c r="K25" i="21" s="1"/>
  <c r="AA23" i="21"/>
  <c r="AC23" i="21" s="1"/>
  <c r="N22" i="20"/>
  <c r="O21" i="20"/>
  <c r="C24" i="20"/>
  <c r="F23" i="20"/>
  <c r="I23" i="20" s="1"/>
  <c r="L23" i="20" s="1"/>
  <c r="D23" i="20"/>
  <c r="G23" i="20" s="1"/>
  <c r="J23" i="20" s="1"/>
  <c r="E23" i="20"/>
  <c r="AA21" i="20"/>
  <c r="AC21" i="20" s="1"/>
  <c r="N24" i="19"/>
  <c r="C26" i="19"/>
  <c r="E25" i="19"/>
  <c r="F25" i="19"/>
  <c r="D25" i="19"/>
  <c r="AA21" i="8"/>
  <c r="AC21" i="8" s="1"/>
  <c r="P22" i="8"/>
  <c r="N22" i="8"/>
  <c r="M23" i="8"/>
  <c r="C25" i="8"/>
  <c r="E25" i="8" s="1"/>
  <c r="D24" i="8"/>
  <c r="G24" i="8" s="1"/>
  <c r="J24" i="8" s="1"/>
  <c r="F24" i="8"/>
  <c r="I24" i="8" s="1"/>
  <c r="L24" i="8" s="1"/>
  <c r="H24" i="8"/>
  <c r="K24" i="8" s="1"/>
  <c r="CV17" i="1" l="1"/>
  <c r="DB17" i="1" s="1"/>
  <c r="DC17" i="1" s="1"/>
  <c r="CU17" i="1"/>
  <c r="CY17" i="1" s="1"/>
  <c r="DE17" i="1" s="1"/>
  <c r="DN17" i="1" s="1"/>
  <c r="DA17" i="1"/>
  <c r="ED18" i="1"/>
  <c r="DO18" i="1" s="1"/>
  <c r="CS18" i="1"/>
  <c r="DF18" i="1" s="1"/>
  <c r="CT18" i="1"/>
  <c r="DA56" i="1" s="1"/>
  <c r="DA57" i="1" s="1"/>
  <c r="CI20" i="1"/>
  <c r="EK20" i="1"/>
  <c r="CJ20" i="1"/>
  <c r="EL20" i="1"/>
  <c r="CD19" i="1"/>
  <c r="EF19" i="1"/>
  <c r="ED19" i="1" s="1"/>
  <c r="DO19" i="1" s="1"/>
  <c r="CH20" i="1"/>
  <c r="EJ20" i="1"/>
  <c r="CN20" i="1"/>
  <c r="EP20" i="1"/>
  <c r="CK20" i="1"/>
  <c r="EM20" i="1"/>
  <c r="CL20" i="1"/>
  <c r="EN20" i="1"/>
  <c r="CO20" i="1"/>
  <c r="EQ20" i="1"/>
  <c r="CM20" i="1"/>
  <c r="EO20" i="1"/>
  <c r="CZ16" i="1"/>
  <c r="DM16" i="1" s="1"/>
  <c r="DP16" i="1" s="1"/>
  <c r="AC28" i="44"/>
  <c r="AL28" i="44"/>
  <c r="AB27" i="62"/>
  <c r="DE16" i="1"/>
  <c r="DN16" i="1" s="1"/>
  <c r="AB29" i="47"/>
  <c r="DK18" i="1"/>
  <c r="DL18" i="1" s="1"/>
  <c r="DI19" i="1"/>
  <c r="DJ19" i="1" s="1"/>
  <c r="DH19" i="1"/>
  <c r="BO21" i="1"/>
  <c r="CG21" i="1" s="1"/>
  <c r="Z29" i="50"/>
  <c r="AL29" i="50" s="1"/>
  <c r="AA29" i="49"/>
  <c r="AA30" i="47"/>
  <c r="AC30" i="47" s="1"/>
  <c r="S29" i="49"/>
  <c r="AE29" i="49" s="1"/>
  <c r="Z29" i="49"/>
  <c r="AL29" i="49" s="1"/>
  <c r="V29" i="49"/>
  <c r="AH29" i="49" s="1"/>
  <c r="U29" i="49"/>
  <c r="AG29" i="49" s="1"/>
  <c r="X29" i="49"/>
  <c r="AJ29" i="49" s="1"/>
  <c r="Y29" i="49"/>
  <c r="AK29" i="49" s="1"/>
  <c r="W29" i="49"/>
  <c r="AI29" i="49" s="1"/>
  <c r="T29" i="49"/>
  <c r="AF29" i="49" s="1"/>
  <c r="R29" i="49"/>
  <c r="AD29" i="49" s="1"/>
  <c r="S30" i="47"/>
  <c r="AE30" i="47" s="1"/>
  <c r="BL20" i="1"/>
  <c r="AB28" i="49"/>
  <c r="U28" i="49"/>
  <c r="AG28" i="49" s="1"/>
  <c r="T28" i="49"/>
  <c r="AF28" i="49" s="1"/>
  <c r="Z28" i="49"/>
  <c r="AL28" i="49" s="1"/>
  <c r="R28" i="49"/>
  <c r="AD28" i="49" s="1"/>
  <c r="Y28" i="49"/>
  <c r="AK28" i="49" s="1"/>
  <c r="S28" i="49"/>
  <c r="AE28" i="49" s="1"/>
  <c r="X28" i="49"/>
  <c r="AJ28" i="49" s="1"/>
  <c r="V28" i="49"/>
  <c r="AH28" i="49" s="1"/>
  <c r="W28" i="49"/>
  <c r="AI28" i="49" s="1"/>
  <c r="M31" i="49"/>
  <c r="F32" i="49"/>
  <c r="I32" i="49" s="1"/>
  <c r="L32" i="49" s="1"/>
  <c r="C33" i="49"/>
  <c r="E32" i="49"/>
  <c r="H32" i="49" s="1"/>
  <c r="K32" i="49" s="1"/>
  <c r="D32" i="49"/>
  <c r="G32" i="49" s="1"/>
  <c r="J32" i="49" s="1"/>
  <c r="P30" i="49"/>
  <c r="Q30" i="49" s="1"/>
  <c r="N30" i="49"/>
  <c r="S28" i="43"/>
  <c r="AE28" i="43" s="1"/>
  <c r="X28" i="59"/>
  <c r="S29" i="50"/>
  <c r="AE29" i="50" s="1"/>
  <c r="AB29" i="45"/>
  <c r="T29" i="50"/>
  <c r="AF29" i="50" s="1"/>
  <c r="AA28" i="56"/>
  <c r="AB28" i="56" s="1"/>
  <c r="BO22" i="1" s="1"/>
  <c r="CG22" i="1" s="1"/>
  <c r="W29" i="50"/>
  <c r="AI29" i="50" s="1"/>
  <c r="CF19" i="1"/>
  <c r="R29" i="50"/>
  <c r="AD29" i="50" s="1"/>
  <c r="V29" i="50"/>
  <c r="AH29" i="50" s="1"/>
  <c r="T28" i="43"/>
  <c r="AF28" i="43" s="1"/>
  <c r="U28" i="43"/>
  <c r="AG28" i="43" s="1"/>
  <c r="S30" i="45"/>
  <c r="AE30" i="45" s="1"/>
  <c r="R28" i="43"/>
  <c r="AD28" i="43" s="1"/>
  <c r="AA28" i="43"/>
  <c r="AC28" i="43" s="1"/>
  <c r="P31" i="47"/>
  <c r="Q31" i="47" s="1"/>
  <c r="W28" i="43"/>
  <c r="AI28" i="43" s="1"/>
  <c r="Y30" i="45"/>
  <c r="AK30" i="45" s="1"/>
  <c r="Y28" i="43"/>
  <c r="AK28" i="43" s="1"/>
  <c r="AA30" i="45"/>
  <c r="AC30" i="45" s="1"/>
  <c r="V28" i="43"/>
  <c r="AH28" i="43" s="1"/>
  <c r="P29" i="56"/>
  <c r="Q29" i="56" s="1"/>
  <c r="W29" i="56" s="1"/>
  <c r="AI29" i="56" s="1"/>
  <c r="M24" i="19"/>
  <c r="P24" i="19" s="1"/>
  <c r="T30" i="45"/>
  <c r="AF30" i="45" s="1"/>
  <c r="U30" i="45"/>
  <c r="AG30" i="45" s="1"/>
  <c r="AH29" i="52"/>
  <c r="AA23" i="19"/>
  <c r="AC23" i="19" s="1"/>
  <c r="AD28" i="44"/>
  <c r="AG28" i="44"/>
  <c r="AC28" i="58"/>
  <c r="O23" i="19"/>
  <c r="AH28" i="44"/>
  <c r="V30" i="45"/>
  <c r="AH30" i="45" s="1"/>
  <c r="U30" i="47"/>
  <c r="AG30" i="47" s="1"/>
  <c r="T30" i="47"/>
  <c r="AF30" i="47" s="1"/>
  <c r="AI28" i="44"/>
  <c r="W30" i="45"/>
  <c r="AI30" i="45" s="1"/>
  <c r="W30" i="47"/>
  <c r="AI30" i="47" s="1"/>
  <c r="AI29" i="52"/>
  <c r="AJ28" i="44"/>
  <c r="W29" i="51"/>
  <c r="AI29" i="51" s="1"/>
  <c r="N29" i="44"/>
  <c r="X29" i="50"/>
  <c r="AJ29" i="50" s="1"/>
  <c r="X29" i="51"/>
  <c r="AJ29" i="51" s="1"/>
  <c r="AK29" i="52"/>
  <c r="BY19" i="1"/>
  <c r="AF28" i="44"/>
  <c r="U29" i="50"/>
  <c r="AG29" i="50" s="1"/>
  <c r="Z28" i="43"/>
  <c r="AL28" i="43" s="1"/>
  <c r="M30" i="56"/>
  <c r="P30" i="56" s="1"/>
  <c r="Q30" i="56" s="1"/>
  <c r="V30" i="47"/>
  <c r="AH30" i="47" s="1"/>
  <c r="X30" i="47"/>
  <c r="AJ30" i="47" s="1"/>
  <c r="T28" i="59"/>
  <c r="AF28" i="59" s="1"/>
  <c r="AC27" i="43"/>
  <c r="AB27" i="43"/>
  <c r="BL21" i="1" s="1"/>
  <c r="Z28" i="59"/>
  <c r="AL28" i="59" s="1"/>
  <c r="AL29" i="52"/>
  <c r="R28" i="59"/>
  <c r="AD28" i="59" s="1"/>
  <c r="N30" i="48"/>
  <c r="O30" i="48" s="1"/>
  <c r="AE29" i="52"/>
  <c r="AB27" i="60"/>
  <c r="X29" i="65"/>
  <c r="AJ29" i="65" s="1"/>
  <c r="V29" i="65"/>
  <c r="AH29" i="65" s="1"/>
  <c r="O29" i="43"/>
  <c r="AC28" i="53"/>
  <c r="T28" i="64"/>
  <c r="AF28" i="64" s="1"/>
  <c r="AA29" i="51"/>
  <c r="AC29" i="51" s="1"/>
  <c r="S29" i="65"/>
  <c r="AE29" i="65" s="1"/>
  <c r="T29" i="65"/>
  <c r="AF29" i="65" s="1"/>
  <c r="W29" i="65"/>
  <c r="AI29" i="65" s="1"/>
  <c r="M30" i="43"/>
  <c r="P30" i="43" s="1"/>
  <c r="Q30" i="43" s="1"/>
  <c r="Y29" i="65"/>
  <c r="AK29" i="65" s="1"/>
  <c r="AA28" i="59"/>
  <c r="AC28" i="59" s="1"/>
  <c r="S28" i="59"/>
  <c r="AE28" i="59" s="1"/>
  <c r="R30" i="45"/>
  <c r="AD30" i="45" s="1"/>
  <c r="R30" i="47"/>
  <c r="AD30" i="47" s="1"/>
  <c r="V28" i="59"/>
  <c r="AH28" i="59" s="1"/>
  <c r="X30" i="45"/>
  <c r="AJ30" i="45" s="1"/>
  <c r="Z30" i="47"/>
  <c r="AL30" i="47" s="1"/>
  <c r="W28" i="59"/>
  <c r="AI28" i="59" s="1"/>
  <c r="W28" i="55"/>
  <c r="AI28" i="55" s="1"/>
  <c r="V28" i="55"/>
  <c r="AH28" i="55" s="1"/>
  <c r="T28" i="55"/>
  <c r="AF28" i="55" s="1"/>
  <c r="S28" i="55"/>
  <c r="AE28" i="55" s="1"/>
  <c r="R28" i="55"/>
  <c r="AD28" i="55" s="1"/>
  <c r="U28" i="55"/>
  <c r="AG28" i="55" s="1"/>
  <c r="Z28" i="55"/>
  <c r="AL28" i="55" s="1"/>
  <c r="Y28" i="55"/>
  <c r="AK28" i="55" s="1"/>
  <c r="X28" i="55"/>
  <c r="AJ28" i="55" s="1"/>
  <c r="Y28" i="59"/>
  <c r="AK28" i="59" s="1"/>
  <c r="R29" i="65"/>
  <c r="AD29" i="65" s="1"/>
  <c r="AA27" i="46"/>
  <c r="AC27" i="46" s="1"/>
  <c r="AB27" i="55"/>
  <c r="U29" i="65"/>
  <c r="AG29" i="65" s="1"/>
  <c r="X27" i="55"/>
  <c r="AJ27" i="55" s="1"/>
  <c r="W27" i="55"/>
  <c r="AI27" i="55" s="1"/>
  <c r="S27" i="55"/>
  <c r="AE27" i="55" s="1"/>
  <c r="U27" i="55"/>
  <c r="AG27" i="55" s="1"/>
  <c r="Y27" i="55"/>
  <c r="AK27" i="55" s="1"/>
  <c r="R27" i="55"/>
  <c r="AD27" i="55" s="1"/>
  <c r="Z27" i="55"/>
  <c r="AL27" i="55" s="1"/>
  <c r="V27" i="55"/>
  <c r="AH27" i="55" s="1"/>
  <c r="T27" i="55"/>
  <c r="AF27" i="55" s="1"/>
  <c r="AA28" i="55"/>
  <c r="BZ20" i="1"/>
  <c r="C32" i="56"/>
  <c r="D31" i="56"/>
  <c r="G31" i="56" s="1"/>
  <c r="J31" i="56" s="1"/>
  <c r="E31" i="56"/>
  <c r="H31" i="56" s="1"/>
  <c r="K31" i="56" s="1"/>
  <c r="I31" i="56"/>
  <c r="L31" i="56" s="1"/>
  <c r="S28" i="64"/>
  <c r="AE28" i="64" s="1"/>
  <c r="AB27" i="63"/>
  <c r="U28" i="64"/>
  <c r="AG28" i="64" s="1"/>
  <c r="AB26" i="46"/>
  <c r="BN20" i="1" s="1"/>
  <c r="D30" i="46"/>
  <c r="G30" i="46" s="1"/>
  <c r="J30" i="46" s="1"/>
  <c r="C31" i="46"/>
  <c r="I30" i="46"/>
  <c r="L30" i="46" s="1"/>
  <c r="H30" i="46"/>
  <c r="K30" i="46" s="1"/>
  <c r="V27" i="46"/>
  <c r="AH27" i="46" s="1"/>
  <c r="S27" i="46"/>
  <c r="AE27" i="46" s="1"/>
  <c r="X27" i="46"/>
  <c r="AJ27" i="46" s="1"/>
  <c r="U27" i="46"/>
  <c r="AG27" i="46" s="1"/>
  <c r="T27" i="46"/>
  <c r="AF27" i="46" s="1"/>
  <c r="W27" i="46"/>
  <c r="AI27" i="46" s="1"/>
  <c r="Z27" i="46"/>
  <c r="AL27" i="46" s="1"/>
  <c r="R27" i="46"/>
  <c r="AD27" i="46" s="1"/>
  <c r="Y27" i="46"/>
  <c r="AK27" i="46" s="1"/>
  <c r="Z29" i="51"/>
  <c r="AL29" i="51" s="1"/>
  <c r="V28" i="64"/>
  <c r="AH28" i="64" s="1"/>
  <c r="AK28" i="60"/>
  <c r="R29" i="51"/>
  <c r="AD29" i="51" s="1"/>
  <c r="W28" i="64"/>
  <c r="AI28" i="64" s="1"/>
  <c r="M30" i="55"/>
  <c r="P28" i="46"/>
  <c r="Q28" i="46" s="1"/>
  <c r="O28" i="46"/>
  <c r="S29" i="51"/>
  <c r="AE29" i="51" s="1"/>
  <c r="X28" i="64"/>
  <c r="AJ28" i="64" s="1"/>
  <c r="N29" i="55"/>
  <c r="O29" i="55" s="1"/>
  <c r="P29" i="55"/>
  <c r="M29" i="46"/>
  <c r="C32" i="55"/>
  <c r="D31" i="55"/>
  <c r="G31" i="55" s="1"/>
  <c r="J31" i="55" s="1"/>
  <c r="E31" i="55"/>
  <c r="H31" i="55" s="1"/>
  <c r="K31" i="55" s="1"/>
  <c r="I31" i="55"/>
  <c r="L31" i="55" s="1"/>
  <c r="Y28" i="64"/>
  <c r="AK28" i="64" s="1"/>
  <c r="Y29" i="51"/>
  <c r="AK29" i="51" s="1"/>
  <c r="Z28" i="64"/>
  <c r="AL28" i="64" s="1"/>
  <c r="AA29" i="43"/>
  <c r="AC29" i="43" s="1"/>
  <c r="V29" i="43"/>
  <c r="Z29" i="43"/>
  <c r="S29" i="43"/>
  <c r="U29" i="43"/>
  <c r="R29" i="43"/>
  <c r="Y29" i="43"/>
  <c r="W29" i="43"/>
  <c r="X29" i="43"/>
  <c r="T29" i="43"/>
  <c r="U29" i="51"/>
  <c r="AG29" i="51" s="1"/>
  <c r="AA28" i="64"/>
  <c r="AC28" i="64" s="1"/>
  <c r="H31" i="43"/>
  <c r="K31" i="43" s="1"/>
  <c r="C32" i="43"/>
  <c r="F31" i="43"/>
  <c r="I31" i="43" s="1"/>
  <c r="L31" i="43" s="1"/>
  <c r="D31" i="43"/>
  <c r="G31" i="43" s="1"/>
  <c r="J31" i="43" s="1"/>
  <c r="R28" i="56"/>
  <c r="AD28" i="56" s="1"/>
  <c r="U28" i="56"/>
  <c r="AG28" i="56" s="1"/>
  <c r="Y28" i="56"/>
  <c r="AK28" i="56" s="1"/>
  <c r="T28" i="56"/>
  <c r="AF28" i="56" s="1"/>
  <c r="S28" i="56"/>
  <c r="AE28" i="56" s="1"/>
  <c r="W28" i="56"/>
  <c r="AI28" i="56" s="1"/>
  <c r="V28" i="56"/>
  <c r="AH28" i="56" s="1"/>
  <c r="Z28" i="56"/>
  <c r="AL28" i="56" s="1"/>
  <c r="X28" i="56"/>
  <c r="AJ28" i="56" s="1"/>
  <c r="T29" i="51"/>
  <c r="AF29" i="51" s="1"/>
  <c r="O30" i="52"/>
  <c r="AF28" i="63"/>
  <c r="AG28" i="57"/>
  <c r="Z29" i="54"/>
  <c r="AL29" i="54" s="1"/>
  <c r="O30" i="50"/>
  <c r="AB28" i="62"/>
  <c r="AA29" i="50"/>
  <c r="AC29" i="50" s="1"/>
  <c r="AB28" i="53"/>
  <c r="AA29" i="65"/>
  <c r="AB28" i="51"/>
  <c r="CC20" i="1"/>
  <c r="AF28" i="62"/>
  <c r="AJ28" i="57"/>
  <c r="AB28" i="60"/>
  <c r="AJ28" i="58"/>
  <c r="AL28" i="58"/>
  <c r="M23" i="23"/>
  <c r="N23" i="23" s="1"/>
  <c r="W29" i="54"/>
  <c r="AI29" i="54" s="1"/>
  <c r="AD28" i="57"/>
  <c r="AE28" i="62"/>
  <c r="AE28" i="63"/>
  <c r="N29" i="53"/>
  <c r="O29" i="53" s="1"/>
  <c r="AL28" i="57"/>
  <c r="AD29" i="52"/>
  <c r="AE28" i="57"/>
  <c r="AE28" i="58"/>
  <c r="N29" i="59"/>
  <c r="O29" i="59" s="1"/>
  <c r="AH28" i="63"/>
  <c r="AF28" i="57"/>
  <c r="AF28" i="58"/>
  <c r="N29" i="58"/>
  <c r="O29" i="58" s="1"/>
  <c r="AI28" i="63"/>
  <c r="AG28" i="58"/>
  <c r="AJ28" i="63"/>
  <c r="AJ29" i="52"/>
  <c r="AH28" i="57"/>
  <c r="AH28" i="58"/>
  <c r="AK28" i="63"/>
  <c r="AI28" i="57"/>
  <c r="AL28" i="63"/>
  <c r="AB22" i="38"/>
  <c r="AF29" i="52"/>
  <c r="AC28" i="60"/>
  <c r="AD28" i="64"/>
  <c r="O30" i="65"/>
  <c r="O29" i="62"/>
  <c r="AG29" i="52"/>
  <c r="P29" i="57"/>
  <c r="Q29" i="57" s="1"/>
  <c r="X29" i="57" s="1"/>
  <c r="AJ29" i="57" s="1"/>
  <c r="M30" i="61"/>
  <c r="N29" i="64"/>
  <c r="O29" i="64" s="1"/>
  <c r="T29" i="54"/>
  <c r="AF29" i="54" s="1"/>
  <c r="AK28" i="58"/>
  <c r="X29" i="54"/>
  <c r="AJ29" i="54" s="1"/>
  <c r="V29" i="54"/>
  <c r="AH29" i="54" s="1"/>
  <c r="M30" i="64"/>
  <c r="P30" i="64" s="1"/>
  <c r="Q30" i="64" s="1"/>
  <c r="AA29" i="44"/>
  <c r="P29" i="63"/>
  <c r="Q29" i="63" s="1"/>
  <c r="U29" i="63" s="1"/>
  <c r="AG29" i="63" s="1"/>
  <c r="AA29" i="54"/>
  <c r="AC29" i="54" s="1"/>
  <c r="AK28" i="57"/>
  <c r="P29" i="60"/>
  <c r="Q29" i="60" s="1"/>
  <c r="S29" i="60" s="1"/>
  <c r="AH28" i="62"/>
  <c r="AG28" i="63"/>
  <c r="AI28" i="62"/>
  <c r="R29" i="54"/>
  <c r="AD29" i="54" s="1"/>
  <c r="AJ28" i="62"/>
  <c r="S29" i="54"/>
  <c r="AE29" i="54" s="1"/>
  <c r="M30" i="60"/>
  <c r="P30" i="60" s="1"/>
  <c r="Q30" i="60" s="1"/>
  <c r="AK28" i="62"/>
  <c r="AL28" i="62"/>
  <c r="AA30" i="48"/>
  <c r="M30" i="44"/>
  <c r="P30" i="44" s="1"/>
  <c r="Q30" i="44" s="1"/>
  <c r="P31" i="45"/>
  <c r="Q31" i="45" s="1"/>
  <c r="U31" i="45" s="1"/>
  <c r="AG31" i="45" s="1"/>
  <c r="AB30" i="47"/>
  <c r="AB29" i="48"/>
  <c r="Y29" i="54"/>
  <c r="AK29" i="54" s="1"/>
  <c r="AD28" i="60"/>
  <c r="AG28" i="62"/>
  <c r="AD28" i="63"/>
  <c r="M32" i="47"/>
  <c r="O32" i="47" s="1"/>
  <c r="AD28" i="62"/>
  <c r="M31" i="51"/>
  <c r="P31" i="51" s="1"/>
  <c r="Q31" i="51" s="1"/>
  <c r="AG28" i="60"/>
  <c r="M31" i="65"/>
  <c r="P31" i="65" s="1"/>
  <c r="Q31" i="65" s="1"/>
  <c r="AC28" i="65"/>
  <c r="AB28" i="65"/>
  <c r="T28" i="65"/>
  <c r="AF28" i="65" s="1"/>
  <c r="Z28" i="65"/>
  <c r="AL28" i="65" s="1"/>
  <c r="S28" i="65"/>
  <c r="AE28" i="65" s="1"/>
  <c r="X28" i="65"/>
  <c r="AJ28" i="65" s="1"/>
  <c r="W28" i="65"/>
  <c r="AI28" i="65" s="1"/>
  <c r="V28" i="65"/>
  <c r="AH28" i="65" s="1"/>
  <c r="U28" i="65"/>
  <c r="AG28" i="65" s="1"/>
  <c r="Y28" i="65"/>
  <c r="AK28" i="65" s="1"/>
  <c r="R28" i="65"/>
  <c r="AD28" i="65" s="1"/>
  <c r="C33" i="65"/>
  <c r="G32" i="65"/>
  <c r="J32" i="65" s="1"/>
  <c r="I32" i="65"/>
  <c r="L32" i="65" s="1"/>
  <c r="H32" i="65"/>
  <c r="K32" i="65" s="1"/>
  <c r="AA30" i="65"/>
  <c r="AC30" i="65" s="1"/>
  <c r="Z30" i="65"/>
  <c r="Y30" i="65"/>
  <c r="R30" i="65"/>
  <c r="W30" i="65"/>
  <c r="V30" i="65"/>
  <c r="U30" i="65"/>
  <c r="T30" i="65"/>
  <c r="S30" i="65"/>
  <c r="X30" i="65"/>
  <c r="C32" i="64"/>
  <c r="F31" i="64"/>
  <c r="I31" i="64" s="1"/>
  <c r="L31" i="64" s="1"/>
  <c r="E31" i="64"/>
  <c r="H31" i="64" s="1"/>
  <c r="K31" i="64" s="1"/>
  <c r="D31" i="64"/>
  <c r="G31" i="64" s="1"/>
  <c r="J31" i="64" s="1"/>
  <c r="V29" i="64"/>
  <c r="U29" i="64"/>
  <c r="X29" i="64"/>
  <c r="S29" i="64"/>
  <c r="R29" i="64"/>
  <c r="Z29" i="64"/>
  <c r="Y29" i="64"/>
  <c r="W29" i="64"/>
  <c r="T29" i="64"/>
  <c r="AA29" i="64"/>
  <c r="M30" i="63"/>
  <c r="O30" i="63" s="1"/>
  <c r="AB28" i="63"/>
  <c r="C32" i="63"/>
  <c r="D31" i="63"/>
  <c r="G31" i="63" s="1"/>
  <c r="J31" i="63" s="1"/>
  <c r="F31" i="63"/>
  <c r="I31" i="63" s="1"/>
  <c r="L31" i="63" s="1"/>
  <c r="H31" i="63"/>
  <c r="K31" i="63" s="1"/>
  <c r="M30" i="62"/>
  <c r="O30" i="62" s="1"/>
  <c r="AA29" i="62"/>
  <c r="AC29" i="62" s="1"/>
  <c r="C32" i="62"/>
  <c r="D31" i="62"/>
  <c r="G31" i="62" s="1"/>
  <c r="J31" i="62" s="1"/>
  <c r="H31" i="62"/>
  <c r="K31" i="62" s="1"/>
  <c r="I31" i="62"/>
  <c r="L31" i="62" s="1"/>
  <c r="V29" i="62"/>
  <c r="U29" i="62"/>
  <c r="W29" i="62"/>
  <c r="T29" i="62"/>
  <c r="S29" i="62"/>
  <c r="R29" i="62"/>
  <c r="Z29" i="62"/>
  <c r="Y29" i="62"/>
  <c r="X29" i="62"/>
  <c r="C32" i="61"/>
  <c r="E31" i="61"/>
  <c r="K31" i="61" s="1"/>
  <c r="D31" i="61"/>
  <c r="F31" i="61"/>
  <c r="L31" i="61" s="1"/>
  <c r="AJ28" i="60"/>
  <c r="C32" i="60"/>
  <c r="E31" i="60"/>
  <c r="H31" i="60" s="1"/>
  <c r="K31" i="60" s="1"/>
  <c r="D31" i="60"/>
  <c r="G31" i="60" s="1"/>
  <c r="J31" i="60" s="1"/>
  <c r="I31" i="60"/>
  <c r="L31" i="60" s="1"/>
  <c r="AL28" i="60"/>
  <c r="AH28" i="60"/>
  <c r="AE28" i="60"/>
  <c r="AF28" i="60"/>
  <c r="AI28" i="60"/>
  <c r="O29" i="60"/>
  <c r="AG28" i="59"/>
  <c r="M30" i="59"/>
  <c r="N30" i="59" s="1"/>
  <c r="AA29" i="59"/>
  <c r="AJ28" i="59"/>
  <c r="C32" i="59"/>
  <c r="D31" i="59"/>
  <c r="G31" i="59" s="1"/>
  <c r="J31" i="59" s="1"/>
  <c r="E31" i="59"/>
  <c r="H31" i="59" s="1"/>
  <c r="K31" i="59" s="1"/>
  <c r="I31" i="59"/>
  <c r="L31" i="59" s="1"/>
  <c r="V29" i="59"/>
  <c r="U29" i="59"/>
  <c r="X29" i="59"/>
  <c r="S29" i="59"/>
  <c r="R29" i="59"/>
  <c r="Z29" i="59"/>
  <c r="Y29" i="59"/>
  <c r="W29" i="59"/>
  <c r="T29" i="59"/>
  <c r="AA29" i="58"/>
  <c r="M30" i="58"/>
  <c r="P30" i="58" s="1"/>
  <c r="Q30" i="58" s="1"/>
  <c r="C32" i="58"/>
  <c r="D31" i="58"/>
  <c r="G31" i="58" s="1"/>
  <c r="J31" i="58" s="1"/>
  <c r="E31" i="58"/>
  <c r="H31" i="58" s="1"/>
  <c r="K31" i="58" s="1"/>
  <c r="I31" i="58"/>
  <c r="L31" i="58" s="1"/>
  <c r="AB28" i="58"/>
  <c r="AD28" i="58"/>
  <c r="V29" i="58"/>
  <c r="U29" i="58"/>
  <c r="X29" i="58"/>
  <c r="Y29" i="58"/>
  <c r="W29" i="58"/>
  <c r="T29" i="58"/>
  <c r="S29" i="58"/>
  <c r="Z29" i="58"/>
  <c r="R29" i="58"/>
  <c r="AI28" i="58"/>
  <c r="M30" i="57"/>
  <c r="O30" i="57" s="1"/>
  <c r="C32" i="57"/>
  <c r="D31" i="57"/>
  <c r="G31" i="57" s="1"/>
  <c r="J31" i="57" s="1"/>
  <c r="F31" i="57"/>
  <c r="I31" i="57" s="1"/>
  <c r="L31" i="57" s="1"/>
  <c r="E31" i="57"/>
  <c r="H31" i="57" s="1"/>
  <c r="K31" i="57" s="1"/>
  <c r="AB28" i="57"/>
  <c r="M31" i="54"/>
  <c r="P31" i="54" s="1"/>
  <c r="Q31" i="54" s="1"/>
  <c r="N30" i="54"/>
  <c r="O30" i="54" s="1"/>
  <c r="P30" i="54"/>
  <c r="Q30" i="54" s="1"/>
  <c r="S30" i="54" s="1"/>
  <c r="C33" i="54"/>
  <c r="D32" i="54"/>
  <c r="G32" i="54" s="1"/>
  <c r="J32" i="54" s="1"/>
  <c r="E32" i="54"/>
  <c r="H32" i="54" s="1"/>
  <c r="K32" i="54" s="1"/>
  <c r="I32" i="54"/>
  <c r="L32" i="54" s="1"/>
  <c r="AG29" i="54"/>
  <c r="AA29" i="53"/>
  <c r="AI28" i="53"/>
  <c r="M30" i="53"/>
  <c r="P30" i="53" s="1"/>
  <c r="Q30" i="53" s="1"/>
  <c r="AH28" i="53"/>
  <c r="AF28" i="53"/>
  <c r="AL28" i="53"/>
  <c r="C32" i="53"/>
  <c r="D31" i="53"/>
  <c r="G31" i="53" s="1"/>
  <c r="J31" i="53" s="1"/>
  <c r="E31" i="53"/>
  <c r="H31" i="53" s="1"/>
  <c r="K31" i="53" s="1"/>
  <c r="I31" i="53"/>
  <c r="L31" i="53" s="1"/>
  <c r="AD28" i="53"/>
  <c r="AJ28" i="53"/>
  <c r="AK28" i="53"/>
  <c r="AE28" i="53"/>
  <c r="AG28" i="53"/>
  <c r="V29" i="53"/>
  <c r="X29" i="53"/>
  <c r="W29" i="53"/>
  <c r="S29" i="53"/>
  <c r="R29" i="53"/>
  <c r="T29" i="53"/>
  <c r="Z29" i="53"/>
  <c r="Y29" i="53"/>
  <c r="U29" i="53"/>
  <c r="AB29" i="52"/>
  <c r="M31" i="52"/>
  <c r="O31" i="52" s="1"/>
  <c r="C33" i="52"/>
  <c r="D32" i="52"/>
  <c r="G32" i="52" s="1"/>
  <c r="J32" i="52" s="1"/>
  <c r="I32" i="52"/>
  <c r="L32" i="52" s="1"/>
  <c r="H32" i="52"/>
  <c r="K32" i="52" s="1"/>
  <c r="Z30" i="52"/>
  <c r="Y30" i="52"/>
  <c r="R30" i="52"/>
  <c r="T30" i="52"/>
  <c r="X30" i="52"/>
  <c r="W30" i="52"/>
  <c r="V30" i="52"/>
  <c r="U30" i="52"/>
  <c r="S30" i="52"/>
  <c r="AA30" i="52"/>
  <c r="AC30" i="52" s="1"/>
  <c r="N30" i="51"/>
  <c r="C33" i="51"/>
  <c r="F32" i="51"/>
  <c r="I32" i="51" s="1"/>
  <c r="L32" i="51" s="1"/>
  <c r="E32" i="51"/>
  <c r="H32" i="51" s="1"/>
  <c r="K32" i="51" s="1"/>
  <c r="D32" i="51"/>
  <c r="G32" i="51" s="1"/>
  <c r="J32" i="51" s="1"/>
  <c r="Z30" i="51"/>
  <c r="Y30" i="51"/>
  <c r="R30" i="51"/>
  <c r="X30" i="51"/>
  <c r="V30" i="51"/>
  <c r="U30" i="51"/>
  <c r="T30" i="51"/>
  <c r="S30" i="51"/>
  <c r="W30" i="51"/>
  <c r="AA30" i="51"/>
  <c r="AB29" i="51"/>
  <c r="AH29" i="51"/>
  <c r="M31" i="50"/>
  <c r="P31" i="50" s="1"/>
  <c r="Q31" i="50" s="1"/>
  <c r="AA30" i="50"/>
  <c r="AC30" i="50" s="1"/>
  <c r="C33" i="50"/>
  <c r="D32" i="50"/>
  <c r="G32" i="50" s="1"/>
  <c r="J32" i="50" s="1"/>
  <c r="I32" i="50"/>
  <c r="L32" i="50" s="1"/>
  <c r="H32" i="50"/>
  <c r="K32" i="50" s="1"/>
  <c r="Z30" i="50"/>
  <c r="Y30" i="50"/>
  <c r="R30" i="50"/>
  <c r="X30" i="50"/>
  <c r="W30" i="50"/>
  <c r="V30" i="50"/>
  <c r="U30" i="50"/>
  <c r="T30" i="50"/>
  <c r="S30" i="50"/>
  <c r="AD29" i="48"/>
  <c r="AG29" i="48"/>
  <c r="AE29" i="48"/>
  <c r="M31" i="48"/>
  <c r="P31" i="48" s="1"/>
  <c r="Q31" i="48" s="1"/>
  <c r="AJ29" i="48"/>
  <c r="AC29" i="48"/>
  <c r="AH29" i="48"/>
  <c r="C33" i="48"/>
  <c r="F32" i="48"/>
  <c r="I32" i="48" s="1"/>
  <c r="L32" i="48" s="1"/>
  <c r="E32" i="48"/>
  <c r="H32" i="48" s="1"/>
  <c r="K32" i="48" s="1"/>
  <c r="D32" i="48"/>
  <c r="G32" i="48" s="1"/>
  <c r="J32" i="48" s="1"/>
  <c r="AF29" i="48"/>
  <c r="AI29" i="48"/>
  <c r="Z30" i="48"/>
  <c r="Y30" i="48"/>
  <c r="R30" i="48"/>
  <c r="X30" i="48"/>
  <c r="W30" i="48"/>
  <c r="V30" i="48"/>
  <c r="U30" i="48"/>
  <c r="T30" i="48"/>
  <c r="S30" i="48"/>
  <c r="AK29" i="48"/>
  <c r="AL29" i="48"/>
  <c r="T31" i="47"/>
  <c r="AF31" i="47" s="1"/>
  <c r="S31" i="47"/>
  <c r="AE31" i="47" s="1"/>
  <c r="V31" i="47"/>
  <c r="AH31" i="47" s="1"/>
  <c r="R31" i="47"/>
  <c r="AD31" i="47" s="1"/>
  <c r="Z31" i="47"/>
  <c r="AL31" i="47" s="1"/>
  <c r="Y31" i="47"/>
  <c r="AK31" i="47" s="1"/>
  <c r="X31" i="47"/>
  <c r="AJ31" i="47" s="1"/>
  <c r="W31" i="47"/>
  <c r="AI31" i="47" s="1"/>
  <c r="U31" i="47"/>
  <c r="AG31" i="47" s="1"/>
  <c r="E33" i="47"/>
  <c r="H33" i="47" s="1"/>
  <c r="K33" i="47" s="1"/>
  <c r="D33" i="47"/>
  <c r="G33" i="47" s="1"/>
  <c r="J33" i="47" s="1"/>
  <c r="F33" i="47"/>
  <c r="I33" i="47" s="1"/>
  <c r="L33" i="47" s="1"/>
  <c r="AA31" i="47"/>
  <c r="AC31" i="47" s="1"/>
  <c r="M32" i="45"/>
  <c r="P32" i="45" s="1"/>
  <c r="Q32" i="45" s="1"/>
  <c r="D33" i="45"/>
  <c r="G33" i="45" s="1"/>
  <c r="J33" i="45" s="1"/>
  <c r="I33" i="45"/>
  <c r="L33" i="45" s="1"/>
  <c r="H33" i="45"/>
  <c r="K33" i="45" s="1"/>
  <c r="AB30" i="45"/>
  <c r="AB28" i="44"/>
  <c r="C32" i="44"/>
  <c r="E31" i="44"/>
  <c r="H31" i="44" s="1"/>
  <c r="K31" i="44" s="1"/>
  <c r="F31" i="44"/>
  <c r="I31" i="44" s="1"/>
  <c r="L31" i="44" s="1"/>
  <c r="D31" i="44"/>
  <c r="G31" i="44" s="1"/>
  <c r="J31" i="44" s="1"/>
  <c r="O29" i="44"/>
  <c r="T29" i="44"/>
  <c r="S29" i="44"/>
  <c r="R29" i="44"/>
  <c r="V29" i="44"/>
  <c r="Y29" i="44"/>
  <c r="Z29" i="44"/>
  <c r="W29" i="44"/>
  <c r="U29" i="44"/>
  <c r="X29" i="44"/>
  <c r="E24" i="23"/>
  <c r="H24" i="23" s="1"/>
  <c r="K24" i="23" s="1"/>
  <c r="D24" i="23"/>
  <c r="G24" i="23" s="1"/>
  <c r="J24" i="23" s="1"/>
  <c r="C25" i="23"/>
  <c r="F24" i="23"/>
  <c r="I24" i="23" s="1"/>
  <c r="L24" i="23" s="1"/>
  <c r="T20" i="25"/>
  <c r="AF20" i="25" s="1"/>
  <c r="N22" i="23"/>
  <c r="O22" i="23" s="1"/>
  <c r="P22" i="23"/>
  <c r="W20" i="25"/>
  <c r="AI20" i="25" s="1"/>
  <c r="V20" i="23"/>
  <c r="AH20" i="23" s="1"/>
  <c r="U20" i="23"/>
  <c r="AG20" i="23" s="1"/>
  <c r="Z20" i="23"/>
  <c r="AL20" i="23" s="1"/>
  <c r="T20" i="23"/>
  <c r="AF20" i="23" s="1"/>
  <c r="Y20" i="23"/>
  <c r="AK20" i="23" s="1"/>
  <c r="X20" i="23"/>
  <c r="AJ20" i="23" s="1"/>
  <c r="S20" i="23"/>
  <c r="AE20" i="23" s="1"/>
  <c r="R20" i="23"/>
  <c r="AD20" i="23" s="1"/>
  <c r="W20" i="23"/>
  <c r="AI20" i="23" s="1"/>
  <c r="Q21" i="23"/>
  <c r="AA21" i="23"/>
  <c r="AC21" i="23" s="1"/>
  <c r="AB20" i="23"/>
  <c r="BE17" i="1"/>
  <c r="H23" i="20"/>
  <c r="K23" i="20" s="1"/>
  <c r="M23" i="20" s="1"/>
  <c r="P23" i="20" s="1"/>
  <c r="BD17" i="1"/>
  <c r="G25" i="19"/>
  <c r="J25" i="19" s="1"/>
  <c r="I25" i="19"/>
  <c r="L25" i="19" s="1"/>
  <c r="H25" i="19"/>
  <c r="K25" i="19" s="1"/>
  <c r="BC17" i="1"/>
  <c r="X11" i="1"/>
  <c r="BF11" i="1"/>
  <c r="Y12" i="1"/>
  <c r="V20" i="25"/>
  <c r="AH20" i="25" s="1"/>
  <c r="Q21" i="24"/>
  <c r="W21" i="24" s="1"/>
  <c r="AI21" i="24" s="1"/>
  <c r="AK23" i="38"/>
  <c r="AC21" i="34"/>
  <c r="AA11" i="1"/>
  <c r="AB11" i="1"/>
  <c r="AC11" i="1"/>
  <c r="AD11" i="1"/>
  <c r="AE11" i="1"/>
  <c r="Z10" i="1"/>
  <c r="R20" i="25"/>
  <c r="AD20" i="25" s="1"/>
  <c r="U20" i="25"/>
  <c r="AG20" i="25" s="1"/>
  <c r="AB21" i="24"/>
  <c r="AI15" i="1"/>
  <c r="AL13" i="1"/>
  <c r="AZ16" i="1"/>
  <c r="AR13" i="1"/>
  <c r="AT13" i="1"/>
  <c r="AY15" i="1"/>
  <c r="AO17" i="1"/>
  <c r="AR14" i="1"/>
  <c r="AU13" i="1"/>
  <c r="AP14" i="1"/>
  <c r="AN13" i="1"/>
  <c r="AF16" i="1"/>
  <c r="BA13" i="1"/>
  <c r="AH14" i="1"/>
  <c r="AQ15" i="1"/>
  <c r="AL14" i="1"/>
  <c r="AG14" i="1"/>
  <c r="AZ15" i="1"/>
  <c r="AV15" i="1"/>
  <c r="AW13" i="1"/>
  <c r="AS15" i="1"/>
  <c r="AX15" i="1"/>
  <c r="AJ13" i="1"/>
  <c r="AS14" i="1"/>
  <c r="AA21" i="35"/>
  <c r="AB21" i="35" s="1"/>
  <c r="BB16" i="1"/>
  <c r="Y20" i="25"/>
  <c r="AK20" i="25" s="1"/>
  <c r="Z20" i="25"/>
  <c r="AL20" i="25" s="1"/>
  <c r="S20" i="25"/>
  <c r="AE20" i="25" s="1"/>
  <c r="Z21" i="35"/>
  <c r="AL21" i="35" s="1"/>
  <c r="U21" i="35"/>
  <c r="AG21" i="35" s="1"/>
  <c r="R21" i="35"/>
  <c r="AD21" i="35" s="1"/>
  <c r="V21" i="35"/>
  <c r="AH21" i="35" s="1"/>
  <c r="Y21" i="35"/>
  <c r="AK21" i="35" s="1"/>
  <c r="W12" i="1"/>
  <c r="T21" i="35"/>
  <c r="AF21" i="35" s="1"/>
  <c r="S21" i="35"/>
  <c r="AE21" i="35" s="1"/>
  <c r="W21" i="35"/>
  <c r="AI21" i="35" s="1"/>
  <c r="Q21" i="30"/>
  <c r="W21" i="30" s="1"/>
  <c r="AI21" i="30" s="1"/>
  <c r="N22" i="30"/>
  <c r="O22" i="30" s="1"/>
  <c r="AB22" i="30" s="1"/>
  <c r="O22" i="25"/>
  <c r="AB22" i="25" s="1"/>
  <c r="P22" i="39"/>
  <c r="N22" i="26"/>
  <c r="O22" i="26" s="1"/>
  <c r="P22" i="26"/>
  <c r="T22" i="29"/>
  <c r="AF22" i="29" s="1"/>
  <c r="I13" i="1"/>
  <c r="Z23" i="21"/>
  <c r="AL23" i="21" s="1"/>
  <c r="X23" i="21"/>
  <c r="AJ23" i="21" s="1"/>
  <c r="Y23" i="21"/>
  <c r="AK23" i="21" s="1"/>
  <c r="P23" i="28"/>
  <c r="Q23" i="28" s="1"/>
  <c r="S23" i="28" s="1"/>
  <c r="AC20" i="30"/>
  <c r="AB21" i="22"/>
  <c r="S13" i="1"/>
  <c r="Q21" i="22"/>
  <c r="R13" i="1"/>
  <c r="AB21" i="30"/>
  <c r="U23" i="21"/>
  <c r="AG23" i="21" s="1"/>
  <c r="W23" i="21"/>
  <c r="AI23" i="21" s="1"/>
  <c r="V22" i="29"/>
  <c r="AH22" i="29" s="1"/>
  <c r="W21" i="8"/>
  <c r="AI21" i="8" s="1"/>
  <c r="S21" i="8"/>
  <c r="AE21" i="8" s="1"/>
  <c r="V21" i="20"/>
  <c r="AH21" i="20" s="1"/>
  <c r="V21" i="8"/>
  <c r="AH21" i="8" s="1"/>
  <c r="P13" i="1"/>
  <c r="U22" i="29"/>
  <c r="AG22" i="29" s="1"/>
  <c r="W20" i="39"/>
  <c r="AI20" i="39" s="1"/>
  <c r="T20" i="39"/>
  <c r="AF20" i="39" s="1"/>
  <c r="R20" i="39"/>
  <c r="AD20" i="39" s="1"/>
  <c r="Z20" i="39"/>
  <c r="AL20" i="39" s="1"/>
  <c r="V20" i="39"/>
  <c r="AH20" i="39" s="1"/>
  <c r="S20" i="39"/>
  <c r="AE20" i="39" s="1"/>
  <c r="Y20" i="39"/>
  <c r="AK20" i="39" s="1"/>
  <c r="U20" i="39"/>
  <c r="AG20" i="39" s="1"/>
  <c r="X20" i="39"/>
  <c r="AJ20" i="39" s="1"/>
  <c r="P23" i="31"/>
  <c r="AA23" i="31" s="1"/>
  <c r="AC23" i="31" s="1"/>
  <c r="O23" i="31"/>
  <c r="Y22" i="29"/>
  <c r="AK22" i="29" s="1"/>
  <c r="W22" i="29"/>
  <c r="AI22" i="29" s="1"/>
  <c r="H13" i="1"/>
  <c r="AA22" i="37"/>
  <c r="AC22" i="37" s="1"/>
  <c r="T13" i="1"/>
  <c r="M23" i="24"/>
  <c r="P23" i="24" s="1"/>
  <c r="AA23" i="24" s="1"/>
  <c r="R23" i="21"/>
  <c r="AD23" i="21" s="1"/>
  <c r="X21" i="8"/>
  <c r="AJ21" i="8" s="1"/>
  <c r="S23" i="21"/>
  <c r="AE23" i="21" s="1"/>
  <c r="V22" i="21"/>
  <c r="AH22" i="21" s="1"/>
  <c r="Z22" i="29"/>
  <c r="AL22" i="29" s="1"/>
  <c r="O23" i="37"/>
  <c r="P22" i="24"/>
  <c r="AA22" i="24" s="1"/>
  <c r="AC22" i="24" s="1"/>
  <c r="O13" i="1"/>
  <c r="Q13" i="1"/>
  <c r="M23" i="33"/>
  <c r="Q22" i="31"/>
  <c r="T21" i="8"/>
  <c r="AF21" i="8" s="1"/>
  <c r="X23" i="19"/>
  <c r="AJ23" i="19" s="1"/>
  <c r="X23" i="38"/>
  <c r="AJ23" i="38" s="1"/>
  <c r="S20" i="32"/>
  <c r="AE20" i="32" s="1"/>
  <c r="Z20" i="32"/>
  <c r="AL20" i="32" s="1"/>
  <c r="X20" i="32"/>
  <c r="AJ20" i="32" s="1"/>
  <c r="R20" i="32"/>
  <c r="AD20" i="32" s="1"/>
  <c r="V20" i="32"/>
  <c r="AH20" i="32" s="1"/>
  <c r="W20" i="32"/>
  <c r="AI20" i="32" s="1"/>
  <c r="T20" i="32"/>
  <c r="AF20" i="32" s="1"/>
  <c r="U20" i="32"/>
  <c r="AG20" i="32" s="1"/>
  <c r="Y20" i="32"/>
  <c r="AK20" i="32" s="1"/>
  <c r="Q21" i="32"/>
  <c r="AA21" i="32"/>
  <c r="AC21" i="32" s="1"/>
  <c r="W22" i="21"/>
  <c r="AI22" i="21" s="1"/>
  <c r="W23" i="19"/>
  <c r="AI23" i="19" s="1"/>
  <c r="U23" i="19"/>
  <c r="AG23" i="19" s="1"/>
  <c r="Z21" i="20"/>
  <c r="AL21" i="20" s="1"/>
  <c r="AB20" i="26"/>
  <c r="M24" i="31"/>
  <c r="V23" i="19"/>
  <c r="AH23" i="19" s="1"/>
  <c r="T23" i="21"/>
  <c r="AF23" i="21" s="1"/>
  <c r="Y22" i="21"/>
  <c r="AK22" i="21" s="1"/>
  <c r="R22" i="29"/>
  <c r="AD22" i="29" s="1"/>
  <c r="Z21" i="8"/>
  <c r="AL21" i="8" s="1"/>
  <c r="T24" i="27"/>
  <c r="AF24" i="27" s="1"/>
  <c r="S22" i="29"/>
  <c r="AE22" i="29" s="1"/>
  <c r="M23" i="22"/>
  <c r="P23" i="22" s="1"/>
  <c r="Q23" i="22" s="1"/>
  <c r="R23" i="22" s="1"/>
  <c r="M23" i="25"/>
  <c r="P23" i="25" s="1"/>
  <c r="M13" i="1"/>
  <c r="AA21" i="33"/>
  <c r="AB21" i="33" s="1"/>
  <c r="Q21" i="33"/>
  <c r="C26" i="31"/>
  <c r="E25" i="31"/>
  <c r="H25" i="31" s="1"/>
  <c r="K25" i="31" s="1"/>
  <c r="D25" i="31"/>
  <c r="G25" i="31" s="1"/>
  <c r="J25" i="31" s="1"/>
  <c r="I25" i="31"/>
  <c r="L25" i="31" s="1"/>
  <c r="U13" i="1"/>
  <c r="AC21" i="31"/>
  <c r="M23" i="35"/>
  <c r="N23" i="35" s="1"/>
  <c r="M23" i="30"/>
  <c r="P23" i="30" s="1"/>
  <c r="Q23" i="30" s="1"/>
  <c r="N13" i="1"/>
  <c r="AB21" i="31"/>
  <c r="L15" i="1" s="1"/>
  <c r="AB22" i="31"/>
  <c r="AC22" i="31"/>
  <c r="Z21" i="25"/>
  <c r="AL21" i="25" s="1"/>
  <c r="R21" i="25"/>
  <c r="AD21" i="25" s="1"/>
  <c r="V21" i="25"/>
  <c r="AH21" i="25" s="1"/>
  <c r="Y21" i="25"/>
  <c r="AK21" i="25" s="1"/>
  <c r="S21" i="25"/>
  <c r="AE21" i="25" s="1"/>
  <c r="T21" i="25"/>
  <c r="AF21" i="25" s="1"/>
  <c r="U21" i="25"/>
  <c r="AG21" i="25" s="1"/>
  <c r="W21" i="25"/>
  <c r="AI21" i="25" s="1"/>
  <c r="X21" i="25"/>
  <c r="AJ21" i="25" s="1"/>
  <c r="W21" i="20"/>
  <c r="AI21" i="20" s="1"/>
  <c r="U21" i="20"/>
  <c r="AG21" i="20" s="1"/>
  <c r="AC20" i="35"/>
  <c r="AB20" i="35"/>
  <c r="M23" i="32"/>
  <c r="P22" i="22"/>
  <c r="AA22" i="22" s="1"/>
  <c r="AC22" i="22" s="1"/>
  <c r="O22" i="22"/>
  <c r="R21" i="20"/>
  <c r="AD21" i="20" s="1"/>
  <c r="V20" i="35"/>
  <c r="AH20" i="35" s="1"/>
  <c r="X20" i="35"/>
  <c r="AJ20" i="35" s="1"/>
  <c r="W20" i="35"/>
  <c r="AI20" i="35" s="1"/>
  <c r="Z20" i="35"/>
  <c r="AL20" i="35" s="1"/>
  <c r="U20" i="35"/>
  <c r="AG20" i="35" s="1"/>
  <c r="Y20" i="35"/>
  <c r="AK20" i="35" s="1"/>
  <c r="S20" i="35"/>
  <c r="AE20" i="35" s="1"/>
  <c r="T20" i="35"/>
  <c r="AF20" i="35" s="1"/>
  <c r="R20" i="35"/>
  <c r="AD20" i="35" s="1"/>
  <c r="E24" i="22"/>
  <c r="H24" i="22" s="1"/>
  <c r="K24" i="22" s="1"/>
  <c r="D24" i="22"/>
  <c r="G24" i="22" s="1"/>
  <c r="J24" i="22" s="1"/>
  <c r="C25" i="22"/>
  <c r="F24" i="22"/>
  <c r="I24" i="22" s="1"/>
  <c r="L24" i="22" s="1"/>
  <c r="F24" i="32"/>
  <c r="I24" i="32" s="1"/>
  <c r="L24" i="32" s="1"/>
  <c r="C25" i="32"/>
  <c r="E24" i="32"/>
  <c r="H24" i="32" s="1"/>
  <c r="K24" i="32" s="1"/>
  <c r="D24" i="32"/>
  <c r="G24" i="32" s="1"/>
  <c r="J24" i="32" s="1"/>
  <c r="P22" i="35"/>
  <c r="AA22" i="35" s="1"/>
  <c r="N22" i="35"/>
  <c r="O22" i="35" s="1"/>
  <c r="E24" i="35"/>
  <c r="H24" i="35" s="1"/>
  <c r="K24" i="35" s="1"/>
  <c r="D24" i="35"/>
  <c r="G24" i="35" s="1"/>
  <c r="J24" i="35" s="1"/>
  <c r="C25" i="35"/>
  <c r="I24" i="35"/>
  <c r="L24" i="35" s="1"/>
  <c r="N22" i="33"/>
  <c r="O22" i="33" s="1"/>
  <c r="P22" i="33"/>
  <c r="Q22" i="30"/>
  <c r="O22" i="32"/>
  <c r="P22" i="32"/>
  <c r="S23" i="19"/>
  <c r="AE23" i="19" s="1"/>
  <c r="T21" i="20"/>
  <c r="AF21" i="20" s="1"/>
  <c r="AC22" i="34"/>
  <c r="M23" i="26"/>
  <c r="D24" i="25"/>
  <c r="G24" i="25" s="1"/>
  <c r="J24" i="25" s="1"/>
  <c r="C25" i="25"/>
  <c r="I24" i="25"/>
  <c r="L24" i="25" s="1"/>
  <c r="H24" i="25"/>
  <c r="K24" i="25" s="1"/>
  <c r="V20" i="33"/>
  <c r="AH20" i="33" s="1"/>
  <c r="W20" i="33"/>
  <c r="AI20" i="33" s="1"/>
  <c r="Y20" i="33"/>
  <c r="AK20" i="33" s="1"/>
  <c r="S20" i="33"/>
  <c r="AE20" i="33" s="1"/>
  <c r="T20" i="33"/>
  <c r="AF20" i="33" s="1"/>
  <c r="U20" i="33"/>
  <c r="AG20" i="33" s="1"/>
  <c r="X20" i="33"/>
  <c r="AJ20" i="33" s="1"/>
  <c r="R20" i="33"/>
  <c r="AD20" i="33" s="1"/>
  <c r="Z20" i="33"/>
  <c r="AL20" i="33" s="1"/>
  <c r="AA21" i="39"/>
  <c r="AC21" i="39" s="1"/>
  <c r="Q21" i="39"/>
  <c r="Y21" i="20"/>
  <c r="AK21" i="20" s="1"/>
  <c r="AA21" i="26"/>
  <c r="AC21" i="26" s="1"/>
  <c r="Q21" i="26"/>
  <c r="D24" i="26"/>
  <c r="G24" i="26" s="1"/>
  <c r="J24" i="26" s="1"/>
  <c r="F24" i="26"/>
  <c r="I24" i="26" s="1"/>
  <c r="L24" i="26" s="1"/>
  <c r="E24" i="26"/>
  <c r="H24" i="26" s="1"/>
  <c r="K24" i="26" s="1"/>
  <c r="C25" i="26"/>
  <c r="M23" i="39"/>
  <c r="X21" i="20"/>
  <c r="AJ21" i="20" s="1"/>
  <c r="Q22" i="25"/>
  <c r="W24" i="27"/>
  <c r="AI24" i="27" s="1"/>
  <c r="D24" i="30"/>
  <c r="G24" i="30" s="1"/>
  <c r="J24" i="30" s="1"/>
  <c r="C25" i="30"/>
  <c r="E24" i="30"/>
  <c r="H24" i="30" s="1"/>
  <c r="K24" i="30" s="1"/>
  <c r="I24" i="30"/>
  <c r="L24" i="30" s="1"/>
  <c r="E24" i="39"/>
  <c r="H24" i="39" s="1"/>
  <c r="K24" i="39" s="1"/>
  <c r="C25" i="39"/>
  <c r="F24" i="39"/>
  <c r="I24" i="39" s="1"/>
  <c r="L24" i="39" s="1"/>
  <c r="D24" i="39"/>
  <c r="G24" i="39" s="1"/>
  <c r="J24" i="39" s="1"/>
  <c r="W20" i="26"/>
  <c r="AI20" i="26" s="1"/>
  <c r="V20" i="26"/>
  <c r="AH20" i="26" s="1"/>
  <c r="S20" i="26"/>
  <c r="AE20" i="26" s="1"/>
  <c r="T20" i="26"/>
  <c r="AF20" i="26" s="1"/>
  <c r="Y20" i="26"/>
  <c r="AK20" i="26" s="1"/>
  <c r="Z20" i="26"/>
  <c r="AL20" i="26" s="1"/>
  <c r="R20" i="26"/>
  <c r="AD20" i="26" s="1"/>
  <c r="X20" i="26"/>
  <c r="AJ20" i="26" s="1"/>
  <c r="U20" i="26"/>
  <c r="AG20" i="26" s="1"/>
  <c r="C25" i="24"/>
  <c r="D24" i="24"/>
  <c r="G24" i="24" s="1"/>
  <c r="J24" i="24" s="1"/>
  <c r="F24" i="24"/>
  <c r="I24" i="24" s="1"/>
  <c r="L24" i="24" s="1"/>
  <c r="E24" i="24"/>
  <c r="H24" i="24" s="1"/>
  <c r="K24" i="24" s="1"/>
  <c r="U20" i="22"/>
  <c r="AG20" i="22" s="1"/>
  <c r="V20" i="22"/>
  <c r="AH20" i="22" s="1"/>
  <c r="S20" i="22"/>
  <c r="AE20" i="22" s="1"/>
  <c r="X20" i="22"/>
  <c r="AJ20" i="22" s="1"/>
  <c r="W20" i="22"/>
  <c r="AI20" i="22" s="1"/>
  <c r="Y20" i="22"/>
  <c r="AK20" i="22" s="1"/>
  <c r="Z20" i="22"/>
  <c r="AL20" i="22" s="1"/>
  <c r="R20" i="22"/>
  <c r="AD20" i="22" s="1"/>
  <c r="T20" i="22"/>
  <c r="AF20" i="22" s="1"/>
  <c r="C25" i="33"/>
  <c r="D24" i="33"/>
  <c r="G24" i="33" s="1"/>
  <c r="J24" i="33" s="1"/>
  <c r="E24" i="33"/>
  <c r="H24" i="33" s="1"/>
  <c r="K24" i="33" s="1"/>
  <c r="U22" i="21"/>
  <c r="AG22" i="21" s="1"/>
  <c r="T22" i="21"/>
  <c r="AF22" i="21" s="1"/>
  <c r="S22" i="21"/>
  <c r="AE22" i="21" s="1"/>
  <c r="R24" i="27"/>
  <c r="AD24" i="27" s="1"/>
  <c r="V24" i="27"/>
  <c r="AH24" i="27" s="1"/>
  <c r="R22" i="21"/>
  <c r="AD22" i="21" s="1"/>
  <c r="AC22" i="29"/>
  <c r="Z22" i="21"/>
  <c r="AL22" i="21" s="1"/>
  <c r="U21" i="8"/>
  <c r="AG21" i="8" s="1"/>
  <c r="Y21" i="8"/>
  <c r="AK21" i="8" s="1"/>
  <c r="AB23" i="40"/>
  <c r="V23" i="38"/>
  <c r="AH23" i="38" s="1"/>
  <c r="AB24" i="27"/>
  <c r="R23" i="38"/>
  <c r="AD23" i="38" s="1"/>
  <c r="Z23" i="19"/>
  <c r="AL23" i="19" s="1"/>
  <c r="X24" i="27"/>
  <c r="AJ24" i="27" s="1"/>
  <c r="S22" i="34"/>
  <c r="AE22" i="34" s="1"/>
  <c r="X22" i="36"/>
  <c r="AJ22" i="36" s="1"/>
  <c r="X22" i="34"/>
  <c r="AJ22" i="34" s="1"/>
  <c r="R22" i="36"/>
  <c r="AD22" i="36" s="1"/>
  <c r="V23" i="40"/>
  <c r="AH23" i="40" s="1"/>
  <c r="S22" i="36"/>
  <c r="AE22" i="36" s="1"/>
  <c r="W22" i="34"/>
  <c r="AI22" i="34" s="1"/>
  <c r="Y22" i="34"/>
  <c r="AK22" i="34" s="1"/>
  <c r="V22" i="34"/>
  <c r="AH22" i="34" s="1"/>
  <c r="T22" i="34"/>
  <c r="AF22" i="34" s="1"/>
  <c r="T23" i="19"/>
  <c r="AF23" i="19" s="1"/>
  <c r="S24" i="27"/>
  <c r="AE24" i="27" s="1"/>
  <c r="Y24" i="27"/>
  <c r="AK24" i="27" s="1"/>
  <c r="O23" i="28"/>
  <c r="Z22" i="34"/>
  <c r="AL22" i="34" s="1"/>
  <c r="R23" i="19"/>
  <c r="AD23" i="19" s="1"/>
  <c r="Z24" i="27"/>
  <c r="AL24" i="27" s="1"/>
  <c r="U22" i="34"/>
  <c r="AG22" i="34" s="1"/>
  <c r="P23" i="34"/>
  <c r="Q23" i="34" s="1"/>
  <c r="P24" i="38"/>
  <c r="Q24" i="38" s="1"/>
  <c r="T24" i="38" s="1"/>
  <c r="AF24" i="38" s="1"/>
  <c r="T23" i="40"/>
  <c r="AF23" i="40" s="1"/>
  <c r="W22" i="37"/>
  <c r="AI22" i="37" s="1"/>
  <c r="S22" i="37"/>
  <c r="AE22" i="37" s="1"/>
  <c r="U22" i="37"/>
  <c r="AG22" i="37" s="1"/>
  <c r="V22" i="37"/>
  <c r="AH22" i="37" s="1"/>
  <c r="T22" i="37"/>
  <c r="AF22" i="37" s="1"/>
  <c r="R22" i="37"/>
  <c r="AD22" i="37" s="1"/>
  <c r="W23" i="38"/>
  <c r="AI23" i="38" s="1"/>
  <c r="S23" i="38"/>
  <c r="AE23" i="38" s="1"/>
  <c r="T23" i="38"/>
  <c r="AF23" i="38" s="1"/>
  <c r="R23" i="40"/>
  <c r="AD23" i="40" s="1"/>
  <c r="X22" i="37"/>
  <c r="AJ22" i="37" s="1"/>
  <c r="U23" i="38"/>
  <c r="AG23" i="38" s="1"/>
  <c r="AC23" i="40"/>
  <c r="AI23" i="40"/>
  <c r="AB22" i="34"/>
  <c r="Z22" i="36"/>
  <c r="AL22" i="36" s="1"/>
  <c r="Z22" i="37"/>
  <c r="AL22" i="37" s="1"/>
  <c r="Z23" i="38"/>
  <c r="AL23" i="38" s="1"/>
  <c r="Q25" i="27"/>
  <c r="R25" i="27" s="1"/>
  <c r="AA22" i="8"/>
  <c r="Q24" i="21"/>
  <c r="U24" i="21" s="1"/>
  <c r="M24" i="34"/>
  <c r="P24" i="34" s="1"/>
  <c r="Q23" i="37"/>
  <c r="T23" i="37" s="1"/>
  <c r="X23" i="40"/>
  <c r="AJ23" i="40" s="1"/>
  <c r="M25" i="40"/>
  <c r="P25" i="40" s="1"/>
  <c r="Q22" i="28"/>
  <c r="Q22" i="20"/>
  <c r="U22" i="20" s="1"/>
  <c r="Y22" i="37"/>
  <c r="AK22" i="37" s="1"/>
  <c r="Y23" i="40"/>
  <c r="AK23" i="40" s="1"/>
  <c r="Z23" i="40"/>
  <c r="AL23" i="40" s="1"/>
  <c r="O24" i="40"/>
  <c r="Q24" i="40"/>
  <c r="Z24" i="40" s="1"/>
  <c r="Y22" i="36"/>
  <c r="AK22" i="36" s="1"/>
  <c r="S23" i="40"/>
  <c r="AE23" i="40" s="1"/>
  <c r="AK23" i="19"/>
  <c r="AG24" i="27"/>
  <c r="AI22" i="36"/>
  <c r="AB22" i="29"/>
  <c r="Q23" i="29"/>
  <c r="Z23" i="29" s="1"/>
  <c r="T22" i="36"/>
  <c r="AF22" i="36" s="1"/>
  <c r="O23" i="36"/>
  <c r="U23" i="40"/>
  <c r="AG23" i="40" s="1"/>
  <c r="T21" i="28"/>
  <c r="AF21" i="28" s="1"/>
  <c r="S21" i="28"/>
  <c r="AE21" i="28" s="1"/>
  <c r="U21" i="28"/>
  <c r="AG21" i="28" s="1"/>
  <c r="V21" i="28"/>
  <c r="AH21" i="28" s="1"/>
  <c r="Z21" i="28"/>
  <c r="AL21" i="28" s="1"/>
  <c r="R21" i="28"/>
  <c r="AD21" i="28" s="1"/>
  <c r="Y21" i="28"/>
  <c r="AK21" i="28" s="1"/>
  <c r="X21" i="28"/>
  <c r="AJ21" i="28" s="1"/>
  <c r="W21" i="28"/>
  <c r="AI21" i="28" s="1"/>
  <c r="Q24" i="19"/>
  <c r="Y24" i="19" s="1"/>
  <c r="U22" i="36"/>
  <c r="AG22" i="36" s="1"/>
  <c r="AA22" i="28"/>
  <c r="AC22" i="28" s="1"/>
  <c r="N25" i="40"/>
  <c r="C27" i="40"/>
  <c r="E26" i="40"/>
  <c r="H26" i="40" s="1"/>
  <c r="K26" i="40" s="1"/>
  <c r="D26" i="40"/>
  <c r="G26" i="40" s="1"/>
  <c r="J26" i="40" s="1"/>
  <c r="F26" i="40"/>
  <c r="I26" i="40" s="1"/>
  <c r="L26" i="40" s="1"/>
  <c r="AA24" i="40"/>
  <c r="M25" i="38"/>
  <c r="O25" i="38" s="1"/>
  <c r="C27" i="38"/>
  <c r="F27" i="38" s="1"/>
  <c r="D26" i="38"/>
  <c r="G26" i="38" s="1"/>
  <c r="J26" i="38" s="1"/>
  <c r="I26" i="38"/>
  <c r="L26" i="38" s="1"/>
  <c r="H26" i="38"/>
  <c r="K26" i="38" s="1"/>
  <c r="AB23" i="38"/>
  <c r="M24" i="37"/>
  <c r="P24" i="37" s="1"/>
  <c r="C26" i="37"/>
  <c r="F25" i="37"/>
  <c r="I25" i="37" s="1"/>
  <c r="L25" i="37" s="1"/>
  <c r="D25" i="37"/>
  <c r="G25" i="37" s="1"/>
  <c r="J25" i="37" s="1"/>
  <c r="E25" i="37"/>
  <c r="H25" i="37" s="1"/>
  <c r="K25" i="37" s="1"/>
  <c r="AA23" i="37"/>
  <c r="AC23" i="37" s="1"/>
  <c r="AB22" i="36"/>
  <c r="V22" i="36"/>
  <c r="AH22" i="36" s="1"/>
  <c r="M24" i="36"/>
  <c r="P24" i="36" s="1"/>
  <c r="P23" i="36"/>
  <c r="N24" i="36"/>
  <c r="C26" i="36"/>
  <c r="F26" i="36" s="1"/>
  <c r="E25" i="36"/>
  <c r="H25" i="36" s="1"/>
  <c r="K25" i="36" s="1"/>
  <c r="D25" i="36"/>
  <c r="G25" i="36" s="1"/>
  <c r="J25" i="36" s="1"/>
  <c r="I25" i="36"/>
  <c r="L25" i="36" s="1"/>
  <c r="AD22" i="34"/>
  <c r="C26" i="34"/>
  <c r="D25" i="34"/>
  <c r="G25" i="34" s="1"/>
  <c r="J25" i="34" s="1"/>
  <c r="E25" i="34"/>
  <c r="H25" i="34" s="1"/>
  <c r="K25" i="34" s="1"/>
  <c r="I25" i="34"/>
  <c r="L25" i="34" s="1"/>
  <c r="O23" i="34"/>
  <c r="F26" i="33"/>
  <c r="N26" i="31"/>
  <c r="M24" i="29"/>
  <c r="P24" i="29" s="1"/>
  <c r="N23" i="29"/>
  <c r="O23" i="29" s="1"/>
  <c r="C26" i="29"/>
  <c r="E25" i="29"/>
  <c r="H25" i="29" s="1"/>
  <c r="K25" i="29" s="1"/>
  <c r="D25" i="29"/>
  <c r="G25" i="29" s="1"/>
  <c r="J25" i="29" s="1"/>
  <c r="I25" i="29"/>
  <c r="L25" i="29" s="1"/>
  <c r="AJ22" i="29"/>
  <c r="AA23" i="29"/>
  <c r="M24" i="28"/>
  <c r="N24" i="28" s="1"/>
  <c r="C26" i="28"/>
  <c r="E26" i="28" s="1"/>
  <c r="D25" i="28"/>
  <c r="G25" i="28" s="1"/>
  <c r="J25" i="28" s="1"/>
  <c r="I25" i="28"/>
  <c r="L25" i="28" s="1"/>
  <c r="H25" i="28"/>
  <c r="K25" i="28" s="1"/>
  <c r="M26" i="27"/>
  <c r="P26" i="27" s="1"/>
  <c r="N26" i="27"/>
  <c r="C28" i="27"/>
  <c r="D27" i="27"/>
  <c r="G27" i="27" s="1"/>
  <c r="J27" i="27" s="1"/>
  <c r="F27" i="27"/>
  <c r="I27" i="27" s="1"/>
  <c r="L27" i="27" s="1"/>
  <c r="E27" i="27"/>
  <c r="H27" i="27" s="1"/>
  <c r="K27" i="27" s="1"/>
  <c r="AA25" i="27"/>
  <c r="AC25" i="27" s="1"/>
  <c r="O25" i="27"/>
  <c r="N26" i="25"/>
  <c r="E27" i="25"/>
  <c r="F27" i="25"/>
  <c r="AH23" i="21"/>
  <c r="AE21" i="20"/>
  <c r="AB22" i="21"/>
  <c r="O24" i="21"/>
  <c r="AB21" i="8"/>
  <c r="AB23" i="21"/>
  <c r="AD21" i="8"/>
  <c r="O22" i="8"/>
  <c r="M25" i="21"/>
  <c r="O25" i="21" s="1"/>
  <c r="C27" i="21"/>
  <c r="D26" i="21"/>
  <c r="G26" i="21" s="1"/>
  <c r="J26" i="21" s="1"/>
  <c r="I26" i="21"/>
  <c r="L26" i="21" s="1"/>
  <c r="H26" i="21"/>
  <c r="K26" i="21" s="1"/>
  <c r="AA24" i="21"/>
  <c r="AC24" i="21" s="1"/>
  <c r="AB21" i="20"/>
  <c r="K15" i="1" s="1"/>
  <c r="N23" i="20"/>
  <c r="C25" i="20"/>
  <c r="E24" i="20"/>
  <c r="D24" i="20"/>
  <c r="G24" i="20" s="1"/>
  <c r="J24" i="20" s="1"/>
  <c r="F24" i="20"/>
  <c r="I24" i="20" s="1"/>
  <c r="L24" i="20" s="1"/>
  <c r="AA22" i="20"/>
  <c r="AC22" i="20" s="1"/>
  <c r="O22" i="20"/>
  <c r="AB23" i="19"/>
  <c r="N25" i="19"/>
  <c r="AA24" i="19"/>
  <c r="AC24" i="19" s="1"/>
  <c r="C27" i="19"/>
  <c r="E26" i="19"/>
  <c r="F26" i="19"/>
  <c r="D26" i="19"/>
  <c r="O24" i="19"/>
  <c r="Q22" i="8"/>
  <c r="Y22" i="8" s="1"/>
  <c r="P23" i="8"/>
  <c r="N23" i="8"/>
  <c r="M24" i="8"/>
  <c r="C26" i="8"/>
  <c r="E26" i="8" s="1"/>
  <c r="D25" i="8"/>
  <c r="G25" i="8" s="1"/>
  <c r="J25" i="8" s="1"/>
  <c r="F25" i="8"/>
  <c r="I25" i="8" s="1"/>
  <c r="L25" i="8" s="1"/>
  <c r="H25" i="8"/>
  <c r="K25" i="8" s="1"/>
  <c r="CZ17" i="1" l="1"/>
  <c r="DM17" i="1" s="1"/>
  <c r="DP17" i="1" s="1"/>
  <c r="CU18" i="1"/>
  <c r="CY18" i="1" s="1"/>
  <c r="CZ18" i="1" s="1"/>
  <c r="DA18" i="1"/>
  <c r="CV18" i="1"/>
  <c r="DB18" i="1" s="1"/>
  <c r="DC18" i="1" s="1"/>
  <c r="CS19" i="1"/>
  <c r="DF19" i="1" s="1"/>
  <c r="CD21" i="1"/>
  <c r="EF21" i="1"/>
  <c r="CF20" i="1"/>
  <c r="EH20" i="1"/>
  <c r="CD20" i="1"/>
  <c r="EF20" i="1"/>
  <c r="AB28" i="59"/>
  <c r="DK19" i="1"/>
  <c r="DL19" i="1" s="1"/>
  <c r="DI20" i="1"/>
  <c r="DJ20" i="1" s="1"/>
  <c r="DH20" i="1"/>
  <c r="AC28" i="56"/>
  <c r="AB29" i="49"/>
  <c r="AC29" i="49"/>
  <c r="AB28" i="43"/>
  <c r="Z29" i="56"/>
  <c r="AL29" i="56" s="1"/>
  <c r="AA30" i="49"/>
  <c r="AC30" i="49" s="1"/>
  <c r="AC30" i="48"/>
  <c r="R29" i="56"/>
  <c r="AD29" i="56" s="1"/>
  <c r="M32" i="49"/>
  <c r="O30" i="49"/>
  <c r="Z30" i="49"/>
  <c r="Y30" i="49"/>
  <c r="R30" i="49"/>
  <c r="X30" i="49"/>
  <c r="W30" i="49"/>
  <c r="V30" i="49"/>
  <c r="U30" i="49"/>
  <c r="T30" i="49"/>
  <c r="S30" i="49"/>
  <c r="F33" i="49"/>
  <c r="I33" i="49" s="1"/>
  <c r="L33" i="49" s="1"/>
  <c r="E33" i="49"/>
  <c r="H33" i="49" s="1"/>
  <c r="K33" i="49" s="1"/>
  <c r="D33" i="49"/>
  <c r="G33" i="49" s="1"/>
  <c r="J33" i="49" s="1"/>
  <c r="P31" i="49"/>
  <c r="Q31" i="49" s="1"/>
  <c r="N31" i="49"/>
  <c r="S29" i="56"/>
  <c r="AE29" i="56" s="1"/>
  <c r="AC29" i="44"/>
  <c r="X29" i="56"/>
  <c r="AJ29" i="56" s="1"/>
  <c r="Y29" i="56"/>
  <c r="AK29" i="56" s="1"/>
  <c r="T29" i="56"/>
  <c r="AF29" i="56" s="1"/>
  <c r="AA31" i="45"/>
  <c r="AC31" i="45" s="1"/>
  <c r="AK29" i="43"/>
  <c r="AG29" i="53"/>
  <c r="U29" i="56"/>
  <c r="AG29" i="56" s="1"/>
  <c r="T31" i="45"/>
  <c r="AF31" i="45" s="1"/>
  <c r="CT19" i="1"/>
  <c r="DA58" i="1" s="1"/>
  <c r="DA59" i="1" s="1"/>
  <c r="AF30" i="52"/>
  <c r="AJ29" i="43"/>
  <c r="AL29" i="43"/>
  <c r="AH29" i="43"/>
  <c r="V29" i="56"/>
  <c r="AH29" i="56" s="1"/>
  <c r="BW21" i="1"/>
  <c r="O30" i="56"/>
  <c r="AA29" i="56"/>
  <c r="AC29" i="56" s="1"/>
  <c r="AH30" i="52"/>
  <c r="O30" i="43"/>
  <c r="AL30" i="50"/>
  <c r="AI30" i="52"/>
  <c r="AJ30" i="52"/>
  <c r="BU21" i="1"/>
  <c r="BS21" i="1"/>
  <c r="AJ30" i="50"/>
  <c r="AJ29" i="59"/>
  <c r="AE30" i="50"/>
  <c r="AK30" i="52"/>
  <c r="N30" i="60"/>
  <c r="O30" i="60" s="1"/>
  <c r="AG29" i="43"/>
  <c r="AE29" i="43"/>
  <c r="BX21" i="1"/>
  <c r="ER21" i="1" s="1"/>
  <c r="AE30" i="52"/>
  <c r="P32" i="47"/>
  <c r="Q32" i="47" s="1"/>
  <c r="Z32" i="47" s="1"/>
  <c r="AL32" i="47" s="1"/>
  <c r="AK30" i="50"/>
  <c r="R29" i="57"/>
  <c r="AD29" i="57" s="1"/>
  <c r="BK21" i="1"/>
  <c r="EE21" i="1" s="1"/>
  <c r="AD30" i="52"/>
  <c r="P23" i="23"/>
  <c r="Q23" i="23" s="1"/>
  <c r="AL30" i="52"/>
  <c r="AF29" i="43"/>
  <c r="O23" i="23"/>
  <c r="AA29" i="60"/>
  <c r="AC29" i="60" s="1"/>
  <c r="BT21" i="1"/>
  <c r="N30" i="44"/>
  <c r="O30" i="44" s="1"/>
  <c r="BR21" i="1"/>
  <c r="AG30" i="52"/>
  <c r="AD29" i="43"/>
  <c r="N31" i="51"/>
  <c r="O31" i="51" s="1"/>
  <c r="AF29" i="59"/>
  <c r="N30" i="64"/>
  <c r="O30" i="64" s="1"/>
  <c r="Y31" i="45"/>
  <c r="AK31" i="45" s="1"/>
  <c r="AF30" i="50"/>
  <c r="AB29" i="44"/>
  <c r="Z31" i="45"/>
  <c r="AL31" i="45" s="1"/>
  <c r="Z29" i="57"/>
  <c r="AL29" i="57" s="1"/>
  <c r="AL29" i="59"/>
  <c r="W31" i="45"/>
  <c r="AI31" i="45" s="1"/>
  <c r="AH30" i="50"/>
  <c r="V29" i="57"/>
  <c r="AH29" i="57" s="1"/>
  <c r="BY20" i="1"/>
  <c r="X31" i="45"/>
  <c r="AJ31" i="45" s="1"/>
  <c r="AI30" i="50"/>
  <c r="AI29" i="43"/>
  <c r="R31" i="45"/>
  <c r="AD31" i="45" s="1"/>
  <c r="S31" i="45"/>
  <c r="AE31" i="45" s="1"/>
  <c r="AB30" i="48"/>
  <c r="AD30" i="50"/>
  <c r="AG29" i="59"/>
  <c r="AB29" i="59"/>
  <c r="AI30" i="65"/>
  <c r="BV21" i="1"/>
  <c r="AC29" i="53"/>
  <c r="AH29" i="59"/>
  <c r="X29" i="60"/>
  <c r="AJ29" i="60" s="1"/>
  <c r="M31" i="56"/>
  <c r="O31" i="56" s="1"/>
  <c r="X21" i="24"/>
  <c r="AJ21" i="24" s="1"/>
  <c r="V31" i="45"/>
  <c r="AH31" i="45" s="1"/>
  <c r="AG30" i="50"/>
  <c r="S29" i="57"/>
  <c r="AE29" i="57" s="1"/>
  <c r="AI29" i="59"/>
  <c r="Y29" i="57"/>
  <c r="AK29" i="57" s="1"/>
  <c r="AA28" i="46"/>
  <c r="AC28" i="46" s="1"/>
  <c r="AA30" i="56"/>
  <c r="AC30" i="56" s="1"/>
  <c r="AB27" i="46"/>
  <c r="BN21" i="1" s="1"/>
  <c r="BQ21" i="1"/>
  <c r="AK29" i="59"/>
  <c r="M31" i="43"/>
  <c r="O31" i="43" s="1"/>
  <c r="AC28" i="55"/>
  <c r="AB28" i="55"/>
  <c r="BP21" i="1"/>
  <c r="H32" i="43"/>
  <c r="K32" i="43" s="1"/>
  <c r="D32" i="43"/>
  <c r="G32" i="43" s="1"/>
  <c r="J32" i="43" s="1"/>
  <c r="C33" i="43"/>
  <c r="F32" i="43"/>
  <c r="I32" i="43" s="1"/>
  <c r="L32" i="43" s="1"/>
  <c r="AA30" i="43"/>
  <c r="AC30" i="43" s="1"/>
  <c r="C32" i="46"/>
  <c r="H31" i="46"/>
  <c r="K31" i="46" s="1"/>
  <c r="D31" i="46"/>
  <c r="G31" i="46" s="1"/>
  <c r="J31" i="46" s="1"/>
  <c r="I31" i="46"/>
  <c r="L31" i="46" s="1"/>
  <c r="AC29" i="64"/>
  <c r="M31" i="55"/>
  <c r="S28" i="46"/>
  <c r="AE28" i="46" s="1"/>
  <c r="BQ22" i="1" s="1"/>
  <c r="W28" i="46"/>
  <c r="AI28" i="46" s="1"/>
  <c r="BU22" i="1" s="1"/>
  <c r="T28" i="46"/>
  <c r="AF28" i="46" s="1"/>
  <c r="BR22" i="1" s="1"/>
  <c r="Y28" i="46"/>
  <c r="AK28" i="46" s="1"/>
  <c r="BW22" i="1" s="1"/>
  <c r="X28" i="46"/>
  <c r="AJ28" i="46" s="1"/>
  <c r="BV22" i="1" s="1"/>
  <c r="Z28" i="46"/>
  <c r="AL28" i="46" s="1"/>
  <c r="BX22" i="1" s="1"/>
  <c r="ER22" i="1" s="1"/>
  <c r="R28" i="46"/>
  <c r="AD28" i="46" s="1"/>
  <c r="BP22" i="1" s="1"/>
  <c r="U28" i="46"/>
  <c r="AG28" i="46" s="1"/>
  <c r="BS22" i="1" s="1"/>
  <c r="V28" i="46"/>
  <c r="AH28" i="46" s="1"/>
  <c r="BT22" i="1" s="1"/>
  <c r="M30" i="46"/>
  <c r="AE29" i="59"/>
  <c r="AE29" i="62"/>
  <c r="C33" i="55"/>
  <c r="D32" i="55"/>
  <c r="G32" i="55" s="1"/>
  <c r="J32" i="55" s="1"/>
  <c r="E32" i="55"/>
  <c r="H32" i="55" s="1"/>
  <c r="K32" i="55" s="1"/>
  <c r="I32" i="55"/>
  <c r="L32" i="55" s="1"/>
  <c r="N30" i="55"/>
  <c r="O30" i="55" s="1"/>
  <c r="P30" i="55"/>
  <c r="Q30" i="55" s="1"/>
  <c r="C33" i="56"/>
  <c r="E32" i="56"/>
  <c r="H32" i="56" s="1"/>
  <c r="K32" i="56" s="1"/>
  <c r="D32" i="56"/>
  <c r="G32" i="56" s="1"/>
  <c r="J32" i="56" s="1"/>
  <c r="I32" i="56"/>
  <c r="L32" i="56" s="1"/>
  <c r="P29" i="46"/>
  <c r="Q29" i="46" s="1"/>
  <c r="O29" i="46"/>
  <c r="AB28" i="64"/>
  <c r="AB29" i="43"/>
  <c r="W30" i="56"/>
  <c r="S30" i="56"/>
  <c r="Z30" i="56"/>
  <c r="Y30" i="56"/>
  <c r="R30" i="56"/>
  <c r="X30" i="56"/>
  <c r="V30" i="56"/>
  <c r="T30" i="56"/>
  <c r="U30" i="56"/>
  <c r="Q29" i="55"/>
  <c r="AA29" i="55"/>
  <c r="AC29" i="55" s="1"/>
  <c r="Y30" i="43"/>
  <c r="S30" i="43"/>
  <c r="W30" i="43"/>
  <c r="X30" i="43"/>
  <c r="V30" i="43"/>
  <c r="U30" i="43"/>
  <c r="T30" i="43"/>
  <c r="Z30" i="43"/>
  <c r="R30" i="43"/>
  <c r="Y29" i="63"/>
  <c r="AK29" i="63" s="1"/>
  <c r="V21" i="24"/>
  <c r="AH21" i="24" s="1"/>
  <c r="Y29" i="60"/>
  <c r="AK29" i="60" s="1"/>
  <c r="X29" i="63"/>
  <c r="AJ29" i="63" s="1"/>
  <c r="AE30" i="65"/>
  <c r="M25" i="19"/>
  <c r="P25" i="19" s="1"/>
  <c r="Z29" i="60"/>
  <c r="AL29" i="60" s="1"/>
  <c r="AB29" i="58"/>
  <c r="P30" i="57"/>
  <c r="Q30" i="57" s="1"/>
  <c r="Y30" i="57" s="1"/>
  <c r="AK30" i="57" s="1"/>
  <c r="N30" i="58"/>
  <c r="O30" i="58" s="1"/>
  <c r="R21" i="24"/>
  <c r="AD21" i="24" s="1"/>
  <c r="U29" i="57"/>
  <c r="AG29" i="57" s="1"/>
  <c r="AC29" i="58"/>
  <c r="AF29" i="62"/>
  <c r="Z29" i="63"/>
  <c r="AL29" i="63" s="1"/>
  <c r="AA29" i="63"/>
  <c r="AC29" i="63" s="1"/>
  <c r="AI29" i="62"/>
  <c r="S29" i="63"/>
  <c r="AE29" i="63" s="1"/>
  <c r="AG29" i="62"/>
  <c r="T29" i="63"/>
  <c r="AF29" i="63" s="1"/>
  <c r="AL30" i="65"/>
  <c r="V29" i="63"/>
  <c r="AH29" i="63" s="1"/>
  <c r="AJ30" i="65"/>
  <c r="AC29" i="65"/>
  <c r="AB29" i="65"/>
  <c r="AF30" i="65"/>
  <c r="R29" i="63"/>
  <c r="AD29" i="63" s="1"/>
  <c r="AB29" i="50"/>
  <c r="AD30" i="65"/>
  <c r="AC30" i="51"/>
  <c r="W29" i="63"/>
  <c r="AI29" i="63" s="1"/>
  <c r="AK30" i="65"/>
  <c r="U29" i="60"/>
  <c r="AG29" i="60" s="1"/>
  <c r="O32" i="45"/>
  <c r="V29" i="60"/>
  <c r="AH29" i="60" s="1"/>
  <c r="O31" i="65"/>
  <c r="T29" i="60"/>
  <c r="AF29" i="60" s="1"/>
  <c r="AA29" i="57"/>
  <c r="AB30" i="50"/>
  <c r="AJ29" i="62"/>
  <c r="T29" i="57"/>
  <c r="AF29" i="57" s="1"/>
  <c r="AK29" i="62"/>
  <c r="AJ30" i="48"/>
  <c r="N31" i="54"/>
  <c r="O31" i="54" s="1"/>
  <c r="W29" i="57"/>
  <c r="AI29" i="57" s="1"/>
  <c r="AL29" i="62"/>
  <c r="Y30" i="54"/>
  <c r="AK30" i="54" s="1"/>
  <c r="AD29" i="59"/>
  <c r="AD29" i="62"/>
  <c r="AB29" i="54"/>
  <c r="P31" i="52"/>
  <c r="Q31" i="52" s="1"/>
  <c r="V31" i="52" s="1"/>
  <c r="AH31" i="52" s="1"/>
  <c r="O30" i="51"/>
  <c r="AF30" i="51" s="1"/>
  <c r="AH29" i="62"/>
  <c r="M32" i="48"/>
  <c r="P32" i="48" s="1"/>
  <c r="Q32" i="48" s="1"/>
  <c r="AB29" i="53"/>
  <c r="AG30" i="65"/>
  <c r="AH30" i="65"/>
  <c r="N31" i="48"/>
  <c r="O31" i="48" s="1"/>
  <c r="P30" i="63"/>
  <c r="Q30" i="63" s="1"/>
  <c r="V30" i="63" s="1"/>
  <c r="AH30" i="63" s="1"/>
  <c r="M33" i="45"/>
  <c r="O33" i="45" s="1"/>
  <c r="M31" i="44"/>
  <c r="N31" i="44" s="1"/>
  <c r="AH29" i="53"/>
  <c r="P30" i="59"/>
  <c r="Q30" i="59" s="1"/>
  <c r="Z30" i="59" s="1"/>
  <c r="AB29" i="62"/>
  <c r="N30" i="53"/>
  <c r="O30" i="53" s="1"/>
  <c r="W29" i="60"/>
  <c r="AI29" i="60" s="1"/>
  <c r="R29" i="60"/>
  <c r="AD29" i="60" s="1"/>
  <c r="O31" i="50"/>
  <c r="M32" i="52"/>
  <c r="P32" i="52" s="1"/>
  <c r="Q32" i="52" s="1"/>
  <c r="M32" i="65"/>
  <c r="P32" i="65" s="1"/>
  <c r="Q32" i="65" s="1"/>
  <c r="AA31" i="65"/>
  <c r="AC31" i="65" s="1"/>
  <c r="H33" i="65"/>
  <c r="K33" i="65" s="1"/>
  <c r="G33" i="65"/>
  <c r="J33" i="65" s="1"/>
  <c r="I33" i="65"/>
  <c r="L33" i="65" s="1"/>
  <c r="AB30" i="65"/>
  <c r="T31" i="65"/>
  <c r="S31" i="65"/>
  <c r="V31" i="65"/>
  <c r="X31" i="65"/>
  <c r="W31" i="65"/>
  <c r="U31" i="65"/>
  <c r="R31" i="65"/>
  <c r="Z31" i="65"/>
  <c r="Y31" i="65"/>
  <c r="M31" i="64"/>
  <c r="P31" i="64" s="1"/>
  <c r="Q31" i="64" s="1"/>
  <c r="AD29" i="64"/>
  <c r="AE29" i="64"/>
  <c r="AB29" i="64"/>
  <c r="AJ29" i="64"/>
  <c r="C33" i="64"/>
  <c r="D32" i="64"/>
  <c r="G32" i="64" s="1"/>
  <c r="J32" i="64" s="1"/>
  <c r="F32" i="64"/>
  <c r="I32" i="64" s="1"/>
  <c r="L32" i="64" s="1"/>
  <c r="E32" i="64"/>
  <c r="H32" i="64" s="1"/>
  <c r="K32" i="64" s="1"/>
  <c r="AK29" i="64"/>
  <c r="AL29" i="64"/>
  <c r="AG29" i="64"/>
  <c r="Z30" i="64"/>
  <c r="Y30" i="64"/>
  <c r="R30" i="64"/>
  <c r="X30" i="64"/>
  <c r="W30" i="64"/>
  <c r="V30" i="64"/>
  <c r="U30" i="64"/>
  <c r="T30" i="64"/>
  <c r="S30" i="64"/>
  <c r="AF29" i="64"/>
  <c r="AA30" i="64"/>
  <c r="AH29" i="64"/>
  <c r="AI29" i="64"/>
  <c r="M31" i="63"/>
  <c r="O31" i="63" s="1"/>
  <c r="C33" i="63"/>
  <c r="D32" i="63"/>
  <c r="G32" i="63" s="1"/>
  <c r="J32" i="63" s="1"/>
  <c r="F32" i="63"/>
  <c r="I32" i="63" s="1"/>
  <c r="L32" i="63" s="1"/>
  <c r="H32" i="63"/>
  <c r="K32" i="63" s="1"/>
  <c r="M31" i="62"/>
  <c r="P30" i="62"/>
  <c r="Q30" i="62" s="1"/>
  <c r="Z30" i="62" s="1"/>
  <c r="AL30" i="62" s="1"/>
  <c r="C33" i="62"/>
  <c r="D32" i="62"/>
  <c r="G32" i="62" s="1"/>
  <c r="J32" i="62" s="1"/>
  <c r="H32" i="62"/>
  <c r="K32" i="62" s="1"/>
  <c r="I32" i="62"/>
  <c r="L32" i="62" s="1"/>
  <c r="M31" i="61"/>
  <c r="C33" i="61"/>
  <c r="F32" i="61"/>
  <c r="L32" i="61" s="1"/>
  <c r="E32" i="61"/>
  <c r="K32" i="61" s="1"/>
  <c r="D32" i="61"/>
  <c r="M31" i="60"/>
  <c r="P31" i="60" s="1"/>
  <c r="Q31" i="60" s="1"/>
  <c r="AE29" i="60"/>
  <c r="C33" i="60"/>
  <c r="E32" i="60"/>
  <c r="H32" i="60" s="1"/>
  <c r="K32" i="60" s="1"/>
  <c r="D32" i="60"/>
  <c r="G32" i="60" s="1"/>
  <c r="J32" i="60" s="1"/>
  <c r="I32" i="60"/>
  <c r="L32" i="60" s="1"/>
  <c r="Y30" i="60"/>
  <c r="T30" i="60"/>
  <c r="S30" i="60"/>
  <c r="Z30" i="60"/>
  <c r="X30" i="60"/>
  <c r="W30" i="60"/>
  <c r="V30" i="60"/>
  <c r="U30" i="60"/>
  <c r="R30" i="60"/>
  <c r="AA30" i="60"/>
  <c r="AC29" i="59"/>
  <c r="M31" i="59"/>
  <c r="P31" i="59" s="1"/>
  <c r="Q31" i="59" s="1"/>
  <c r="C33" i="59"/>
  <c r="D32" i="59"/>
  <c r="G32" i="59" s="1"/>
  <c r="J32" i="59" s="1"/>
  <c r="E32" i="59"/>
  <c r="H32" i="59" s="1"/>
  <c r="K32" i="59" s="1"/>
  <c r="I32" i="59"/>
  <c r="L32" i="59" s="1"/>
  <c r="O30" i="59"/>
  <c r="M31" i="58"/>
  <c r="P31" i="58" s="1"/>
  <c r="Q31" i="58" s="1"/>
  <c r="AA30" i="58"/>
  <c r="AL29" i="58"/>
  <c r="AI29" i="58"/>
  <c r="AF29" i="58"/>
  <c r="AK29" i="58"/>
  <c r="C33" i="58"/>
  <c r="E32" i="58"/>
  <c r="H32" i="58" s="1"/>
  <c r="K32" i="58" s="1"/>
  <c r="D32" i="58"/>
  <c r="G32" i="58" s="1"/>
  <c r="J32" i="58" s="1"/>
  <c r="I32" i="58"/>
  <c r="L32" i="58" s="1"/>
  <c r="AD29" i="58"/>
  <c r="AE29" i="58"/>
  <c r="AJ29" i="58"/>
  <c r="AG29" i="58"/>
  <c r="Z30" i="58"/>
  <c r="Y30" i="58"/>
  <c r="R30" i="58"/>
  <c r="W30" i="58"/>
  <c r="V30" i="58"/>
  <c r="U30" i="58"/>
  <c r="T30" i="58"/>
  <c r="S30" i="58"/>
  <c r="X30" i="58"/>
  <c r="AH29" i="58"/>
  <c r="M31" i="57"/>
  <c r="O31" i="57" s="1"/>
  <c r="C33" i="57"/>
  <c r="E32" i="57"/>
  <c r="H32" i="57" s="1"/>
  <c r="K32" i="57" s="1"/>
  <c r="F32" i="57"/>
  <c r="I32" i="57" s="1"/>
  <c r="L32" i="57" s="1"/>
  <c r="D32" i="57"/>
  <c r="G32" i="57" s="1"/>
  <c r="J32" i="57" s="1"/>
  <c r="Z30" i="54"/>
  <c r="AE30" i="54"/>
  <c r="R30" i="54"/>
  <c r="AD30" i="54" s="1"/>
  <c r="T30" i="54"/>
  <c r="AF30" i="54" s="1"/>
  <c r="AA30" i="54"/>
  <c r="AC30" i="54" s="1"/>
  <c r="U30" i="54"/>
  <c r="AG30" i="54" s="1"/>
  <c r="V30" i="54"/>
  <c r="AH30" i="54" s="1"/>
  <c r="M32" i="54"/>
  <c r="N32" i="54" s="1"/>
  <c r="W30" i="54"/>
  <c r="AI30" i="54" s="1"/>
  <c r="X30" i="54"/>
  <c r="AJ30" i="54" s="1"/>
  <c r="AL30" i="54"/>
  <c r="E33" i="54"/>
  <c r="H33" i="54" s="1"/>
  <c r="K33" i="54" s="1"/>
  <c r="D33" i="54"/>
  <c r="G33" i="54" s="1"/>
  <c r="J33" i="54" s="1"/>
  <c r="I33" i="54"/>
  <c r="L33" i="54" s="1"/>
  <c r="AA31" i="54"/>
  <c r="T31" i="54"/>
  <c r="S31" i="54"/>
  <c r="W31" i="54"/>
  <c r="X31" i="54"/>
  <c r="V31" i="54"/>
  <c r="U31" i="54"/>
  <c r="R31" i="54"/>
  <c r="Z31" i="54"/>
  <c r="Y31" i="54"/>
  <c r="AI29" i="53"/>
  <c r="AJ29" i="53"/>
  <c r="M31" i="53"/>
  <c r="P31" i="53" s="1"/>
  <c r="Q31" i="53" s="1"/>
  <c r="AA30" i="53"/>
  <c r="AK29" i="53"/>
  <c r="AL29" i="53"/>
  <c r="AF29" i="53"/>
  <c r="Z30" i="53"/>
  <c r="U30" i="53"/>
  <c r="T30" i="53"/>
  <c r="Y30" i="53"/>
  <c r="X30" i="53"/>
  <c r="W30" i="53"/>
  <c r="V30" i="53"/>
  <c r="S30" i="53"/>
  <c r="R30" i="53"/>
  <c r="AD29" i="53"/>
  <c r="C33" i="53"/>
  <c r="D32" i="53"/>
  <c r="G32" i="53" s="1"/>
  <c r="J32" i="53" s="1"/>
  <c r="E32" i="53"/>
  <c r="H32" i="53" s="1"/>
  <c r="K32" i="53" s="1"/>
  <c r="I32" i="53"/>
  <c r="L32" i="53" s="1"/>
  <c r="AE29" i="53"/>
  <c r="AB30" i="52"/>
  <c r="D33" i="52"/>
  <c r="G33" i="52" s="1"/>
  <c r="J33" i="52" s="1"/>
  <c r="I33" i="52"/>
  <c r="L33" i="52" s="1"/>
  <c r="H33" i="52"/>
  <c r="K33" i="52" s="1"/>
  <c r="M32" i="51"/>
  <c r="N32" i="51" s="1"/>
  <c r="F33" i="51"/>
  <c r="I33" i="51" s="1"/>
  <c r="L33" i="51" s="1"/>
  <c r="D33" i="51"/>
  <c r="G33" i="51" s="1"/>
  <c r="J33" i="51" s="1"/>
  <c r="E33" i="51"/>
  <c r="H33" i="51" s="1"/>
  <c r="K33" i="51" s="1"/>
  <c r="T31" i="51"/>
  <c r="S31" i="51"/>
  <c r="V31" i="51"/>
  <c r="X31" i="51"/>
  <c r="U31" i="51"/>
  <c r="W31" i="51"/>
  <c r="R31" i="51"/>
  <c r="Z31" i="51"/>
  <c r="Y31" i="51"/>
  <c r="AA31" i="51"/>
  <c r="M32" i="50"/>
  <c r="O32" i="50" s="1"/>
  <c r="D33" i="50"/>
  <c r="G33" i="50" s="1"/>
  <c r="J33" i="50" s="1"/>
  <c r="I33" i="50"/>
  <c r="L33" i="50" s="1"/>
  <c r="H33" i="50"/>
  <c r="K33" i="50" s="1"/>
  <c r="AA31" i="50"/>
  <c r="AC31" i="50" s="1"/>
  <c r="T31" i="50"/>
  <c r="S31" i="50"/>
  <c r="V31" i="50"/>
  <c r="Z31" i="50"/>
  <c r="Y31" i="50"/>
  <c r="X31" i="50"/>
  <c r="W31" i="50"/>
  <c r="U31" i="50"/>
  <c r="R31" i="50"/>
  <c r="AD30" i="48"/>
  <c r="AF30" i="48"/>
  <c r="AG30" i="48"/>
  <c r="AH30" i="48"/>
  <c r="AI30" i="48"/>
  <c r="D33" i="48"/>
  <c r="G33" i="48" s="1"/>
  <c r="J33" i="48" s="1"/>
  <c r="E33" i="48"/>
  <c r="H33" i="48" s="1"/>
  <c r="K33" i="48" s="1"/>
  <c r="F33" i="48"/>
  <c r="I33" i="48" s="1"/>
  <c r="L33" i="48" s="1"/>
  <c r="AK30" i="48"/>
  <c r="AL30" i="48"/>
  <c r="T31" i="48"/>
  <c r="S31" i="48"/>
  <c r="V31" i="48"/>
  <c r="R31" i="48"/>
  <c r="Z31" i="48"/>
  <c r="Y31" i="48"/>
  <c r="X31" i="48"/>
  <c r="W31" i="48"/>
  <c r="U31" i="48"/>
  <c r="AA31" i="48"/>
  <c r="AE30" i="48"/>
  <c r="M33" i="47"/>
  <c r="O33" i="47" s="1"/>
  <c r="AA32" i="47"/>
  <c r="AC32" i="47" s="1"/>
  <c r="AB31" i="47"/>
  <c r="W32" i="47"/>
  <c r="AI32" i="47" s="1"/>
  <c r="Y32" i="47"/>
  <c r="AK32" i="47" s="1"/>
  <c r="V32" i="47"/>
  <c r="AH32" i="47" s="1"/>
  <c r="U32" i="47"/>
  <c r="AG32" i="47" s="1"/>
  <c r="T32" i="47"/>
  <c r="AF32" i="47" s="1"/>
  <c r="S32" i="47"/>
  <c r="AE32" i="47" s="1"/>
  <c r="R32" i="47"/>
  <c r="AD32" i="47" s="1"/>
  <c r="X32" i="45"/>
  <c r="R32" i="45"/>
  <c r="Z32" i="45"/>
  <c r="Y32" i="45"/>
  <c r="U32" i="45"/>
  <c r="W32" i="45"/>
  <c r="V32" i="45"/>
  <c r="T32" i="45"/>
  <c r="S32" i="45"/>
  <c r="AB31" i="45"/>
  <c r="AA32" i="45"/>
  <c r="AC32" i="45" s="1"/>
  <c r="AJ29" i="44"/>
  <c r="AA30" i="44"/>
  <c r="AG29" i="44"/>
  <c r="AF29" i="44"/>
  <c r="AK29" i="44"/>
  <c r="C33" i="44"/>
  <c r="F32" i="44"/>
  <c r="I32" i="44" s="1"/>
  <c r="L32" i="44" s="1"/>
  <c r="E32" i="44"/>
  <c r="H32" i="44" s="1"/>
  <c r="K32" i="44" s="1"/>
  <c r="D32" i="44"/>
  <c r="G32" i="44" s="1"/>
  <c r="J32" i="44" s="1"/>
  <c r="AH29" i="44"/>
  <c r="AI29" i="44"/>
  <c r="AD29" i="44"/>
  <c r="AL29" i="44"/>
  <c r="AE29" i="44"/>
  <c r="V30" i="44"/>
  <c r="U30" i="44"/>
  <c r="X30" i="44"/>
  <c r="Z30" i="44"/>
  <c r="S30" i="44"/>
  <c r="Y30" i="44"/>
  <c r="T30" i="44"/>
  <c r="R30" i="44"/>
  <c r="AD30" i="44" s="1"/>
  <c r="W30" i="44"/>
  <c r="M24" i="23"/>
  <c r="AA22" i="23"/>
  <c r="AC22" i="23" s="1"/>
  <c r="Q22" i="23"/>
  <c r="AK14" i="1"/>
  <c r="E25" i="23"/>
  <c r="H25" i="23" s="1"/>
  <c r="K25" i="23" s="1"/>
  <c r="C26" i="23"/>
  <c r="D25" i="23"/>
  <c r="G25" i="23" s="1"/>
  <c r="J25" i="23" s="1"/>
  <c r="F25" i="23"/>
  <c r="I25" i="23" s="1"/>
  <c r="L25" i="23" s="1"/>
  <c r="S21" i="23"/>
  <c r="AE21" i="23" s="1"/>
  <c r="Y21" i="23"/>
  <c r="AK21" i="23" s="1"/>
  <c r="R21" i="23"/>
  <c r="AD21" i="23" s="1"/>
  <c r="X21" i="23"/>
  <c r="AJ21" i="23" s="1"/>
  <c r="W21" i="23"/>
  <c r="AI21" i="23" s="1"/>
  <c r="U21" i="23"/>
  <c r="AG21" i="23" s="1"/>
  <c r="T21" i="23"/>
  <c r="AF21" i="23" s="1"/>
  <c r="Z21" i="23"/>
  <c r="AL21" i="23" s="1"/>
  <c r="V21" i="23"/>
  <c r="AH21" i="23" s="1"/>
  <c r="AB21" i="23"/>
  <c r="G26" i="19"/>
  <c r="J26" i="19" s="1"/>
  <c r="BE18" i="1"/>
  <c r="I26" i="19"/>
  <c r="L26" i="19" s="1"/>
  <c r="H24" i="20"/>
  <c r="K24" i="20" s="1"/>
  <c r="M24" i="20" s="1"/>
  <c r="P24" i="20" s="1"/>
  <c r="BD18" i="1"/>
  <c r="H26" i="19"/>
  <c r="K26" i="19" s="1"/>
  <c r="BC18" i="1"/>
  <c r="X12" i="1"/>
  <c r="BF12" i="1"/>
  <c r="U21" i="24"/>
  <c r="AG21" i="24" s="1"/>
  <c r="S21" i="24"/>
  <c r="AE21" i="24" s="1"/>
  <c r="Y21" i="24"/>
  <c r="AK21" i="24" s="1"/>
  <c r="T21" i="24"/>
  <c r="AF21" i="24" s="1"/>
  <c r="Z21" i="24"/>
  <c r="AL21" i="24" s="1"/>
  <c r="Y13" i="1"/>
  <c r="AA23" i="28"/>
  <c r="AC23" i="28" s="1"/>
  <c r="X21" i="30"/>
  <c r="AJ21" i="30" s="1"/>
  <c r="Z11" i="1"/>
  <c r="AA12" i="1"/>
  <c r="AD12" i="1"/>
  <c r="AB12" i="1"/>
  <c r="AC12" i="1"/>
  <c r="AE12" i="1"/>
  <c r="AC21" i="35"/>
  <c r="AM14" i="1"/>
  <c r="AG15" i="1"/>
  <c r="BB17" i="1"/>
  <c r="AX16" i="1"/>
  <c r="AJ14" i="1"/>
  <c r="AO18" i="1"/>
  <c r="AT14" i="1"/>
  <c r="AU14" i="1"/>
  <c r="AM15" i="1"/>
  <c r="AN14" i="1"/>
  <c r="AW15" i="1"/>
  <c r="AY16" i="1"/>
  <c r="AQ16" i="1"/>
  <c r="AP15" i="1"/>
  <c r="BA14" i="1"/>
  <c r="AF17" i="1"/>
  <c r="AZ17" i="1"/>
  <c r="AH15" i="1"/>
  <c r="AV16" i="1"/>
  <c r="AI16" i="1"/>
  <c r="AW14" i="1"/>
  <c r="AI17" i="1"/>
  <c r="Y21" i="30"/>
  <c r="AK21" i="30" s="1"/>
  <c r="R21" i="30"/>
  <c r="AD21" i="30" s="1"/>
  <c r="AF23" i="37"/>
  <c r="V21" i="30"/>
  <c r="AH21" i="30" s="1"/>
  <c r="U21" i="30"/>
  <c r="AG21" i="30" s="1"/>
  <c r="O23" i="22"/>
  <c r="AD23" i="22" s="1"/>
  <c r="AB22" i="37"/>
  <c r="N23" i="24"/>
  <c r="O23" i="24" s="1"/>
  <c r="AB23" i="24" s="1"/>
  <c r="T21" i="30"/>
  <c r="AF21" i="30" s="1"/>
  <c r="S21" i="30"/>
  <c r="AE21" i="30" s="1"/>
  <c r="I14" i="1"/>
  <c r="Z21" i="30"/>
  <c r="AL21" i="30" s="1"/>
  <c r="AC22" i="30"/>
  <c r="V13" i="1"/>
  <c r="N24" i="34"/>
  <c r="O24" i="34" s="1"/>
  <c r="Q22" i="26"/>
  <c r="AA22" i="26"/>
  <c r="AC22" i="26" s="1"/>
  <c r="M24" i="25"/>
  <c r="O24" i="25" s="1"/>
  <c r="AA22" i="39"/>
  <c r="Q22" i="39"/>
  <c r="W22" i="20"/>
  <c r="AI22" i="20" s="1"/>
  <c r="AA24" i="38"/>
  <c r="AC24" i="38" s="1"/>
  <c r="Z24" i="21"/>
  <c r="AL24" i="21" s="1"/>
  <c r="AB21" i="32"/>
  <c r="R14" i="1"/>
  <c r="H14" i="1"/>
  <c r="V24" i="21"/>
  <c r="AH24" i="21" s="1"/>
  <c r="Q22" i="24"/>
  <c r="S22" i="24" s="1"/>
  <c r="AE22" i="24" s="1"/>
  <c r="X24" i="19"/>
  <c r="AJ24" i="19" s="1"/>
  <c r="U23" i="22"/>
  <c r="V21" i="22"/>
  <c r="AH21" i="22" s="1"/>
  <c r="U21" i="22"/>
  <c r="AG21" i="22" s="1"/>
  <c r="S21" i="22"/>
  <c r="AE21" i="22" s="1"/>
  <c r="T21" i="22"/>
  <c r="AF21" i="22" s="1"/>
  <c r="R21" i="22"/>
  <c r="AD21" i="22" s="1"/>
  <c r="X21" i="22"/>
  <c r="AJ21" i="22" s="1"/>
  <c r="Y21" i="22"/>
  <c r="AK21" i="22" s="1"/>
  <c r="W21" i="22"/>
  <c r="AI21" i="22" s="1"/>
  <c r="Z21" i="22"/>
  <c r="AL21" i="22" s="1"/>
  <c r="AC22" i="8"/>
  <c r="AB22" i="8"/>
  <c r="O14" i="1"/>
  <c r="S23" i="22"/>
  <c r="M24" i="35"/>
  <c r="N23" i="30"/>
  <c r="O23" i="30" s="1"/>
  <c r="AB22" i="35"/>
  <c r="AB22" i="24"/>
  <c r="W23" i="22"/>
  <c r="X23" i="22"/>
  <c r="AB23" i="31"/>
  <c r="W13" i="1"/>
  <c r="Q23" i="31"/>
  <c r="M14" i="1"/>
  <c r="P14" i="1"/>
  <c r="N14" i="1"/>
  <c r="Y23" i="22"/>
  <c r="S14" i="1"/>
  <c r="P23" i="35"/>
  <c r="Q23" i="35" s="1"/>
  <c r="Z23" i="35" s="1"/>
  <c r="Y22" i="20"/>
  <c r="AK22" i="20" s="1"/>
  <c r="S24" i="19"/>
  <c r="AE24" i="19" s="1"/>
  <c r="V22" i="20"/>
  <c r="AH22" i="20" s="1"/>
  <c r="AB21" i="26"/>
  <c r="T14" i="1"/>
  <c r="X22" i="20"/>
  <c r="AJ22" i="20" s="1"/>
  <c r="S25" i="27"/>
  <c r="AE25" i="27" s="1"/>
  <c r="S22" i="20"/>
  <c r="AE22" i="20" s="1"/>
  <c r="R22" i="20"/>
  <c r="AD22" i="20" s="1"/>
  <c r="AB21" i="39"/>
  <c r="X25" i="27"/>
  <c r="AJ25" i="27" s="1"/>
  <c r="Z22" i="20"/>
  <c r="AL22" i="20" s="1"/>
  <c r="V23" i="28"/>
  <c r="AH23" i="28" s="1"/>
  <c r="AA23" i="34"/>
  <c r="AC23" i="34" s="1"/>
  <c r="L16" i="1"/>
  <c r="O23" i="35"/>
  <c r="U24" i="19"/>
  <c r="AG24" i="19" s="1"/>
  <c r="AC21" i="33"/>
  <c r="R24" i="19"/>
  <c r="AD24" i="19" s="1"/>
  <c r="S24" i="21"/>
  <c r="AE24" i="21" s="1"/>
  <c r="W23" i="37"/>
  <c r="AI23" i="37" s="1"/>
  <c r="M24" i="24"/>
  <c r="P24" i="24" s="1"/>
  <c r="AA24" i="24" s="1"/>
  <c r="M24" i="30"/>
  <c r="N24" i="30" s="1"/>
  <c r="O24" i="30" s="1"/>
  <c r="Q14" i="1"/>
  <c r="P24" i="31"/>
  <c r="AA24" i="31" s="1"/>
  <c r="AC24" i="31" s="1"/>
  <c r="O24" i="31"/>
  <c r="V21" i="32"/>
  <c r="AH21" i="32" s="1"/>
  <c r="S21" i="32"/>
  <c r="AE21" i="32" s="1"/>
  <c r="T21" i="32"/>
  <c r="AF21" i="32" s="1"/>
  <c r="R21" i="32"/>
  <c r="AD21" i="32" s="1"/>
  <c r="U21" i="32"/>
  <c r="AG21" i="32" s="1"/>
  <c r="Z21" i="32"/>
  <c r="AL21" i="32" s="1"/>
  <c r="Y21" i="32"/>
  <c r="AK21" i="32" s="1"/>
  <c r="X21" i="32"/>
  <c r="AJ21" i="32" s="1"/>
  <c r="W21" i="32"/>
  <c r="AI21" i="32" s="1"/>
  <c r="T24" i="21"/>
  <c r="AF24" i="21" s="1"/>
  <c r="U14" i="1"/>
  <c r="O23" i="25"/>
  <c r="W24" i="21"/>
  <c r="AI24" i="21" s="1"/>
  <c r="W24" i="19"/>
  <c r="AI24" i="19" s="1"/>
  <c r="Y24" i="21"/>
  <c r="AK24" i="21" s="1"/>
  <c r="Z24" i="19"/>
  <c r="AL24" i="19" s="1"/>
  <c r="X24" i="21"/>
  <c r="AJ24" i="21" s="1"/>
  <c r="M25" i="31"/>
  <c r="S22" i="31"/>
  <c r="AE22" i="31" s="1"/>
  <c r="Z22" i="31"/>
  <c r="AL22" i="31" s="1"/>
  <c r="W22" i="31"/>
  <c r="AI22" i="31" s="1"/>
  <c r="U22" i="31"/>
  <c r="AG22" i="31" s="1"/>
  <c r="X22" i="31"/>
  <c r="AJ22" i="31" s="1"/>
  <c r="R22" i="31"/>
  <c r="AD22" i="31" s="1"/>
  <c r="T22" i="31"/>
  <c r="AF22" i="31" s="1"/>
  <c r="V22" i="31"/>
  <c r="AH22" i="31" s="1"/>
  <c r="Y22" i="31"/>
  <c r="AK22" i="31" s="1"/>
  <c r="N23" i="33"/>
  <c r="O23" i="33" s="1"/>
  <c r="P23" i="33"/>
  <c r="E26" i="31"/>
  <c r="H26" i="31" s="1"/>
  <c r="K26" i="31" s="1"/>
  <c r="I26" i="31"/>
  <c r="L26" i="31" s="1"/>
  <c r="C27" i="31"/>
  <c r="D26" i="31"/>
  <c r="G26" i="31" s="1"/>
  <c r="J26" i="31" s="1"/>
  <c r="R24" i="21"/>
  <c r="AD24" i="21" s="1"/>
  <c r="AC22" i="35"/>
  <c r="Z21" i="33"/>
  <c r="AL21" i="33" s="1"/>
  <c r="S21" i="33"/>
  <c r="AE21" i="33" s="1"/>
  <c r="R21" i="33"/>
  <c r="AD21" i="33" s="1"/>
  <c r="Y21" i="33"/>
  <c r="AK21" i="33" s="1"/>
  <c r="X21" i="33"/>
  <c r="AJ21" i="33" s="1"/>
  <c r="W21" i="33"/>
  <c r="AI21" i="33" s="1"/>
  <c r="V21" i="33"/>
  <c r="AH21" i="33" s="1"/>
  <c r="U21" i="33"/>
  <c r="AG21" i="33" s="1"/>
  <c r="T21" i="33"/>
  <c r="AF21" i="33" s="1"/>
  <c r="D25" i="33"/>
  <c r="G25" i="33" s="1"/>
  <c r="J25" i="33" s="1"/>
  <c r="C26" i="33"/>
  <c r="I26" i="33" s="1"/>
  <c r="L26" i="33" s="1"/>
  <c r="E25" i="33"/>
  <c r="H25" i="33" s="1"/>
  <c r="K25" i="33" s="1"/>
  <c r="F25" i="32"/>
  <c r="I25" i="32" s="1"/>
  <c r="L25" i="32" s="1"/>
  <c r="C26" i="32"/>
  <c r="D25" i="32"/>
  <c r="G25" i="32" s="1"/>
  <c r="J25" i="32" s="1"/>
  <c r="E25" i="32"/>
  <c r="H25" i="32" s="1"/>
  <c r="K25" i="32" s="1"/>
  <c r="P23" i="32"/>
  <c r="Q23" i="32" s="1"/>
  <c r="O23" i="32"/>
  <c r="V25" i="27"/>
  <c r="AH25" i="27" s="1"/>
  <c r="V23" i="22"/>
  <c r="T23" i="22"/>
  <c r="Z23" i="22"/>
  <c r="AA23" i="30"/>
  <c r="D25" i="30"/>
  <c r="G25" i="30" s="1"/>
  <c r="J25" i="30" s="1"/>
  <c r="I25" i="30"/>
  <c r="L25" i="30" s="1"/>
  <c r="C26" i="30"/>
  <c r="E25" i="30"/>
  <c r="H25" i="30" s="1"/>
  <c r="K25" i="30" s="1"/>
  <c r="N23" i="39"/>
  <c r="O23" i="39" s="1"/>
  <c r="P23" i="39"/>
  <c r="I25" i="35"/>
  <c r="L25" i="35" s="1"/>
  <c r="C26" i="35"/>
  <c r="E25" i="35"/>
  <c r="H25" i="35" s="1"/>
  <c r="K25" i="35" s="1"/>
  <c r="D25" i="35"/>
  <c r="G25" i="35" s="1"/>
  <c r="J25" i="35" s="1"/>
  <c r="Y23" i="30"/>
  <c r="R23" i="30"/>
  <c r="U23" i="30"/>
  <c r="T23" i="30"/>
  <c r="S23" i="30"/>
  <c r="X23" i="30"/>
  <c r="Z23" i="30"/>
  <c r="W23" i="30"/>
  <c r="V23" i="30"/>
  <c r="E25" i="26"/>
  <c r="H25" i="26" s="1"/>
  <c r="K25" i="26" s="1"/>
  <c r="F25" i="26"/>
  <c r="I25" i="26" s="1"/>
  <c r="L25" i="26" s="1"/>
  <c r="C26" i="26"/>
  <c r="D25" i="26"/>
  <c r="G25" i="26" s="1"/>
  <c r="J25" i="26" s="1"/>
  <c r="Z21" i="39"/>
  <c r="AL21" i="39" s="1"/>
  <c r="U21" i="39"/>
  <c r="AG21" i="39" s="1"/>
  <c r="S21" i="39"/>
  <c r="AE21" i="39" s="1"/>
  <c r="X21" i="39"/>
  <c r="AJ21" i="39" s="1"/>
  <c r="R21" i="39"/>
  <c r="AD21" i="39" s="1"/>
  <c r="T21" i="39"/>
  <c r="AF21" i="39" s="1"/>
  <c r="V21" i="39"/>
  <c r="AH21" i="39" s="1"/>
  <c r="Y21" i="39"/>
  <c r="AK21" i="39" s="1"/>
  <c r="W21" i="39"/>
  <c r="AI21" i="39" s="1"/>
  <c r="AA22" i="32"/>
  <c r="Q22" i="32"/>
  <c r="F25" i="22"/>
  <c r="I25" i="22" s="1"/>
  <c r="L25" i="22" s="1"/>
  <c r="D25" i="22"/>
  <c r="G25" i="22" s="1"/>
  <c r="J25" i="22" s="1"/>
  <c r="C26" i="22"/>
  <c r="E25" i="22"/>
  <c r="H25" i="22" s="1"/>
  <c r="K25" i="22" s="1"/>
  <c r="F25" i="24"/>
  <c r="I25" i="24" s="1"/>
  <c r="L25" i="24" s="1"/>
  <c r="C26" i="24"/>
  <c r="D25" i="24"/>
  <c r="G25" i="24" s="1"/>
  <c r="J25" i="24" s="1"/>
  <c r="E25" i="24"/>
  <c r="H25" i="24" s="1"/>
  <c r="K25" i="24" s="1"/>
  <c r="M24" i="39"/>
  <c r="M24" i="22"/>
  <c r="I25" i="33"/>
  <c r="L25" i="33" s="1"/>
  <c r="T22" i="20"/>
  <c r="AF22" i="20" s="1"/>
  <c r="Y23" i="28"/>
  <c r="AK23" i="28" s="1"/>
  <c r="M24" i="26"/>
  <c r="E25" i="39"/>
  <c r="H25" i="39" s="1"/>
  <c r="K25" i="39" s="1"/>
  <c r="C26" i="39"/>
  <c r="F25" i="39"/>
  <c r="I25" i="39" s="1"/>
  <c r="L25" i="39" s="1"/>
  <c r="D25" i="39"/>
  <c r="G25" i="39" s="1"/>
  <c r="J25" i="39" s="1"/>
  <c r="X21" i="26"/>
  <c r="AJ21" i="26" s="1"/>
  <c r="Y21" i="26"/>
  <c r="AK21" i="26" s="1"/>
  <c r="V21" i="26"/>
  <c r="AH21" i="26" s="1"/>
  <c r="S21" i="26"/>
  <c r="AE21" i="26" s="1"/>
  <c r="T21" i="26"/>
  <c r="AF21" i="26" s="1"/>
  <c r="R21" i="26"/>
  <c r="AD21" i="26" s="1"/>
  <c r="U21" i="26"/>
  <c r="AG21" i="26" s="1"/>
  <c r="Z21" i="26"/>
  <c r="AL21" i="26" s="1"/>
  <c r="W21" i="26"/>
  <c r="AI21" i="26" s="1"/>
  <c r="D25" i="25"/>
  <c r="G25" i="25" s="1"/>
  <c r="J25" i="25" s="1"/>
  <c r="C26" i="25"/>
  <c r="I25" i="25"/>
  <c r="L25" i="25" s="1"/>
  <c r="H25" i="25"/>
  <c r="K25" i="25" s="1"/>
  <c r="Q22" i="35"/>
  <c r="Q23" i="24"/>
  <c r="Y22" i="25"/>
  <c r="AK22" i="25" s="1"/>
  <c r="U22" i="25"/>
  <c r="AG22" i="25" s="1"/>
  <c r="T22" i="25"/>
  <c r="AF22" i="25" s="1"/>
  <c r="X22" i="25"/>
  <c r="AJ22" i="25" s="1"/>
  <c r="V22" i="25"/>
  <c r="AH22" i="25" s="1"/>
  <c r="Z22" i="25"/>
  <c r="AL22" i="25" s="1"/>
  <c r="S22" i="25"/>
  <c r="AE22" i="25" s="1"/>
  <c r="W22" i="25"/>
  <c r="AI22" i="25" s="1"/>
  <c r="R22" i="25"/>
  <c r="AD22" i="25" s="1"/>
  <c r="Y22" i="30"/>
  <c r="AK22" i="30" s="1"/>
  <c r="R22" i="30"/>
  <c r="AD22" i="30" s="1"/>
  <c r="U22" i="30"/>
  <c r="AG22" i="30" s="1"/>
  <c r="T22" i="30"/>
  <c r="AF22" i="30" s="1"/>
  <c r="S22" i="30"/>
  <c r="AE22" i="30" s="1"/>
  <c r="Z22" i="30"/>
  <c r="AL22" i="30" s="1"/>
  <c r="V22" i="30"/>
  <c r="AH22" i="30" s="1"/>
  <c r="W22" i="30"/>
  <c r="AI22" i="30" s="1"/>
  <c r="X22" i="30"/>
  <c r="AJ22" i="30" s="1"/>
  <c r="M24" i="32"/>
  <c r="AB22" i="22"/>
  <c r="AA23" i="25"/>
  <c r="AC23" i="25" s="1"/>
  <c r="Q23" i="25"/>
  <c r="M24" i="33"/>
  <c r="N23" i="26"/>
  <c r="O23" i="26" s="1"/>
  <c r="P23" i="26"/>
  <c r="Q22" i="33"/>
  <c r="AA22" i="33"/>
  <c r="Q22" i="22"/>
  <c r="AA23" i="22"/>
  <c r="Y25" i="27"/>
  <c r="AK25" i="27" s="1"/>
  <c r="Z25" i="27"/>
  <c r="AL25" i="27" s="1"/>
  <c r="W25" i="27"/>
  <c r="AI25" i="27" s="1"/>
  <c r="U25" i="27"/>
  <c r="AG25" i="27" s="1"/>
  <c r="Y23" i="37"/>
  <c r="AK23" i="37" s="1"/>
  <c r="R23" i="37"/>
  <c r="AD23" i="37" s="1"/>
  <c r="W24" i="40"/>
  <c r="AI24" i="40" s="1"/>
  <c r="V24" i="19"/>
  <c r="AH24" i="19" s="1"/>
  <c r="T25" i="27"/>
  <c r="AF25" i="27" s="1"/>
  <c r="V23" i="37"/>
  <c r="AH23" i="37" s="1"/>
  <c r="U23" i="37"/>
  <c r="AG23" i="37" s="1"/>
  <c r="Z23" i="37"/>
  <c r="AL23" i="37" s="1"/>
  <c r="S23" i="37"/>
  <c r="AE23" i="37" s="1"/>
  <c r="T24" i="40"/>
  <c r="AF24" i="40" s="1"/>
  <c r="Z23" i="28"/>
  <c r="AL23" i="28" s="1"/>
  <c r="Y23" i="34"/>
  <c r="AK23" i="34" s="1"/>
  <c r="T23" i="34"/>
  <c r="AF23" i="34" s="1"/>
  <c r="U23" i="34"/>
  <c r="AG23" i="34" s="1"/>
  <c r="V23" i="34"/>
  <c r="AH23" i="34" s="1"/>
  <c r="AB24" i="40"/>
  <c r="O24" i="28"/>
  <c r="X23" i="37"/>
  <c r="AJ23" i="37" s="1"/>
  <c r="AE23" i="28"/>
  <c r="R23" i="34"/>
  <c r="AD23" i="34" s="1"/>
  <c r="U23" i="28"/>
  <c r="AG23" i="28" s="1"/>
  <c r="W23" i="28"/>
  <c r="AI23" i="28" s="1"/>
  <c r="S23" i="34"/>
  <c r="AE23" i="34" s="1"/>
  <c r="T23" i="28"/>
  <c r="AF23" i="28" s="1"/>
  <c r="W23" i="34"/>
  <c r="AI23" i="34" s="1"/>
  <c r="O24" i="36"/>
  <c r="X23" i="28"/>
  <c r="AJ23" i="28" s="1"/>
  <c r="X23" i="34"/>
  <c r="AJ23" i="34" s="1"/>
  <c r="Z23" i="34"/>
  <c r="AL23" i="34" s="1"/>
  <c r="P25" i="38"/>
  <c r="AA25" i="38" s="1"/>
  <c r="AC25" i="38" s="1"/>
  <c r="X23" i="29"/>
  <c r="AJ23" i="29" s="1"/>
  <c r="R23" i="29"/>
  <c r="AD23" i="29" s="1"/>
  <c r="AL24" i="40"/>
  <c r="T24" i="19"/>
  <c r="AF24" i="19" s="1"/>
  <c r="S23" i="29"/>
  <c r="AE23" i="29" s="1"/>
  <c r="S24" i="38"/>
  <c r="AE24" i="38" s="1"/>
  <c r="R23" i="28"/>
  <c r="AD23" i="28" s="1"/>
  <c r="T23" i="29"/>
  <c r="AF23" i="29" s="1"/>
  <c r="X24" i="38"/>
  <c r="AJ24" i="38" s="1"/>
  <c r="X24" i="40"/>
  <c r="AJ24" i="40" s="1"/>
  <c r="U23" i="29"/>
  <c r="AG23" i="29" s="1"/>
  <c r="S24" i="40"/>
  <c r="AE24" i="40" s="1"/>
  <c r="V23" i="29"/>
  <c r="AH23" i="29" s="1"/>
  <c r="W23" i="29"/>
  <c r="AI23" i="29" s="1"/>
  <c r="R24" i="40"/>
  <c r="AD24" i="40" s="1"/>
  <c r="P24" i="28"/>
  <c r="Q24" i="28" s="1"/>
  <c r="Y24" i="38"/>
  <c r="AK24" i="38" s="1"/>
  <c r="Y24" i="40"/>
  <c r="AK24" i="40" s="1"/>
  <c r="W24" i="38"/>
  <c r="AI24" i="38" s="1"/>
  <c r="U24" i="40"/>
  <c r="AG24" i="40" s="1"/>
  <c r="R24" i="38"/>
  <c r="AD24" i="38" s="1"/>
  <c r="V24" i="40"/>
  <c r="AH24" i="40" s="1"/>
  <c r="Y23" i="29"/>
  <c r="AK23" i="29" s="1"/>
  <c r="Z24" i="38"/>
  <c r="AL24" i="38" s="1"/>
  <c r="AC23" i="29"/>
  <c r="O24" i="37"/>
  <c r="V24" i="38"/>
  <c r="AH24" i="38" s="1"/>
  <c r="Q26" i="27"/>
  <c r="X26" i="27" s="1"/>
  <c r="Q24" i="29"/>
  <c r="W24" i="29" s="1"/>
  <c r="N24" i="29"/>
  <c r="O24" i="29" s="1"/>
  <c r="AC24" i="40"/>
  <c r="M25" i="29"/>
  <c r="P25" i="29" s="1"/>
  <c r="Q24" i="36"/>
  <c r="R24" i="36" s="1"/>
  <c r="Q23" i="36"/>
  <c r="W23" i="36" s="1"/>
  <c r="AI23" i="36" s="1"/>
  <c r="X22" i="28"/>
  <c r="AJ22" i="28" s="1"/>
  <c r="U22" i="28"/>
  <c r="AG22" i="28" s="1"/>
  <c r="T22" i="28"/>
  <c r="AF22" i="28" s="1"/>
  <c r="R22" i="28"/>
  <c r="AD22" i="28" s="1"/>
  <c r="Z22" i="28"/>
  <c r="AL22" i="28" s="1"/>
  <c r="Y22" i="28"/>
  <c r="AK22" i="28" s="1"/>
  <c r="V22" i="28"/>
  <c r="AH22" i="28" s="1"/>
  <c r="W22" i="28"/>
  <c r="AI22" i="28" s="1"/>
  <c r="S22" i="28"/>
  <c r="AE22" i="28" s="1"/>
  <c r="U24" i="38"/>
  <c r="AG24" i="38" s="1"/>
  <c r="Q23" i="20"/>
  <c r="T23" i="20" s="1"/>
  <c r="AL23" i="29"/>
  <c r="Q24" i="37"/>
  <c r="U24" i="37" s="1"/>
  <c r="Q24" i="34"/>
  <c r="T24" i="34" s="1"/>
  <c r="Q25" i="40"/>
  <c r="Z25" i="40" s="1"/>
  <c r="Q23" i="8"/>
  <c r="Y23" i="8" s="1"/>
  <c r="Q25" i="19"/>
  <c r="T25" i="19" s="1"/>
  <c r="AB22" i="28"/>
  <c r="M26" i="40"/>
  <c r="P26" i="40" s="1"/>
  <c r="N26" i="40"/>
  <c r="C28" i="40"/>
  <c r="F27" i="40"/>
  <c r="I27" i="40" s="1"/>
  <c r="L27" i="40" s="1"/>
  <c r="E27" i="40"/>
  <c r="H27" i="40" s="1"/>
  <c r="K27" i="40" s="1"/>
  <c r="D27" i="40"/>
  <c r="G27" i="40" s="1"/>
  <c r="J27" i="40" s="1"/>
  <c r="AA25" i="40"/>
  <c r="AC25" i="40" s="1"/>
  <c r="O25" i="40"/>
  <c r="M26" i="38"/>
  <c r="P26" i="38" s="1"/>
  <c r="C28" i="38"/>
  <c r="F28" i="38" s="1"/>
  <c r="D27" i="38"/>
  <c r="G27" i="38" s="1"/>
  <c r="J27" i="38" s="1"/>
  <c r="I27" i="38"/>
  <c r="L27" i="38" s="1"/>
  <c r="H27" i="38"/>
  <c r="K27" i="38" s="1"/>
  <c r="M25" i="37"/>
  <c r="P25" i="37" s="1"/>
  <c r="AB23" i="37"/>
  <c r="C27" i="37"/>
  <c r="E26" i="37"/>
  <c r="H26" i="37" s="1"/>
  <c r="K26" i="37" s="1"/>
  <c r="D26" i="37"/>
  <c r="G26" i="37" s="1"/>
  <c r="J26" i="37" s="1"/>
  <c r="F26" i="37"/>
  <c r="I26" i="37" s="1"/>
  <c r="L26" i="37" s="1"/>
  <c r="AA24" i="37"/>
  <c r="AC24" i="37" s="1"/>
  <c r="M25" i="36"/>
  <c r="P25" i="36" s="1"/>
  <c r="AA23" i="36"/>
  <c r="N25" i="36"/>
  <c r="C27" i="36"/>
  <c r="F27" i="36" s="1"/>
  <c r="E26" i="36"/>
  <c r="H26" i="36" s="1"/>
  <c r="K26" i="36" s="1"/>
  <c r="D26" i="36"/>
  <c r="G26" i="36" s="1"/>
  <c r="J26" i="36" s="1"/>
  <c r="I26" i="36"/>
  <c r="L26" i="36" s="1"/>
  <c r="AA24" i="36"/>
  <c r="M25" i="34"/>
  <c r="N25" i="34" s="1"/>
  <c r="C27" i="34"/>
  <c r="D26" i="34"/>
  <c r="G26" i="34" s="1"/>
  <c r="J26" i="34" s="1"/>
  <c r="E26" i="34"/>
  <c r="H26" i="34" s="1"/>
  <c r="K26" i="34" s="1"/>
  <c r="I26" i="34"/>
  <c r="L26" i="34" s="1"/>
  <c r="AA24" i="34"/>
  <c r="F27" i="33"/>
  <c r="N27" i="31"/>
  <c r="AA24" i="29"/>
  <c r="C27" i="29"/>
  <c r="D26" i="29"/>
  <c r="G26" i="29" s="1"/>
  <c r="J26" i="29" s="1"/>
  <c r="E26" i="29"/>
  <c r="H26" i="29" s="1"/>
  <c r="K26" i="29" s="1"/>
  <c r="I26" i="29"/>
  <c r="L26" i="29" s="1"/>
  <c r="AB23" i="29"/>
  <c r="M25" i="28"/>
  <c r="N25" i="28" s="1"/>
  <c r="C27" i="28"/>
  <c r="E27" i="28" s="1"/>
  <c r="D26" i="28"/>
  <c r="G26" i="28" s="1"/>
  <c r="J26" i="28" s="1"/>
  <c r="H26" i="28"/>
  <c r="K26" i="28" s="1"/>
  <c r="I26" i="28"/>
  <c r="L26" i="28" s="1"/>
  <c r="M27" i="27"/>
  <c r="P27" i="27" s="1"/>
  <c r="AD25" i="27"/>
  <c r="N27" i="27"/>
  <c r="O26" i="27"/>
  <c r="AB25" i="27"/>
  <c r="C29" i="27"/>
  <c r="E28" i="27"/>
  <c r="H28" i="27" s="1"/>
  <c r="K28" i="27" s="1"/>
  <c r="D28" i="27"/>
  <c r="G28" i="27" s="1"/>
  <c r="J28" i="27" s="1"/>
  <c r="F28" i="27"/>
  <c r="I28" i="27" s="1"/>
  <c r="L28" i="27" s="1"/>
  <c r="AA26" i="27"/>
  <c r="AC26" i="27" s="1"/>
  <c r="N27" i="25"/>
  <c r="E28" i="25"/>
  <c r="F28" i="25"/>
  <c r="X22" i="8"/>
  <c r="AJ22" i="8" s="1"/>
  <c r="S22" i="8"/>
  <c r="AE22" i="8" s="1"/>
  <c r="AK22" i="8"/>
  <c r="AG24" i="21"/>
  <c r="T22" i="8"/>
  <c r="AF22" i="8" s="1"/>
  <c r="AG22" i="20"/>
  <c r="Z22" i="8"/>
  <c r="AL22" i="8" s="1"/>
  <c r="U22" i="8"/>
  <c r="AG22" i="8" s="1"/>
  <c r="V22" i="8"/>
  <c r="AH22" i="8" s="1"/>
  <c r="P25" i="21"/>
  <c r="R22" i="8"/>
  <c r="AD22" i="8" s="1"/>
  <c r="O23" i="8"/>
  <c r="O23" i="20"/>
  <c r="AA23" i="20"/>
  <c r="AC23" i="20" s="1"/>
  <c r="W22" i="8"/>
  <c r="AI22" i="8" s="1"/>
  <c r="M26" i="21"/>
  <c r="P26" i="21" s="1"/>
  <c r="AB24" i="21"/>
  <c r="C28" i="21"/>
  <c r="D27" i="21"/>
  <c r="G27" i="21" s="1"/>
  <c r="J27" i="21" s="1"/>
  <c r="I27" i="21"/>
  <c r="L27" i="21" s="1"/>
  <c r="H27" i="21"/>
  <c r="K27" i="21" s="1"/>
  <c r="N24" i="20"/>
  <c r="AB22" i="20"/>
  <c r="C26" i="20"/>
  <c r="D25" i="20"/>
  <c r="G25" i="20" s="1"/>
  <c r="J25" i="20" s="1"/>
  <c r="F25" i="20"/>
  <c r="I25" i="20" s="1"/>
  <c r="L25" i="20" s="1"/>
  <c r="E25" i="20"/>
  <c r="AK24" i="19"/>
  <c r="N26" i="19"/>
  <c r="C28" i="19"/>
  <c r="D27" i="19"/>
  <c r="F27" i="19"/>
  <c r="E27" i="19"/>
  <c r="AB24" i="19"/>
  <c r="O25" i="19"/>
  <c r="AA23" i="8"/>
  <c r="P24" i="8"/>
  <c r="N24" i="8"/>
  <c r="M25" i="8"/>
  <c r="P25" i="8" s="1"/>
  <c r="C27" i="8"/>
  <c r="E27" i="8" s="1"/>
  <c r="F26" i="8"/>
  <c r="I26" i="8" s="1"/>
  <c r="L26" i="8" s="1"/>
  <c r="D26" i="8"/>
  <c r="G26" i="8" s="1"/>
  <c r="J26" i="8" s="1"/>
  <c r="H26" i="8"/>
  <c r="K26" i="8" s="1"/>
  <c r="CS20" i="1" l="1"/>
  <c r="DF20" i="1" s="1"/>
  <c r="AH30" i="56"/>
  <c r="DM18" i="1"/>
  <c r="DP18" i="1" s="1"/>
  <c r="AD30" i="43"/>
  <c r="DE18" i="1"/>
  <c r="DN18" i="1" s="1"/>
  <c r="AA23" i="23"/>
  <c r="CT20" i="1"/>
  <c r="DA60" i="1" s="1"/>
  <c r="DA61" i="1" s="1"/>
  <c r="ED20" i="1"/>
  <c r="DO20" i="1" s="1"/>
  <c r="CK22" i="1"/>
  <c r="EM22" i="1"/>
  <c r="CH22" i="1"/>
  <c r="EJ22" i="1"/>
  <c r="CN22" i="1"/>
  <c r="EP22" i="1"/>
  <c r="CO22" i="1"/>
  <c r="EQ22" i="1"/>
  <c r="CI21" i="1"/>
  <c r="EK21" i="1"/>
  <c r="CJ21" i="1"/>
  <c r="EL21" i="1"/>
  <c r="CJ22" i="1"/>
  <c r="EL22" i="1"/>
  <c r="CF21" i="1"/>
  <c r="EH21" i="1"/>
  <c r="CM22" i="1"/>
  <c r="EO22" i="1"/>
  <c r="CL21" i="1"/>
  <c r="EN21" i="1"/>
  <c r="CK21" i="1"/>
  <c r="EM21" i="1"/>
  <c r="CO21" i="1"/>
  <c r="EQ21" i="1"/>
  <c r="CI22" i="1"/>
  <c r="EK22" i="1"/>
  <c r="CM21" i="1"/>
  <c r="EO21" i="1"/>
  <c r="CN21" i="1"/>
  <c r="EP21" i="1"/>
  <c r="CL22" i="1"/>
  <c r="EN22" i="1"/>
  <c r="CH21" i="1"/>
  <c r="EJ21" i="1"/>
  <c r="X32" i="47"/>
  <c r="AJ32" i="47" s="1"/>
  <c r="DK20" i="1"/>
  <c r="DL20" i="1" s="1"/>
  <c r="BL22" i="1"/>
  <c r="CC21" i="1"/>
  <c r="DH21" i="1"/>
  <c r="DI21" i="1"/>
  <c r="DJ21" i="1" s="1"/>
  <c r="AI30" i="44"/>
  <c r="X31" i="52"/>
  <c r="AJ31" i="52" s="1"/>
  <c r="AB30" i="49"/>
  <c r="AL30" i="49"/>
  <c r="AF30" i="43"/>
  <c r="AI30" i="58"/>
  <c r="AB29" i="56"/>
  <c r="BO23" i="1" s="1"/>
  <c r="CG23" i="1" s="1"/>
  <c r="AA31" i="49"/>
  <c r="AC31" i="49" s="1"/>
  <c r="AC30" i="60"/>
  <c r="P32" i="49"/>
  <c r="Q32" i="49" s="1"/>
  <c r="N32" i="49"/>
  <c r="AE30" i="49"/>
  <c r="AF30" i="56"/>
  <c r="AF30" i="49"/>
  <c r="AG30" i="49"/>
  <c r="AH30" i="49"/>
  <c r="AD30" i="56"/>
  <c r="AI30" i="49"/>
  <c r="AK30" i="56"/>
  <c r="O31" i="49"/>
  <c r="AJ30" i="49"/>
  <c r="U31" i="49"/>
  <c r="R31" i="49"/>
  <c r="Z31" i="49"/>
  <c r="Y31" i="49"/>
  <c r="T31" i="49"/>
  <c r="S31" i="49"/>
  <c r="V31" i="49"/>
  <c r="X31" i="49"/>
  <c r="W31" i="49"/>
  <c r="AD30" i="49"/>
  <c r="M33" i="49"/>
  <c r="AK30" i="49"/>
  <c r="AG30" i="58"/>
  <c r="V30" i="57"/>
  <c r="AH30" i="57" s="1"/>
  <c r="P31" i="44"/>
  <c r="Q31" i="44" s="1"/>
  <c r="Z31" i="44" s="1"/>
  <c r="X30" i="57"/>
  <c r="AJ30" i="57" s="1"/>
  <c r="CU19" i="1"/>
  <c r="DA19" i="1"/>
  <c r="AF30" i="58"/>
  <c r="AI30" i="56"/>
  <c r="AG32" i="45"/>
  <c r="M26" i="19"/>
  <c r="P26" i="19" s="1"/>
  <c r="CV19" i="1"/>
  <c r="DB19" i="1" s="1"/>
  <c r="DC19" i="1" s="1"/>
  <c r="AL30" i="56"/>
  <c r="AE30" i="56"/>
  <c r="AL30" i="43"/>
  <c r="AG30" i="56"/>
  <c r="CV20" i="1"/>
  <c r="R30" i="57"/>
  <c r="AD30" i="57" s="1"/>
  <c r="AG30" i="43"/>
  <c r="AH30" i="43"/>
  <c r="AJ30" i="56"/>
  <c r="R31" i="52"/>
  <c r="AD31" i="52" s="1"/>
  <c r="T30" i="57"/>
  <c r="AF30" i="57" s="1"/>
  <c r="AE30" i="43"/>
  <c r="AK30" i="43"/>
  <c r="AC30" i="53"/>
  <c r="AJ30" i="43"/>
  <c r="AI30" i="43"/>
  <c r="AI32" i="45"/>
  <c r="AK32" i="45"/>
  <c r="AD30" i="58"/>
  <c r="W31" i="52"/>
  <c r="AI31" i="52" s="1"/>
  <c r="AK30" i="58"/>
  <c r="AL30" i="58"/>
  <c r="AJ30" i="58"/>
  <c r="AE30" i="58"/>
  <c r="AC30" i="58"/>
  <c r="AG31" i="50"/>
  <c r="AJ31" i="50"/>
  <c r="O32" i="52"/>
  <c r="AH32" i="45"/>
  <c r="AJ31" i="54"/>
  <c r="W30" i="63"/>
  <c r="AI30" i="63" s="1"/>
  <c r="AB29" i="60"/>
  <c r="AF30" i="44"/>
  <c r="AK30" i="44"/>
  <c r="AC30" i="44"/>
  <c r="AL32" i="45"/>
  <c r="AA25" i="19"/>
  <c r="AC25" i="19" s="1"/>
  <c r="AE30" i="44"/>
  <c r="AD32" i="45"/>
  <c r="AL30" i="44"/>
  <c r="AJ32" i="45"/>
  <c r="AJ30" i="44"/>
  <c r="P33" i="45"/>
  <c r="Q33" i="45" s="1"/>
  <c r="V33" i="45" s="1"/>
  <c r="AH33" i="45" s="1"/>
  <c r="S31" i="52"/>
  <c r="AE31" i="52" s="1"/>
  <c r="AG30" i="44"/>
  <c r="AE32" i="45"/>
  <c r="AL30" i="51"/>
  <c r="AH30" i="44"/>
  <c r="AF32" i="45"/>
  <c r="AC31" i="51"/>
  <c r="AJ30" i="51"/>
  <c r="AC30" i="64"/>
  <c r="AB30" i="56"/>
  <c r="BO24" i="1" s="1"/>
  <c r="CG24" i="1" s="1"/>
  <c r="BK22" i="1"/>
  <c r="EE22" i="1" s="1"/>
  <c r="Z30" i="57"/>
  <c r="AL30" i="57" s="1"/>
  <c r="BY21" i="1"/>
  <c r="S30" i="57"/>
  <c r="AE30" i="57" s="1"/>
  <c r="P31" i="43"/>
  <c r="Q31" i="43" s="1"/>
  <c r="X31" i="43" s="1"/>
  <c r="AJ31" i="43" s="1"/>
  <c r="W30" i="57"/>
  <c r="AI30" i="57" s="1"/>
  <c r="T31" i="52"/>
  <c r="AF31" i="52" s="1"/>
  <c r="AC31" i="48"/>
  <c r="P31" i="56"/>
  <c r="Q31" i="56" s="1"/>
  <c r="Y31" i="52"/>
  <c r="AK31" i="52" s="1"/>
  <c r="AB30" i="43"/>
  <c r="U31" i="52"/>
  <c r="AG31" i="52" s="1"/>
  <c r="AH31" i="50"/>
  <c r="Z31" i="52"/>
  <c r="AL31" i="52" s="1"/>
  <c r="AI31" i="54"/>
  <c r="U30" i="57"/>
  <c r="AG30" i="57" s="1"/>
  <c r="AA30" i="57"/>
  <c r="AC30" i="57" s="1"/>
  <c r="AB29" i="63"/>
  <c r="BZ21" i="1"/>
  <c r="AB31" i="50"/>
  <c r="AA29" i="46"/>
  <c r="AC29" i="46" s="1"/>
  <c r="M32" i="43"/>
  <c r="O32" i="43" s="1"/>
  <c r="N32" i="48"/>
  <c r="O32" i="48" s="1"/>
  <c r="AA31" i="52"/>
  <c r="AC31" i="52" s="1"/>
  <c r="AD31" i="54"/>
  <c r="AB28" i="46"/>
  <c r="BN22" i="1" s="1"/>
  <c r="AK31" i="65"/>
  <c r="M32" i="56"/>
  <c r="O32" i="56" s="1"/>
  <c r="AE31" i="54"/>
  <c r="AF31" i="54"/>
  <c r="AB31" i="54"/>
  <c r="AH30" i="58"/>
  <c r="V30" i="59"/>
  <c r="AH30" i="59" s="1"/>
  <c r="AF31" i="65"/>
  <c r="AH31" i="54"/>
  <c r="BZ22" i="1"/>
  <c r="E33" i="55"/>
  <c r="H33" i="55" s="1"/>
  <c r="K33" i="55" s="1"/>
  <c r="I33" i="55"/>
  <c r="L33" i="55" s="1"/>
  <c r="D33" i="55"/>
  <c r="G33" i="55" s="1"/>
  <c r="J33" i="55" s="1"/>
  <c r="F33" i="43"/>
  <c r="I33" i="43" s="1"/>
  <c r="L33" i="43" s="1"/>
  <c r="H33" i="43"/>
  <c r="K33" i="43" s="1"/>
  <c r="D33" i="43"/>
  <c r="G33" i="43" s="1"/>
  <c r="J33" i="43" s="1"/>
  <c r="C33" i="46"/>
  <c r="H32" i="46"/>
  <c r="K32" i="46" s="1"/>
  <c r="I32" i="46"/>
  <c r="L32" i="46" s="1"/>
  <c r="D32" i="46"/>
  <c r="G32" i="46" s="1"/>
  <c r="J32" i="46" s="1"/>
  <c r="W29" i="55"/>
  <c r="AI29" i="55" s="1"/>
  <c r="Z29" i="55"/>
  <c r="AL29" i="55" s="1"/>
  <c r="R29" i="55"/>
  <c r="AD29" i="55" s="1"/>
  <c r="V29" i="55"/>
  <c r="AH29" i="55" s="1"/>
  <c r="S29" i="55"/>
  <c r="AE29" i="55" s="1"/>
  <c r="X29" i="55"/>
  <c r="AJ29" i="55" s="1"/>
  <c r="Y29" i="55"/>
  <c r="AK29" i="55" s="1"/>
  <c r="U29" i="55"/>
  <c r="AG29" i="55" s="1"/>
  <c r="T29" i="55"/>
  <c r="AF29" i="55" s="1"/>
  <c r="E33" i="56"/>
  <c r="H33" i="56" s="1"/>
  <c r="K33" i="56" s="1"/>
  <c r="D33" i="56"/>
  <c r="G33" i="56" s="1"/>
  <c r="J33" i="56" s="1"/>
  <c r="I33" i="56"/>
  <c r="L33" i="56" s="1"/>
  <c r="U30" i="55"/>
  <c r="AG30" i="55" s="1"/>
  <c r="Y30" i="55"/>
  <c r="AK30" i="55" s="1"/>
  <c r="X30" i="55"/>
  <c r="AJ30" i="55" s="1"/>
  <c r="V30" i="55"/>
  <c r="AH30" i="55" s="1"/>
  <c r="T30" i="55"/>
  <c r="AF30" i="55" s="1"/>
  <c r="R30" i="55"/>
  <c r="AD30" i="55" s="1"/>
  <c r="Z30" i="55"/>
  <c r="AL30" i="55" s="1"/>
  <c r="S30" i="55"/>
  <c r="AE30" i="55" s="1"/>
  <c r="W30" i="55"/>
  <c r="AI30" i="55" s="1"/>
  <c r="AA30" i="55"/>
  <c r="AC30" i="55" s="1"/>
  <c r="O30" i="46"/>
  <c r="P30" i="46"/>
  <c r="N31" i="55"/>
  <c r="O31" i="55" s="1"/>
  <c r="P31" i="55"/>
  <c r="Q31" i="55" s="1"/>
  <c r="AL31" i="54"/>
  <c r="U30" i="63"/>
  <c r="AG30" i="63" s="1"/>
  <c r="Z29" i="46"/>
  <c r="AL29" i="46" s="1"/>
  <c r="W29" i="46"/>
  <c r="AI29" i="46" s="1"/>
  <c r="X29" i="46"/>
  <c r="AJ29" i="46" s="1"/>
  <c r="R29" i="46"/>
  <c r="AD29" i="46" s="1"/>
  <c r="T29" i="46"/>
  <c r="AF29" i="46" s="1"/>
  <c r="V29" i="46"/>
  <c r="AH29" i="46" s="1"/>
  <c r="Y29" i="46"/>
  <c r="AK29" i="46" s="1"/>
  <c r="S29" i="46"/>
  <c r="AE29" i="46" s="1"/>
  <c r="U29" i="46"/>
  <c r="AG29" i="46" s="1"/>
  <c r="AG31" i="54"/>
  <c r="M32" i="55"/>
  <c r="M31" i="46"/>
  <c r="AB29" i="55"/>
  <c r="AK31" i="50"/>
  <c r="AL31" i="65"/>
  <c r="AL31" i="50"/>
  <c r="S30" i="59"/>
  <c r="AE30" i="59" s="1"/>
  <c r="AD31" i="65"/>
  <c r="AE31" i="50"/>
  <c r="Y30" i="59"/>
  <c r="AK30" i="59" s="1"/>
  <c r="AI31" i="65"/>
  <c r="AF31" i="50"/>
  <c r="AK30" i="51"/>
  <c r="AD30" i="51"/>
  <c r="AJ31" i="65"/>
  <c r="AD31" i="50"/>
  <c r="AE31" i="65"/>
  <c r="AI31" i="50"/>
  <c r="AK31" i="54"/>
  <c r="AA30" i="59"/>
  <c r="AC30" i="59" s="1"/>
  <c r="X30" i="59"/>
  <c r="AJ30" i="59" s="1"/>
  <c r="R30" i="59"/>
  <c r="AD30" i="59" s="1"/>
  <c r="AG31" i="65"/>
  <c r="R30" i="63"/>
  <c r="AD30" i="63" s="1"/>
  <c r="AB30" i="53"/>
  <c r="R30" i="62"/>
  <c r="AD30" i="62" s="1"/>
  <c r="Y30" i="63"/>
  <c r="AK30" i="63" s="1"/>
  <c r="AH31" i="65"/>
  <c r="P31" i="57"/>
  <c r="Q31" i="57" s="1"/>
  <c r="U31" i="57" s="1"/>
  <c r="AG31" i="57" s="1"/>
  <c r="Z30" i="63"/>
  <c r="AL30" i="63" s="1"/>
  <c r="AB30" i="44"/>
  <c r="N31" i="60"/>
  <c r="O31" i="60" s="1"/>
  <c r="AE30" i="51"/>
  <c r="AB30" i="58"/>
  <c r="AG30" i="51"/>
  <c r="AI30" i="51"/>
  <c r="AB30" i="51"/>
  <c r="AB31" i="65"/>
  <c r="AH30" i="51"/>
  <c r="S30" i="63"/>
  <c r="AE30" i="63" s="1"/>
  <c r="AC29" i="57"/>
  <c r="AB29" i="57"/>
  <c r="T30" i="63"/>
  <c r="AF30" i="63" s="1"/>
  <c r="X30" i="63"/>
  <c r="AJ30" i="63" s="1"/>
  <c r="N31" i="59"/>
  <c r="O31" i="59" s="1"/>
  <c r="O32" i="65"/>
  <c r="N31" i="53"/>
  <c r="O31" i="53" s="1"/>
  <c r="AB30" i="60"/>
  <c r="AA30" i="63"/>
  <c r="AB31" i="48"/>
  <c r="P31" i="63"/>
  <c r="Q31" i="63" s="1"/>
  <c r="W31" i="63" s="1"/>
  <c r="AI31" i="63" s="1"/>
  <c r="AB22" i="23"/>
  <c r="T30" i="59"/>
  <c r="AF30" i="59" s="1"/>
  <c r="Y30" i="62"/>
  <c r="AK30" i="62" s="1"/>
  <c r="AJ31" i="48"/>
  <c r="AL30" i="53"/>
  <c r="U30" i="59"/>
  <c r="AG30" i="59" s="1"/>
  <c r="M32" i="60"/>
  <c r="P32" i="60" s="1"/>
  <c r="Q32" i="60" s="1"/>
  <c r="AK31" i="48"/>
  <c r="P33" i="47"/>
  <c r="Q33" i="47" s="1"/>
  <c r="Z33" i="47" s="1"/>
  <c r="AL33" i="47" s="1"/>
  <c r="AL31" i="48"/>
  <c r="AD30" i="53"/>
  <c r="N31" i="58"/>
  <c r="O31" i="58" s="1"/>
  <c r="W30" i="59"/>
  <c r="AI30" i="59" s="1"/>
  <c r="AD31" i="48"/>
  <c r="AE30" i="53"/>
  <c r="AH31" i="48"/>
  <c r="AL30" i="60"/>
  <c r="AB30" i="64"/>
  <c r="P32" i="50"/>
  <c r="Q32" i="50" s="1"/>
  <c r="S32" i="50" s="1"/>
  <c r="AE32" i="50" s="1"/>
  <c r="AB30" i="54"/>
  <c r="N31" i="64"/>
  <c r="O31" i="64" s="1"/>
  <c r="P32" i="51"/>
  <c r="Q32" i="51" s="1"/>
  <c r="X32" i="51" s="1"/>
  <c r="X30" i="62"/>
  <c r="AJ30" i="62" s="1"/>
  <c r="M33" i="65"/>
  <c r="O33" i="65" s="1"/>
  <c r="AA32" i="65"/>
  <c r="AC32" i="65" s="1"/>
  <c r="X32" i="65"/>
  <c r="W32" i="65"/>
  <c r="Z32" i="65"/>
  <c r="V32" i="65"/>
  <c r="U32" i="65"/>
  <c r="T32" i="65"/>
  <c r="S32" i="65"/>
  <c r="R32" i="65"/>
  <c r="Y32" i="65"/>
  <c r="AI30" i="64"/>
  <c r="M32" i="64"/>
  <c r="P32" i="64" s="1"/>
  <c r="Q32" i="64" s="1"/>
  <c r="AJ30" i="64"/>
  <c r="AG30" i="64"/>
  <c r="AH30" i="64"/>
  <c r="AD30" i="64"/>
  <c r="E33" i="64"/>
  <c r="H33" i="64" s="1"/>
  <c r="K33" i="64" s="1"/>
  <c r="D33" i="64"/>
  <c r="G33" i="64" s="1"/>
  <c r="J33" i="64" s="1"/>
  <c r="F33" i="64"/>
  <c r="I33" i="64" s="1"/>
  <c r="L33" i="64" s="1"/>
  <c r="AL30" i="64"/>
  <c r="T31" i="64"/>
  <c r="S31" i="64"/>
  <c r="V31" i="64"/>
  <c r="R31" i="64"/>
  <c r="Z31" i="64"/>
  <c r="Y31" i="64"/>
  <c r="X31" i="64"/>
  <c r="W31" i="64"/>
  <c r="U31" i="64"/>
  <c r="AE30" i="64"/>
  <c r="AA31" i="64"/>
  <c r="AK30" i="64"/>
  <c r="AF30" i="64"/>
  <c r="M32" i="63"/>
  <c r="O32" i="63" s="1"/>
  <c r="F33" i="63"/>
  <c r="I33" i="63" s="1"/>
  <c r="L33" i="63" s="1"/>
  <c r="D33" i="63"/>
  <c r="G33" i="63" s="1"/>
  <c r="J33" i="63" s="1"/>
  <c r="H33" i="63"/>
  <c r="K33" i="63" s="1"/>
  <c r="M32" i="62"/>
  <c r="O32" i="62" s="1"/>
  <c r="S30" i="62"/>
  <c r="AE30" i="62" s="1"/>
  <c r="T30" i="62"/>
  <c r="AF30" i="62" s="1"/>
  <c r="P31" i="62"/>
  <c r="Q31" i="62" s="1"/>
  <c r="V31" i="62" s="1"/>
  <c r="U30" i="62"/>
  <c r="AG30" i="62" s="1"/>
  <c r="O31" i="62"/>
  <c r="V30" i="62"/>
  <c r="AH30" i="62" s="1"/>
  <c r="W30" i="62"/>
  <c r="AI30" i="62" s="1"/>
  <c r="AA30" i="62"/>
  <c r="D33" i="62"/>
  <c r="G33" i="62" s="1"/>
  <c r="J33" i="62" s="1"/>
  <c r="I33" i="62"/>
  <c r="L33" i="62" s="1"/>
  <c r="H33" i="62"/>
  <c r="K33" i="62" s="1"/>
  <c r="M32" i="61"/>
  <c r="D33" i="61"/>
  <c r="E33" i="61"/>
  <c r="K33" i="61" s="1"/>
  <c r="F33" i="61"/>
  <c r="L33" i="61" s="1"/>
  <c r="AH30" i="60"/>
  <c r="AI30" i="60"/>
  <c r="AJ30" i="60"/>
  <c r="D33" i="60"/>
  <c r="G33" i="60" s="1"/>
  <c r="J33" i="60" s="1"/>
  <c r="E33" i="60"/>
  <c r="H33" i="60" s="1"/>
  <c r="K33" i="60" s="1"/>
  <c r="I33" i="60"/>
  <c r="L33" i="60" s="1"/>
  <c r="AF30" i="60"/>
  <c r="AE30" i="60"/>
  <c r="AK30" i="60"/>
  <c r="S31" i="60"/>
  <c r="X31" i="60"/>
  <c r="W31" i="60"/>
  <c r="T31" i="60"/>
  <c r="R31" i="60"/>
  <c r="Z31" i="60"/>
  <c r="Y31" i="60"/>
  <c r="V31" i="60"/>
  <c r="U31" i="60"/>
  <c r="AD30" i="60"/>
  <c r="AA31" i="60"/>
  <c r="AG30" i="60"/>
  <c r="M32" i="59"/>
  <c r="AA31" i="59"/>
  <c r="E33" i="59"/>
  <c r="H33" i="59" s="1"/>
  <c r="K33" i="59" s="1"/>
  <c r="D33" i="59"/>
  <c r="G33" i="59" s="1"/>
  <c r="J33" i="59" s="1"/>
  <c r="I33" i="59"/>
  <c r="L33" i="59" s="1"/>
  <c r="T31" i="59"/>
  <c r="S31" i="59"/>
  <c r="V31" i="59"/>
  <c r="R31" i="59"/>
  <c r="Z31" i="59"/>
  <c r="Y31" i="59"/>
  <c r="X31" i="59"/>
  <c r="W31" i="59"/>
  <c r="U31" i="59"/>
  <c r="AL30" i="59"/>
  <c r="M32" i="58"/>
  <c r="P32" i="58" s="1"/>
  <c r="Q32" i="58" s="1"/>
  <c r="E33" i="58"/>
  <c r="H33" i="58" s="1"/>
  <c r="K33" i="58" s="1"/>
  <c r="D33" i="58"/>
  <c r="G33" i="58" s="1"/>
  <c r="J33" i="58" s="1"/>
  <c r="I33" i="58"/>
  <c r="L33" i="58" s="1"/>
  <c r="AA31" i="58"/>
  <c r="T31" i="58"/>
  <c r="S31" i="58"/>
  <c r="V31" i="58"/>
  <c r="X31" i="58"/>
  <c r="W31" i="58"/>
  <c r="U31" i="58"/>
  <c r="R31" i="58"/>
  <c r="Z31" i="58"/>
  <c r="Y31" i="58"/>
  <c r="M32" i="57"/>
  <c r="O32" i="57" s="1"/>
  <c r="F33" i="57"/>
  <c r="I33" i="57" s="1"/>
  <c r="L33" i="57" s="1"/>
  <c r="E33" i="57"/>
  <c r="H33" i="57" s="1"/>
  <c r="K33" i="57" s="1"/>
  <c r="D33" i="57"/>
  <c r="G33" i="57" s="1"/>
  <c r="J33" i="57" s="1"/>
  <c r="P32" i="54"/>
  <c r="Q32" i="54" s="1"/>
  <c r="W32" i="54" s="1"/>
  <c r="M33" i="54"/>
  <c r="P33" i="54" s="1"/>
  <c r="Q33" i="54" s="1"/>
  <c r="AC31" i="54"/>
  <c r="O32" i="54"/>
  <c r="AA31" i="53"/>
  <c r="AF30" i="53"/>
  <c r="M32" i="53"/>
  <c r="P32" i="53" s="1"/>
  <c r="Q32" i="53" s="1"/>
  <c r="AG30" i="53"/>
  <c r="D33" i="53"/>
  <c r="G33" i="53" s="1"/>
  <c r="J33" i="53" s="1"/>
  <c r="E33" i="53"/>
  <c r="H33" i="53" s="1"/>
  <c r="K33" i="53" s="1"/>
  <c r="I33" i="53"/>
  <c r="L33" i="53" s="1"/>
  <c r="AH30" i="53"/>
  <c r="AI30" i="53"/>
  <c r="T31" i="53"/>
  <c r="R31" i="53"/>
  <c r="W31" i="53"/>
  <c r="Z31" i="53"/>
  <c r="X31" i="53"/>
  <c r="Y31" i="53"/>
  <c r="V31" i="53"/>
  <c r="U31" i="53"/>
  <c r="S31" i="53"/>
  <c r="AJ30" i="53"/>
  <c r="AK30" i="53"/>
  <c r="M33" i="52"/>
  <c r="P33" i="52" s="1"/>
  <c r="Q33" i="52" s="1"/>
  <c r="X32" i="52"/>
  <c r="W32" i="52"/>
  <c r="Z32" i="52"/>
  <c r="Y32" i="52"/>
  <c r="AK32" i="52" s="1"/>
  <c r="V32" i="52"/>
  <c r="S32" i="52"/>
  <c r="U32" i="52"/>
  <c r="T32" i="52"/>
  <c r="R32" i="52"/>
  <c r="AA32" i="52"/>
  <c r="AC32" i="52" s="1"/>
  <c r="AK31" i="51"/>
  <c r="AD31" i="51"/>
  <c r="AI31" i="51"/>
  <c r="M33" i="51"/>
  <c r="N33" i="51" s="1"/>
  <c r="AL31" i="51"/>
  <c r="AG31" i="51"/>
  <c r="AJ31" i="51"/>
  <c r="AB31" i="51"/>
  <c r="AH31" i="51"/>
  <c r="AE31" i="51"/>
  <c r="AF31" i="51"/>
  <c r="O32" i="51"/>
  <c r="M33" i="50"/>
  <c r="O33" i="50" s="1"/>
  <c r="AF31" i="48"/>
  <c r="AG31" i="48"/>
  <c r="M33" i="48"/>
  <c r="P33" i="48" s="1"/>
  <c r="Q33" i="48" s="1"/>
  <c r="AI31" i="48"/>
  <c r="AE31" i="48"/>
  <c r="X32" i="48"/>
  <c r="W32" i="48"/>
  <c r="Z32" i="48"/>
  <c r="Y32" i="48"/>
  <c r="V32" i="48"/>
  <c r="U32" i="48"/>
  <c r="T32" i="48"/>
  <c r="S32" i="48"/>
  <c r="R32" i="48"/>
  <c r="AA32" i="48"/>
  <c r="AB32" i="47"/>
  <c r="AB32" i="45"/>
  <c r="AA31" i="44"/>
  <c r="AC31" i="44" s="1"/>
  <c r="M32" i="44"/>
  <c r="P32" i="44" s="1"/>
  <c r="Q32" i="44" s="1"/>
  <c r="O31" i="44"/>
  <c r="E33" i="44"/>
  <c r="H33" i="44" s="1"/>
  <c r="K33" i="44" s="1"/>
  <c r="F33" i="44"/>
  <c r="I33" i="44" s="1"/>
  <c r="L33" i="44" s="1"/>
  <c r="D33" i="44"/>
  <c r="G33" i="44" s="1"/>
  <c r="J33" i="44" s="1"/>
  <c r="U31" i="44"/>
  <c r="R31" i="44"/>
  <c r="T31" i="44"/>
  <c r="V31" i="44"/>
  <c r="S31" i="44"/>
  <c r="X31" i="44"/>
  <c r="Y31" i="44"/>
  <c r="N24" i="23"/>
  <c r="O24" i="23" s="1"/>
  <c r="P24" i="23"/>
  <c r="M25" i="23"/>
  <c r="C27" i="23"/>
  <c r="E26" i="23"/>
  <c r="H26" i="23" s="1"/>
  <c r="K26" i="23" s="1"/>
  <c r="F26" i="23"/>
  <c r="I26" i="23" s="1"/>
  <c r="L26" i="23" s="1"/>
  <c r="D26" i="23"/>
  <c r="G26" i="23" s="1"/>
  <c r="J26" i="23" s="1"/>
  <c r="AC23" i="23"/>
  <c r="AB23" i="23"/>
  <c r="X23" i="23"/>
  <c r="AJ23" i="23" s="1"/>
  <c r="R23" i="23"/>
  <c r="AD23" i="23" s="1"/>
  <c r="Y23" i="23"/>
  <c r="AK23" i="23" s="1"/>
  <c r="W23" i="23"/>
  <c r="AI23" i="23" s="1"/>
  <c r="Z23" i="23"/>
  <c r="AL23" i="23" s="1"/>
  <c r="S23" i="23"/>
  <c r="AE23" i="23" s="1"/>
  <c r="T23" i="23"/>
  <c r="AF23" i="23" s="1"/>
  <c r="V23" i="23"/>
  <c r="AH23" i="23" s="1"/>
  <c r="U23" i="23"/>
  <c r="AG23" i="23" s="1"/>
  <c r="AK15" i="1"/>
  <c r="Y22" i="23"/>
  <c r="AK22" i="23" s="1"/>
  <c r="X22" i="23"/>
  <c r="AJ22" i="23" s="1"/>
  <c r="W22" i="23"/>
  <c r="AI22" i="23" s="1"/>
  <c r="R22" i="23"/>
  <c r="AD22" i="23" s="1"/>
  <c r="V22" i="23"/>
  <c r="AH22" i="23" s="1"/>
  <c r="U22" i="23"/>
  <c r="AG22" i="23" s="1"/>
  <c r="T22" i="23"/>
  <c r="AF22" i="23" s="1"/>
  <c r="Z22" i="23"/>
  <c r="AL22" i="23" s="1"/>
  <c r="S22" i="23"/>
  <c r="AE22" i="23" s="1"/>
  <c r="G27" i="19"/>
  <c r="J27" i="19" s="1"/>
  <c r="H25" i="20"/>
  <c r="K25" i="20" s="1"/>
  <c r="M25" i="20" s="1"/>
  <c r="P25" i="20" s="1"/>
  <c r="BD19" i="1"/>
  <c r="H27" i="19"/>
  <c r="K27" i="19" s="1"/>
  <c r="BC19" i="1"/>
  <c r="I27" i="19"/>
  <c r="L27" i="19" s="1"/>
  <c r="BE19" i="1"/>
  <c r="X13" i="1"/>
  <c r="BF13" i="1"/>
  <c r="AB23" i="28"/>
  <c r="AL15" i="1"/>
  <c r="Y14" i="1"/>
  <c r="AA13" i="1"/>
  <c r="AB13" i="1"/>
  <c r="AC13" i="1"/>
  <c r="AD13" i="1"/>
  <c r="AE13" i="1"/>
  <c r="Z12" i="1"/>
  <c r="AC24" i="34"/>
  <c r="AM16" i="1"/>
  <c r="AG16" i="1"/>
  <c r="AP16" i="1"/>
  <c r="AO19" i="1"/>
  <c r="BB18" i="1"/>
  <c r="AP17" i="1"/>
  <c r="AU15" i="1"/>
  <c r="AH16" i="1"/>
  <c r="AR16" i="1"/>
  <c r="AN15" i="1"/>
  <c r="BA15" i="1"/>
  <c r="AI18" i="1"/>
  <c r="AS16" i="1"/>
  <c r="AT15" i="1"/>
  <c r="AQ17" i="1"/>
  <c r="AF18" i="1"/>
  <c r="AZ18" i="1"/>
  <c r="AR15" i="1"/>
  <c r="AV17" i="1"/>
  <c r="AY17" i="1"/>
  <c r="AJ15" i="1"/>
  <c r="P24" i="25"/>
  <c r="AA24" i="25" s="1"/>
  <c r="AC24" i="25" s="1"/>
  <c r="AL23" i="22"/>
  <c r="AC23" i="24"/>
  <c r="AH23" i="22"/>
  <c r="AE23" i="22"/>
  <c r="AJ23" i="22"/>
  <c r="AG23" i="22"/>
  <c r="AF23" i="22"/>
  <c r="AK23" i="22"/>
  <c r="AI23" i="22"/>
  <c r="AB24" i="38"/>
  <c r="AB23" i="34"/>
  <c r="AD23" i="30"/>
  <c r="R22" i="24"/>
  <c r="AD22" i="24" s="1"/>
  <c r="X22" i="24"/>
  <c r="AJ22" i="24" s="1"/>
  <c r="Z22" i="24"/>
  <c r="AL22" i="24" s="1"/>
  <c r="T22" i="24"/>
  <c r="AF22" i="24" s="1"/>
  <c r="V22" i="24"/>
  <c r="AH22" i="24" s="1"/>
  <c r="V14" i="1"/>
  <c r="U22" i="24"/>
  <c r="AG22" i="24" s="1"/>
  <c r="AH23" i="30"/>
  <c r="AF23" i="30"/>
  <c r="AE23" i="30"/>
  <c r="Y22" i="24"/>
  <c r="AK22" i="24" s="1"/>
  <c r="W22" i="24"/>
  <c r="AI22" i="24" s="1"/>
  <c r="AI23" i="30"/>
  <c r="AG23" i="30"/>
  <c r="AK23" i="30"/>
  <c r="AB22" i="26"/>
  <c r="V22" i="39"/>
  <c r="AH22" i="39" s="1"/>
  <c r="Y22" i="39"/>
  <c r="AK22" i="39" s="1"/>
  <c r="X22" i="39"/>
  <c r="AJ22" i="39" s="1"/>
  <c r="Z22" i="39"/>
  <c r="AL22" i="39" s="1"/>
  <c r="R22" i="39"/>
  <c r="AD22" i="39" s="1"/>
  <c r="U22" i="39"/>
  <c r="AG22" i="39" s="1"/>
  <c r="T22" i="39"/>
  <c r="AF22" i="39" s="1"/>
  <c r="S22" i="39"/>
  <c r="AE22" i="39" s="1"/>
  <c r="W22" i="39"/>
  <c r="AI22" i="39" s="1"/>
  <c r="AC22" i="39"/>
  <c r="AB22" i="39"/>
  <c r="R22" i="26"/>
  <c r="AD22" i="26" s="1"/>
  <c r="V22" i="26"/>
  <c r="AH22" i="26" s="1"/>
  <c r="S22" i="26"/>
  <c r="AE22" i="26" s="1"/>
  <c r="X22" i="26"/>
  <c r="AJ22" i="26" s="1"/>
  <c r="U22" i="26"/>
  <c r="AG22" i="26" s="1"/>
  <c r="T22" i="26"/>
  <c r="AF22" i="26" s="1"/>
  <c r="Y22" i="26"/>
  <c r="AK22" i="26" s="1"/>
  <c r="Z22" i="26"/>
  <c r="AL22" i="26" s="1"/>
  <c r="W22" i="26"/>
  <c r="AI22" i="26" s="1"/>
  <c r="N24" i="24"/>
  <c r="O24" i="24" s="1"/>
  <c r="AB24" i="24" s="1"/>
  <c r="I15" i="1"/>
  <c r="W14" i="1"/>
  <c r="S15" i="1"/>
  <c r="S25" i="19"/>
  <c r="AE25" i="19" s="1"/>
  <c r="T15" i="1"/>
  <c r="AA23" i="35"/>
  <c r="Y26" i="27"/>
  <c r="AK26" i="27" s="1"/>
  <c r="R15" i="1"/>
  <c r="P15" i="1"/>
  <c r="AL23" i="35"/>
  <c r="AL23" i="30"/>
  <c r="N15" i="1"/>
  <c r="AJ23" i="30"/>
  <c r="H15" i="1"/>
  <c r="M25" i="32"/>
  <c r="P24" i="35"/>
  <c r="N24" i="35"/>
  <c r="O24" i="35" s="1"/>
  <c r="M26" i="31"/>
  <c r="Y24" i="29"/>
  <c r="AK24" i="29" s="1"/>
  <c r="M25" i="25"/>
  <c r="O25" i="25" s="1"/>
  <c r="U23" i="31"/>
  <c r="AG23" i="31" s="1"/>
  <c r="S23" i="31"/>
  <c r="AE23" i="31" s="1"/>
  <c r="Z23" i="31"/>
  <c r="AL23" i="31" s="1"/>
  <c r="X23" i="31"/>
  <c r="AJ23" i="31" s="1"/>
  <c r="W23" i="31"/>
  <c r="AI23" i="31" s="1"/>
  <c r="Y23" i="31"/>
  <c r="AK23" i="31" s="1"/>
  <c r="V23" i="31"/>
  <c r="AH23" i="31" s="1"/>
  <c r="R23" i="31"/>
  <c r="AD23" i="31" s="1"/>
  <c r="T23" i="31"/>
  <c r="AF23" i="31" s="1"/>
  <c r="Z25" i="19"/>
  <c r="AL25" i="19" s="1"/>
  <c r="R26" i="27"/>
  <c r="AD26" i="27" s="1"/>
  <c r="U15" i="1"/>
  <c r="W23" i="35"/>
  <c r="AI23" i="35" s="1"/>
  <c r="S23" i="35"/>
  <c r="AE23" i="35" s="1"/>
  <c r="V23" i="35"/>
  <c r="AH23" i="35" s="1"/>
  <c r="X23" i="35"/>
  <c r="AJ23" i="35" s="1"/>
  <c r="Y23" i="35"/>
  <c r="AK23" i="35" s="1"/>
  <c r="U23" i="35"/>
  <c r="AG23" i="35" s="1"/>
  <c r="R23" i="35"/>
  <c r="AD23" i="35" s="1"/>
  <c r="T23" i="35"/>
  <c r="AF23" i="35" s="1"/>
  <c r="P24" i="30"/>
  <c r="AA24" i="30" s="1"/>
  <c r="AC24" i="30" s="1"/>
  <c r="M15" i="1"/>
  <c r="Q15" i="1"/>
  <c r="Q25" i="38"/>
  <c r="S25" i="38" s="1"/>
  <c r="AE25" i="38" s="1"/>
  <c r="X25" i="19"/>
  <c r="AJ25" i="19" s="1"/>
  <c r="AB25" i="38"/>
  <c r="V25" i="19"/>
  <c r="AH25" i="19" s="1"/>
  <c r="U25" i="19"/>
  <c r="AG25" i="19" s="1"/>
  <c r="AB24" i="36"/>
  <c r="T23" i="36"/>
  <c r="AF23" i="36" s="1"/>
  <c r="R25" i="19"/>
  <c r="AD25" i="19" s="1"/>
  <c r="X24" i="29"/>
  <c r="AJ24" i="29" s="1"/>
  <c r="AC24" i="29"/>
  <c r="S24" i="36"/>
  <c r="AE24" i="36" s="1"/>
  <c r="AB23" i="25"/>
  <c r="L17" i="1" s="1"/>
  <c r="M25" i="24"/>
  <c r="P25" i="24" s="1"/>
  <c r="AA25" i="24" s="1"/>
  <c r="M25" i="26"/>
  <c r="M25" i="30"/>
  <c r="N25" i="30" s="1"/>
  <c r="P25" i="31"/>
  <c r="AA25" i="31" s="1"/>
  <c r="AC25" i="31" s="1"/>
  <c r="O25" i="31"/>
  <c r="O15" i="1"/>
  <c r="C28" i="31"/>
  <c r="E27" i="31"/>
  <c r="H27" i="31" s="1"/>
  <c r="K27" i="31" s="1"/>
  <c r="D27" i="31"/>
  <c r="G27" i="31" s="1"/>
  <c r="J27" i="31" s="1"/>
  <c r="I27" i="31"/>
  <c r="L27" i="31" s="1"/>
  <c r="AB24" i="31"/>
  <c r="V26" i="27"/>
  <c r="AH26" i="27" s="1"/>
  <c r="Q24" i="31"/>
  <c r="W26" i="27"/>
  <c r="AI26" i="27" s="1"/>
  <c r="AA24" i="28"/>
  <c r="AC24" i="28" s="1"/>
  <c r="AC23" i="30"/>
  <c r="AA23" i="33"/>
  <c r="AC23" i="33" s="1"/>
  <c r="Q23" i="33"/>
  <c r="W24" i="36"/>
  <c r="AI24" i="36" s="1"/>
  <c r="AA23" i="26"/>
  <c r="AC23" i="26" s="1"/>
  <c r="Q23" i="26"/>
  <c r="X23" i="24"/>
  <c r="AJ23" i="24" s="1"/>
  <c r="V23" i="24"/>
  <c r="AH23" i="24" s="1"/>
  <c r="Z23" i="24"/>
  <c r="AL23" i="24" s="1"/>
  <c r="R23" i="24"/>
  <c r="AD23" i="24" s="1"/>
  <c r="Y23" i="24"/>
  <c r="AK23" i="24" s="1"/>
  <c r="U23" i="24"/>
  <c r="AG23" i="24" s="1"/>
  <c r="T23" i="24"/>
  <c r="AF23" i="24" s="1"/>
  <c r="S23" i="24"/>
  <c r="AE23" i="24" s="1"/>
  <c r="W23" i="24"/>
  <c r="AI23" i="24" s="1"/>
  <c r="C27" i="24"/>
  <c r="D26" i="24"/>
  <c r="G26" i="24" s="1"/>
  <c r="J26" i="24" s="1"/>
  <c r="E26" i="24"/>
  <c r="H26" i="24" s="1"/>
  <c r="K26" i="24" s="1"/>
  <c r="F26" i="24"/>
  <c r="I26" i="24" s="1"/>
  <c r="L26" i="24" s="1"/>
  <c r="E26" i="26"/>
  <c r="H26" i="26" s="1"/>
  <c r="K26" i="26" s="1"/>
  <c r="F26" i="26"/>
  <c r="I26" i="26" s="1"/>
  <c r="L26" i="26" s="1"/>
  <c r="D26" i="26"/>
  <c r="G26" i="26" s="1"/>
  <c r="J26" i="26" s="1"/>
  <c r="C27" i="26"/>
  <c r="AA23" i="32"/>
  <c r="AB23" i="32" s="1"/>
  <c r="Y24" i="36"/>
  <c r="AK24" i="36" s="1"/>
  <c r="N24" i="26"/>
  <c r="O24" i="26" s="1"/>
  <c r="P24" i="26"/>
  <c r="AA24" i="26" s="1"/>
  <c r="C27" i="30"/>
  <c r="D26" i="30"/>
  <c r="G26" i="30" s="1"/>
  <c r="J26" i="30" s="1"/>
  <c r="E26" i="30"/>
  <c r="H26" i="30" s="1"/>
  <c r="K26" i="30" s="1"/>
  <c r="I26" i="30"/>
  <c r="L26" i="30" s="1"/>
  <c r="W23" i="32"/>
  <c r="AI23" i="32" s="1"/>
  <c r="Z23" i="32"/>
  <c r="AL23" i="32" s="1"/>
  <c r="Y23" i="32"/>
  <c r="AK23" i="32" s="1"/>
  <c r="U23" i="32"/>
  <c r="AG23" i="32" s="1"/>
  <c r="T23" i="32"/>
  <c r="AF23" i="32" s="1"/>
  <c r="S23" i="32"/>
  <c r="AE23" i="32" s="1"/>
  <c r="R23" i="32"/>
  <c r="AD23" i="32" s="1"/>
  <c r="V23" i="32"/>
  <c r="AH23" i="32" s="1"/>
  <c r="X23" i="32"/>
  <c r="AJ23" i="32" s="1"/>
  <c r="Z24" i="36"/>
  <c r="AL24" i="36" s="1"/>
  <c r="N24" i="33"/>
  <c r="O24" i="33" s="1"/>
  <c r="P24" i="33"/>
  <c r="AA24" i="33" s="1"/>
  <c r="W22" i="35"/>
  <c r="AI22" i="35" s="1"/>
  <c r="V22" i="35"/>
  <c r="AH22" i="35" s="1"/>
  <c r="S22" i="35"/>
  <c r="AE22" i="35" s="1"/>
  <c r="R22" i="35"/>
  <c r="AD22" i="35" s="1"/>
  <c r="T22" i="35"/>
  <c r="AF22" i="35" s="1"/>
  <c r="Y22" i="35"/>
  <c r="AK22" i="35" s="1"/>
  <c r="X22" i="35"/>
  <c r="AJ22" i="35" s="1"/>
  <c r="Z22" i="35"/>
  <c r="AL22" i="35" s="1"/>
  <c r="U22" i="35"/>
  <c r="AG22" i="35" s="1"/>
  <c r="M25" i="35"/>
  <c r="Q24" i="24"/>
  <c r="AC23" i="22"/>
  <c r="F26" i="22"/>
  <c r="I26" i="22" s="1"/>
  <c r="L26" i="22" s="1"/>
  <c r="D26" i="22"/>
  <c r="G26" i="22" s="1"/>
  <c r="J26" i="22" s="1"/>
  <c r="E26" i="22"/>
  <c r="H26" i="22" s="1"/>
  <c r="K26" i="22" s="1"/>
  <c r="C27" i="22"/>
  <c r="C27" i="35"/>
  <c r="E26" i="35"/>
  <c r="H26" i="35" s="1"/>
  <c r="K26" i="35" s="1"/>
  <c r="D26" i="35"/>
  <c r="G26" i="35" s="1"/>
  <c r="J26" i="35" s="1"/>
  <c r="I26" i="35"/>
  <c r="L26" i="35" s="1"/>
  <c r="F26" i="32"/>
  <c r="I26" i="32" s="1"/>
  <c r="L26" i="32" s="1"/>
  <c r="D26" i="32"/>
  <c r="G26" i="32" s="1"/>
  <c r="J26" i="32" s="1"/>
  <c r="E26" i="32"/>
  <c r="H26" i="32" s="1"/>
  <c r="K26" i="32" s="1"/>
  <c r="C27" i="32"/>
  <c r="Y23" i="25"/>
  <c r="AK23" i="25" s="1"/>
  <c r="U23" i="25"/>
  <c r="AG23" i="25" s="1"/>
  <c r="S23" i="25"/>
  <c r="AE23" i="25" s="1"/>
  <c r="W23" i="25"/>
  <c r="AI23" i="25" s="1"/>
  <c r="R23" i="25"/>
  <c r="AD23" i="25" s="1"/>
  <c r="X23" i="25"/>
  <c r="AJ23" i="25" s="1"/>
  <c r="V23" i="25"/>
  <c r="AH23" i="25" s="1"/>
  <c r="T23" i="25"/>
  <c r="AF23" i="25" s="1"/>
  <c r="Z23" i="25"/>
  <c r="AL23" i="25" s="1"/>
  <c r="P24" i="22"/>
  <c r="AA24" i="22" s="1"/>
  <c r="AC24" i="22" s="1"/>
  <c r="O24" i="22"/>
  <c r="M25" i="22"/>
  <c r="T22" i="22"/>
  <c r="AF22" i="22" s="1"/>
  <c r="W22" i="22"/>
  <c r="AI22" i="22" s="1"/>
  <c r="X22" i="22"/>
  <c r="AJ22" i="22" s="1"/>
  <c r="V22" i="22"/>
  <c r="AH22" i="22" s="1"/>
  <c r="S22" i="22"/>
  <c r="AE22" i="22" s="1"/>
  <c r="R22" i="22"/>
  <c r="AD22" i="22" s="1"/>
  <c r="U22" i="22"/>
  <c r="AG22" i="22" s="1"/>
  <c r="Y22" i="22"/>
  <c r="AK22" i="22" s="1"/>
  <c r="Z22" i="22"/>
  <c r="AL22" i="22" s="1"/>
  <c r="C27" i="25"/>
  <c r="D26" i="25"/>
  <c r="G26" i="25" s="1"/>
  <c r="J26" i="25" s="1"/>
  <c r="H26" i="25"/>
  <c r="K26" i="25" s="1"/>
  <c r="I26" i="25"/>
  <c r="L26" i="25" s="1"/>
  <c r="N24" i="39"/>
  <c r="O24" i="39" s="1"/>
  <c r="P24" i="39"/>
  <c r="AA23" i="39"/>
  <c r="Q23" i="39"/>
  <c r="AB23" i="22"/>
  <c r="Z23" i="20"/>
  <c r="AL23" i="20" s="1"/>
  <c r="AC22" i="33"/>
  <c r="AB22" i="33"/>
  <c r="M25" i="39"/>
  <c r="Z22" i="32"/>
  <c r="AL22" i="32" s="1"/>
  <c r="R22" i="32"/>
  <c r="AD22" i="32" s="1"/>
  <c r="S22" i="32"/>
  <c r="AE22" i="32" s="1"/>
  <c r="V22" i="32"/>
  <c r="AH22" i="32" s="1"/>
  <c r="W22" i="32"/>
  <c r="AI22" i="32" s="1"/>
  <c r="X22" i="32"/>
  <c r="AJ22" i="32" s="1"/>
  <c r="Y22" i="32"/>
  <c r="AK22" i="32" s="1"/>
  <c r="U22" i="32"/>
  <c r="AG22" i="32" s="1"/>
  <c r="T22" i="32"/>
  <c r="AF22" i="32" s="1"/>
  <c r="W25" i="19"/>
  <c r="AI25" i="19" s="1"/>
  <c r="W23" i="20"/>
  <c r="AI23" i="20" s="1"/>
  <c r="Z22" i="33"/>
  <c r="AL22" i="33" s="1"/>
  <c r="U22" i="33"/>
  <c r="AG22" i="33" s="1"/>
  <c r="S22" i="33"/>
  <c r="AE22" i="33" s="1"/>
  <c r="T22" i="33"/>
  <c r="AF22" i="33" s="1"/>
  <c r="Y22" i="33"/>
  <c r="AK22" i="33" s="1"/>
  <c r="V22" i="33"/>
  <c r="AH22" i="33" s="1"/>
  <c r="W22" i="33"/>
  <c r="AI22" i="33" s="1"/>
  <c r="X22" i="33"/>
  <c r="AJ22" i="33" s="1"/>
  <c r="R22" i="33"/>
  <c r="AD22" i="33" s="1"/>
  <c r="O24" i="32"/>
  <c r="P24" i="32"/>
  <c r="AC22" i="32"/>
  <c r="AB22" i="32"/>
  <c r="E26" i="33"/>
  <c r="H26" i="33" s="1"/>
  <c r="K26" i="33" s="1"/>
  <c r="D26" i="33"/>
  <c r="G26" i="33" s="1"/>
  <c r="J26" i="33" s="1"/>
  <c r="C27" i="33"/>
  <c r="U24" i="36"/>
  <c r="AG24" i="36" s="1"/>
  <c r="Y24" i="37"/>
  <c r="AK24" i="37" s="1"/>
  <c r="E26" i="39"/>
  <c r="H26" i="39" s="1"/>
  <c r="K26" i="39" s="1"/>
  <c r="D26" i="39"/>
  <c r="G26" i="39" s="1"/>
  <c r="J26" i="39" s="1"/>
  <c r="C27" i="39"/>
  <c r="F26" i="39"/>
  <c r="I26" i="39" s="1"/>
  <c r="L26" i="39" s="1"/>
  <c r="M25" i="33"/>
  <c r="AB23" i="30"/>
  <c r="AD24" i="36"/>
  <c r="T24" i="36"/>
  <c r="AF24" i="36" s="1"/>
  <c r="U25" i="40"/>
  <c r="AG25" i="40" s="1"/>
  <c r="S24" i="29"/>
  <c r="AE24" i="29" s="1"/>
  <c r="V24" i="29"/>
  <c r="AH24" i="29" s="1"/>
  <c r="V23" i="36"/>
  <c r="AH23" i="36" s="1"/>
  <c r="W24" i="37"/>
  <c r="AI24" i="37" s="1"/>
  <c r="U24" i="34"/>
  <c r="AG24" i="34" s="1"/>
  <c r="R24" i="29"/>
  <c r="AD24" i="29" s="1"/>
  <c r="U24" i="29"/>
  <c r="AG24" i="29" s="1"/>
  <c r="U26" i="27"/>
  <c r="AG26" i="27" s="1"/>
  <c r="S24" i="37"/>
  <c r="AE24" i="37" s="1"/>
  <c r="Z23" i="8"/>
  <c r="AL23" i="8" s="1"/>
  <c r="T23" i="8"/>
  <c r="AF23" i="8" s="1"/>
  <c r="U23" i="8"/>
  <c r="AG23" i="8" s="1"/>
  <c r="Y25" i="40"/>
  <c r="AK25" i="40" s="1"/>
  <c r="W23" i="8"/>
  <c r="AI23" i="8" s="1"/>
  <c r="Z26" i="27"/>
  <c r="AL26" i="27" s="1"/>
  <c r="V24" i="36"/>
  <c r="AH24" i="36" s="1"/>
  <c r="T24" i="29"/>
  <c r="AF24" i="29" s="1"/>
  <c r="Z24" i="29"/>
  <c r="AL24" i="29" s="1"/>
  <c r="T24" i="28"/>
  <c r="AF24" i="28" s="1"/>
  <c r="U24" i="28"/>
  <c r="AG24" i="28" s="1"/>
  <c r="V24" i="28"/>
  <c r="AH24" i="28" s="1"/>
  <c r="S26" i="27"/>
  <c r="AE26" i="27" s="1"/>
  <c r="T26" i="27"/>
  <c r="AF26" i="27" s="1"/>
  <c r="X23" i="20"/>
  <c r="AJ23" i="20" s="1"/>
  <c r="S23" i="20"/>
  <c r="AE23" i="20" s="1"/>
  <c r="Y23" i="20"/>
  <c r="AK23" i="20" s="1"/>
  <c r="T24" i="37"/>
  <c r="AF24" i="37" s="1"/>
  <c r="W24" i="28"/>
  <c r="AI24" i="28" s="1"/>
  <c r="R23" i="20"/>
  <c r="AD23" i="20" s="1"/>
  <c r="Y24" i="28"/>
  <c r="AK24" i="28" s="1"/>
  <c r="V23" i="20"/>
  <c r="AH23" i="20" s="1"/>
  <c r="Z24" i="28"/>
  <c r="AL24" i="28" s="1"/>
  <c r="P25" i="34"/>
  <c r="Q25" i="34" s="1"/>
  <c r="U23" i="20"/>
  <c r="AG23" i="20" s="1"/>
  <c r="R24" i="28"/>
  <c r="AD24" i="28" s="1"/>
  <c r="M26" i="37"/>
  <c r="O26" i="37" s="1"/>
  <c r="R23" i="8"/>
  <c r="AD23" i="8" s="1"/>
  <c r="N25" i="29"/>
  <c r="O25" i="29" s="1"/>
  <c r="V23" i="8"/>
  <c r="AH23" i="8" s="1"/>
  <c r="R24" i="37"/>
  <c r="AD24" i="37" s="1"/>
  <c r="V24" i="34"/>
  <c r="AH24" i="34" s="1"/>
  <c r="X23" i="36"/>
  <c r="AJ23" i="36" s="1"/>
  <c r="W25" i="40"/>
  <c r="AI25" i="40" s="1"/>
  <c r="O25" i="37"/>
  <c r="S24" i="34"/>
  <c r="AE24" i="34" s="1"/>
  <c r="S23" i="36"/>
  <c r="AE23" i="36" s="1"/>
  <c r="R24" i="34"/>
  <c r="AD24" i="34" s="1"/>
  <c r="R23" i="36"/>
  <c r="AD23" i="36" s="1"/>
  <c r="AG24" i="37"/>
  <c r="X24" i="34"/>
  <c r="AJ24" i="34" s="1"/>
  <c r="Y25" i="19"/>
  <c r="AK25" i="19" s="1"/>
  <c r="X23" i="8"/>
  <c r="AJ23" i="8" s="1"/>
  <c r="X24" i="28"/>
  <c r="AJ24" i="28" s="1"/>
  <c r="Y24" i="34"/>
  <c r="AK24" i="34" s="1"/>
  <c r="Y23" i="36"/>
  <c r="AK23" i="36" s="1"/>
  <c r="O26" i="38"/>
  <c r="P25" i="28"/>
  <c r="Q25" i="28" s="1"/>
  <c r="O25" i="28"/>
  <c r="AA26" i="40"/>
  <c r="AC26" i="40" s="1"/>
  <c r="X25" i="40"/>
  <c r="AJ25" i="40" s="1"/>
  <c r="AI24" i="29"/>
  <c r="Z24" i="37"/>
  <c r="AL24" i="37" s="1"/>
  <c r="S24" i="28"/>
  <c r="AE24" i="28" s="1"/>
  <c r="Z24" i="34"/>
  <c r="AL24" i="34" s="1"/>
  <c r="X24" i="36"/>
  <c r="AJ24" i="36" s="1"/>
  <c r="X24" i="37"/>
  <c r="AJ24" i="37" s="1"/>
  <c r="Q26" i="38"/>
  <c r="X26" i="38" s="1"/>
  <c r="Q25" i="29"/>
  <c r="Z25" i="29" s="1"/>
  <c r="Q27" i="27"/>
  <c r="S27" i="27" s="1"/>
  <c r="M27" i="40"/>
  <c r="P27" i="40" s="1"/>
  <c r="Q25" i="21"/>
  <c r="V25" i="21" s="1"/>
  <c r="AH25" i="21" s="1"/>
  <c r="Q25" i="8"/>
  <c r="T25" i="8" s="1"/>
  <c r="Q24" i="20"/>
  <c r="U24" i="20" s="1"/>
  <c r="W24" i="34"/>
  <c r="AI24" i="34" s="1"/>
  <c r="V24" i="37"/>
  <c r="AH24" i="37" s="1"/>
  <c r="S25" i="40"/>
  <c r="AE25" i="40" s="1"/>
  <c r="Q25" i="37"/>
  <c r="Z25" i="37" s="1"/>
  <c r="R25" i="40"/>
  <c r="AD25" i="40" s="1"/>
  <c r="Q24" i="8"/>
  <c r="U24" i="8" s="1"/>
  <c r="T25" i="40"/>
  <c r="AF25" i="40" s="1"/>
  <c r="U23" i="36"/>
  <c r="AG23" i="36" s="1"/>
  <c r="Z23" i="36"/>
  <c r="AL23" i="36" s="1"/>
  <c r="K16" i="1"/>
  <c r="Q25" i="36"/>
  <c r="X25" i="36" s="1"/>
  <c r="Q26" i="40"/>
  <c r="Z26" i="40" s="1"/>
  <c r="Q26" i="21"/>
  <c r="Y26" i="21" s="1"/>
  <c r="V25" i="40"/>
  <c r="AH25" i="40" s="1"/>
  <c r="Q26" i="19"/>
  <c r="U26" i="19" s="1"/>
  <c r="S23" i="8"/>
  <c r="AE23" i="8" s="1"/>
  <c r="M27" i="38"/>
  <c r="O27" i="38" s="1"/>
  <c r="N27" i="40"/>
  <c r="C29" i="40"/>
  <c r="D28" i="40"/>
  <c r="G28" i="40" s="1"/>
  <c r="J28" i="40" s="1"/>
  <c r="F28" i="40"/>
  <c r="I28" i="40" s="1"/>
  <c r="L28" i="40" s="1"/>
  <c r="E28" i="40"/>
  <c r="H28" i="40" s="1"/>
  <c r="K28" i="40" s="1"/>
  <c r="O26" i="40"/>
  <c r="AB25" i="40"/>
  <c r="AL25" i="40"/>
  <c r="AA26" i="38"/>
  <c r="AC26" i="38" s="1"/>
  <c r="C29" i="38"/>
  <c r="F29" i="38" s="1"/>
  <c r="D28" i="38"/>
  <c r="G28" i="38" s="1"/>
  <c r="J28" i="38" s="1"/>
  <c r="I28" i="38"/>
  <c r="L28" i="38" s="1"/>
  <c r="H28" i="38"/>
  <c r="K28" i="38" s="1"/>
  <c r="AB24" i="37"/>
  <c r="C28" i="37"/>
  <c r="F27" i="37"/>
  <c r="I27" i="37" s="1"/>
  <c r="L27" i="37" s="1"/>
  <c r="D27" i="37"/>
  <c r="G27" i="37" s="1"/>
  <c r="J27" i="37" s="1"/>
  <c r="E27" i="37"/>
  <c r="H27" i="37" s="1"/>
  <c r="K27" i="37" s="1"/>
  <c r="AA25" i="37"/>
  <c r="AC25" i="37" s="1"/>
  <c r="AB24" i="29"/>
  <c r="AC24" i="36"/>
  <c r="M26" i="36"/>
  <c r="P26" i="36" s="1"/>
  <c r="AC23" i="36"/>
  <c r="AB23" i="36"/>
  <c r="N26" i="36"/>
  <c r="C28" i="36"/>
  <c r="F28" i="36" s="1"/>
  <c r="E27" i="36"/>
  <c r="H27" i="36" s="1"/>
  <c r="K27" i="36" s="1"/>
  <c r="D27" i="36"/>
  <c r="G27" i="36" s="1"/>
  <c r="J27" i="36" s="1"/>
  <c r="I27" i="36"/>
  <c r="L27" i="36" s="1"/>
  <c r="O25" i="36"/>
  <c r="AA25" i="36"/>
  <c r="AC25" i="36" s="1"/>
  <c r="AF24" i="34"/>
  <c r="M26" i="34"/>
  <c r="P26" i="34" s="1"/>
  <c r="C28" i="34"/>
  <c r="D27" i="34"/>
  <c r="G27" i="34" s="1"/>
  <c r="J27" i="34" s="1"/>
  <c r="E27" i="34"/>
  <c r="H27" i="34" s="1"/>
  <c r="K27" i="34" s="1"/>
  <c r="I27" i="34"/>
  <c r="L27" i="34" s="1"/>
  <c r="AB24" i="34"/>
  <c r="O25" i="34"/>
  <c r="F28" i="33"/>
  <c r="N28" i="31"/>
  <c r="M26" i="29"/>
  <c r="P26" i="29" s="1"/>
  <c r="C28" i="29"/>
  <c r="E27" i="29"/>
  <c r="H27" i="29" s="1"/>
  <c r="K27" i="29" s="1"/>
  <c r="D27" i="29"/>
  <c r="G27" i="29" s="1"/>
  <c r="J27" i="29" s="1"/>
  <c r="I27" i="29"/>
  <c r="L27" i="29" s="1"/>
  <c r="AA25" i="29"/>
  <c r="M26" i="28"/>
  <c r="N26" i="28" s="1"/>
  <c r="C28" i="28"/>
  <c r="E28" i="28" s="1"/>
  <c r="D27" i="28"/>
  <c r="G27" i="28" s="1"/>
  <c r="J27" i="28" s="1"/>
  <c r="I27" i="28"/>
  <c r="L27" i="28" s="1"/>
  <c r="H27" i="28"/>
  <c r="K27" i="28" s="1"/>
  <c r="M28" i="27"/>
  <c r="P28" i="27" s="1"/>
  <c r="AB26" i="27"/>
  <c r="N28" i="27"/>
  <c r="AJ26" i="27"/>
  <c r="C30" i="27"/>
  <c r="D29" i="27"/>
  <c r="G29" i="27" s="1"/>
  <c r="J29" i="27" s="1"/>
  <c r="F29" i="27"/>
  <c r="I29" i="27" s="1"/>
  <c r="L29" i="27" s="1"/>
  <c r="E29" i="27"/>
  <c r="H29" i="27" s="1"/>
  <c r="K29" i="27" s="1"/>
  <c r="AA27" i="27"/>
  <c r="AC27" i="27" s="1"/>
  <c r="O27" i="27"/>
  <c r="N28" i="25"/>
  <c r="E29" i="25"/>
  <c r="F29" i="25"/>
  <c r="O24" i="20"/>
  <c r="AK23" i="8"/>
  <c r="AF23" i="20"/>
  <c r="AB23" i="20"/>
  <c r="K17" i="1" s="1"/>
  <c r="O26" i="21"/>
  <c r="AC23" i="8"/>
  <c r="AA25" i="21"/>
  <c r="AC25" i="21" s="1"/>
  <c r="AB23" i="8"/>
  <c r="O24" i="8"/>
  <c r="M27" i="21"/>
  <c r="P27" i="21" s="1"/>
  <c r="C29" i="21"/>
  <c r="D28" i="21"/>
  <c r="G28" i="21" s="1"/>
  <c r="J28" i="21" s="1"/>
  <c r="H28" i="21"/>
  <c r="K28" i="21" s="1"/>
  <c r="I28" i="21"/>
  <c r="L28" i="21" s="1"/>
  <c r="AA26" i="21"/>
  <c r="AC26" i="21" s="1"/>
  <c r="N25" i="20"/>
  <c r="AA24" i="20"/>
  <c r="AC24" i="20" s="1"/>
  <c r="C27" i="20"/>
  <c r="F26" i="20"/>
  <c r="I26" i="20" s="1"/>
  <c r="L26" i="20" s="1"/>
  <c r="D26" i="20"/>
  <c r="G26" i="20" s="1"/>
  <c r="J26" i="20" s="1"/>
  <c r="E26" i="20"/>
  <c r="N27" i="19"/>
  <c r="C29" i="19"/>
  <c r="D28" i="19"/>
  <c r="E28" i="19"/>
  <c r="F28" i="19"/>
  <c r="AB25" i="19"/>
  <c r="AA26" i="19"/>
  <c r="AC26" i="19" s="1"/>
  <c r="AF25" i="19"/>
  <c r="O26" i="19"/>
  <c r="AA24" i="8"/>
  <c r="N25" i="8"/>
  <c r="AA25" i="8"/>
  <c r="M26" i="8"/>
  <c r="C28" i="8"/>
  <c r="E28" i="8" s="1"/>
  <c r="D27" i="8"/>
  <c r="G27" i="8" s="1"/>
  <c r="J27" i="8" s="1"/>
  <c r="F27" i="8"/>
  <c r="I27" i="8" s="1"/>
  <c r="L27" i="8" s="1"/>
  <c r="H27" i="8"/>
  <c r="K27" i="8" s="1"/>
  <c r="AG32" i="52" l="1"/>
  <c r="CY19" i="1"/>
  <c r="CZ19" i="1" s="1"/>
  <c r="DM19" i="1" s="1"/>
  <c r="DP19" i="1" s="1"/>
  <c r="DA20" i="1"/>
  <c r="CU20" i="1"/>
  <c r="CY20" i="1" s="1"/>
  <c r="CZ20" i="1" s="1"/>
  <c r="ED21" i="1"/>
  <c r="DO21" i="1" s="1"/>
  <c r="CS21" i="1"/>
  <c r="DF21" i="1" s="1"/>
  <c r="CD22" i="1"/>
  <c r="EF22" i="1"/>
  <c r="CF22" i="1"/>
  <c r="EH22" i="1"/>
  <c r="AI32" i="52"/>
  <c r="CT21" i="1"/>
  <c r="DK21" i="1"/>
  <c r="DL21" i="1" s="1"/>
  <c r="CC22" i="1"/>
  <c r="DH22" i="1"/>
  <c r="DI22" i="1"/>
  <c r="DJ22" i="1" s="1"/>
  <c r="AJ31" i="49"/>
  <c r="W31" i="44"/>
  <c r="AI31" i="44" s="1"/>
  <c r="AI31" i="49"/>
  <c r="AH31" i="49"/>
  <c r="AH32" i="52"/>
  <c r="AL32" i="52"/>
  <c r="AB31" i="49"/>
  <c r="AJ32" i="52"/>
  <c r="AF31" i="49"/>
  <c r="AC32" i="48"/>
  <c r="AD32" i="52"/>
  <c r="AF32" i="52"/>
  <c r="AE32" i="52"/>
  <c r="AK32" i="65"/>
  <c r="AA32" i="49"/>
  <c r="AC32" i="49" s="1"/>
  <c r="O32" i="49"/>
  <c r="V32" i="49"/>
  <c r="U32" i="49"/>
  <c r="T32" i="49"/>
  <c r="S32" i="49"/>
  <c r="R32" i="49"/>
  <c r="Y32" i="49"/>
  <c r="X32" i="49"/>
  <c r="W32" i="49"/>
  <c r="Z32" i="49"/>
  <c r="AE31" i="49"/>
  <c r="AK31" i="49"/>
  <c r="AL31" i="49"/>
  <c r="AD31" i="49"/>
  <c r="N33" i="49"/>
  <c r="O33" i="49" s="1"/>
  <c r="P33" i="49"/>
  <c r="Q33" i="49" s="1"/>
  <c r="AG31" i="49"/>
  <c r="BK23" i="1"/>
  <c r="EE23" i="1" s="1"/>
  <c r="U31" i="43"/>
  <c r="AG31" i="43" s="1"/>
  <c r="DB20" i="1"/>
  <c r="DC20" i="1" s="1"/>
  <c r="T32" i="51"/>
  <c r="S31" i="43"/>
  <c r="AE31" i="43" s="1"/>
  <c r="Y31" i="43"/>
  <c r="AK31" i="43" s="1"/>
  <c r="W31" i="43"/>
  <c r="AI31" i="43" s="1"/>
  <c r="R31" i="57"/>
  <c r="AD31" i="57" s="1"/>
  <c r="BV23" i="1"/>
  <c r="Z32" i="51"/>
  <c r="AL32" i="51" s="1"/>
  <c r="AB31" i="52"/>
  <c r="W31" i="57"/>
  <c r="AI31" i="57" s="1"/>
  <c r="AB31" i="59"/>
  <c r="BP23" i="1"/>
  <c r="BQ23" i="1"/>
  <c r="T31" i="43"/>
  <c r="AF31" i="43" s="1"/>
  <c r="U32" i="51"/>
  <c r="AG32" i="51" s="1"/>
  <c r="X31" i="57"/>
  <c r="AJ31" i="57" s="1"/>
  <c r="AD31" i="59"/>
  <c r="R33" i="45"/>
  <c r="AD33" i="45" s="1"/>
  <c r="BW23" i="1"/>
  <c r="V31" i="43"/>
  <c r="AH31" i="43" s="1"/>
  <c r="AA31" i="56"/>
  <c r="AC31" i="56" s="1"/>
  <c r="AA33" i="45"/>
  <c r="AC33" i="45" s="1"/>
  <c r="Y31" i="57"/>
  <c r="AK31" i="57" s="1"/>
  <c r="AA31" i="57"/>
  <c r="AC31" i="57" s="1"/>
  <c r="AB30" i="57"/>
  <c r="BL24" i="1" s="1"/>
  <c r="BT23" i="1"/>
  <c r="R31" i="43"/>
  <c r="AD31" i="43" s="1"/>
  <c r="Y33" i="45"/>
  <c r="AK33" i="45" s="1"/>
  <c r="Z33" i="45"/>
  <c r="AL33" i="45" s="1"/>
  <c r="T33" i="45"/>
  <c r="AF33" i="45" s="1"/>
  <c r="Z31" i="57"/>
  <c r="AL31" i="57" s="1"/>
  <c r="BR23" i="1"/>
  <c r="W33" i="45"/>
  <c r="AI33" i="45" s="1"/>
  <c r="AC31" i="53"/>
  <c r="V31" i="57"/>
  <c r="AH31" i="57" s="1"/>
  <c r="AC31" i="60"/>
  <c r="X33" i="45"/>
  <c r="AJ33" i="45" s="1"/>
  <c r="T31" i="57"/>
  <c r="AF31" i="57" s="1"/>
  <c r="U33" i="45"/>
  <c r="AG33" i="45" s="1"/>
  <c r="S33" i="45"/>
  <c r="AE33" i="45" s="1"/>
  <c r="BU23" i="1"/>
  <c r="BS23" i="1"/>
  <c r="Z31" i="43"/>
  <c r="AL31" i="43" s="1"/>
  <c r="M33" i="56"/>
  <c r="P33" i="56" s="1"/>
  <c r="Q33" i="56" s="1"/>
  <c r="M33" i="43"/>
  <c r="P33" i="43" s="1"/>
  <c r="Q33" i="43" s="1"/>
  <c r="BX23" i="1"/>
  <c r="ER23" i="1" s="1"/>
  <c r="P32" i="43"/>
  <c r="Q32" i="43" s="1"/>
  <c r="T32" i="43" s="1"/>
  <c r="AF32" i="43" s="1"/>
  <c r="W33" i="47"/>
  <c r="AI33" i="47" s="1"/>
  <c r="AD32" i="65"/>
  <c r="AA31" i="43"/>
  <c r="AC31" i="43" s="1"/>
  <c r="M27" i="19"/>
  <c r="P27" i="19" s="1"/>
  <c r="Q27" i="19" s="1"/>
  <c r="S27" i="19" s="1"/>
  <c r="BY22" i="1"/>
  <c r="V33" i="47"/>
  <c r="AH33" i="47" s="1"/>
  <c r="AJ31" i="59"/>
  <c r="AB29" i="46"/>
  <c r="BN23" i="1" s="1"/>
  <c r="P32" i="56"/>
  <c r="Q32" i="56" s="1"/>
  <c r="Y32" i="56" s="1"/>
  <c r="AK32" i="56" s="1"/>
  <c r="S31" i="57"/>
  <c r="AE31" i="57" s="1"/>
  <c r="AH31" i="59"/>
  <c r="AB32" i="65"/>
  <c r="AF31" i="59"/>
  <c r="AG31" i="59"/>
  <c r="AI31" i="59"/>
  <c r="N32" i="60"/>
  <c r="O32" i="60" s="1"/>
  <c r="AA31" i="55"/>
  <c r="AC31" i="55" s="1"/>
  <c r="BL23" i="1"/>
  <c r="T33" i="47"/>
  <c r="AF33" i="47" s="1"/>
  <c r="Y32" i="50"/>
  <c r="AK32" i="50" s="1"/>
  <c r="M32" i="46"/>
  <c r="P31" i="46"/>
  <c r="Q31" i="46" s="1"/>
  <c r="O31" i="46"/>
  <c r="Q30" i="46"/>
  <c r="AA30" i="46"/>
  <c r="R33" i="47"/>
  <c r="AD33" i="47" s="1"/>
  <c r="P32" i="55"/>
  <c r="Q32" i="55" s="1"/>
  <c r="N32" i="55"/>
  <c r="O32" i="55" s="1"/>
  <c r="W32" i="50"/>
  <c r="AI32" i="50" s="1"/>
  <c r="AB30" i="55"/>
  <c r="I33" i="46"/>
  <c r="L33" i="46" s="1"/>
  <c r="D33" i="46"/>
  <c r="G33" i="46" s="1"/>
  <c r="J33" i="46" s="1"/>
  <c r="H33" i="46"/>
  <c r="K33" i="46" s="1"/>
  <c r="Z32" i="50"/>
  <c r="AL32" i="50" s="1"/>
  <c r="U33" i="47"/>
  <c r="AG33" i="47" s="1"/>
  <c r="Z31" i="56"/>
  <c r="AL31" i="56" s="1"/>
  <c r="U31" i="56"/>
  <c r="AG31" i="56" s="1"/>
  <c r="S31" i="56"/>
  <c r="AE31" i="56" s="1"/>
  <c r="X31" i="56"/>
  <c r="AJ31" i="56" s="1"/>
  <c r="Y31" i="56"/>
  <c r="AK31" i="56" s="1"/>
  <c r="W31" i="56"/>
  <c r="AI31" i="56" s="1"/>
  <c r="V31" i="56"/>
  <c r="AH31" i="56" s="1"/>
  <c r="T31" i="56"/>
  <c r="AF31" i="56" s="1"/>
  <c r="R31" i="56"/>
  <c r="AD31" i="56" s="1"/>
  <c r="X33" i="47"/>
  <c r="AJ33" i="47" s="1"/>
  <c r="Y33" i="47"/>
  <c r="AK33" i="47" s="1"/>
  <c r="T32" i="50"/>
  <c r="AF32" i="50" s="1"/>
  <c r="M33" i="55"/>
  <c r="S33" i="47"/>
  <c r="AE33" i="47" s="1"/>
  <c r="V32" i="50"/>
  <c r="AH32" i="50" s="1"/>
  <c r="Y31" i="55"/>
  <c r="AK31" i="55" s="1"/>
  <c r="Z31" i="55"/>
  <c r="AL31" i="55" s="1"/>
  <c r="W31" i="55"/>
  <c r="AI31" i="55" s="1"/>
  <c r="T31" i="55"/>
  <c r="AF31" i="55" s="1"/>
  <c r="X31" i="55"/>
  <c r="AJ31" i="55" s="1"/>
  <c r="R31" i="55"/>
  <c r="AD31" i="55" s="1"/>
  <c r="U31" i="55"/>
  <c r="AG31" i="55" s="1"/>
  <c r="V31" i="55"/>
  <c r="AH31" i="55" s="1"/>
  <c r="S31" i="55"/>
  <c r="AE31" i="55" s="1"/>
  <c r="AE32" i="65"/>
  <c r="R32" i="50"/>
  <c r="AD32" i="50" s="1"/>
  <c r="AB30" i="59"/>
  <c r="AF32" i="65"/>
  <c r="AG32" i="65"/>
  <c r="N32" i="64"/>
  <c r="O32" i="64" s="1"/>
  <c r="AK31" i="59"/>
  <c r="AH32" i="65"/>
  <c r="AL32" i="65"/>
  <c r="AC31" i="64"/>
  <c r="AI32" i="65"/>
  <c r="T31" i="62"/>
  <c r="AF31" i="62" s="1"/>
  <c r="AJ32" i="65"/>
  <c r="N32" i="44"/>
  <c r="O32" i="44" s="1"/>
  <c r="P33" i="51"/>
  <c r="Q33" i="51" s="1"/>
  <c r="X33" i="51" s="1"/>
  <c r="R32" i="54"/>
  <c r="AD32" i="54" s="1"/>
  <c r="M33" i="44"/>
  <c r="N33" i="44" s="1"/>
  <c r="O33" i="44" s="1"/>
  <c r="V32" i="51"/>
  <c r="AH32" i="51" s="1"/>
  <c r="P32" i="62"/>
  <c r="Q32" i="62" s="1"/>
  <c r="Z32" i="62" s="1"/>
  <c r="AL32" i="62" s="1"/>
  <c r="AK31" i="44"/>
  <c r="R32" i="51"/>
  <c r="AD32" i="51" s="1"/>
  <c r="AC31" i="59"/>
  <c r="S32" i="51"/>
  <c r="AE32" i="51" s="1"/>
  <c r="AH31" i="62"/>
  <c r="AF31" i="58"/>
  <c r="AC31" i="58"/>
  <c r="Y32" i="51"/>
  <c r="AK32" i="51" s="1"/>
  <c r="AL31" i="59"/>
  <c r="V31" i="63"/>
  <c r="AH31" i="63" s="1"/>
  <c r="W32" i="51"/>
  <c r="AI32" i="51" s="1"/>
  <c r="AE31" i="59"/>
  <c r="M33" i="57"/>
  <c r="O33" i="57" s="1"/>
  <c r="AA33" i="47"/>
  <c r="AC33" i="47" s="1"/>
  <c r="U32" i="50"/>
  <c r="AG32" i="50" s="1"/>
  <c r="O33" i="52"/>
  <c r="AI32" i="54"/>
  <c r="U31" i="62"/>
  <c r="AG31" i="62" s="1"/>
  <c r="X31" i="63"/>
  <c r="AJ31" i="63" s="1"/>
  <c r="M26" i="23"/>
  <c r="AB31" i="44"/>
  <c r="AB32" i="48"/>
  <c r="S31" i="63"/>
  <c r="AE31" i="63" s="1"/>
  <c r="T31" i="63"/>
  <c r="AF31" i="63" s="1"/>
  <c r="AC30" i="63"/>
  <c r="AB30" i="63"/>
  <c r="X32" i="50"/>
  <c r="AJ32" i="50" s="1"/>
  <c r="U32" i="54"/>
  <c r="AG32" i="54" s="1"/>
  <c r="Y31" i="63"/>
  <c r="AK31" i="63" s="1"/>
  <c r="AA32" i="50"/>
  <c r="AC32" i="50" s="1"/>
  <c r="P33" i="50"/>
  <c r="Q33" i="50" s="1"/>
  <c r="V33" i="50" s="1"/>
  <c r="AH33" i="50" s="1"/>
  <c r="Y32" i="54"/>
  <c r="AK32" i="54" s="1"/>
  <c r="P32" i="57"/>
  <c r="Q32" i="57" s="1"/>
  <c r="U32" i="57" s="1"/>
  <c r="AG32" i="57" s="1"/>
  <c r="AL31" i="60"/>
  <c r="Z31" i="63"/>
  <c r="AL31" i="63" s="1"/>
  <c r="AD31" i="60"/>
  <c r="R31" i="63"/>
  <c r="AD31" i="63" s="1"/>
  <c r="AA31" i="63"/>
  <c r="AC31" i="63" s="1"/>
  <c r="N33" i="54"/>
  <c r="O33" i="54" s="1"/>
  <c r="AF31" i="60"/>
  <c r="U31" i="63"/>
  <c r="AG31" i="63" s="1"/>
  <c r="AB31" i="64"/>
  <c r="AA32" i="51"/>
  <c r="AC32" i="51" s="1"/>
  <c r="AA32" i="54"/>
  <c r="AC32" i="54" s="1"/>
  <c r="X32" i="54"/>
  <c r="AJ32" i="54" s="1"/>
  <c r="N32" i="58"/>
  <c r="O32" i="58" s="1"/>
  <c r="AE31" i="60"/>
  <c r="Z31" i="62"/>
  <c r="AL31" i="62" s="1"/>
  <c r="M33" i="62"/>
  <c r="N33" i="48"/>
  <c r="O33" i="48" s="1"/>
  <c r="R31" i="62"/>
  <c r="AD31" i="62" s="1"/>
  <c r="AL31" i="44"/>
  <c r="AK31" i="53"/>
  <c r="S32" i="54"/>
  <c r="AE32" i="54" s="1"/>
  <c r="W31" i="62"/>
  <c r="AI31" i="62" s="1"/>
  <c r="P33" i="65"/>
  <c r="Q33" i="65" s="1"/>
  <c r="T33" i="65" s="1"/>
  <c r="AF33" i="65" s="1"/>
  <c r="AJ31" i="53"/>
  <c r="N32" i="53"/>
  <c r="O32" i="53" s="1"/>
  <c r="T32" i="54"/>
  <c r="AF32" i="54" s="1"/>
  <c r="X31" i="62"/>
  <c r="AJ31" i="62" s="1"/>
  <c r="AK31" i="64"/>
  <c r="AL31" i="53"/>
  <c r="AB31" i="58"/>
  <c r="Y31" i="62"/>
  <c r="AK31" i="62" s="1"/>
  <c r="AI31" i="53"/>
  <c r="V32" i="54"/>
  <c r="AH32" i="54" s="1"/>
  <c r="S31" i="62"/>
  <c r="AE31" i="62" s="1"/>
  <c r="Z32" i="54"/>
  <c r="AL32" i="54" s="1"/>
  <c r="M33" i="58"/>
  <c r="P33" i="58" s="1"/>
  <c r="Q33" i="58" s="1"/>
  <c r="AL31" i="64"/>
  <c r="AA32" i="64"/>
  <c r="AI31" i="64"/>
  <c r="M33" i="64"/>
  <c r="N33" i="64" s="1"/>
  <c r="O33" i="64" s="1"/>
  <c r="AJ31" i="64"/>
  <c r="AD31" i="64"/>
  <c r="AH31" i="64"/>
  <c r="AE31" i="64"/>
  <c r="AF31" i="64"/>
  <c r="X32" i="64"/>
  <c r="W32" i="64"/>
  <c r="Z32" i="64"/>
  <c r="Y32" i="64"/>
  <c r="V32" i="64"/>
  <c r="U32" i="64"/>
  <c r="T32" i="64"/>
  <c r="S32" i="64"/>
  <c r="R32" i="64"/>
  <c r="AG31" i="64"/>
  <c r="M33" i="63"/>
  <c r="O33" i="63" s="1"/>
  <c r="P32" i="63"/>
  <c r="Q32" i="63" s="1"/>
  <c r="U32" i="63" s="1"/>
  <c r="AG32" i="63" s="1"/>
  <c r="AC30" i="62"/>
  <c r="AB30" i="62"/>
  <c r="AA31" i="62"/>
  <c r="AC31" i="62" s="1"/>
  <c r="M33" i="61"/>
  <c r="M33" i="60"/>
  <c r="P33" i="60" s="1"/>
  <c r="Q33" i="60" s="1"/>
  <c r="AB31" i="60"/>
  <c r="AI31" i="60"/>
  <c r="AJ31" i="60"/>
  <c r="AG31" i="60"/>
  <c r="AH31" i="60"/>
  <c r="W32" i="60"/>
  <c r="R32" i="60"/>
  <c r="Z32" i="60"/>
  <c r="Y32" i="60"/>
  <c r="X32" i="60"/>
  <c r="V32" i="60"/>
  <c r="U32" i="60"/>
  <c r="T32" i="60"/>
  <c r="S32" i="60"/>
  <c r="AK31" i="60"/>
  <c r="AA32" i="60"/>
  <c r="M33" i="59"/>
  <c r="N33" i="59" s="1"/>
  <c r="N32" i="59"/>
  <c r="O32" i="59" s="1"/>
  <c r="P32" i="59"/>
  <c r="Q32" i="59" s="1"/>
  <c r="U32" i="59" s="1"/>
  <c r="AH31" i="58"/>
  <c r="AE31" i="58"/>
  <c r="AK31" i="58"/>
  <c r="AD31" i="58"/>
  <c r="AG31" i="58"/>
  <c r="AI31" i="58"/>
  <c r="AL31" i="58"/>
  <c r="AJ31" i="58"/>
  <c r="X32" i="58"/>
  <c r="W32" i="58"/>
  <c r="Z32" i="58"/>
  <c r="V32" i="58"/>
  <c r="U32" i="58"/>
  <c r="T32" i="58"/>
  <c r="S32" i="58"/>
  <c r="R32" i="58"/>
  <c r="Y32" i="58"/>
  <c r="AA32" i="58"/>
  <c r="R33" i="54"/>
  <c r="U33" i="54"/>
  <c r="W33" i="54"/>
  <c r="V33" i="54"/>
  <c r="T33" i="54"/>
  <c r="S33" i="54"/>
  <c r="Z33" i="54"/>
  <c r="Y33" i="54"/>
  <c r="X33" i="54"/>
  <c r="AA33" i="54"/>
  <c r="M33" i="53"/>
  <c r="P33" i="53" s="1"/>
  <c r="Q33" i="53" s="1"/>
  <c r="AB31" i="53"/>
  <c r="AG31" i="53"/>
  <c r="AH31" i="53"/>
  <c r="AE31" i="53"/>
  <c r="X32" i="53"/>
  <c r="Z32" i="53"/>
  <c r="T32" i="53"/>
  <c r="V32" i="53"/>
  <c r="S32" i="53"/>
  <c r="U32" i="53"/>
  <c r="R32" i="53"/>
  <c r="W32" i="53"/>
  <c r="Y32" i="53"/>
  <c r="AD31" i="53"/>
  <c r="AF31" i="53"/>
  <c r="AA32" i="53"/>
  <c r="AB32" i="52"/>
  <c r="R33" i="52"/>
  <c r="T33" i="52"/>
  <c r="U33" i="52"/>
  <c r="S33" i="52"/>
  <c r="Z33" i="52"/>
  <c r="W33" i="52"/>
  <c r="Y33" i="52"/>
  <c r="X33" i="52"/>
  <c r="V33" i="52"/>
  <c r="AA33" i="52"/>
  <c r="AC33" i="52" s="1"/>
  <c r="AJ32" i="51"/>
  <c r="AF32" i="51"/>
  <c r="O33" i="51"/>
  <c r="AI32" i="48"/>
  <c r="AD32" i="48"/>
  <c r="AK32" i="48"/>
  <c r="AL32" i="48"/>
  <c r="AJ32" i="48"/>
  <c r="AE32" i="48"/>
  <c r="AG32" i="48"/>
  <c r="AF32" i="48"/>
  <c r="R33" i="48"/>
  <c r="T33" i="48"/>
  <c r="S33" i="48"/>
  <c r="Z33" i="48"/>
  <c r="Y33" i="48"/>
  <c r="X33" i="48"/>
  <c r="W33" i="48"/>
  <c r="V33" i="48"/>
  <c r="U33" i="48"/>
  <c r="AH32" i="48"/>
  <c r="AA33" i="48"/>
  <c r="AH31" i="44"/>
  <c r="AJ31" i="44"/>
  <c r="AF31" i="44"/>
  <c r="AE31" i="44"/>
  <c r="AD31" i="44"/>
  <c r="AG31" i="44"/>
  <c r="U32" i="44"/>
  <c r="T32" i="44"/>
  <c r="Y32" i="44"/>
  <c r="V32" i="44"/>
  <c r="X32" i="44"/>
  <c r="S32" i="44"/>
  <c r="Z32" i="44"/>
  <c r="W32" i="44"/>
  <c r="R32" i="44"/>
  <c r="AA32" i="44"/>
  <c r="Q24" i="23"/>
  <c r="AA24" i="23"/>
  <c r="AC24" i="23" s="1"/>
  <c r="AK17" i="1"/>
  <c r="E27" i="23"/>
  <c r="H27" i="23" s="1"/>
  <c r="K27" i="23" s="1"/>
  <c r="C28" i="23"/>
  <c r="F27" i="23"/>
  <c r="I27" i="23" s="1"/>
  <c r="L27" i="23" s="1"/>
  <c r="D27" i="23"/>
  <c r="G27" i="23" s="1"/>
  <c r="J27" i="23" s="1"/>
  <c r="AK16" i="1"/>
  <c r="N25" i="23"/>
  <c r="O25" i="23" s="1"/>
  <c r="P25" i="23"/>
  <c r="I28" i="19"/>
  <c r="L28" i="19" s="1"/>
  <c r="H28" i="19"/>
  <c r="K28" i="19" s="1"/>
  <c r="G28" i="19"/>
  <c r="J28" i="19" s="1"/>
  <c r="H26" i="20"/>
  <c r="K26" i="20" s="1"/>
  <c r="M26" i="20" s="1"/>
  <c r="P26" i="20" s="1"/>
  <c r="BD20" i="1"/>
  <c r="BC20" i="1"/>
  <c r="BE20" i="1"/>
  <c r="X14" i="1"/>
  <c r="BF14" i="1"/>
  <c r="Q4" i="14"/>
  <c r="R4" i="14" s="1"/>
  <c r="E25" i="1"/>
  <c r="Q5" i="14"/>
  <c r="R5" i="14" s="1"/>
  <c r="E26" i="1"/>
  <c r="Y15" i="1"/>
  <c r="AA14" i="1"/>
  <c r="AB14" i="1"/>
  <c r="AD14" i="1"/>
  <c r="AE14" i="1"/>
  <c r="AC14" i="1"/>
  <c r="Z13" i="1"/>
  <c r="AB24" i="25"/>
  <c r="L18" i="1" s="1"/>
  <c r="Q24" i="25"/>
  <c r="X24" i="25" s="1"/>
  <c r="AJ24" i="25" s="1"/>
  <c r="AJ17" i="1"/>
  <c r="BB19" i="1"/>
  <c r="AY18" i="1"/>
  <c r="AL17" i="1"/>
  <c r="AN16" i="1"/>
  <c r="AH17" i="1"/>
  <c r="AX17" i="1"/>
  <c r="AX18" i="1"/>
  <c r="AF19" i="1"/>
  <c r="AO20" i="1"/>
  <c r="AV18" i="1"/>
  <c r="AG17" i="1"/>
  <c r="AQ18" i="1"/>
  <c r="AT17" i="1"/>
  <c r="AW17" i="1"/>
  <c r="AP18" i="1"/>
  <c r="AJ16" i="1"/>
  <c r="AW16" i="1"/>
  <c r="AS17" i="1"/>
  <c r="AT16" i="1"/>
  <c r="AU16" i="1"/>
  <c r="AM17" i="1"/>
  <c r="BA16" i="1"/>
  <c r="AL16" i="1"/>
  <c r="AR17" i="1"/>
  <c r="W25" i="38"/>
  <c r="AI25" i="38" s="1"/>
  <c r="T25" i="38"/>
  <c r="AF25" i="38" s="1"/>
  <c r="V25" i="38"/>
  <c r="AH25" i="38" s="1"/>
  <c r="U25" i="38"/>
  <c r="AG25" i="38" s="1"/>
  <c r="H16" i="1"/>
  <c r="AB24" i="28"/>
  <c r="P25" i="25"/>
  <c r="AA25" i="25" s="1"/>
  <c r="AC25" i="25" s="1"/>
  <c r="AC24" i="24"/>
  <c r="M26" i="30"/>
  <c r="N26" i="30" s="1"/>
  <c r="O26" i="30" s="1"/>
  <c r="R25" i="38"/>
  <c r="AD25" i="38" s="1"/>
  <c r="M26" i="24"/>
  <c r="P26" i="24" s="1"/>
  <c r="AA26" i="24" s="1"/>
  <c r="AB23" i="35"/>
  <c r="V15" i="1"/>
  <c r="Y25" i="38"/>
  <c r="AK25" i="38" s="1"/>
  <c r="Z25" i="38"/>
  <c r="AL25" i="38" s="1"/>
  <c r="Q24" i="30"/>
  <c r="X24" i="30" s="1"/>
  <c r="AJ24" i="30" s="1"/>
  <c r="O16" i="1"/>
  <c r="U16" i="1"/>
  <c r="AC23" i="35"/>
  <c r="S24" i="8"/>
  <c r="AE24" i="8" s="1"/>
  <c r="X25" i="38"/>
  <c r="AJ25" i="38" s="1"/>
  <c r="P16" i="1"/>
  <c r="W15" i="1"/>
  <c r="AB23" i="33"/>
  <c r="R27" i="27"/>
  <c r="AD27" i="27" s="1"/>
  <c r="V24" i="8"/>
  <c r="AH24" i="8" s="1"/>
  <c r="T24" i="8"/>
  <c r="AF24" i="8" s="1"/>
  <c r="T26" i="19"/>
  <c r="AF26" i="19" s="1"/>
  <c r="V26" i="21"/>
  <c r="AH26" i="21" s="1"/>
  <c r="M16" i="1"/>
  <c r="W25" i="21"/>
  <c r="AI25" i="21" s="1"/>
  <c r="AB24" i="30"/>
  <c r="N25" i="24"/>
  <c r="O25" i="24" s="1"/>
  <c r="AB25" i="24" s="1"/>
  <c r="Q24" i="35"/>
  <c r="AA24" i="35"/>
  <c r="N16" i="1"/>
  <c r="O25" i="32"/>
  <c r="P25" i="32"/>
  <c r="P26" i="37"/>
  <c r="Q26" i="37" s="1"/>
  <c r="X26" i="37" s="1"/>
  <c r="AJ26" i="37" s="1"/>
  <c r="Q16" i="1"/>
  <c r="T25" i="21"/>
  <c r="AF25" i="21" s="1"/>
  <c r="M26" i="25"/>
  <c r="P26" i="25" s="1"/>
  <c r="S16" i="1"/>
  <c r="Z26" i="38"/>
  <c r="AL26" i="38" s="1"/>
  <c r="T16" i="1"/>
  <c r="P26" i="31"/>
  <c r="AA26" i="31" s="1"/>
  <c r="AC26" i="31" s="1"/>
  <c r="O26" i="31"/>
  <c r="AC25" i="29"/>
  <c r="V24" i="20"/>
  <c r="AH24" i="20" s="1"/>
  <c r="W26" i="21"/>
  <c r="AI26" i="21" s="1"/>
  <c r="X25" i="21"/>
  <c r="AJ25" i="21" s="1"/>
  <c r="R16" i="1"/>
  <c r="O25" i="30"/>
  <c r="Z27" i="27"/>
  <c r="AL27" i="27" s="1"/>
  <c r="AC24" i="33"/>
  <c r="P25" i="30"/>
  <c r="AA25" i="30" s="1"/>
  <c r="AC25" i="30" s="1"/>
  <c r="T27" i="27"/>
  <c r="AF27" i="27" s="1"/>
  <c r="V27" i="27"/>
  <c r="AH27" i="27" s="1"/>
  <c r="Z24" i="20"/>
  <c r="AL24" i="20" s="1"/>
  <c r="S24" i="20"/>
  <c r="AE24" i="20" s="1"/>
  <c r="R24" i="20"/>
  <c r="AD24" i="20" s="1"/>
  <c r="Z25" i="21"/>
  <c r="AL25" i="21" s="1"/>
  <c r="W27" i="27"/>
  <c r="AI27" i="27" s="1"/>
  <c r="AA25" i="34"/>
  <c r="AC25" i="34" s="1"/>
  <c r="T25" i="29"/>
  <c r="AF25" i="29" s="1"/>
  <c r="U26" i="38"/>
  <c r="AG26" i="38" s="1"/>
  <c r="I16" i="1"/>
  <c r="Y24" i="20"/>
  <c r="AK24" i="20" s="1"/>
  <c r="T24" i="20"/>
  <c r="AF24" i="20" s="1"/>
  <c r="AB23" i="26"/>
  <c r="W24" i="20"/>
  <c r="AI24" i="20" s="1"/>
  <c r="S26" i="19"/>
  <c r="AE26" i="19" s="1"/>
  <c r="X26" i="21"/>
  <c r="AJ26" i="21" s="1"/>
  <c r="Y27" i="27"/>
  <c r="AK27" i="27" s="1"/>
  <c r="S26" i="38"/>
  <c r="AE26" i="38" s="1"/>
  <c r="C29" i="31"/>
  <c r="E28" i="31"/>
  <c r="H28" i="31" s="1"/>
  <c r="K28" i="31" s="1"/>
  <c r="D28" i="31"/>
  <c r="G28" i="31" s="1"/>
  <c r="J28" i="31" s="1"/>
  <c r="I28" i="31"/>
  <c r="L28" i="31" s="1"/>
  <c r="X26" i="19"/>
  <c r="AJ26" i="19" s="1"/>
  <c r="M26" i="32"/>
  <c r="X24" i="31"/>
  <c r="AJ24" i="31" s="1"/>
  <c r="V24" i="31"/>
  <c r="AH24" i="31" s="1"/>
  <c r="U24" i="31"/>
  <c r="AG24" i="31" s="1"/>
  <c r="Z24" i="31"/>
  <c r="AL24" i="31" s="1"/>
  <c r="Y24" i="31"/>
  <c r="AK24" i="31" s="1"/>
  <c r="R24" i="31"/>
  <c r="AD24" i="31" s="1"/>
  <c r="T24" i="31"/>
  <c r="AF24" i="31" s="1"/>
  <c r="S24" i="31"/>
  <c r="AE24" i="31" s="1"/>
  <c r="W24" i="31"/>
  <c r="AI24" i="31" s="1"/>
  <c r="W24" i="8"/>
  <c r="AI24" i="8" s="1"/>
  <c r="R25" i="21"/>
  <c r="AD25" i="21" s="1"/>
  <c r="AB25" i="31"/>
  <c r="M26" i="35"/>
  <c r="M26" i="26"/>
  <c r="Z23" i="33"/>
  <c r="AL23" i="33" s="1"/>
  <c r="W23" i="33"/>
  <c r="AI23" i="33" s="1"/>
  <c r="Y23" i="33"/>
  <c r="AK23" i="33" s="1"/>
  <c r="X23" i="33"/>
  <c r="AJ23" i="33" s="1"/>
  <c r="U23" i="33"/>
  <c r="AG23" i="33" s="1"/>
  <c r="T23" i="33"/>
  <c r="AF23" i="33" s="1"/>
  <c r="S23" i="33"/>
  <c r="AE23" i="33" s="1"/>
  <c r="R23" i="33"/>
  <c r="AD23" i="33" s="1"/>
  <c r="V23" i="33"/>
  <c r="AH23" i="33" s="1"/>
  <c r="Q25" i="31"/>
  <c r="AC24" i="26"/>
  <c r="M27" i="31"/>
  <c r="N25" i="26"/>
  <c r="O25" i="26" s="1"/>
  <c r="P25" i="26"/>
  <c r="M26" i="22"/>
  <c r="C28" i="33"/>
  <c r="I28" i="33" s="1"/>
  <c r="L28" i="33" s="1"/>
  <c r="E27" i="33"/>
  <c r="H27" i="33" s="1"/>
  <c r="K27" i="33" s="1"/>
  <c r="D27" i="33"/>
  <c r="G27" i="33" s="1"/>
  <c r="J27" i="33" s="1"/>
  <c r="F27" i="32"/>
  <c r="I27" i="32" s="1"/>
  <c r="L27" i="32" s="1"/>
  <c r="E27" i="32"/>
  <c r="H27" i="32" s="1"/>
  <c r="K27" i="32" s="1"/>
  <c r="D27" i="32"/>
  <c r="G27" i="32" s="1"/>
  <c r="J27" i="32" s="1"/>
  <c r="C28" i="32"/>
  <c r="Q25" i="24"/>
  <c r="E27" i="39"/>
  <c r="H27" i="39" s="1"/>
  <c r="K27" i="39" s="1"/>
  <c r="C28" i="39"/>
  <c r="D27" i="39"/>
  <c r="G27" i="39" s="1"/>
  <c r="J27" i="39" s="1"/>
  <c r="F27" i="39"/>
  <c r="I27" i="39" s="1"/>
  <c r="L27" i="39" s="1"/>
  <c r="M26" i="33"/>
  <c r="N25" i="35"/>
  <c r="O25" i="35" s="1"/>
  <c r="P25" i="35"/>
  <c r="AA25" i="35" s="1"/>
  <c r="AB24" i="26"/>
  <c r="M26" i="39"/>
  <c r="Q24" i="33"/>
  <c r="Q24" i="26"/>
  <c r="AB24" i="33"/>
  <c r="C28" i="25"/>
  <c r="D27" i="25"/>
  <c r="G27" i="25" s="1"/>
  <c r="J27" i="25" s="1"/>
  <c r="I27" i="25"/>
  <c r="L27" i="25" s="1"/>
  <c r="H27" i="25"/>
  <c r="K27" i="25" s="1"/>
  <c r="X23" i="39"/>
  <c r="AJ23" i="39" s="1"/>
  <c r="W23" i="39"/>
  <c r="AI23" i="39" s="1"/>
  <c r="Z23" i="39"/>
  <c r="AL23" i="39" s="1"/>
  <c r="V23" i="39"/>
  <c r="AH23" i="39" s="1"/>
  <c r="S23" i="39"/>
  <c r="AE23" i="39" s="1"/>
  <c r="U23" i="39"/>
  <c r="AG23" i="39" s="1"/>
  <c r="T23" i="39"/>
  <c r="AF23" i="39" s="1"/>
  <c r="Y23" i="39"/>
  <c r="AK23" i="39" s="1"/>
  <c r="R23" i="39"/>
  <c r="AD23" i="39" s="1"/>
  <c r="O25" i="22"/>
  <c r="P25" i="22"/>
  <c r="C28" i="24"/>
  <c r="D27" i="24"/>
  <c r="G27" i="24" s="1"/>
  <c r="J27" i="24" s="1"/>
  <c r="F27" i="24"/>
  <c r="I27" i="24" s="1"/>
  <c r="L27" i="24" s="1"/>
  <c r="E27" i="24"/>
  <c r="H27" i="24" s="1"/>
  <c r="K27" i="24" s="1"/>
  <c r="R25" i="29"/>
  <c r="AD25" i="29" s="1"/>
  <c r="I27" i="33"/>
  <c r="L27" i="33" s="1"/>
  <c r="AA24" i="32"/>
  <c r="AC24" i="32" s="1"/>
  <c r="Q24" i="32"/>
  <c r="AC23" i="39"/>
  <c r="AC23" i="32"/>
  <c r="S23" i="26"/>
  <c r="AE23" i="26" s="1"/>
  <c r="X23" i="26"/>
  <c r="AJ23" i="26" s="1"/>
  <c r="T23" i="26"/>
  <c r="AF23" i="26" s="1"/>
  <c r="R23" i="26"/>
  <c r="AD23" i="26" s="1"/>
  <c r="W23" i="26"/>
  <c r="AI23" i="26" s="1"/>
  <c r="Z23" i="26"/>
  <c r="AL23" i="26" s="1"/>
  <c r="V23" i="26"/>
  <c r="AH23" i="26" s="1"/>
  <c r="U23" i="26"/>
  <c r="AG23" i="26" s="1"/>
  <c r="Y23" i="26"/>
  <c r="AK23" i="26" s="1"/>
  <c r="AB24" i="22"/>
  <c r="E27" i="35"/>
  <c r="H27" i="35" s="1"/>
  <c r="K27" i="35" s="1"/>
  <c r="C28" i="35"/>
  <c r="D27" i="35"/>
  <c r="G27" i="35" s="1"/>
  <c r="J27" i="35" s="1"/>
  <c r="I27" i="35"/>
  <c r="L27" i="35" s="1"/>
  <c r="E27" i="26"/>
  <c r="H27" i="26" s="1"/>
  <c r="K27" i="26" s="1"/>
  <c r="C28" i="26"/>
  <c r="D27" i="26"/>
  <c r="G27" i="26" s="1"/>
  <c r="J27" i="26" s="1"/>
  <c r="F27" i="26"/>
  <c r="I27" i="26" s="1"/>
  <c r="L27" i="26" s="1"/>
  <c r="N25" i="33"/>
  <c r="O25" i="33" s="1"/>
  <c r="P25" i="33"/>
  <c r="N25" i="39"/>
  <c r="O25" i="39" s="1"/>
  <c r="P25" i="39"/>
  <c r="AA24" i="39"/>
  <c r="AC24" i="39" s="1"/>
  <c r="Q24" i="39"/>
  <c r="Q24" i="22"/>
  <c r="D27" i="22"/>
  <c r="G27" i="22" s="1"/>
  <c r="J27" i="22" s="1"/>
  <c r="F27" i="22"/>
  <c r="I27" i="22" s="1"/>
  <c r="L27" i="22" s="1"/>
  <c r="E27" i="22"/>
  <c r="H27" i="22" s="1"/>
  <c r="K27" i="22" s="1"/>
  <c r="C28" i="22"/>
  <c r="X24" i="24"/>
  <c r="AJ24" i="24" s="1"/>
  <c r="Y24" i="24"/>
  <c r="AK24" i="24" s="1"/>
  <c r="V24" i="24"/>
  <c r="AH24" i="24" s="1"/>
  <c r="W24" i="24"/>
  <c r="AI24" i="24" s="1"/>
  <c r="T24" i="24"/>
  <c r="AF24" i="24" s="1"/>
  <c r="U24" i="24"/>
  <c r="AG24" i="24" s="1"/>
  <c r="S24" i="24"/>
  <c r="AE24" i="24" s="1"/>
  <c r="Z24" i="24"/>
  <c r="AL24" i="24" s="1"/>
  <c r="R24" i="24"/>
  <c r="AD24" i="24" s="1"/>
  <c r="E27" i="30"/>
  <c r="H27" i="30" s="1"/>
  <c r="K27" i="30" s="1"/>
  <c r="C28" i="30"/>
  <c r="D27" i="30"/>
  <c r="G27" i="30" s="1"/>
  <c r="J27" i="30" s="1"/>
  <c r="I27" i="30"/>
  <c r="L27" i="30" s="1"/>
  <c r="AB23" i="39"/>
  <c r="U26" i="21"/>
  <c r="AG26" i="21" s="1"/>
  <c r="R24" i="8"/>
  <c r="AD24" i="8" s="1"/>
  <c r="Z26" i="21"/>
  <c r="AL26" i="21" s="1"/>
  <c r="Y26" i="38"/>
  <c r="AK26" i="38" s="1"/>
  <c r="R26" i="21"/>
  <c r="AD26" i="21" s="1"/>
  <c r="S26" i="21"/>
  <c r="AE26" i="21" s="1"/>
  <c r="Z24" i="8"/>
  <c r="AL24" i="8" s="1"/>
  <c r="T26" i="21"/>
  <c r="AF26" i="21" s="1"/>
  <c r="AG24" i="8"/>
  <c r="X27" i="27"/>
  <c r="AJ27" i="27" s="1"/>
  <c r="AA25" i="28"/>
  <c r="AC25" i="28" s="1"/>
  <c r="R26" i="38"/>
  <c r="AD26" i="38" s="1"/>
  <c r="Z26" i="19"/>
  <c r="AL26" i="19" s="1"/>
  <c r="Y26" i="19"/>
  <c r="AK26" i="19" s="1"/>
  <c r="U27" i="27"/>
  <c r="AG27" i="27" s="1"/>
  <c r="X25" i="29"/>
  <c r="AJ25" i="29" s="1"/>
  <c r="V25" i="29"/>
  <c r="AH25" i="29" s="1"/>
  <c r="Y24" i="8"/>
  <c r="AK24" i="8" s="1"/>
  <c r="W26" i="19"/>
  <c r="AI26" i="19" s="1"/>
  <c r="X24" i="20"/>
  <c r="AJ24" i="20" s="1"/>
  <c r="Y25" i="21"/>
  <c r="AK25" i="21" s="1"/>
  <c r="W25" i="29"/>
  <c r="AI25" i="29" s="1"/>
  <c r="S25" i="29"/>
  <c r="AE25" i="29" s="1"/>
  <c r="U25" i="29"/>
  <c r="AG25" i="29" s="1"/>
  <c r="X24" i="8"/>
  <c r="AJ24" i="8" s="1"/>
  <c r="S25" i="21"/>
  <c r="AE25" i="21" s="1"/>
  <c r="Y25" i="29"/>
  <c r="AK25" i="29" s="1"/>
  <c r="AL25" i="37"/>
  <c r="V26" i="19"/>
  <c r="AH26" i="19" s="1"/>
  <c r="R26" i="19"/>
  <c r="AD26" i="19" s="1"/>
  <c r="X26" i="40"/>
  <c r="AJ26" i="40" s="1"/>
  <c r="AB26" i="40"/>
  <c r="V26" i="40"/>
  <c r="AH26" i="40" s="1"/>
  <c r="Z25" i="34"/>
  <c r="AL25" i="34" s="1"/>
  <c r="T25" i="34"/>
  <c r="AF25" i="34" s="1"/>
  <c r="Y25" i="34"/>
  <c r="AK25" i="34" s="1"/>
  <c r="X25" i="34"/>
  <c r="AJ25" i="34" s="1"/>
  <c r="W25" i="34"/>
  <c r="AI25" i="34" s="1"/>
  <c r="S25" i="34"/>
  <c r="AE25" i="34" s="1"/>
  <c r="R25" i="34"/>
  <c r="AD25" i="34" s="1"/>
  <c r="U25" i="21"/>
  <c r="AG25" i="21" s="1"/>
  <c r="V25" i="34"/>
  <c r="AH25" i="34" s="1"/>
  <c r="X25" i="37"/>
  <c r="AJ25" i="37" s="1"/>
  <c r="Y25" i="37"/>
  <c r="AK25" i="37" s="1"/>
  <c r="V25" i="37"/>
  <c r="AH25" i="37" s="1"/>
  <c r="S25" i="37"/>
  <c r="AE25" i="37" s="1"/>
  <c r="R25" i="36"/>
  <c r="AD25" i="36" s="1"/>
  <c r="U25" i="37"/>
  <c r="AG25" i="37" s="1"/>
  <c r="U25" i="34"/>
  <c r="AG25" i="34" s="1"/>
  <c r="V25" i="36"/>
  <c r="AH25" i="36" s="1"/>
  <c r="W25" i="37"/>
  <c r="AI25" i="37" s="1"/>
  <c r="W26" i="38"/>
  <c r="AI26" i="38" s="1"/>
  <c r="R25" i="37"/>
  <c r="AD25" i="37" s="1"/>
  <c r="AJ26" i="38"/>
  <c r="Z25" i="36"/>
  <c r="AL25" i="36" s="1"/>
  <c r="T26" i="40"/>
  <c r="AF26" i="40" s="1"/>
  <c r="Z25" i="28"/>
  <c r="AL25" i="28" s="1"/>
  <c r="Y25" i="28"/>
  <c r="AK25" i="28" s="1"/>
  <c r="W25" i="28"/>
  <c r="AI25" i="28" s="1"/>
  <c r="V25" i="28"/>
  <c r="AH25" i="28" s="1"/>
  <c r="X25" i="28"/>
  <c r="AJ25" i="28" s="1"/>
  <c r="U25" i="28"/>
  <c r="AG25" i="28" s="1"/>
  <c r="T25" i="28"/>
  <c r="AF25" i="28" s="1"/>
  <c r="S25" i="28"/>
  <c r="AE25" i="28" s="1"/>
  <c r="R25" i="28"/>
  <c r="AD25" i="28" s="1"/>
  <c r="W25" i="36"/>
  <c r="AI25" i="36" s="1"/>
  <c r="T26" i="38"/>
  <c r="AF26" i="38" s="1"/>
  <c r="W26" i="40"/>
  <c r="AI26" i="40" s="1"/>
  <c r="S26" i="40"/>
  <c r="AE26" i="40" s="1"/>
  <c r="S25" i="36"/>
  <c r="AE25" i="36" s="1"/>
  <c r="Y25" i="36"/>
  <c r="AK25" i="36" s="1"/>
  <c r="T25" i="37"/>
  <c r="AF25" i="37" s="1"/>
  <c r="V26" i="38"/>
  <c r="AH26" i="38" s="1"/>
  <c r="R26" i="40"/>
  <c r="AD26" i="40" s="1"/>
  <c r="AG24" i="20"/>
  <c r="U25" i="36"/>
  <c r="AG25" i="36" s="1"/>
  <c r="U26" i="40"/>
  <c r="AG26" i="40" s="1"/>
  <c r="AJ25" i="36"/>
  <c r="P26" i="28"/>
  <c r="Q26" i="28" s="1"/>
  <c r="Q28" i="27"/>
  <c r="Z28" i="27" s="1"/>
  <c r="Q26" i="36"/>
  <c r="Y26" i="36" s="1"/>
  <c r="Q27" i="21"/>
  <c r="X27" i="21" s="1"/>
  <c r="Q27" i="40"/>
  <c r="V27" i="40" s="1"/>
  <c r="O26" i="36"/>
  <c r="AB26" i="38"/>
  <c r="O26" i="28"/>
  <c r="Q26" i="34"/>
  <c r="U26" i="34" s="1"/>
  <c r="Q25" i="20"/>
  <c r="S25" i="20" s="1"/>
  <c r="Q26" i="29"/>
  <c r="Z26" i="29" s="1"/>
  <c r="O28" i="27"/>
  <c r="T25" i="36"/>
  <c r="AF25" i="36" s="1"/>
  <c r="Y26" i="40"/>
  <c r="AK26" i="40" s="1"/>
  <c r="P27" i="38"/>
  <c r="AA27" i="38" s="1"/>
  <c r="M28" i="40"/>
  <c r="P28" i="40" s="1"/>
  <c r="N28" i="40"/>
  <c r="C30" i="40"/>
  <c r="E29" i="40"/>
  <c r="H29" i="40" s="1"/>
  <c r="K29" i="40" s="1"/>
  <c r="D29" i="40"/>
  <c r="G29" i="40" s="1"/>
  <c r="J29" i="40" s="1"/>
  <c r="F29" i="40"/>
  <c r="I29" i="40" s="1"/>
  <c r="L29" i="40" s="1"/>
  <c r="AL26" i="40"/>
  <c r="AA27" i="40"/>
  <c r="AC27" i="40" s="1"/>
  <c r="O27" i="40"/>
  <c r="M28" i="38"/>
  <c r="O28" i="38" s="1"/>
  <c r="C30" i="38"/>
  <c r="F30" i="38" s="1"/>
  <c r="D29" i="38"/>
  <c r="G29" i="38" s="1"/>
  <c r="J29" i="38" s="1"/>
  <c r="H29" i="38"/>
  <c r="K29" i="38" s="1"/>
  <c r="I29" i="38"/>
  <c r="L29" i="38" s="1"/>
  <c r="M27" i="37"/>
  <c r="O27" i="37" s="1"/>
  <c r="AB25" i="37"/>
  <c r="C29" i="37"/>
  <c r="F28" i="37"/>
  <c r="I28" i="37" s="1"/>
  <c r="L28" i="37" s="1"/>
  <c r="D28" i="37"/>
  <c r="G28" i="37" s="1"/>
  <c r="J28" i="37" s="1"/>
  <c r="E28" i="37"/>
  <c r="H28" i="37" s="1"/>
  <c r="K28" i="37" s="1"/>
  <c r="AB25" i="29"/>
  <c r="AB27" i="27"/>
  <c r="M27" i="36"/>
  <c r="P27" i="36" s="1"/>
  <c r="N27" i="36"/>
  <c r="C29" i="36"/>
  <c r="F29" i="36" s="1"/>
  <c r="E28" i="36"/>
  <c r="H28" i="36" s="1"/>
  <c r="K28" i="36" s="1"/>
  <c r="D28" i="36"/>
  <c r="G28" i="36" s="1"/>
  <c r="J28" i="36" s="1"/>
  <c r="I28" i="36"/>
  <c r="L28" i="36" s="1"/>
  <c r="AB25" i="36"/>
  <c r="AA26" i="36"/>
  <c r="AC26" i="36" s="1"/>
  <c r="M27" i="34"/>
  <c r="P27" i="34" s="1"/>
  <c r="N26" i="34"/>
  <c r="O26" i="34" s="1"/>
  <c r="C29" i="34"/>
  <c r="D28" i="34"/>
  <c r="G28" i="34" s="1"/>
  <c r="J28" i="34" s="1"/>
  <c r="E28" i="34"/>
  <c r="H28" i="34" s="1"/>
  <c r="K28" i="34" s="1"/>
  <c r="I28" i="34"/>
  <c r="L28" i="34" s="1"/>
  <c r="AA26" i="34"/>
  <c r="F29" i="33"/>
  <c r="N29" i="31"/>
  <c r="N26" i="29"/>
  <c r="O26" i="29" s="1"/>
  <c r="M27" i="29"/>
  <c r="P27" i="29" s="1"/>
  <c r="AL25" i="29"/>
  <c r="AA26" i="29"/>
  <c r="C29" i="29"/>
  <c r="E28" i="29"/>
  <c r="H28" i="29" s="1"/>
  <c r="K28" i="29" s="1"/>
  <c r="D28" i="29"/>
  <c r="G28" i="29" s="1"/>
  <c r="J28" i="29" s="1"/>
  <c r="I28" i="29"/>
  <c r="L28" i="29" s="1"/>
  <c r="M27" i="28"/>
  <c r="N27" i="28" s="1"/>
  <c r="C29" i="28"/>
  <c r="E29" i="28" s="1"/>
  <c r="D28" i="28"/>
  <c r="G28" i="28" s="1"/>
  <c r="J28" i="28" s="1"/>
  <c r="H28" i="28"/>
  <c r="K28" i="28" s="1"/>
  <c r="I28" i="28"/>
  <c r="L28" i="28" s="1"/>
  <c r="M29" i="27"/>
  <c r="P29" i="27" s="1"/>
  <c r="N29" i="27"/>
  <c r="C31" i="27"/>
  <c r="E30" i="27"/>
  <c r="H30" i="27" s="1"/>
  <c r="K30" i="27" s="1"/>
  <c r="D30" i="27"/>
  <c r="G30" i="27" s="1"/>
  <c r="J30" i="27" s="1"/>
  <c r="F30" i="27"/>
  <c r="I30" i="27" s="1"/>
  <c r="L30" i="27" s="1"/>
  <c r="AE27" i="27"/>
  <c r="AA28" i="27"/>
  <c r="AC28" i="27" s="1"/>
  <c r="N29" i="25"/>
  <c r="E30" i="25"/>
  <c r="F30" i="25"/>
  <c r="AK26" i="21"/>
  <c r="O27" i="21"/>
  <c r="AB25" i="21"/>
  <c r="AB24" i="20"/>
  <c r="K18" i="1" s="1"/>
  <c r="O25" i="8"/>
  <c r="AB25" i="8" s="1"/>
  <c r="AC25" i="8"/>
  <c r="AC24" i="8"/>
  <c r="AG26" i="19"/>
  <c r="AB24" i="8"/>
  <c r="AB26" i="19"/>
  <c r="AB26" i="21"/>
  <c r="M28" i="21"/>
  <c r="O28" i="21" s="1"/>
  <c r="C30" i="21"/>
  <c r="D29" i="21"/>
  <c r="G29" i="21" s="1"/>
  <c r="J29" i="21" s="1"/>
  <c r="H29" i="21"/>
  <c r="K29" i="21" s="1"/>
  <c r="I29" i="21"/>
  <c r="L29" i="21" s="1"/>
  <c r="AA27" i="21"/>
  <c r="AC27" i="21" s="1"/>
  <c r="N26" i="20"/>
  <c r="C28" i="20"/>
  <c r="E27" i="20"/>
  <c r="D27" i="20"/>
  <c r="G27" i="20" s="1"/>
  <c r="J27" i="20" s="1"/>
  <c r="F27" i="20"/>
  <c r="I27" i="20" s="1"/>
  <c r="L27" i="20" s="1"/>
  <c r="AA25" i="20"/>
  <c r="AC25" i="20" s="1"/>
  <c r="O25" i="20"/>
  <c r="N28" i="19"/>
  <c r="C30" i="19"/>
  <c r="E29" i="19"/>
  <c r="F29" i="19"/>
  <c r="D29" i="19"/>
  <c r="P26" i="8"/>
  <c r="N26" i="8"/>
  <c r="W25" i="8"/>
  <c r="X25" i="8"/>
  <c r="Z25" i="8"/>
  <c r="S25" i="8"/>
  <c r="Y25" i="8"/>
  <c r="V25" i="8"/>
  <c r="U25" i="8"/>
  <c r="R25" i="8"/>
  <c r="M27" i="8"/>
  <c r="C29" i="8"/>
  <c r="E29" i="8" s="1"/>
  <c r="F28" i="8"/>
  <c r="I28" i="8" s="1"/>
  <c r="L28" i="8" s="1"/>
  <c r="D28" i="8"/>
  <c r="G28" i="8" s="1"/>
  <c r="J28" i="8" s="1"/>
  <c r="H28" i="8"/>
  <c r="K28" i="8" s="1"/>
  <c r="DE19" i="1" l="1"/>
  <c r="DN19" i="1" s="1"/>
  <c r="DM20" i="1"/>
  <c r="DP20" i="1" s="1"/>
  <c r="ED22" i="1"/>
  <c r="DO22" i="1" s="1"/>
  <c r="CS22" i="1"/>
  <c r="DF22" i="1" s="1"/>
  <c r="CK23" i="1"/>
  <c r="EM23" i="1"/>
  <c r="CJ23" i="1"/>
  <c r="EL23" i="1"/>
  <c r="CH23" i="1"/>
  <c r="EJ23" i="1"/>
  <c r="CM23" i="1"/>
  <c r="EO23" i="1"/>
  <c r="CO23" i="1"/>
  <c r="EQ23" i="1"/>
  <c r="CN23" i="1"/>
  <c r="EP23" i="1"/>
  <c r="CL23" i="1"/>
  <c r="EN23" i="1"/>
  <c r="CD23" i="1"/>
  <c r="EF23" i="1"/>
  <c r="CF23" i="1"/>
  <c r="EH23" i="1"/>
  <c r="CD24" i="1"/>
  <c r="EF24" i="1"/>
  <c r="CI23" i="1"/>
  <c r="EK23" i="1"/>
  <c r="DA62" i="1"/>
  <c r="DA63" i="1" s="1"/>
  <c r="CU21" i="1"/>
  <c r="CV21" i="1"/>
  <c r="DB21" i="1" s="1"/>
  <c r="DC21" i="1" s="1"/>
  <c r="DA21" i="1"/>
  <c r="DK22" i="1"/>
  <c r="DL22" i="1" s="1"/>
  <c r="CT22" i="1"/>
  <c r="DA22" i="1" s="1"/>
  <c r="CC23" i="1"/>
  <c r="DH23" i="1"/>
  <c r="DI23" i="1"/>
  <c r="DJ23" i="1" s="1"/>
  <c r="U33" i="51"/>
  <c r="AI32" i="49"/>
  <c r="AJ32" i="49"/>
  <c r="AK32" i="49"/>
  <c r="AD32" i="49"/>
  <c r="AE32" i="49"/>
  <c r="AF32" i="49"/>
  <c r="AG32" i="49"/>
  <c r="AH32" i="49"/>
  <c r="AL32" i="49"/>
  <c r="AB32" i="49"/>
  <c r="AA33" i="49"/>
  <c r="AC33" i="49" s="1"/>
  <c r="V33" i="51"/>
  <c r="W33" i="51"/>
  <c r="AI33" i="51" s="1"/>
  <c r="W33" i="49"/>
  <c r="AI33" i="49" s="1"/>
  <c r="R33" i="49"/>
  <c r="AD33" i="49" s="1"/>
  <c r="V33" i="49"/>
  <c r="AH33" i="49" s="1"/>
  <c r="U33" i="49"/>
  <c r="AG33" i="49" s="1"/>
  <c r="S33" i="49"/>
  <c r="AE33" i="49" s="1"/>
  <c r="Z33" i="49"/>
  <c r="AL33" i="49" s="1"/>
  <c r="Y33" i="49"/>
  <c r="AK33" i="49" s="1"/>
  <c r="X33" i="49"/>
  <c r="AJ33" i="49" s="1"/>
  <c r="T33" i="49"/>
  <c r="AF33" i="49" s="1"/>
  <c r="P33" i="44"/>
  <c r="Q33" i="44" s="1"/>
  <c r="S33" i="44" s="1"/>
  <c r="AE33" i="44" s="1"/>
  <c r="DE20" i="1"/>
  <c r="DN20" i="1" s="1"/>
  <c r="AI32" i="44"/>
  <c r="V32" i="57"/>
  <c r="AH32" i="57" s="1"/>
  <c r="X32" i="43"/>
  <c r="AJ32" i="43" s="1"/>
  <c r="AH32" i="44"/>
  <c r="AH33" i="52"/>
  <c r="R33" i="51"/>
  <c r="BK24" i="1"/>
  <c r="EE24" i="1" s="1"/>
  <c r="Y33" i="51"/>
  <c r="AK33" i="51" s="1"/>
  <c r="AK33" i="52"/>
  <c r="Z33" i="51"/>
  <c r="AC32" i="44"/>
  <c r="T33" i="50"/>
  <c r="AF33" i="50" s="1"/>
  <c r="AH33" i="48"/>
  <c r="T32" i="57"/>
  <c r="AF32" i="57" s="1"/>
  <c r="AA32" i="55"/>
  <c r="AB32" i="55" s="1"/>
  <c r="AL32" i="44"/>
  <c r="W32" i="56"/>
  <c r="AI32" i="56" s="1"/>
  <c r="AJ32" i="44"/>
  <c r="S33" i="50"/>
  <c r="AE33" i="50" s="1"/>
  <c r="S33" i="51"/>
  <c r="AB33" i="45"/>
  <c r="AF32" i="44"/>
  <c r="X33" i="50"/>
  <c r="AJ33" i="50" s="1"/>
  <c r="AG32" i="44"/>
  <c r="Z33" i="50"/>
  <c r="AL33" i="50" s="1"/>
  <c r="BZ23" i="1"/>
  <c r="AC32" i="53"/>
  <c r="AB31" i="57"/>
  <c r="R32" i="43"/>
  <c r="AD32" i="43" s="1"/>
  <c r="U32" i="43"/>
  <c r="AG32" i="43" s="1"/>
  <c r="W32" i="43"/>
  <c r="AI32" i="43" s="1"/>
  <c r="BY23" i="1"/>
  <c r="V32" i="43"/>
  <c r="AH32" i="43" s="1"/>
  <c r="T32" i="62"/>
  <c r="AF32" i="62" s="1"/>
  <c r="O33" i="43"/>
  <c r="Y32" i="57"/>
  <c r="AK32" i="57" s="1"/>
  <c r="Z32" i="57"/>
  <c r="AL32" i="57" s="1"/>
  <c r="R33" i="50"/>
  <c r="AD33" i="50" s="1"/>
  <c r="P33" i="57"/>
  <c r="Q33" i="57" s="1"/>
  <c r="W33" i="57" s="1"/>
  <c r="AI33" i="57" s="1"/>
  <c r="AC32" i="60"/>
  <c r="O27" i="19"/>
  <c r="AJ33" i="54"/>
  <c r="Y32" i="62"/>
  <c r="AK32" i="62" s="1"/>
  <c r="S32" i="62"/>
  <c r="AE32" i="62" s="1"/>
  <c r="AA27" i="19"/>
  <c r="AC27" i="19" s="1"/>
  <c r="AB33" i="47"/>
  <c r="AF33" i="48"/>
  <c r="AA33" i="50"/>
  <c r="AC33" i="50" s="1"/>
  <c r="AA32" i="57"/>
  <c r="AC32" i="57" s="1"/>
  <c r="AE32" i="60"/>
  <c r="T32" i="56"/>
  <c r="AF32" i="56" s="1"/>
  <c r="AB31" i="56"/>
  <c r="BO25" i="1" s="1"/>
  <c r="CG25" i="1" s="1"/>
  <c r="AA32" i="56"/>
  <c r="AC32" i="56" s="1"/>
  <c r="W32" i="62"/>
  <c r="AI32" i="62" s="1"/>
  <c r="U32" i="56"/>
  <c r="AG32" i="56" s="1"/>
  <c r="AE32" i="44"/>
  <c r="AA33" i="51"/>
  <c r="AC33" i="51" s="1"/>
  <c r="T33" i="51"/>
  <c r="AF33" i="51" s="1"/>
  <c r="O33" i="56"/>
  <c r="V32" i="56"/>
  <c r="AH32" i="56" s="1"/>
  <c r="Z32" i="56"/>
  <c r="AL32" i="56" s="1"/>
  <c r="AJ33" i="48"/>
  <c r="AE33" i="54"/>
  <c r="Y32" i="43"/>
  <c r="AK32" i="43" s="1"/>
  <c r="AK33" i="48"/>
  <c r="Z32" i="43"/>
  <c r="AL32" i="43" s="1"/>
  <c r="AL33" i="48"/>
  <c r="S32" i="43"/>
  <c r="AE32" i="43" s="1"/>
  <c r="AK32" i="44"/>
  <c r="X32" i="57"/>
  <c r="AJ32" i="57" s="1"/>
  <c r="AB31" i="43"/>
  <c r="AB33" i="48"/>
  <c r="AD33" i="48"/>
  <c r="AA32" i="43"/>
  <c r="AC32" i="43" s="1"/>
  <c r="U32" i="62"/>
  <c r="AG32" i="62" s="1"/>
  <c r="X32" i="56"/>
  <c r="AJ32" i="56" s="1"/>
  <c r="R32" i="56"/>
  <c r="AD32" i="56" s="1"/>
  <c r="U33" i="50"/>
  <c r="AG33" i="50" s="1"/>
  <c r="S32" i="56"/>
  <c r="AE32" i="56" s="1"/>
  <c r="AA33" i="56"/>
  <c r="AC33" i="56" s="1"/>
  <c r="AE33" i="48"/>
  <c r="AE32" i="58"/>
  <c r="W33" i="50"/>
  <c r="AI33" i="50" s="1"/>
  <c r="AE33" i="52"/>
  <c r="AI33" i="48"/>
  <c r="Y33" i="50"/>
  <c r="AK33" i="50" s="1"/>
  <c r="AF33" i="52"/>
  <c r="AB31" i="63"/>
  <c r="AI32" i="64"/>
  <c r="R32" i="57"/>
  <c r="AD32" i="57" s="1"/>
  <c r="AD32" i="44"/>
  <c r="AG33" i="48"/>
  <c r="AL33" i="52"/>
  <c r="S32" i="57"/>
  <c r="AE32" i="57" s="1"/>
  <c r="AB31" i="55"/>
  <c r="BK25" i="1" s="1"/>
  <c r="EE25" i="1" s="1"/>
  <c r="AA31" i="46"/>
  <c r="AC31" i="46" s="1"/>
  <c r="AJ33" i="52"/>
  <c r="AK33" i="54"/>
  <c r="X33" i="56"/>
  <c r="W33" i="56"/>
  <c r="R33" i="56"/>
  <c r="T33" i="56"/>
  <c r="V33" i="56"/>
  <c r="U33" i="56"/>
  <c r="S33" i="56"/>
  <c r="Z33" i="56"/>
  <c r="Y33" i="56"/>
  <c r="W31" i="46"/>
  <c r="AI31" i="46" s="1"/>
  <c r="BU25" i="1" s="1"/>
  <c r="U31" i="46"/>
  <c r="AG31" i="46" s="1"/>
  <c r="BS25" i="1" s="1"/>
  <c r="Z31" i="46"/>
  <c r="AL31" i="46" s="1"/>
  <c r="BX25" i="1" s="1"/>
  <c r="ER25" i="1" s="1"/>
  <c r="Y31" i="46"/>
  <c r="AK31" i="46" s="1"/>
  <c r="BW25" i="1" s="1"/>
  <c r="R31" i="46"/>
  <c r="AD31" i="46" s="1"/>
  <c r="BP25" i="1" s="1"/>
  <c r="X31" i="46"/>
  <c r="AJ31" i="46" s="1"/>
  <c r="BV25" i="1" s="1"/>
  <c r="V31" i="46"/>
  <c r="AH31" i="46" s="1"/>
  <c r="BT25" i="1" s="1"/>
  <c r="S31" i="46"/>
  <c r="AE31" i="46" s="1"/>
  <c r="BQ25" i="1" s="1"/>
  <c r="T31" i="46"/>
  <c r="AF31" i="46" s="1"/>
  <c r="BR25" i="1" s="1"/>
  <c r="O32" i="46"/>
  <c r="P32" i="46"/>
  <c r="AI33" i="52"/>
  <c r="AL32" i="64"/>
  <c r="AB32" i="64"/>
  <c r="X32" i="55"/>
  <c r="AJ32" i="55" s="1"/>
  <c r="W32" i="55"/>
  <c r="AI32" i="55" s="1"/>
  <c r="Z32" i="55"/>
  <c r="AL32" i="55" s="1"/>
  <c r="Y32" i="55"/>
  <c r="AK32" i="55" s="1"/>
  <c r="V32" i="55"/>
  <c r="AH32" i="55" s="1"/>
  <c r="U32" i="55"/>
  <c r="AG32" i="55" s="1"/>
  <c r="T32" i="55"/>
  <c r="AF32" i="55" s="1"/>
  <c r="S32" i="55"/>
  <c r="AE32" i="55" s="1"/>
  <c r="R32" i="55"/>
  <c r="AD32" i="55" s="1"/>
  <c r="AB32" i="51"/>
  <c r="P33" i="55"/>
  <c r="Q33" i="55" s="1"/>
  <c r="N33" i="55"/>
  <c r="O33" i="55" s="1"/>
  <c r="AG33" i="52"/>
  <c r="AF32" i="58"/>
  <c r="M33" i="46"/>
  <c r="AA33" i="43"/>
  <c r="AC33" i="43" s="1"/>
  <c r="AC30" i="46"/>
  <c r="AB30" i="46"/>
  <c r="BN24" i="1" s="1"/>
  <c r="U33" i="43"/>
  <c r="V33" i="43"/>
  <c r="T33" i="43"/>
  <c r="S33" i="43"/>
  <c r="W33" i="43"/>
  <c r="Z33" i="43"/>
  <c r="AL33" i="43" s="1"/>
  <c r="Y33" i="43"/>
  <c r="R33" i="43"/>
  <c r="X33" i="43"/>
  <c r="AD33" i="52"/>
  <c r="AB33" i="54"/>
  <c r="AD33" i="54"/>
  <c r="W32" i="57"/>
  <c r="AI32" i="57" s="1"/>
  <c r="Y30" i="46"/>
  <c r="AK30" i="46" s="1"/>
  <c r="BW24" i="1" s="1"/>
  <c r="U30" i="46"/>
  <c r="AG30" i="46" s="1"/>
  <c r="BS24" i="1" s="1"/>
  <c r="T30" i="46"/>
  <c r="AF30" i="46" s="1"/>
  <c r="BR24" i="1" s="1"/>
  <c r="S30" i="46"/>
  <c r="AE30" i="46" s="1"/>
  <c r="BQ24" i="1" s="1"/>
  <c r="V30" i="46"/>
  <c r="AH30" i="46" s="1"/>
  <c r="BT24" i="1" s="1"/>
  <c r="W30" i="46"/>
  <c r="AI30" i="46" s="1"/>
  <c r="BU24" i="1" s="1"/>
  <c r="X30" i="46"/>
  <c r="AJ30" i="46" s="1"/>
  <c r="BV24" i="1" s="1"/>
  <c r="Z30" i="46"/>
  <c r="AL30" i="46" s="1"/>
  <c r="BX24" i="1" s="1"/>
  <c r="ER24" i="1" s="1"/>
  <c r="R30" i="46"/>
  <c r="AD30" i="46" s="1"/>
  <c r="BP24" i="1" s="1"/>
  <c r="V32" i="62"/>
  <c r="AH32" i="62" s="1"/>
  <c r="AD32" i="58"/>
  <c r="AG32" i="64"/>
  <c r="X32" i="59"/>
  <c r="AJ32" i="59" s="1"/>
  <c r="AJ32" i="64"/>
  <c r="AD32" i="64"/>
  <c r="AE32" i="64"/>
  <c r="AG32" i="58"/>
  <c r="AF32" i="64"/>
  <c r="AH32" i="64"/>
  <c r="AI32" i="58"/>
  <c r="S32" i="59"/>
  <c r="AE32" i="59" s="1"/>
  <c r="AK32" i="64"/>
  <c r="Y33" i="65"/>
  <c r="AK33" i="65" s="1"/>
  <c r="AB32" i="54"/>
  <c r="X32" i="62"/>
  <c r="AJ32" i="62" s="1"/>
  <c r="AF33" i="54"/>
  <c r="AA32" i="62"/>
  <c r="AC32" i="62" s="1"/>
  <c r="R32" i="62"/>
  <c r="AD32" i="62" s="1"/>
  <c r="AB32" i="58"/>
  <c r="P33" i="59"/>
  <c r="Q33" i="59" s="1"/>
  <c r="R33" i="59" s="1"/>
  <c r="V32" i="59"/>
  <c r="AH32" i="59" s="1"/>
  <c r="AA33" i="65"/>
  <c r="AC33" i="65" s="1"/>
  <c r="AB32" i="50"/>
  <c r="AB32" i="53"/>
  <c r="M28" i="19"/>
  <c r="P28" i="19" s="1"/>
  <c r="Z32" i="59"/>
  <c r="AL32" i="59" s="1"/>
  <c r="W32" i="59"/>
  <c r="AI32" i="59" s="1"/>
  <c r="Y32" i="63"/>
  <c r="AK32" i="63" s="1"/>
  <c r="AB32" i="44"/>
  <c r="AI33" i="54"/>
  <c r="AC32" i="58"/>
  <c r="X32" i="63"/>
  <c r="AJ32" i="63" s="1"/>
  <c r="P33" i="64"/>
  <c r="Q33" i="64" s="1"/>
  <c r="X33" i="64" s="1"/>
  <c r="AJ33" i="64" s="1"/>
  <c r="U33" i="65"/>
  <c r="AG33" i="65" s="1"/>
  <c r="AG33" i="54"/>
  <c r="AK32" i="58"/>
  <c r="AB32" i="60"/>
  <c r="P33" i="63"/>
  <c r="Q33" i="63" s="1"/>
  <c r="Z33" i="63" s="1"/>
  <c r="AL33" i="63" s="1"/>
  <c r="N26" i="23"/>
  <c r="O26" i="23" s="1"/>
  <c r="P26" i="23"/>
  <c r="N33" i="53"/>
  <c r="O33" i="53" s="1"/>
  <c r="AL33" i="54"/>
  <c r="AH32" i="58"/>
  <c r="N33" i="58"/>
  <c r="O33" i="58" s="1"/>
  <c r="S32" i="63"/>
  <c r="AE32" i="63" s="1"/>
  <c r="X33" i="65"/>
  <c r="AJ33" i="65" s="1"/>
  <c r="Z32" i="63"/>
  <c r="AL32" i="63" s="1"/>
  <c r="Z33" i="65"/>
  <c r="AL33" i="65" s="1"/>
  <c r="AB24" i="23"/>
  <c r="AH33" i="54"/>
  <c r="W32" i="63"/>
  <c r="AI32" i="63" s="1"/>
  <c r="S33" i="65"/>
  <c r="AE33" i="65" s="1"/>
  <c r="N33" i="60"/>
  <c r="O33" i="60" s="1"/>
  <c r="T32" i="63"/>
  <c r="AF32" i="63" s="1"/>
  <c r="R33" i="65"/>
  <c r="AD33" i="65" s="1"/>
  <c r="AJ32" i="58"/>
  <c r="V32" i="63"/>
  <c r="AH32" i="63" s="1"/>
  <c r="M27" i="23"/>
  <c r="AJ32" i="53"/>
  <c r="P33" i="62"/>
  <c r="Q33" i="62" s="1"/>
  <c r="V33" i="62" s="1"/>
  <c r="AA32" i="63"/>
  <c r="V33" i="65"/>
  <c r="AH33" i="65" s="1"/>
  <c r="O33" i="62"/>
  <c r="W33" i="65"/>
  <c r="AI33" i="65" s="1"/>
  <c r="AL32" i="58"/>
  <c r="AG32" i="59"/>
  <c r="R32" i="63"/>
  <c r="AD32" i="63" s="1"/>
  <c r="AC32" i="64"/>
  <c r="AB31" i="62"/>
  <c r="AJ32" i="60"/>
  <c r="AG32" i="60"/>
  <c r="AH32" i="60"/>
  <c r="AK32" i="60"/>
  <c r="AF32" i="60"/>
  <c r="AD32" i="60"/>
  <c r="V33" i="60"/>
  <c r="U33" i="60"/>
  <c r="S33" i="60"/>
  <c r="R33" i="60"/>
  <c r="Z33" i="60"/>
  <c r="Y33" i="60"/>
  <c r="X33" i="60"/>
  <c r="W33" i="60"/>
  <c r="T33" i="60"/>
  <c r="AI32" i="60"/>
  <c r="AL32" i="60"/>
  <c r="AA33" i="60"/>
  <c r="AA32" i="59"/>
  <c r="AC32" i="59" s="1"/>
  <c r="R32" i="59"/>
  <c r="AD32" i="59" s="1"/>
  <c r="Y32" i="59"/>
  <c r="AK32" i="59" s="1"/>
  <c r="T32" i="59"/>
  <c r="AF32" i="59" s="1"/>
  <c r="O33" i="59"/>
  <c r="R33" i="58"/>
  <c r="T33" i="58"/>
  <c r="W33" i="58"/>
  <c r="V33" i="58"/>
  <c r="U33" i="58"/>
  <c r="S33" i="58"/>
  <c r="Z33" i="58"/>
  <c r="Y33" i="58"/>
  <c r="X33" i="58"/>
  <c r="AA33" i="58"/>
  <c r="AC33" i="54"/>
  <c r="AL32" i="53"/>
  <c r="AA33" i="53"/>
  <c r="AE32" i="53"/>
  <c r="AH32" i="53"/>
  <c r="AF32" i="53"/>
  <c r="AI32" i="53"/>
  <c r="R33" i="53"/>
  <c r="X33" i="53"/>
  <c r="W33" i="53"/>
  <c r="S33" i="53"/>
  <c r="Z33" i="53"/>
  <c r="Y33" i="53"/>
  <c r="V33" i="53"/>
  <c r="U33" i="53"/>
  <c r="T33" i="53"/>
  <c r="AD32" i="53"/>
  <c r="AK32" i="53"/>
  <c r="AG32" i="53"/>
  <c r="AB33" i="52"/>
  <c r="AD33" i="51"/>
  <c r="AG33" i="51"/>
  <c r="AJ33" i="51"/>
  <c r="AL33" i="51"/>
  <c r="AE33" i="51"/>
  <c r="AH33" i="51"/>
  <c r="AC33" i="48"/>
  <c r="Z33" i="44"/>
  <c r="AL33" i="44" s="1"/>
  <c r="U33" i="44"/>
  <c r="AG33" i="44" s="1"/>
  <c r="AA33" i="44"/>
  <c r="AC33" i="44" s="1"/>
  <c r="V24" i="23"/>
  <c r="AH24" i="23" s="1"/>
  <c r="Z24" i="23"/>
  <c r="AL24" i="23" s="1"/>
  <c r="T24" i="23"/>
  <c r="AF24" i="23" s="1"/>
  <c r="X24" i="23"/>
  <c r="AJ24" i="23" s="1"/>
  <c r="Y24" i="23"/>
  <c r="AK24" i="23" s="1"/>
  <c r="W24" i="23"/>
  <c r="AI24" i="23" s="1"/>
  <c r="R24" i="23"/>
  <c r="AD24" i="23" s="1"/>
  <c r="S24" i="23"/>
  <c r="AE24" i="23" s="1"/>
  <c r="U24" i="23"/>
  <c r="AG24" i="23" s="1"/>
  <c r="AA25" i="23"/>
  <c r="AC25" i="23" s="1"/>
  <c r="Q25" i="23"/>
  <c r="E28" i="23"/>
  <c r="H28" i="23" s="1"/>
  <c r="K28" i="23" s="1"/>
  <c r="C29" i="23"/>
  <c r="F28" i="23"/>
  <c r="I28" i="23" s="1"/>
  <c r="L28" i="23" s="1"/>
  <c r="D28" i="23"/>
  <c r="G28" i="23" s="1"/>
  <c r="J28" i="23" s="1"/>
  <c r="BC21" i="1"/>
  <c r="G29" i="19"/>
  <c r="J29" i="19" s="1"/>
  <c r="H27" i="20"/>
  <c r="K27" i="20" s="1"/>
  <c r="M27" i="20" s="1"/>
  <c r="P27" i="20" s="1"/>
  <c r="BD21" i="1"/>
  <c r="I29" i="19"/>
  <c r="L29" i="19" s="1"/>
  <c r="H29" i="19"/>
  <c r="K29" i="19" s="1"/>
  <c r="BE21" i="1"/>
  <c r="X15" i="1"/>
  <c r="BF15" i="1"/>
  <c r="Y16" i="1"/>
  <c r="W24" i="25"/>
  <c r="AI24" i="25" s="1"/>
  <c r="Z24" i="25"/>
  <c r="AL24" i="25" s="1"/>
  <c r="U24" i="25"/>
  <c r="AG24" i="25" s="1"/>
  <c r="V24" i="25"/>
  <c r="AH24" i="25" s="1"/>
  <c r="T24" i="25"/>
  <c r="AF24" i="25" s="1"/>
  <c r="AA26" i="37"/>
  <c r="AC26" i="37" s="1"/>
  <c r="S24" i="25"/>
  <c r="AE24" i="25" s="1"/>
  <c r="AA15" i="1"/>
  <c r="AB15" i="1"/>
  <c r="AC15" i="1"/>
  <c r="AD15" i="1"/>
  <c r="AE15" i="1"/>
  <c r="Z14" i="1"/>
  <c r="R24" i="25"/>
  <c r="AD24" i="25" s="1"/>
  <c r="Y24" i="25"/>
  <c r="AK24" i="25" s="1"/>
  <c r="AB25" i="34"/>
  <c r="AY19" i="1"/>
  <c r="AL18" i="1"/>
  <c r="AN17" i="1"/>
  <c r="AI20" i="1"/>
  <c r="AI19" i="1"/>
  <c r="AQ19" i="1"/>
  <c r="AH18" i="1"/>
  <c r="AO21" i="1"/>
  <c r="AV19" i="1"/>
  <c r="AF20" i="1"/>
  <c r="AZ20" i="1"/>
  <c r="AG18" i="1"/>
  <c r="AS18" i="1"/>
  <c r="AX19" i="1"/>
  <c r="BB20" i="1"/>
  <c r="AP19" i="1"/>
  <c r="BA17" i="1"/>
  <c r="AU17" i="1"/>
  <c r="AZ19" i="1"/>
  <c r="Y24" i="30"/>
  <c r="AK24" i="30" s="1"/>
  <c r="P26" i="30"/>
  <c r="Q26" i="30" s="1"/>
  <c r="Q25" i="25"/>
  <c r="S25" i="25" s="1"/>
  <c r="AE25" i="25" s="1"/>
  <c r="Z24" i="30"/>
  <c r="AL24" i="30" s="1"/>
  <c r="S24" i="30"/>
  <c r="AE24" i="30" s="1"/>
  <c r="V24" i="30"/>
  <c r="AH24" i="30" s="1"/>
  <c r="R24" i="30"/>
  <c r="AD24" i="30" s="1"/>
  <c r="AB25" i="25"/>
  <c r="L19" i="1" s="1"/>
  <c r="V16" i="1"/>
  <c r="N26" i="24"/>
  <c r="O26" i="24" s="1"/>
  <c r="AB26" i="24" s="1"/>
  <c r="U27" i="21"/>
  <c r="AG27" i="21" s="1"/>
  <c r="I17" i="1"/>
  <c r="W16" i="1"/>
  <c r="T24" i="30"/>
  <c r="AF24" i="30" s="1"/>
  <c r="O26" i="25"/>
  <c r="U17" i="1"/>
  <c r="W24" i="30"/>
  <c r="AI24" i="30" s="1"/>
  <c r="Q25" i="30"/>
  <c r="R25" i="30" s="1"/>
  <c r="AD25" i="30" s="1"/>
  <c r="T26" i="37"/>
  <c r="AF26" i="37" s="1"/>
  <c r="V27" i="21"/>
  <c r="AH27" i="21" s="1"/>
  <c r="AB25" i="28"/>
  <c r="P17" i="1"/>
  <c r="Y27" i="21"/>
  <c r="AK27" i="21" s="1"/>
  <c r="U24" i="30"/>
  <c r="AG24" i="30" s="1"/>
  <c r="R27" i="21"/>
  <c r="AD27" i="21" s="1"/>
  <c r="R17" i="1"/>
  <c r="U25" i="20"/>
  <c r="AG25" i="20" s="1"/>
  <c r="W25" i="20"/>
  <c r="AI25" i="20" s="1"/>
  <c r="M17" i="1"/>
  <c r="N17" i="1"/>
  <c r="Q7" i="14" s="1"/>
  <c r="R7" i="14" s="1"/>
  <c r="AB25" i="30"/>
  <c r="AC24" i="35"/>
  <c r="T26" i="34"/>
  <c r="AF26" i="34" s="1"/>
  <c r="U24" i="35"/>
  <c r="AG24" i="35" s="1"/>
  <c r="X24" i="35"/>
  <c r="AJ24" i="35" s="1"/>
  <c r="Z24" i="35"/>
  <c r="AL24" i="35" s="1"/>
  <c r="V24" i="35"/>
  <c r="AH24" i="35" s="1"/>
  <c r="T24" i="35"/>
  <c r="AF24" i="35" s="1"/>
  <c r="Y24" i="35"/>
  <c r="AK24" i="35" s="1"/>
  <c r="W24" i="35"/>
  <c r="AI24" i="35" s="1"/>
  <c r="S24" i="35"/>
  <c r="AE24" i="35" s="1"/>
  <c r="R24" i="35"/>
  <c r="AD24" i="35" s="1"/>
  <c r="Q25" i="32"/>
  <c r="AA25" i="32"/>
  <c r="AC25" i="32" s="1"/>
  <c r="AC25" i="24"/>
  <c r="AB24" i="35"/>
  <c r="T17" i="1"/>
  <c r="Q26" i="31"/>
  <c r="M28" i="31"/>
  <c r="S17" i="1"/>
  <c r="O17" i="1"/>
  <c r="M27" i="25"/>
  <c r="P27" i="25" s="1"/>
  <c r="AA27" i="25" s="1"/>
  <c r="AC27" i="25" s="1"/>
  <c r="AB26" i="31"/>
  <c r="T27" i="19"/>
  <c r="AF27" i="19" s="1"/>
  <c r="AB24" i="32"/>
  <c r="Q17" i="1"/>
  <c r="Z27" i="21"/>
  <c r="AL27" i="21" s="1"/>
  <c r="H17" i="1"/>
  <c r="N26" i="35"/>
  <c r="O26" i="35" s="1"/>
  <c r="P26" i="35"/>
  <c r="AA26" i="35" s="1"/>
  <c r="P26" i="22"/>
  <c r="AA26" i="22" s="1"/>
  <c r="AC26" i="22" s="1"/>
  <c r="O26" i="22"/>
  <c r="Q25" i="26"/>
  <c r="Z26" i="34"/>
  <c r="AL26" i="34" s="1"/>
  <c r="AB25" i="35"/>
  <c r="M27" i="22"/>
  <c r="AA25" i="26"/>
  <c r="AC25" i="26" s="1"/>
  <c r="P26" i="32"/>
  <c r="AA26" i="32" s="1"/>
  <c r="AC26" i="32" s="1"/>
  <c r="O26" i="32"/>
  <c r="AA26" i="28"/>
  <c r="AC26" i="28" s="1"/>
  <c r="M27" i="24"/>
  <c r="P27" i="24" s="1"/>
  <c r="AA27" i="24" s="1"/>
  <c r="P27" i="31"/>
  <c r="AA27" i="31" s="1"/>
  <c r="O27" i="31"/>
  <c r="M27" i="30"/>
  <c r="N27" i="30" s="1"/>
  <c r="O27" i="30" s="1"/>
  <c r="R25" i="31"/>
  <c r="AD25" i="31" s="1"/>
  <c r="V25" i="31"/>
  <c r="AH25" i="31" s="1"/>
  <c r="Z25" i="31"/>
  <c r="AL25" i="31" s="1"/>
  <c r="W25" i="31"/>
  <c r="AI25" i="31" s="1"/>
  <c r="Y25" i="31"/>
  <c r="AK25" i="31" s="1"/>
  <c r="T25" i="31"/>
  <c r="AF25" i="31" s="1"/>
  <c r="S25" i="31"/>
  <c r="AE25" i="31" s="1"/>
  <c r="U25" i="31"/>
  <c r="AG25" i="31" s="1"/>
  <c r="X25" i="31"/>
  <c r="AJ25" i="31" s="1"/>
  <c r="N26" i="26"/>
  <c r="O26" i="26" s="1"/>
  <c r="P26" i="26"/>
  <c r="AA26" i="26" s="1"/>
  <c r="C30" i="31"/>
  <c r="E29" i="31"/>
  <c r="H29" i="31" s="1"/>
  <c r="K29" i="31" s="1"/>
  <c r="D29" i="31"/>
  <c r="G29" i="31" s="1"/>
  <c r="J29" i="31" s="1"/>
  <c r="I29" i="31"/>
  <c r="L29" i="31" s="1"/>
  <c r="Q25" i="33"/>
  <c r="S24" i="32"/>
  <c r="AE24" i="32" s="1"/>
  <c r="R24" i="32"/>
  <c r="AD24" i="32" s="1"/>
  <c r="Z24" i="32"/>
  <c r="AL24" i="32" s="1"/>
  <c r="T24" i="32"/>
  <c r="AF24" i="32" s="1"/>
  <c r="V24" i="32"/>
  <c r="AH24" i="32" s="1"/>
  <c r="U24" i="32"/>
  <c r="AG24" i="32" s="1"/>
  <c r="Y24" i="32"/>
  <c r="AK24" i="32" s="1"/>
  <c r="W24" i="32"/>
  <c r="AI24" i="32" s="1"/>
  <c r="X24" i="32"/>
  <c r="AJ24" i="32" s="1"/>
  <c r="Q26" i="25"/>
  <c r="N26" i="33"/>
  <c r="O26" i="33" s="1"/>
  <c r="P26" i="33"/>
  <c r="D28" i="25"/>
  <c r="G28" i="25" s="1"/>
  <c r="J28" i="25" s="1"/>
  <c r="C29" i="25"/>
  <c r="I28" i="25"/>
  <c r="L28" i="25" s="1"/>
  <c r="H28" i="25"/>
  <c r="K28" i="25" s="1"/>
  <c r="N26" i="39"/>
  <c r="O26" i="39" s="1"/>
  <c r="P26" i="39"/>
  <c r="M27" i="33"/>
  <c r="Z24" i="22"/>
  <c r="AL24" i="22" s="1"/>
  <c r="Y24" i="22"/>
  <c r="AK24" i="22" s="1"/>
  <c r="W24" i="22"/>
  <c r="AI24" i="22" s="1"/>
  <c r="S24" i="22"/>
  <c r="AE24" i="22" s="1"/>
  <c r="U24" i="22"/>
  <c r="AG24" i="22" s="1"/>
  <c r="T24" i="22"/>
  <c r="AF24" i="22" s="1"/>
  <c r="R24" i="22"/>
  <c r="AD24" i="22" s="1"/>
  <c r="V24" i="22"/>
  <c r="AH24" i="22" s="1"/>
  <c r="X24" i="22"/>
  <c r="AJ24" i="22" s="1"/>
  <c r="M27" i="39"/>
  <c r="M27" i="26"/>
  <c r="E28" i="39"/>
  <c r="H28" i="39" s="1"/>
  <c r="K28" i="39" s="1"/>
  <c r="D28" i="39"/>
  <c r="G28" i="39" s="1"/>
  <c r="J28" i="39" s="1"/>
  <c r="F28" i="39"/>
  <c r="I28" i="39" s="1"/>
  <c r="L28" i="39" s="1"/>
  <c r="C29" i="39"/>
  <c r="C29" i="33"/>
  <c r="I29" i="33" s="1"/>
  <c r="L29" i="33" s="1"/>
  <c r="D28" i="33"/>
  <c r="G28" i="33" s="1"/>
  <c r="J28" i="33" s="1"/>
  <c r="E28" i="33"/>
  <c r="H28" i="33" s="1"/>
  <c r="K28" i="33" s="1"/>
  <c r="V28" i="27"/>
  <c r="AH28" i="27" s="1"/>
  <c r="R24" i="39"/>
  <c r="AD24" i="39" s="1"/>
  <c r="Z24" i="39"/>
  <c r="AL24" i="39" s="1"/>
  <c r="V24" i="39"/>
  <c r="AH24" i="39" s="1"/>
  <c r="U24" i="39"/>
  <c r="AG24" i="39" s="1"/>
  <c r="T24" i="39"/>
  <c r="AF24" i="39" s="1"/>
  <c r="S24" i="39"/>
  <c r="AE24" i="39" s="1"/>
  <c r="X24" i="39"/>
  <c r="AJ24" i="39" s="1"/>
  <c r="Y24" i="39"/>
  <c r="AK24" i="39" s="1"/>
  <c r="W24" i="39"/>
  <c r="AI24" i="39" s="1"/>
  <c r="F28" i="26"/>
  <c r="I28" i="26" s="1"/>
  <c r="L28" i="26" s="1"/>
  <c r="E28" i="26"/>
  <c r="H28" i="26" s="1"/>
  <c r="K28" i="26" s="1"/>
  <c r="C29" i="26"/>
  <c r="D28" i="26"/>
  <c r="G28" i="26" s="1"/>
  <c r="J28" i="26" s="1"/>
  <c r="AB24" i="39"/>
  <c r="Q25" i="22"/>
  <c r="AA25" i="22"/>
  <c r="U24" i="26"/>
  <c r="AG24" i="26" s="1"/>
  <c r="R24" i="26"/>
  <c r="AD24" i="26" s="1"/>
  <c r="W24" i="26"/>
  <c r="AI24" i="26" s="1"/>
  <c r="Z24" i="26"/>
  <c r="AL24" i="26" s="1"/>
  <c r="T24" i="26"/>
  <c r="AF24" i="26" s="1"/>
  <c r="Y24" i="26"/>
  <c r="AK24" i="26" s="1"/>
  <c r="S24" i="26"/>
  <c r="AE24" i="26" s="1"/>
  <c r="V24" i="26"/>
  <c r="AH24" i="26" s="1"/>
  <c r="X24" i="26"/>
  <c r="AJ24" i="26" s="1"/>
  <c r="C29" i="30"/>
  <c r="D28" i="30"/>
  <c r="G28" i="30" s="1"/>
  <c r="J28" i="30" s="1"/>
  <c r="E28" i="30"/>
  <c r="H28" i="30" s="1"/>
  <c r="K28" i="30" s="1"/>
  <c r="I28" i="30"/>
  <c r="L28" i="30" s="1"/>
  <c r="R25" i="24"/>
  <c r="AD25" i="24" s="1"/>
  <c r="T25" i="24"/>
  <c r="AF25" i="24" s="1"/>
  <c r="Y25" i="24"/>
  <c r="AK25" i="24" s="1"/>
  <c r="S25" i="24"/>
  <c r="AE25" i="24" s="1"/>
  <c r="U25" i="24"/>
  <c r="AG25" i="24" s="1"/>
  <c r="X25" i="24"/>
  <c r="AJ25" i="24" s="1"/>
  <c r="V25" i="24"/>
  <c r="AH25" i="24" s="1"/>
  <c r="W25" i="24"/>
  <c r="AI25" i="24" s="1"/>
  <c r="Z25" i="24"/>
  <c r="AL25" i="24" s="1"/>
  <c r="W27" i="21"/>
  <c r="AI27" i="21" s="1"/>
  <c r="E28" i="22"/>
  <c r="H28" i="22" s="1"/>
  <c r="K28" i="22" s="1"/>
  <c r="F28" i="22"/>
  <c r="I28" i="22" s="1"/>
  <c r="L28" i="22" s="1"/>
  <c r="C29" i="22"/>
  <c r="D28" i="22"/>
  <c r="G28" i="22" s="1"/>
  <c r="J28" i="22" s="1"/>
  <c r="AA25" i="39"/>
  <c r="AC25" i="39" s="1"/>
  <c r="Q25" i="39"/>
  <c r="M27" i="35"/>
  <c r="X24" i="33"/>
  <c r="AJ24" i="33" s="1"/>
  <c r="R24" i="33"/>
  <c r="AD24" i="33" s="1"/>
  <c r="U24" i="33"/>
  <c r="AG24" i="33" s="1"/>
  <c r="T24" i="33"/>
  <c r="AF24" i="33" s="1"/>
  <c r="V24" i="33"/>
  <c r="AH24" i="33" s="1"/>
  <c r="W24" i="33"/>
  <c r="AI24" i="33" s="1"/>
  <c r="S24" i="33"/>
  <c r="AE24" i="33" s="1"/>
  <c r="Z24" i="33"/>
  <c r="AL24" i="33" s="1"/>
  <c r="Y24" i="33"/>
  <c r="AK24" i="33" s="1"/>
  <c r="Q25" i="35"/>
  <c r="F28" i="32"/>
  <c r="I28" i="32" s="1"/>
  <c r="L28" i="32" s="1"/>
  <c r="C29" i="32"/>
  <c r="E28" i="32"/>
  <c r="H28" i="32" s="1"/>
  <c r="K28" i="32" s="1"/>
  <c r="D28" i="32"/>
  <c r="G28" i="32" s="1"/>
  <c r="J28" i="32" s="1"/>
  <c r="C29" i="35"/>
  <c r="D28" i="35"/>
  <c r="G28" i="35" s="1"/>
  <c r="J28" i="35" s="1"/>
  <c r="E28" i="35"/>
  <c r="H28" i="35" s="1"/>
  <c r="K28" i="35" s="1"/>
  <c r="I28" i="35"/>
  <c r="L28" i="35" s="1"/>
  <c r="E28" i="24"/>
  <c r="H28" i="24" s="1"/>
  <c r="K28" i="24" s="1"/>
  <c r="C29" i="24"/>
  <c r="F28" i="24"/>
  <c r="I28" i="24" s="1"/>
  <c r="L28" i="24" s="1"/>
  <c r="D28" i="24"/>
  <c r="G28" i="24" s="1"/>
  <c r="J28" i="24" s="1"/>
  <c r="AA26" i="25"/>
  <c r="AC26" i="25" s="1"/>
  <c r="AC25" i="35"/>
  <c r="M27" i="32"/>
  <c r="Q26" i="24"/>
  <c r="AA25" i="33"/>
  <c r="AC25" i="33" s="1"/>
  <c r="Z27" i="19"/>
  <c r="AL27" i="19" s="1"/>
  <c r="W27" i="40"/>
  <c r="AI27" i="40" s="1"/>
  <c r="S28" i="27"/>
  <c r="AE28" i="27" s="1"/>
  <c r="U26" i="36"/>
  <c r="AG26" i="36" s="1"/>
  <c r="U26" i="29"/>
  <c r="AG26" i="29" s="1"/>
  <c r="T25" i="20"/>
  <c r="AF25" i="20" s="1"/>
  <c r="R25" i="20"/>
  <c r="AD25" i="20" s="1"/>
  <c r="T28" i="27"/>
  <c r="AF28" i="27" s="1"/>
  <c r="Z26" i="36"/>
  <c r="AL26" i="36" s="1"/>
  <c r="R27" i="19"/>
  <c r="AD27" i="19" s="1"/>
  <c r="Z25" i="20"/>
  <c r="AL25" i="20" s="1"/>
  <c r="U28" i="27"/>
  <c r="AG28" i="27" s="1"/>
  <c r="X27" i="19"/>
  <c r="AJ27" i="19" s="1"/>
  <c r="T27" i="21"/>
  <c r="AF27" i="21" s="1"/>
  <c r="R26" i="34"/>
  <c r="AD26" i="34" s="1"/>
  <c r="U27" i="40"/>
  <c r="AG27" i="40" s="1"/>
  <c r="S26" i="34"/>
  <c r="AE26" i="34" s="1"/>
  <c r="Y27" i="40"/>
  <c r="AK27" i="40" s="1"/>
  <c r="X27" i="40"/>
  <c r="AJ27" i="40" s="1"/>
  <c r="S27" i="21"/>
  <c r="AE27" i="21" s="1"/>
  <c r="Y26" i="34"/>
  <c r="AK26" i="34" s="1"/>
  <c r="W27" i="19"/>
  <c r="W26" i="34"/>
  <c r="AI26" i="34" s="1"/>
  <c r="U27" i="19"/>
  <c r="W28" i="27"/>
  <c r="AI28" i="27" s="1"/>
  <c r="V27" i="19"/>
  <c r="AH27" i="19" s="1"/>
  <c r="R28" i="27"/>
  <c r="AD28" i="27" s="1"/>
  <c r="Y27" i="19"/>
  <c r="AK27" i="19" s="1"/>
  <c r="T27" i="40"/>
  <c r="AF27" i="40" s="1"/>
  <c r="X26" i="29"/>
  <c r="AJ26" i="29" s="1"/>
  <c r="R26" i="29"/>
  <c r="AD26" i="29" s="1"/>
  <c r="AK26" i="36"/>
  <c r="V26" i="34"/>
  <c r="AH26" i="34" s="1"/>
  <c r="Y26" i="37"/>
  <c r="AK26" i="37" s="1"/>
  <c r="AL28" i="27"/>
  <c r="V26" i="29"/>
  <c r="AH26" i="29" s="1"/>
  <c r="W26" i="29"/>
  <c r="AI26" i="29" s="1"/>
  <c r="S26" i="29"/>
  <c r="AE26" i="29" s="1"/>
  <c r="S26" i="36"/>
  <c r="AE26" i="36" s="1"/>
  <c r="R27" i="40"/>
  <c r="AD27" i="40" s="1"/>
  <c r="T26" i="29"/>
  <c r="AF26" i="29" s="1"/>
  <c r="T26" i="36"/>
  <c r="AF26" i="36" s="1"/>
  <c r="S27" i="40"/>
  <c r="AE27" i="40" s="1"/>
  <c r="V26" i="36"/>
  <c r="AH26" i="36" s="1"/>
  <c r="W26" i="36"/>
  <c r="AI26" i="36" s="1"/>
  <c r="X26" i="36"/>
  <c r="AJ26" i="36" s="1"/>
  <c r="Z27" i="40"/>
  <c r="AL27" i="40" s="1"/>
  <c r="N27" i="29"/>
  <c r="O27" i="29" s="1"/>
  <c r="S26" i="37"/>
  <c r="AE26" i="37" s="1"/>
  <c r="Z26" i="37"/>
  <c r="AL26" i="37" s="1"/>
  <c r="N27" i="34"/>
  <c r="O27" i="34" s="1"/>
  <c r="W26" i="37"/>
  <c r="AI26" i="37" s="1"/>
  <c r="V26" i="37"/>
  <c r="AH26" i="37" s="1"/>
  <c r="X28" i="27"/>
  <c r="AJ28" i="27" s="1"/>
  <c r="R26" i="36"/>
  <c r="AD26" i="36" s="1"/>
  <c r="R26" i="37"/>
  <c r="AD26" i="37" s="1"/>
  <c r="Y28" i="27"/>
  <c r="AK28" i="27" s="1"/>
  <c r="X26" i="34"/>
  <c r="AJ26" i="34" s="1"/>
  <c r="U26" i="37"/>
  <c r="AG26" i="37" s="1"/>
  <c r="V26" i="28"/>
  <c r="AH26" i="28" s="1"/>
  <c r="U26" i="28"/>
  <c r="AG26" i="28" s="1"/>
  <c r="T26" i="28"/>
  <c r="AF26" i="28" s="1"/>
  <c r="S26" i="28"/>
  <c r="AE26" i="28" s="1"/>
  <c r="Y26" i="28"/>
  <c r="AK26" i="28" s="1"/>
  <c r="R26" i="28"/>
  <c r="AD26" i="28" s="1"/>
  <c r="W26" i="28"/>
  <c r="AI26" i="28" s="1"/>
  <c r="Z26" i="28"/>
  <c r="AL26" i="28" s="1"/>
  <c r="X26" i="28"/>
  <c r="AJ26" i="28" s="1"/>
  <c r="AC27" i="38"/>
  <c r="AB27" i="38"/>
  <c r="M28" i="29"/>
  <c r="P28" i="29" s="1"/>
  <c r="X25" i="20"/>
  <c r="AJ25" i="20" s="1"/>
  <c r="P27" i="28"/>
  <c r="AA27" i="28" s="1"/>
  <c r="AC27" i="28" s="1"/>
  <c r="AC26" i="34"/>
  <c r="V25" i="20"/>
  <c r="AH25" i="20" s="1"/>
  <c r="P28" i="38"/>
  <c r="Q28" i="38" s="1"/>
  <c r="Q28" i="40"/>
  <c r="Y28" i="40" s="1"/>
  <c r="Q27" i="38"/>
  <c r="Q27" i="34"/>
  <c r="R27" i="34" s="1"/>
  <c r="Q26" i="20"/>
  <c r="X26" i="20" s="1"/>
  <c r="Q27" i="29"/>
  <c r="Y27" i="29" s="1"/>
  <c r="Q27" i="36"/>
  <c r="S27" i="36" s="1"/>
  <c r="Y26" i="29"/>
  <c r="AK26" i="29" s="1"/>
  <c r="Q29" i="27"/>
  <c r="Z29" i="27" s="1"/>
  <c r="Q26" i="8"/>
  <c r="U26" i="8" s="1"/>
  <c r="Y25" i="20"/>
  <c r="AK25" i="20" s="1"/>
  <c r="P27" i="37"/>
  <c r="AA27" i="37" s="1"/>
  <c r="Q28" i="19"/>
  <c r="Y28" i="19" s="1"/>
  <c r="M29" i="40"/>
  <c r="N29" i="40"/>
  <c r="AB27" i="40"/>
  <c r="C31" i="40"/>
  <c r="E30" i="40"/>
  <c r="H30" i="40" s="1"/>
  <c r="K30" i="40" s="1"/>
  <c r="F30" i="40"/>
  <c r="I30" i="40" s="1"/>
  <c r="L30" i="40" s="1"/>
  <c r="D30" i="40"/>
  <c r="G30" i="40" s="1"/>
  <c r="J30" i="40" s="1"/>
  <c r="AH27" i="40"/>
  <c r="O28" i="40"/>
  <c r="AA28" i="40"/>
  <c r="AC28" i="40" s="1"/>
  <c r="M29" i="38"/>
  <c r="O29" i="38" s="1"/>
  <c r="C31" i="38"/>
  <c r="F31" i="38" s="1"/>
  <c r="D30" i="38"/>
  <c r="G30" i="38" s="1"/>
  <c r="J30" i="38" s="1"/>
  <c r="I30" i="38"/>
  <c r="L30" i="38" s="1"/>
  <c r="H30" i="38"/>
  <c r="K30" i="38" s="1"/>
  <c r="M28" i="37"/>
  <c r="O28" i="37" s="1"/>
  <c r="E29" i="37"/>
  <c r="H29" i="37" s="1"/>
  <c r="K29" i="37" s="1"/>
  <c r="C30" i="37"/>
  <c r="D29" i="37"/>
  <c r="G29" i="37" s="1"/>
  <c r="J29" i="37" s="1"/>
  <c r="F29" i="37"/>
  <c r="I29" i="37" s="1"/>
  <c r="L29" i="37" s="1"/>
  <c r="AB26" i="29"/>
  <c r="M28" i="36"/>
  <c r="P28" i="36" s="1"/>
  <c r="N28" i="36"/>
  <c r="AB26" i="36"/>
  <c r="C30" i="36"/>
  <c r="F30" i="36" s="1"/>
  <c r="E29" i="36"/>
  <c r="H29" i="36" s="1"/>
  <c r="K29" i="36" s="1"/>
  <c r="D29" i="36"/>
  <c r="G29" i="36" s="1"/>
  <c r="J29" i="36" s="1"/>
  <c r="I29" i="36"/>
  <c r="L29" i="36" s="1"/>
  <c r="AA27" i="36"/>
  <c r="AC27" i="36" s="1"/>
  <c r="O27" i="36"/>
  <c r="M28" i="34"/>
  <c r="N28" i="34" s="1"/>
  <c r="AG26" i="34"/>
  <c r="C30" i="34"/>
  <c r="E29" i="34"/>
  <c r="H29" i="34" s="1"/>
  <c r="K29" i="34" s="1"/>
  <c r="D29" i="34"/>
  <c r="G29" i="34" s="1"/>
  <c r="J29" i="34" s="1"/>
  <c r="I29" i="34"/>
  <c r="L29" i="34" s="1"/>
  <c r="AB26" i="34"/>
  <c r="AA27" i="34"/>
  <c r="F30" i="33"/>
  <c r="N30" i="31"/>
  <c r="AC26" i="29"/>
  <c r="AL26" i="29"/>
  <c r="C30" i="29"/>
  <c r="E29" i="29"/>
  <c r="H29" i="29" s="1"/>
  <c r="K29" i="29" s="1"/>
  <c r="D29" i="29"/>
  <c r="G29" i="29" s="1"/>
  <c r="J29" i="29" s="1"/>
  <c r="I29" i="29"/>
  <c r="L29" i="29" s="1"/>
  <c r="AA27" i="29"/>
  <c r="M28" i="28"/>
  <c r="N28" i="28" s="1"/>
  <c r="O27" i="28"/>
  <c r="C30" i="28"/>
  <c r="E30" i="28" s="1"/>
  <c r="D29" i="28"/>
  <c r="G29" i="28" s="1"/>
  <c r="J29" i="28" s="1"/>
  <c r="I29" i="28"/>
  <c r="L29" i="28" s="1"/>
  <c r="H29" i="28"/>
  <c r="K29" i="28" s="1"/>
  <c r="M30" i="27"/>
  <c r="P30" i="27" s="1"/>
  <c r="N30" i="27"/>
  <c r="C32" i="27"/>
  <c r="D31" i="27"/>
  <c r="G31" i="27" s="1"/>
  <c r="J31" i="27" s="1"/>
  <c r="E31" i="27"/>
  <c r="H31" i="27" s="1"/>
  <c r="K31" i="27" s="1"/>
  <c r="F31" i="27"/>
  <c r="I31" i="27" s="1"/>
  <c r="L31" i="27" s="1"/>
  <c r="AB28" i="27"/>
  <c r="AA29" i="27"/>
  <c r="AC29" i="27" s="1"/>
  <c r="O29" i="27"/>
  <c r="N30" i="25"/>
  <c r="F31" i="25"/>
  <c r="E31" i="25"/>
  <c r="AE25" i="8"/>
  <c r="AJ27" i="21"/>
  <c r="AG25" i="8"/>
  <c r="AL25" i="8"/>
  <c r="AJ25" i="8"/>
  <c r="AF25" i="8"/>
  <c r="AD25" i="8"/>
  <c r="AI25" i="8"/>
  <c r="AH25" i="8"/>
  <c r="AK25" i="8"/>
  <c r="AE25" i="20"/>
  <c r="AE27" i="19"/>
  <c r="P28" i="21"/>
  <c r="O26" i="8"/>
  <c r="M29" i="21"/>
  <c r="O29" i="21" s="1"/>
  <c r="AB27" i="21"/>
  <c r="C31" i="21"/>
  <c r="D30" i="21"/>
  <c r="G30" i="21" s="1"/>
  <c r="J30" i="21" s="1"/>
  <c r="H30" i="21"/>
  <c r="K30" i="21" s="1"/>
  <c r="I30" i="21"/>
  <c r="L30" i="21" s="1"/>
  <c r="N27" i="20"/>
  <c r="C29" i="20"/>
  <c r="E28" i="20"/>
  <c r="D28" i="20"/>
  <c r="G28" i="20" s="1"/>
  <c r="J28" i="20" s="1"/>
  <c r="F28" i="20"/>
  <c r="I28" i="20" s="1"/>
  <c r="L28" i="20" s="1"/>
  <c r="O26" i="20"/>
  <c r="AB25" i="20"/>
  <c r="AA26" i="20"/>
  <c r="AC26" i="20" s="1"/>
  <c r="O28" i="19"/>
  <c r="N29" i="19"/>
  <c r="AB27" i="19"/>
  <c r="C31" i="19"/>
  <c r="E30" i="19"/>
  <c r="F30" i="19"/>
  <c r="D30" i="19"/>
  <c r="AA28" i="19"/>
  <c r="AC28" i="19" s="1"/>
  <c r="AA26" i="8"/>
  <c r="P27" i="8"/>
  <c r="N27" i="8"/>
  <c r="M28" i="8"/>
  <c r="C30" i="8"/>
  <c r="E30" i="8" s="1"/>
  <c r="D29" i="8"/>
  <c r="G29" i="8" s="1"/>
  <c r="J29" i="8" s="1"/>
  <c r="F29" i="8"/>
  <c r="I29" i="8" s="1"/>
  <c r="L29" i="8" s="1"/>
  <c r="H29" i="8"/>
  <c r="K29" i="8" s="1"/>
  <c r="T33" i="44" l="1"/>
  <c r="AF33" i="44" s="1"/>
  <c r="R33" i="44"/>
  <c r="AD33" i="44" s="1"/>
  <c r="CY21" i="1"/>
  <c r="CZ21" i="1" s="1"/>
  <c r="DM21" i="1" s="1"/>
  <c r="DP21" i="1" s="1"/>
  <c r="W33" i="44"/>
  <c r="AI33" i="44" s="1"/>
  <c r="V33" i="44"/>
  <c r="AH33" i="44" s="1"/>
  <c r="X33" i="44"/>
  <c r="AJ33" i="44" s="1"/>
  <c r="ED23" i="1"/>
  <c r="DO23" i="1" s="1"/>
  <c r="CH25" i="1"/>
  <c r="EJ25" i="1"/>
  <c r="CH24" i="1"/>
  <c r="EJ24" i="1"/>
  <c r="CO25" i="1"/>
  <c r="EQ25" i="1"/>
  <c r="CN24" i="1"/>
  <c r="EP24" i="1"/>
  <c r="CF24" i="1"/>
  <c r="EH24" i="1"/>
  <c r="CK25" i="1"/>
  <c r="EM25" i="1"/>
  <c r="CM24" i="1"/>
  <c r="EO24" i="1"/>
  <c r="CM25" i="1"/>
  <c r="EO25" i="1"/>
  <c r="CL24" i="1"/>
  <c r="EN24" i="1"/>
  <c r="CI24" i="1"/>
  <c r="EK24" i="1"/>
  <c r="CJ25" i="1"/>
  <c r="EL25" i="1"/>
  <c r="Y33" i="44"/>
  <c r="AK33" i="44" s="1"/>
  <c r="CJ24" i="1"/>
  <c r="EL24" i="1"/>
  <c r="CI25" i="1"/>
  <c r="EK25" i="1"/>
  <c r="CK24" i="1"/>
  <c r="EM24" i="1"/>
  <c r="CL25" i="1"/>
  <c r="EN25" i="1"/>
  <c r="CO24" i="1"/>
  <c r="EQ24" i="1"/>
  <c r="CN25" i="1"/>
  <c r="EP25" i="1"/>
  <c r="CT23" i="1"/>
  <c r="DA66" i="1" s="1"/>
  <c r="DA67" i="1" s="1"/>
  <c r="AB33" i="51"/>
  <c r="Y33" i="57"/>
  <c r="AK33" i="57" s="1"/>
  <c r="CU22" i="1"/>
  <c r="DA64" i="1"/>
  <c r="DA65" i="1" s="1"/>
  <c r="S33" i="57"/>
  <c r="AE33" i="57" s="1"/>
  <c r="T33" i="57"/>
  <c r="AF33" i="57" s="1"/>
  <c r="U33" i="57"/>
  <c r="AG33" i="57" s="1"/>
  <c r="V33" i="57"/>
  <c r="AH33" i="57" s="1"/>
  <c r="CV22" i="1"/>
  <c r="DB22" i="1" s="1"/>
  <c r="DC22" i="1" s="1"/>
  <c r="Z33" i="57"/>
  <c r="AL33" i="57" s="1"/>
  <c r="CS23" i="1"/>
  <c r="DF23" i="1" s="1"/>
  <c r="DK23" i="1"/>
  <c r="DL23" i="1" s="1"/>
  <c r="CC24" i="1"/>
  <c r="DH24" i="1"/>
  <c r="DI24" i="1"/>
  <c r="DJ24" i="1" s="1"/>
  <c r="AB32" i="57"/>
  <c r="AA33" i="57"/>
  <c r="AC33" i="57" s="1"/>
  <c r="AB33" i="49"/>
  <c r="AJ33" i="43"/>
  <c r="AK33" i="43"/>
  <c r="AH33" i="43"/>
  <c r="X33" i="57"/>
  <c r="AJ33" i="57" s="1"/>
  <c r="AB33" i="50"/>
  <c r="M29" i="19"/>
  <c r="P29" i="19" s="1"/>
  <c r="AE33" i="56"/>
  <c r="AK33" i="56"/>
  <c r="AC32" i="55"/>
  <c r="BL25" i="1"/>
  <c r="AG33" i="43"/>
  <c r="R33" i="57"/>
  <c r="AD33" i="57" s="1"/>
  <c r="AF33" i="56"/>
  <c r="AL33" i="56"/>
  <c r="AB32" i="56"/>
  <c r="BO26" i="1" s="1"/>
  <c r="CG26" i="1" s="1"/>
  <c r="AH33" i="56"/>
  <c r="AI33" i="56"/>
  <c r="AI27" i="19"/>
  <c r="AD33" i="43"/>
  <c r="AI33" i="43"/>
  <c r="AE33" i="43"/>
  <c r="AG33" i="56"/>
  <c r="AF33" i="43"/>
  <c r="AB26" i="37"/>
  <c r="AG27" i="19"/>
  <c r="AJ33" i="56"/>
  <c r="AC33" i="58"/>
  <c r="AD33" i="56"/>
  <c r="Y33" i="59"/>
  <c r="AK33" i="59" s="1"/>
  <c r="T33" i="59"/>
  <c r="AF33" i="59" s="1"/>
  <c r="AB32" i="43"/>
  <c r="S33" i="59"/>
  <c r="AE33" i="59" s="1"/>
  <c r="AB31" i="46"/>
  <c r="BN25" i="1" s="1"/>
  <c r="X33" i="59"/>
  <c r="AJ33" i="59" s="1"/>
  <c r="BY24" i="1"/>
  <c r="AC33" i="53"/>
  <c r="AA33" i="63"/>
  <c r="AC33" i="63" s="1"/>
  <c r="U33" i="64"/>
  <c r="AG33" i="64" s="1"/>
  <c r="Z33" i="59"/>
  <c r="AL33" i="59" s="1"/>
  <c r="AA33" i="64"/>
  <c r="AB33" i="64" s="1"/>
  <c r="AB33" i="56"/>
  <c r="V33" i="59"/>
  <c r="AH33" i="59" s="1"/>
  <c r="X33" i="62"/>
  <c r="AJ33" i="62" s="1"/>
  <c r="W33" i="59"/>
  <c r="AI33" i="59" s="1"/>
  <c r="BZ24" i="1"/>
  <c r="BZ25" i="1"/>
  <c r="R33" i="55"/>
  <c r="AD33" i="55" s="1"/>
  <c r="Z33" i="55"/>
  <c r="AL33" i="55" s="1"/>
  <c r="U33" i="55"/>
  <c r="AG33" i="55" s="1"/>
  <c r="Y33" i="55"/>
  <c r="AK33" i="55" s="1"/>
  <c r="V33" i="55"/>
  <c r="AH33" i="55" s="1"/>
  <c r="X33" i="55"/>
  <c r="AJ33" i="55" s="1"/>
  <c r="W33" i="55"/>
  <c r="AI33" i="55" s="1"/>
  <c r="T33" i="55"/>
  <c r="AF33" i="55" s="1"/>
  <c r="S33" i="55"/>
  <c r="AE33" i="55" s="1"/>
  <c r="O33" i="46"/>
  <c r="P33" i="46"/>
  <c r="Q33" i="46" s="1"/>
  <c r="Q32" i="46"/>
  <c r="AA32" i="46"/>
  <c r="AC32" i="46" s="1"/>
  <c r="X33" i="63"/>
  <c r="AJ33" i="63" s="1"/>
  <c r="Y33" i="63"/>
  <c r="AK33" i="63" s="1"/>
  <c r="U33" i="63"/>
  <c r="AG33" i="63" s="1"/>
  <c r="T33" i="63"/>
  <c r="AF33" i="63" s="1"/>
  <c r="AB33" i="43"/>
  <c r="AA33" i="55"/>
  <c r="AC33" i="55" s="1"/>
  <c r="U33" i="59"/>
  <c r="AG33" i="59" s="1"/>
  <c r="S33" i="62"/>
  <c r="AE33" i="62" s="1"/>
  <c r="Z33" i="62"/>
  <c r="AL33" i="62" s="1"/>
  <c r="V33" i="63"/>
  <c r="AH33" i="63" s="1"/>
  <c r="W33" i="63"/>
  <c r="AI33" i="63" s="1"/>
  <c r="AB33" i="65"/>
  <c r="Y33" i="62"/>
  <c r="AK33" i="62" s="1"/>
  <c r="AA33" i="59"/>
  <c r="AC33" i="59" s="1"/>
  <c r="AB32" i="62"/>
  <c r="AB32" i="59"/>
  <c r="BK26" i="1" s="1"/>
  <c r="EE26" i="1" s="1"/>
  <c r="AF33" i="60"/>
  <c r="R33" i="62"/>
  <c r="AD33" i="62" s="1"/>
  <c r="R33" i="63"/>
  <c r="AD33" i="63" s="1"/>
  <c r="CC25" i="1"/>
  <c r="AJ33" i="60"/>
  <c r="AK33" i="60"/>
  <c r="AI33" i="58"/>
  <c r="AL33" i="60"/>
  <c r="AD33" i="60"/>
  <c r="V33" i="64"/>
  <c r="AH33" i="64" s="1"/>
  <c r="AE33" i="60"/>
  <c r="AH33" i="62"/>
  <c r="T33" i="62"/>
  <c r="AF33" i="62" s="1"/>
  <c r="S33" i="63"/>
  <c r="AE33" i="63" s="1"/>
  <c r="Y33" i="64"/>
  <c r="AK33" i="64" s="1"/>
  <c r="Z33" i="64"/>
  <c r="AL33" i="64" s="1"/>
  <c r="AI33" i="60"/>
  <c r="S33" i="64"/>
  <c r="AE33" i="64" s="1"/>
  <c r="T33" i="64"/>
  <c r="AF33" i="64" s="1"/>
  <c r="AF33" i="58"/>
  <c r="R33" i="64"/>
  <c r="AD33" i="64" s="1"/>
  <c r="AD33" i="58"/>
  <c r="M28" i="23"/>
  <c r="AB33" i="60"/>
  <c r="AG33" i="60"/>
  <c r="U33" i="62"/>
  <c r="AG33" i="62" s="1"/>
  <c r="W33" i="64"/>
  <c r="AI33" i="64" s="1"/>
  <c r="Q26" i="23"/>
  <c r="AA26" i="23"/>
  <c r="AH33" i="60"/>
  <c r="W33" i="62"/>
  <c r="AI33" i="62" s="1"/>
  <c r="N27" i="23"/>
  <c r="O27" i="23" s="1"/>
  <c r="P27" i="23"/>
  <c r="AB33" i="53"/>
  <c r="AI33" i="53"/>
  <c r="AK18" i="1"/>
  <c r="AD33" i="59"/>
  <c r="AC32" i="63"/>
  <c r="AB32" i="63"/>
  <c r="AA33" i="62"/>
  <c r="AC33" i="62" s="1"/>
  <c r="AC33" i="60"/>
  <c r="AL33" i="58"/>
  <c r="AE33" i="58"/>
  <c r="AG33" i="58"/>
  <c r="AJ33" i="58"/>
  <c r="AK33" i="58"/>
  <c r="AH33" i="58"/>
  <c r="AB33" i="58"/>
  <c r="AK33" i="53"/>
  <c r="AL33" i="53"/>
  <c r="AE33" i="53"/>
  <c r="AJ33" i="53"/>
  <c r="AD33" i="53"/>
  <c r="AF33" i="53"/>
  <c r="AG33" i="53"/>
  <c r="AH33" i="53"/>
  <c r="AB33" i="44"/>
  <c r="F29" i="23"/>
  <c r="I29" i="23" s="1"/>
  <c r="L29" i="23" s="1"/>
  <c r="E29" i="23"/>
  <c r="H29" i="23" s="1"/>
  <c r="K29" i="23" s="1"/>
  <c r="D29" i="23"/>
  <c r="G29" i="23" s="1"/>
  <c r="J29" i="23" s="1"/>
  <c r="C30" i="23"/>
  <c r="W25" i="23"/>
  <c r="AI25" i="23" s="1"/>
  <c r="X25" i="23"/>
  <c r="AJ25" i="23" s="1"/>
  <c r="S25" i="23"/>
  <c r="AE25" i="23" s="1"/>
  <c r="Z25" i="23"/>
  <c r="AL25" i="23" s="1"/>
  <c r="Y25" i="23"/>
  <c r="AK25" i="23" s="1"/>
  <c r="V25" i="23"/>
  <c r="AH25" i="23" s="1"/>
  <c r="U25" i="23"/>
  <c r="AG25" i="23" s="1"/>
  <c r="T25" i="23"/>
  <c r="AF25" i="23" s="1"/>
  <c r="R25" i="23"/>
  <c r="AD25" i="23" s="1"/>
  <c r="AB25" i="23"/>
  <c r="H30" i="19"/>
  <c r="K30" i="19" s="1"/>
  <c r="G30" i="19"/>
  <c r="J30" i="19" s="1"/>
  <c r="I30" i="19"/>
  <c r="L30" i="19" s="1"/>
  <c r="BC22" i="1"/>
  <c r="H28" i="20"/>
  <c r="K28" i="20" s="1"/>
  <c r="M28" i="20" s="1"/>
  <c r="P28" i="20" s="1"/>
  <c r="BD22" i="1"/>
  <c r="BE22" i="1"/>
  <c r="X16" i="1"/>
  <c r="BF16" i="1"/>
  <c r="E20" i="1"/>
  <c r="Q12" i="14"/>
  <c r="R12" i="14" s="1"/>
  <c r="Q2" i="14"/>
  <c r="R2" i="14" s="1"/>
  <c r="E22" i="1"/>
  <c r="E15" i="1"/>
  <c r="Q6" i="14"/>
  <c r="R6" i="14" s="1"/>
  <c r="Q10" i="14"/>
  <c r="R10" i="14" s="1"/>
  <c r="E18" i="1"/>
  <c r="Q13" i="14"/>
  <c r="R13" i="14" s="1"/>
  <c r="E21" i="1"/>
  <c r="E19" i="1"/>
  <c r="Q11" i="14"/>
  <c r="R11" i="14" s="1"/>
  <c r="E27" i="1"/>
  <c r="Q14" i="14"/>
  <c r="Q9" i="14"/>
  <c r="R9" i="14" s="1"/>
  <c r="E17" i="1"/>
  <c r="Q3" i="14"/>
  <c r="R3" i="14" s="1"/>
  <c r="E23" i="1"/>
  <c r="E16" i="1"/>
  <c r="Q8" i="14"/>
  <c r="R8" i="14" s="1"/>
  <c r="Y17" i="1"/>
  <c r="AM18" i="1"/>
  <c r="AA16" i="1"/>
  <c r="AD16" i="1"/>
  <c r="AB16" i="1"/>
  <c r="AE16" i="1"/>
  <c r="AC16" i="1"/>
  <c r="Z15" i="1"/>
  <c r="AA26" i="30"/>
  <c r="AC26" i="30" s="1"/>
  <c r="AS19" i="1"/>
  <c r="BB21" i="1"/>
  <c r="AX20" i="1"/>
  <c r="AO22" i="1"/>
  <c r="AH19" i="1"/>
  <c r="BA18" i="1"/>
  <c r="AG19" i="1"/>
  <c r="AP20" i="1"/>
  <c r="AY20" i="1"/>
  <c r="AL19" i="1"/>
  <c r="AV20" i="1"/>
  <c r="AU18" i="1"/>
  <c r="AN18" i="1"/>
  <c r="AJ18" i="1"/>
  <c r="AR18" i="1"/>
  <c r="AI21" i="1"/>
  <c r="AQ20" i="1"/>
  <c r="AT18" i="1"/>
  <c r="AW18" i="1"/>
  <c r="Y25" i="25"/>
  <c r="AK25" i="25" s="1"/>
  <c r="R25" i="25"/>
  <c r="AD25" i="25" s="1"/>
  <c r="U25" i="25"/>
  <c r="AG25" i="25" s="1"/>
  <c r="W25" i="25"/>
  <c r="AI25" i="25" s="1"/>
  <c r="X25" i="30"/>
  <c r="AJ25" i="30" s="1"/>
  <c r="V25" i="25"/>
  <c r="AH25" i="25" s="1"/>
  <c r="T25" i="25"/>
  <c r="AF25" i="25" s="1"/>
  <c r="Z25" i="25"/>
  <c r="AL25" i="25" s="1"/>
  <c r="U25" i="30"/>
  <c r="AG25" i="30" s="1"/>
  <c r="Z25" i="30"/>
  <c r="AL25" i="30" s="1"/>
  <c r="X25" i="25"/>
  <c r="AJ25" i="25" s="1"/>
  <c r="S25" i="30"/>
  <c r="AE25" i="30" s="1"/>
  <c r="T25" i="30"/>
  <c r="AF25" i="30" s="1"/>
  <c r="V25" i="30"/>
  <c r="AH25" i="30" s="1"/>
  <c r="AC26" i="24"/>
  <c r="V17" i="1"/>
  <c r="W25" i="30"/>
  <c r="AI25" i="30" s="1"/>
  <c r="Y25" i="30"/>
  <c r="AK25" i="30" s="1"/>
  <c r="M29" i="31"/>
  <c r="P29" i="31" s="1"/>
  <c r="Q29" i="31" s="1"/>
  <c r="P27" i="30"/>
  <c r="AA27" i="30" s="1"/>
  <c r="AC27" i="30" s="1"/>
  <c r="M28" i="30"/>
  <c r="N28" i="30" s="1"/>
  <c r="O27" i="25"/>
  <c r="AB27" i="25" s="1"/>
  <c r="AB25" i="32"/>
  <c r="W26" i="20"/>
  <c r="AI26" i="20" s="1"/>
  <c r="I18" i="1"/>
  <c r="H18" i="1"/>
  <c r="W17" i="1"/>
  <c r="AB26" i="28"/>
  <c r="T18" i="1"/>
  <c r="U18" i="1"/>
  <c r="AB25" i="26"/>
  <c r="Y25" i="32"/>
  <c r="AK25" i="32" s="1"/>
  <c r="S25" i="32"/>
  <c r="AE25" i="32" s="1"/>
  <c r="X25" i="32"/>
  <c r="AJ25" i="32" s="1"/>
  <c r="U25" i="32"/>
  <c r="AG25" i="32" s="1"/>
  <c r="V25" i="32"/>
  <c r="AH25" i="32" s="1"/>
  <c r="T25" i="32"/>
  <c r="AF25" i="32" s="1"/>
  <c r="W25" i="32"/>
  <c r="AI25" i="32" s="1"/>
  <c r="Z25" i="32"/>
  <c r="AL25" i="32" s="1"/>
  <c r="R25" i="32"/>
  <c r="AD25" i="32" s="1"/>
  <c r="N18" i="1"/>
  <c r="AB26" i="35"/>
  <c r="M28" i="39"/>
  <c r="P28" i="31"/>
  <c r="AA28" i="31" s="1"/>
  <c r="AC28" i="31" s="1"/>
  <c r="O28" i="31"/>
  <c r="T26" i="8"/>
  <c r="AF26" i="8" s="1"/>
  <c r="Y29" i="27"/>
  <c r="AK29" i="27" s="1"/>
  <c r="Z26" i="31"/>
  <c r="AL26" i="31" s="1"/>
  <c r="W26" i="31"/>
  <c r="AI26" i="31" s="1"/>
  <c r="T26" i="31"/>
  <c r="AF26" i="31" s="1"/>
  <c r="R26" i="31"/>
  <c r="AD26" i="31" s="1"/>
  <c r="U26" i="31"/>
  <c r="AG26" i="31" s="1"/>
  <c r="X26" i="31"/>
  <c r="AJ26" i="31" s="1"/>
  <c r="V26" i="31"/>
  <c r="AH26" i="31" s="1"/>
  <c r="S26" i="31"/>
  <c r="AE26" i="31" s="1"/>
  <c r="Y26" i="31"/>
  <c r="AK26" i="31" s="1"/>
  <c r="S18" i="1"/>
  <c r="V26" i="8"/>
  <c r="AH26" i="8" s="1"/>
  <c r="N27" i="24"/>
  <c r="O27" i="24" s="1"/>
  <c r="AB27" i="24" s="1"/>
  <c r="Q18" i="1"/>
  <c r="AB26" i="26"/>
  <c r="AC27" i="34"/>
  <c r="M18" i="1"/>
  <c r="C31" i="31"/>
  <c r="E30" i="31"/>
  <c r="H30" i="31" s="1"/>
  <c r="K30" i="31" s="1"/>
  <c r="D30" i="31"/>
  <c r="G30" i="31" s="1"/>
  <c r="J30" i="31" s="1"/>
  <c r="I30" i="31"/>
  <c r="L30" i="31" s="1"/>
  <c r="AK27" i="29"/>
  <c r="M28" i="25"/>
  <c r="O28" i="25" s="1"/>
  <c r="AC26" i="26"/>
  <c r="Q26" i="26"/>
  <c r="U25" i="26"/>
  <c r="AG25" i="26" s="1"/>
  <c r="T25" i="26"/>
  <c r="AF25" i="26" s="1"/>
  <c r="S25" i="26"/>
  <c r="AE25" i="26" s="1"/>
  <c r="R25" i="26"/>
  <c r="AD25" i="26" s="1"/>
  <c r="X25" i="26"/>
  <c r="AJ25" i="26" s="1"/>
  <c r="Z25" i="26"/>
  <c r="AL25" i="26" s="1"/>
  <c r="Y25" i="26"/>
  <c r="AK25" i="26" s="1"/>
  <c r="W25" i="26"/>
  <c r="AI25" i="26" s="1"/>
  <c r="V25" i="26"/>
  <c r="AH25" i="26" s="1"/>
  <c r="P18" i="1"/>
  <c r="AB26" i="22"/>
  <c r="V26" i="20"/>
  <c r="AH26" i="20" s="1"/>
  <c r="N28" i="29"/>
  <c r="O28" i="29" s="1"/>
  <c r="AB26" i="32"/>
  <c r="R18" i="1"/>
  <c r="Q26" i="32"/>
  <c r="Q26" i="22"/>
  <c r="M28" i="32"/>
  <c r="Q26" i="35"/>
  <c r="O18" i="1"/>
  <c r="AB27" i="31"/>
  <c r="AC27" i="31"/>
  <c r="P27" i="22"/>
  <c r="AA27" i="22" s="1"/>
  <c r="AC27" i="22" s="1"/>
  <c r="O27" i="22"/>
  <c r="AC26" i="35"/>
  <c r="M28" i="24"/>
  <c r="P28" i="24" s="1"/>
  <c r="AA28" i="24" s="1"/>
  <c r="Q27" i="31"/>
  <c r="M28" i="33"/>
  <c r="F29" i="22"/>
  <c r="I29" i="22" s="1"/>
  <c r="L29" i="22" s="1"/>
  <c r="D29" i="22"/>
  <c r="G29" i="22" s="1"/>
  <c r="J29" i="22" s="1"/>
  <c r="C30" i="22"/>
  <c r="E29" i="22"/>
  <c r="H29" i="22" s="1"/>
  <c r="K29" i="22" s="1"/>
  <c r="AB25" i="22"/>
  <c r="AC25" i="22"/>
  <c r="E29" i="39"/>
  <c r="H29" i="39" s="1"/>
  <c r="K29" i="39" s="1"/>
  <c r="C30" i="39"/>
  <c r="F29" i="39"/>
  <c r="I29" i="39" s="1"/>
  <c r="L29" i="39" s="1"/>
  <c r="D29" i="39"/>
  <c r="G29" i="39" s="1"/>
  <c r="J29" i="39" s="1"/>
  <c r="Q26" i="33"/>
  <c r="X25" i="22"/>
  <c r="AJ25" i="22" s="1"/>
  <c r="V25" i="22"/>
  <c r="AH25" i="22" s="1"/>
  <c r="T25" i="22"/>
  <c r="AF25" i="22" s="1"/>
  <c r="Z25" i="22"/>
  <c r="AL25" i="22" s="1"/>
  <c r="U25" i="22"/>
  <c r="AG25" i="22" s="1"/>
  <c r="W25" i="22"/>
  <c r="AI25" i="22" s="1"/>
  <c r="S25" i="22"/>
  <c r="AE25" i="22" s="1"/>
  <c r="Y25" i="22"/>
  <c r="AK25" i="22" s="1"/>
  <c r="R25" i="22"/>
  <c r="AD25" i="22" s="1"/>
  <c r="AA26" i="39"/>
  <c r="AC26" i="39" s="1"/>
  <c r="Q26" i="39"/>
  <c r="AA26" i="33"/>
  <c r="AC26" i="33" s="1"/>
  <c r="F29" i="32"/>
  <c r="I29" i="32" s="1"/>
  <c r="L29" i="32" s="1"/>
  <c r="D29" i="32"/>
  <c r="G29" i="32" s="1"/>
  <c r="J29" i="32" s="1"/>
  <c r="C30" i="32"/>
  <c r="E29" i="32"/>
  <c r="H29" i="32" s="1"/>
  <c r="K29" i="32" s="1"/>
  <c r="M28" i="26"/>
  <c r="Q27" i="24"/>
  <c r="T28" i="19"/>
  <c r="AF28" i="19" s="1"/>
  <c r="AB26" i="25"/>
  <c r="L20" i="1" s="1"/>
  <c r="E29" i="24"/>
  <c r="H29" i="24" s="1"/>
  <c r="K29" i="24" s="1"/>
  <c r="F29" i="24"/>
  <c r="I29" i="24" s="1"/>
  <c r="L29" i="24" s="1"/>
  <c r="C30" i="24"/>
  <c r="D29" i="24"/>
  <c r="G29" i="24" s="1"/>
  <c r="J29" i="24" s="1"/>
  <c r="F29" i="26"/>
  <c r="I29" i="26" s="1"/>
  <c r="L29" i="26" s="1"/>
  <c r="C30" i="26"/>
  <c r="D29" i="26"/>
  <c r="G29" i="26" s="1"/>
  <c r="J29" i="26" s="1"/>
  <c r="E29" i="26"/>
  <c r="H29" i="26" s="1"/>
  <c r="K29" i="26" s="1"/>
  <c r="R28" i="19"/>
  <c r="AD28" i="19" s="1"/>
  <c r="N27" i="26"/>
  <c r="O27" i="26" s="1"/>
  <c r="P27" i="26"/>
  <c r="AA27" i="26" s="1"/>
  <c r="U25" i="35"/>
  <c r="AG25" i="35" s="1"/>
  <c r="T25" i="35"/>
  <c r="AF25" i="35" s="1"/>
  <c r="V25" i="35"/>
  <c r="AH25" i="35" s="1"/>
  <c r="Z25" i="35"/>
  <c r="AL25" i="35" s="1"/>
  <c r="R25" i="35"/>
  <c r="AD25" i="35" s="1"/>
  <c r="Y25" i="35"/>
  <c r="AK25" i="35" s="1"/>
  <c r="W25" i="35"/>
  <c r="AI25" i="35" s="1"/>
  <c r="X25" i="35"/>
  <c r="AJ25" i="35" s="1"/>
  <c r="S25" i="35"/>
  <c r="AE25" i="35" s="1"/>
  <c r="N27" i="35"/>
  <c r="O27" i="35" s="1"/>
  <c r="P27" i="35"/>
  <c r="U26" i="25"/>
  <c r="AG26" i="25" s="1"/>
  <c r="V26" i="25"/>
  <c r="AH26" i="25" s="1"/>
  <c r="T26" i="25"/>
  <c r="AF26" i="25" s="1"/>
  <c r="S26" i="25"/>
  <c r="AE26" i="25" s="1"/>
  <c r="R26" i="25"/>
  <c r="AD26" i="25" s="1"/>
  <c r="W26" i="25"/>
  <c r="AI26" i="25" s="1"/>
  <c r="X26" i="25"/>
  <c r="AJ26" i="25" s="1"/>
  <c r="Y26" i="25"/>
  <c r="AK26" i="25" s="1"/>
  <c r="Z26" i="25"/>
  <c r="AL26" i="25" s="1"/>
  <c r="V28" i="19"/>
  <c r="AH28" i="19" s="1"/>
  <c r="S28" i="19"/>
  <c r="AE28" i="19" s="1"/>
  <c r="R26" i="24"/>
  <c r="AD26" i="24" s="1"/>
  <c r="T26" i="24"/>
  <c r="AF26" i="24" s="1"/>
  <c r="W26" i="24"/>
  <c r="AI26" i="24" s="1"/>
  <c r="S26" i="24"/>
  <c r="AE26" i="24" s="1"/>
  <c r="V26" i="24"/>
  <c r="AH26" i="24" s="1"/>
  <c r="Y26" i="24"/>
  <c r="AK26" i="24" s="1"/>
  <c r="U26" i="24"/>
  <c r="AG26" i="24" s="1"/>
  <c r="X26" i="24"/>
  <c r="AJ26" i="24" s="1"/>
  <c r="Z26" i="24"/>
  <c r="AL26" i="24" s="1"/>
  <c r="C30" i="25"/>
  <c r="D29" i="25"/>
  <c r="G29" i="25" s="1"/>
  <c r="J29" i="25" s="1"/>
  <c r="I29" i="25"/>
  <c r="L29" i="25" s="1"/>
  <c r="H29" i="25"/>
  <c r="K29" i="25" s="1"/>
  <c r="O27" i="32"/>
  <c r="P27" i="32"/>
  <c r="M28" i="35"/>
  <c r="T25" i="39"/>
  <c r="AF25" i="39" s="1"/>
  <c r="W25" i="39"/>
  <c r="AI25" i="39" s="1"/>
  <c r="U25" i="39"/>
  <c r="AG25" i="39" s="1"/>
  <c r="Z25" i="39"/>
  <c r="AL25" i="39" s="1"/>
  <c r="S25" i="39"/>
  <c r="AE25" i="39" s="1"/>
  <c r="R25" i="39"/>
  <c r="AD25" i="39" s="1"/>
  <c r="X25" i="39"/>
  <c r="AJ25" i="39" s="1"/>
  <c r="V25" i="39"/>
  <c r="AH25" i="39" s="1"/>
  <c r="Y25" i="39"/>
  <c r="AK25" i="39" s="1"/>
  <c r="T26" i="30"/>
  <c r="AF26" i="30" s="1"/>
  <c r="S26" i="30"/>
  <c r="AE26" i="30" s="1"/>
  <c r="Z26" i="30"/>
  <c r="AL26" i="30" s="1"/>
  <c r="Y26" i="30"/>
  <c r="AK26" i="30" s="1"/>
  <c r="W26" i="30"/>
  <c r="AI26" i="30" s="1"/>
  <c r="X26" i="30"/>
  <c r="AJ26" i="30" s="1"/>
  <c r="U26" i="30"/>
  <c r="AG26" i="30" s="1"/>
  <c r="V26" i="30"/>
  <c r="AH26" i="30" s="1"/>
  <c r="R26" i="30"/>
  <c r="AD26" i="30" s="1"/>
  <c r="E29" i="35"/>
  <c r="H29" i="35" s="1"/>
  <c r="K29" i="35" s="1"/>
  <c r="C30" i="35"/>
  <c r="I29" i="35"/>
  <c r="L29" i="35" s="1"/>
  <c r="D29" i="35"/>
  <c r="G29" i="35" s="1"/>
  <c r="J29" i="35" s="1"/>
  <c r="N27" i="39"/>
  <c r="O27" i="39" s="1"/>
  <c r="P27" i="39"/>
  <c r="X25" i="33"/>
  <c r="AJ25" i="33" s="1"/>
  <c r="W25" i="33"/>
  <c r="AI25" i="33" s="1"/>
  <c r="V25" i="33"/>
  <c r="AH25" i="33" s="1"/>
  <c r="S25" i="33"/>
  <c r="AE25" i="33" s="1"/>
  <c r="Z25" i="33"/>
  <c r="AL25" i="33" s="1"/>
  <c r="T25" i="33"/>
  <c r="AF25" i="33" s="1"/>
  <c r="R25" i="33"/>
  <c r="AD25" i="33" s="1"/>
  <c r="Y25" i="33"/>
  <c r="AK25" i="33" s="1"/>
  <c r="U25" i="33"/>
  <c r="AG25" i="33" s="1"/>
  <c r="Q27" i="25"/>
  <c r="M28" i="22"/>
  <c r="C30" i="30"/>
  <c r="E29" i="30"/>
  <c r="H29" i="30" s="1"/>
  <c r="K29" i="30" s="1"/>
  <c r="D29" i="30"/>
  <c r="G29" i="30" s="1"/>
  <c r="J29" i="30" s="1"/>
  <c r="I29" i="30"/>
  <c r="L29" i="30" s="1"/>
  <c r="C30" i="33"/>
  <c r="E29" i="33"/>
  <c r="H29" i="33" s="1"/>
  <c r="K29" i="33" s="1"/>
  <c r="D29" i="33"/>
  <c r="G29" i="33" s="1"/>
  <c r="J29" i="33" s="1"/>
  <c r="N27" i="33"/>
  <c r="O27" i="33" s="1"/>
  <c r="P27" i="33"/>
  <c r="AB25" i="39"/>
  <c r="AB25" i="33"/>
  <c r="AC27" i="29"/>
  <c r="Q27" i="28"/>
  <c r="Z27" i="28" s="1"/>
  <c r="AL27" i="28" s="1"/>
  <c r="T28" i="40"/>
  <c r="AF28" i="40" s="1"/>
  <c r="P29" i="38"/>
  <c r="Q29" i="38" s="1"/>
  <c r="R29" i="27"/>
  <c r="AD29" i="27" s="1"/>
  <c r="V29" i="27"/>
  <c r="AH29" i="27" s="1"/>
  <c r="U28" i="40"/>
  <c r="AG28" i="40" s="1"/>
  <c r="Y26" i="8"/>
  <c r="AK26" i="8" s="1"/>
  <c r="X26" i="8"/>
  <c r="AJ26" i="8" s="1"/>
  <c r="R27" i="29"/>
  <c r="AD27" i="29" s="1"/>
  <c r="W26" i="8"/>
  <c r="AI26" i="8" s="1"/>
  <c r="R26" i="8"/>
  <c r="AD26" i="8" s="1"/>
  <c r="U26" i="20"/>
  <c r="AG26" i="20" s="1"/>
  <c r="Z26" i="20"/>
  <c r="AL26" i="20" s="1"/>
  <c r="Y26" i="20"/>
  <c r="AK26" i="20" s="1"/>
  <c r="R26" i="20"/>
  <c r="AD26" i="20" s="1"/>
  <c r="S27" i="29"/>
  <c r="AE27" i="29" s="1"/>
  <c r="T26" i="20"/>
  <c r="AF26" i="20" s="1"/>
  <c r="W28" i="19"/>
  <c r="AI28" i="19" s="1"/>
  <c r="X29" i="27"/>
  <c r="AJ29" i="27" s="1"/>
  <c r="S29" i="27"/>
  <c r="AE29" i="27" s="1"/>
  <c r="V27" i="34"/>
  <c r="AH27" i="34" s="1"/>
  <c r="X28" i="19"/>
  <c r="AJ28" i="19" s="1"/>
  <c r="W29" i="27"/>
  <c r="AI29" i="27" s="1"/>
  <c r="Z27" i="29"/>
  <c r="AL27" i="29" s="1"/>
  <c r="O29" i="40"/>
  <c r="P28" i="34"/>
  <c r="Q28" i="34" s="1"/>
  <c r="U28" i="19"/>
  <c r="AG28" i="19" s="1"/>
  <c r="X27" i="29"/>
  <c r="AJ27" i="29" s="1"/>
  <c r="W28" i="40"/>
  <c r="AI28" i="40" s="1"/>
  <c r="Z28" i="19"/>
  <c r="AL28" i="19" s="1"/>
  <c r="T29" i="27"/>
  <c r="AF29" i="27" s="1"/>
  <c r="T27" i="34"/>
  <c r="AF27" i="34" s="1"/>
  <c r="X28" i="40"/>
  <c r="AJ28" i="40" s="1"/>
  <c r="S26" i="20"/>
  <c r="AE26" i="20" s="1"/>
  <c r="U29" i="27"/>
  <c r="AG29" i="27" s="1"/>
  <c r="Y27" i="34"/>
  <c r="AK27" i="34" s="1"/>
  <c r="Z27" i="36"/>
  <c r="AL27" i="36" s="1"/>
  <c r="O28" i="36"/>
  <c r="Z28" i="40"/>
  <c r="AL28" i="40" s="1"/>
  <c r="Z27" i="34"/>
  <c r="AL27" i="34" s="1"/>
  <c r="R27" i="36"/>
  <c r="AD27" i="36" s="1"/>
  <c r="R28" i="40"/>
  <c r="AD28" i="40" s="1"/>
  <c r="T27" i="36"/>
  <c r="AF27" i="36" s="1"/>
  <c r="S27" i="34"/>
  <c r="AE27" i="34" s="1"/>
  <c r="U27" i="36"/>
  <c r="AG27" i="36" s="1"/>
  <c r="AA28" i="38"/>
  <c r="AC28" i="38" s="1"/>
  <c r="V28" i="40"/>
  <c r="AH28" i="40" s="1"/>
  <c r="U27" i="34"/>
  <c r="AG27" i="34" s="1"/>
  <c r="Y27" i="36"/>
  <c r="AK27" i="36" s="1"/>
  <c r="X27" i="34"/>
  <c r="AJ27" i="34" s="1"/>
  <c r="V27" i="36"/>
  <c r="AH27" i="36" s="1"/>
  <c r="S26" i="8"/>
  <c r="AE26" i="8" s="1"/>
  <c r="U27" i="29"/>
  <c r="AG27" i="29" s="1"/>
  <c r="W27" i="36"/>
  <c r="AI27" i="36" s="1"/>
  <c r="V27" i="29"/>
  <c r="AH27" i="29" s="1"/>
  <c r="X27" i="36"/>
  <c r="AJ27" i="36" s="1"/>
  <c r="AG26" i="8"/>
  <c r="W27" i="29"/>
  <c r="AI27" i="29" s="1"/>
  <c r="W27" i="34"/>
  <c r="AI27" i="34" s="1"/>
  <c r="S28" i="40"/>
  <c r="AE28" i="40" s="1"/>
  <c r="T28" i="38"/>
  <c r="AF28" i="38" s="1"/>
  <c r="Z28" i="38"/>
  <c r="AL28" i="38" s="1"/>
  <c r="Y28" i="38"/>
  <c r="AK28" i="38" s="1"/>
  <c r="X28" i="38"/>
  <c r="AJ28" i="38" s="1"/>
  <c r="W28" i="38"/>
  <c r="AI28" i="38" s="1"/>
  <c r="S28" i="38"/>
  <c r="AE28" i="38" s="1"/>
  <c r="R28" i="38"/>
  <c r="AD28" i="38" s="1"/>
  <c r="V28" i="38"/>
  <c r="AH28" i="38" s="1"/>
  <c r="U28" i="38"/>
  <c r="AG28" i="38" s="1"/>
  <c r="AC27" i="37"/>
  <c r="AB27" i="37"/>
  <c r="P28" i="28"/>
  <c r="Q28" i="28" s="1"/>
  <c r="O28" i="28"/>
  <c r="M29" i="34"/>
  <c r="P29" i="34" s="1"/>
  <c r="M30" i="40"/>
  <c r="P30" i="40" s="1"/>
  <c r="Z26" i="8"/>
  <c r="AL26" i="8" s="1"/>
  <c r="AE27" i="36"/>
  <c r="Q30" i="27"/>
  <c r="Z30" i="27" s="1"/>
  <c r="Q28" i="36"/>
  <c r="R28" i="36" s="1"/>
  <c r="K19" i="1"/>
  <c r="M29" i="28"/>
  <c r="N29" i="28" s="1"/>
  <c r="P28" i="37"/>
  <c r="AA28" i="37" s="1"/>
  <c r="AC28" i="37" s="1"/>
  <c r="Q27" i="8"/>
  <c r="S27" i="8" s="1"/>
  <c r="W27" i="38"/>
  <c r="AI27" i="38" s="1"/>
  <c r="R27" i="38"/>
  <c r="AD27" i="38" s="1"/>
  <c r="Y27" i="38"/>
  <c r="AK27" i="38" s="1"/>
  <c r="V27" i="38"/>
  <c r="AH27" i="38" s="1"/>
  <c r="U27" i="38"/>
  <c r="AG27" i="38" s="1"/>
  <c r="T27" i="38"/>
  <c r="AF27" i="38" s="1"/>
  <c r="S27" i="38"/>
  <c r="AE27" i="38" s="1"/>
  <c r="Z27" i="38"/>
  <c r="AL27" i="38" s="1"/>
  <c r="X27" i="38"/>
  <c r="AJ27" i="38" s="1"/>
  <c r="Q28" i="21"/>
  <c r="R28" i="21" s="1"/>
  <c r="AD28" i="21" s="1"/>
  <c r="Q29" i="19"/>
  <c r="U29" i="19" s="1"/>
  <c r="AD27" i="34"/>
  <c r="Q27" i="20"/>
  <c r="W27" i="20" s="1"/>
  <c r="T27" i="29"/>
  <c r="AF27" i="29" s="1"/>
  <c r="AK28" i="40"/>
  <c r="Q28" i="29"/>
  <c r="U28" i="29" s="1"/>
  <c r="Q27" i="37"/>
  <c r="P29" i="40"/>
  <c r="N30" i="40"/>
  <c r="AB28" i="40"/>
  <c r="C32" i="40"/>
  <c r="E31" i="40"/>
  <c r="H31" i="40" s="1"/>
  <c r="K31" i="40" s="1"/>
  <c r="F31" i="40"/>
  <c r="I31" i="40" s="1"/>
  <c r="L31" i="40" s="1"/>
  <c r="D31" i="40"/>
  <c r="G31" i="40" s="1"/>
  <c r="J31" i="40" s="1"/>
  <c r="M30" i="38"/>
  <c r="O30" i="38" s="1"/>
  <c r="C32" i="38"/>
  <c r="F32" i="38" s="1"/>
  <c r="D31" i="38"/>
  <c r="G31" i="38" s="1"/>
  <c r="J31" i="38" s="1"/>
  <c r="H31" i="38"/>
  <c r="K31" i="38" s="1"/>
  <c r="I31" i="38"/>
  <c r="L31" i="38" s="1"/>
  <c r="M29" i="37"/>
  <c r="P29" i="37" s="1"/>
  <c r="C31" i="37"/>
  <c r="D30" i="37"/>
  <c r="G30" i="37" s="1"/>
  <c r="J30" i="37" s="1"/>
  <c r="E30" i="37"/>
  <c r="H30" i="37" s="1"/>
  <c r="K30" i="37" s="1"/>
  <c r="F30" i="37"/>
  <c r="I30" i="37" s="1"/>
  <c r="L30" i="37" s="1"/>
  <c r="AB29" i="27"/>
  <c r="AB27" i="28"/>
  <c r="M29" i="36"/>
  <c r="P29" i="36" s="1"/>
  <c r="N29" i="36"/>
  <c r="C31" i="36"/>
  <c r="F31" i="36" s="1"/>
  <c r="E30" i="36"/>
  <c r="H30" i="36" s="1"/>
  <c r="K30" i="36" s="1"/>
  <c r="D30" i="36"/>
  <c r="G30" i="36" s="1"/>
  <c r="J30" i="36" s="1"/>
  <c r="I30" i="36"/>
  <c r="L30" i="36" s="1"/>
  <c r="AB27" i="36"/>
  <c r="AA28" i="36"/>
  <c r="AC28" i="36" s="1"/>
  <c r="C31" i="34"/>
  <c r="D30" i="34"/>
  <c r="G30" i="34" s="1"/>
  <c r="J30" i="34" s="1"/>
  <c r="E30" i="34"/>
  <c r="H30" i="34" s="1"/>
  <c r="K30" i="34" s="1"/>
  <c r="I30" i="34"/>
  <c r="L30" i="34" s="1"/>
  <c r="AB27" i="34"/>
  <c r="O28" i="34"/>
  <c r="F31" i="33"/>
  <c r="N31" i="31"/>
  <c r="M29" i="29"/>
  <c r="N29" i="29" s="1"/>
  <c r="AB27" i="29"/>
  <c r="C31" i="29"/>
  <c r="E30" i="29"/>
  <c r="H30" i="29" s="1"/>
  <c r="K30" i="29" s="1"/>
  <c r="D30" i="29"/>
  <c r="G30" i="29" s="1"/>
  <c r="J30" i="29" s="1"/>
  <c r="I30" i="29"/>
  <c r="L30" i="29" s="1"/>
  <c r="AA28" i="29"/>
  <c r="C31" i="28"/>
  <c r="E31" i="28" s="1"/>
  <c r="D30" i="28"/>
  <c r="G30" i="28" s="1"/>
  <c r="J30" i="28" s="1"/>
  <c r="H30" i="28"/>
  <c r="K30" i="28" s="1"/>
  <c r="I30" i="28"/>
  <c r="L30" i="28" s="1"/>
  <c r="M31" i="27"/>
  <c r="P31" i="27" s="1"/>
  <c r="AL29" i="27"/>
  <c r="N31" i="27"/>
  <c r="C33" i="27"/>
  <c r="D32" i="27"/>
  <c r="G32" i="27" s="1"/>
  <c r="J32" i="27" s="1"/>
  <c r="E32" i="27"/>
  <c r="H32" i="27" s="1"/>
  <c r="K32" i="27" s="1"/>
  <c r="F32" i="27"/>
  <c r="I32" i="27" s="1"/>
  <c r="L32" i="27" s="1"/>
  <c r="AA30" i="27"/>
  <c r="AC30" i="27" s="1"/>
  <c r="O30" i="27"/>
  <c r="E32" i="25"/>
  <c r="F32" i="25"/>
  <c r="N31" i="25"/>
  <c r="P29" i="21"/>
  <c r="AA29" i="21" s="1"/>
  <c r="AC29" i="21" s="1"/>
  <c r="AA28" i="21"/>
  <c r="AJ26" i="20"/>
  <c r="AB28" i="19"/>
  <c r="O27" i="20"/>
  <c r="AC26" i="8"/>
  <c r="AK28" i="19"/>
  <c r="AB26" i="8"/>
  <c r="O27" i="8"/>
  <c r="M30" i="21"/>
  <c r="O30" i="21" s="1"/>
  <c r="C32" i="21"/>
  <c r="D31" i="21"/>
  <c r="G31" i="21" s="1"/>
  <c r="J31" i="21" s="1"/>
  <c r="I31" i="21"/>
  <c r="L31" i="21" s="1"/>
  <c r="H31" i="21"/>
  <c r="K31" i="21" s="1"/>
  <c r="N28" i="20"/>
  <c r="AA27" i="20"/>
  <c r="AB26" i="20"/>
  <c r="K20" i="1" s="1"/>
  <c r="C30" i="20"/>
  <c r="D29" i="20"/>
  <c r="G29" i="20" s="1"/>
  <c r="J29" i="20" s="1"/>
  <c r="E29" i="20"/>
  <c r="F29" i="20"/>
  <c r="I29" i="20" s="1"/>
  <c r="L29" i="20" s="1"/>
  <c r="N30" i="19"/>
  <c r="C32" i="19"/>
  <c r="E31" i="19"/>
  <c r="F31" i="19"/>
  <c r="D31" i="19"/>
  <c r="AA29" i="19"/>
  <c r="AC29" i="19" s="1"/>
  <c r="O29" i="19"/>
  <c r="AA27" i="8"/>
  <c r="AC27" i="8" s="1"/>
  <c r="P28" i="8"/>
  <c r="N28" i="8"/>
  <c r="M29" i="8"/>
  <c r="C31" i="8"/>
  <c r="E31" i="8" s="1"/>
  <c r="D30" i="8"/>
  <c r="G30" i="8" s="1"/>
  <c r="J30" i="8" s="1"/>
  <c r="F30" i="8"/>
  <c r="I30" i="8" s="1"/>
  <c r="L30" i="8" s="1"/>
  <c r="H30" i="8"/>
  <c r="K30" i="8" s="1"/>
  <c r="DE21" i="1" l="1"/>
  <c r="DN21" i="1" s="1"/>
  <c r="CY22" i="1"/>
  <c r="CZ22" i="1" s="1"/>
  <c r="ED24" i="1"/>
  <c r="DO24" i="1" s="1"/>
  <c r="CD25" i="1"/>
  <c r="EF25" i="1"/>
  <c r="CV23" i="1"/>
  <c r="DB23" i="1" s="1"/>
  <c r="DC23" i="1" s="1"/>
  <c r="CF25" i="1"/>
  <c r="EH25" i="1"/>
  <c r="CU23" i="1"/>
  <c r="CY23" i="1" s="1"/>
  <c r="CZ23" i="1" s="1"/>
  <c r="DA23" i="1"/>
  <c r="CS24" i="1"/>
  <c r="DF24" i="1" s="1"/>
  <c r="DM22" i="1"/>
  <c r="DP22" i="1" s="1"/>
  <c r="CT24" i="1"/>
  <c r="DK24" i="1"/>
  <c r="DL24" i="1" s="1"/>
  <c r="DI25" i="1"/>
  <c r="DJ25" i="1" s="1"/>
  <c r="DH25" i="1"/>
  <c r="AB33" i="57"/>
  <c r="BO27" i="1"/>
  <c r="CG27" i="1" s="1"/>
  <c r="AF21" i="1"/>
  <c r="BL26" i="1"/>
  <c r="AC33" i="64"/>
  <c r="M30" i="19"/>
  <c r="P30" i="19" s="1"/>
  <c r="AB33" i="63"/>
  <c r="AB32" i="46"/>
  <c r="BN26" i="1" s="1"/>
  <c r="BY25" i="1"/>
  <c r="T32" i="46"/>
  <c r="AF32" i="46" s="1"/>
  <c r="BR26" i="1" s="1"/>
  <c r="X32" i="46"/>
  <c r="AJ32" i="46" s="1"/>
  <c r="BV26" i="1" s="1"/>
  <c r="W32" i="46"/>
  <c r="AI32" i="46" s="1"/>
  <c r="BU26" i="1" s="1"/>
  <c r="S32" i="46"/>
  <c r="AE32" i="46" s="1"/>
  <c r="BQ26" i="1" s="1"/>
  <c r="Z32" i="46"/>
  <c r="AL32" i="46" s="1"/>
  <c r="BX26" i="1" s="1"/>
  <c r="ER26" i="1" s="1"/>
  <c r="U32" i="46"/>
  <c r="AG32" i="46" s="1"/>
  <c r="BS26" i="1" s="1"/>
  <c r="V32" i="46"/>
  <c r="AH32" i="46" s="1"/>
  <c r="BT26" i="1" s="1"/>
  <c r="R32" i="46"/>
  <c r="AD32" i="46" s="1"/>
  <c r="BP26" i="1" s="1"/>
  <c r="Y32" i="46"/>
  <c r="AK32" i="46" s="1"/>
  <c r="BW26" i="1" s="1"/>
  <c r="AA33" i="46"/>
  <c r="AC33" i="46" s="1"/>
  <c r="Z33" i="46"/>
  <c r="AL33" i="46" s="1"/>
  <c r="BX27" i="1" s="1"/>
  <c r="ER27" i="1" s="1"/>
  <c r="R33" i="46"/>
  <c r="AD33" i="46" s="1"/>
  <c r="BP27" i="1" s="1"/>
  <c r="T33" i="46"/>
  <c r="AF33" i="46" s="1"/>
  <c r="BR27" i="1" s="1"/>
  <c r="U33" i="46"/>
  <c r="AG33" i="46" s="1"/>
  <c r="BS27" i="1" s="1"/>
  <c r="V33" i="46"/>
  <c r="AH33" i="46" s="1"/>
  <c r="BT27" i="1" s="1"/>
  <c r="S33" i="46"/>
  <c r="AE33" i="46" s="1"/>
  <c r="BQ27" i="1" s="1"/>
  <c r="X33" i="46"/>
  <c r="AJ33" i="46" s="1"/>
  <c r="BV27" i="1" s="1"/>
  <c r="W33" i="46"/>
  <c r="AI33" i="46" s="1"/>
  <c r="BU27" i="1" s="1"/>
  <c r="Y33" i="46"/>
  <c r="AK33" i="46" s="1"/>
  <c r="BW27" i="1" s="1"/>
  <c r="AB33" i="55"/>
  <c r="AB33" i="59"/>
  <c r="CC26" i="1"/>
  <c r="V26" i="23"/>
  <c r="AH26" i="23" s="1"/>
  <c r="U26" i="23"/>
  <c r="AG26" i="23" s="1"/>
  <c r="W26" i="23"/>
  <c r="AI26" i="23" s="1"/>
  <c r="R26" i="23"/>
  <c r="AD26" i="23" s="1"/>
  <c r="T26" i="23"/>
  <c r="AF26" i="23" s="1"/>
  <c r="Y26" i="23"/>
  <c r="AK26" i="23" s="1"/>
  <c r="X26" i="23"/>
  <c r="AJ26" i="23" s="1"/>
  <c r="S26" i="23"/>
  <c r="AE26" i="23" s="1"/>
  <c r="Z26" i="23"/>
  <c r="AL26" i="23" s="1"/>
  <c r="AB33" i="62"/>
  <c r="N28" i="23"/>
  <c r="O28" i="23" s="1"/>
  <c r="P28" i="23"/>
  <c r="AC26" i="23"/>
  <c r="I20" i="1" s="1"/>
  <c r="AB26" i="23"/>
  <c r="AA27" i="23"/>
  <c r="AC27" i="23" s="1"/>
  <c r="Q27" i="23"/>
  <c r="M29" i="23"/>
  <c r="C31" i="23"/>
  <c r="E30" i="23"/>
  <c r="H30" i="23" s="1"/>
  <c r="K30" i="23" s="1"/>
  <c r="D30" i="23"/>
  <c r="G30" i="23" s="1"/>
  <c r="J30" i="23" s="1"/>
  <c r="F30" i="23"/>
  <c r="I30" i="23" s="1"/>
  <c r="L30" i="23" s="1"/>
  <c r="AK19" i="1"/>
  <c r="H31" i="19"/>
  <c r="K31" i="19" s="1"/>
  <c r="BC23" i="1"/>
  <c r="H29" i="20"/>
  <c r="K29" i="20" s="1"/>
  <c r="M29" i="20" s="1"/>
  <c r="P29" i="20" s="1"/>
  <c r="BD23" i="1"/>
  <c r="I31" i="19"/>
  <c r="L31" i="19" s="1"/>
  <c r="BE23" i="1"/>
  <c r="G31" i="19"/>
  <c r="J31" i="19" s="1"/>
  <c r="X17" i="1"/>
  <c r="BF17" i="1"/>
  <c r="R15" i="14"/>
  <c r="E28" i="1" s="1"/>
  <c r="D33" i="1" s="1"/>
  <c r="D39" i="1" s="1"/>
  <c r="Y18" i="1"/>
  <c r="AB26" i="30"/>
  <c r="AA17" i="1"/>
  <c r="AB17" i="1"/>
  <c r="AC17" i="1"/>
  <c r="AD17" i="1"/>
  <c r="AE17" i="1"/>
  <c r="Z16" i="1"/>
  <c r="AV21" i="1"/>
  <c r="BB22" i="1"/>
  <c r="AH20" i="1"/>
  <c r="AR19" i="1"/>
  <c r="BA19" i="1"/>
  <c r="AN19" i="1"/>
  <c r="AS20" i="1"/>
  <c r="AG20" i="1"/>
  <c r="AT19" i="1"/>
  <c r="AF22" i="1"/>
  <c r="AJ19" i="1"/>
  <c r="AM19" i="1"/>
  <c r="AQ21" i="1"/>
  <c r="AR20" i="1"/>
  <c r="AM20" i="1"/>
  <c r="AW19" i="1"/>
  <c r="AZ21" i="1"/>
  <c r="AX21" i="1"/>
  <c r="AL20" i="1"/>
  <c r="AO23" i="1"/>
  <c r="AZ22" i="1"/>
  <c r="AU19" i="1"/>
  <c r="AB28" i="29"/>
  <c r="AG28" i="29"/>
  <c r="AC27" i="24"/>
  <c r="P28" i="30"/>
  <c r="AA28" i="30" s="1"/>
  <c r="AC28" i="30" s="1"/>
  <c r="O29" i="31"/>
  <c r="AB27" i="30"/>
  <c r="V29" i="31"/>
  <c r="S29" i="31"/>
  <c r="I19" i="1"/>
  <c r="M29" i="30"/>
  <c r="P29" i="30" s="1"/>
  <c r="AA29" i="30" s="1"/>
  <c r="X29" i="31"/>
  <c r="Q27" i="30"/>
  <c r="X27" i="30" s="1"/>
  <c r="AJ27" i="30" s="1"/>
  <c r="Z29" i="31"/>
  <c r="R29" i="31"/>
  <c r="M29" i="33"/>
  <c r="N29" i="33" s="1"/>
  <c r="O29" i="33" s="1"/>
  <c r="Y27" i="8"/>
  <c r="AK27" i="8" s="1"/>
  <c r="Y29" i="31"/>
  <c r="T29" i="31"/>
  <c r="V18" i="1"/>
  <c r="W29" i="31"/>
  <c r="W27" i="8"/>
  <c r="AI27" i="8" s="1"/>
  <c r="U30" i="27"/>
  <c r="AG30" i="27" s="1"/>
  <c r="W18" i="1"/>
  <c r="S27" i="20"/>
  <c r="AE27" i="20" s="1"/>
  <c r="L21" i="1"/>
  <c r="U19" i="1"/>
  <c r="Y27" i="28"/>
  <c r="AK27" i="28" s="1"/>
  <c r="U27" i="20"/>
  <c r="V27" i="20"/>
  <c r="Z27" i="20"/>
  <c r="AL27" i="20" s="1"/>
  <c r="V27" i="8"/>
  <c r="AH27" i="8" s="1"/>
  <c r="Q19" i="1"/>
  <c r="O19" i="1"/>
  <c r="R19" i="1"/>
  <c r="AB28" i="38"/>
  <c r="M29" i="25"/>
  <c r="P29" i="25" s="1"/>
  <c r="AA29" i="25" s="1"/>
  <c r="AC29" i="25" s="1"/>
  <c r="N19" i="1"/>
  <c r="N28" i="24"/>
  <c r="O28" i="24" s="1"/>
  <c r="AB28" i="24" s="1"/>
  <c r="M30" i="31"/>
  <c r="S19" i="1"/>
  <c r="AB28" i="31"/>
  <c r="Q28" i="31"/>
  <c r="N28" i="39"/>
  <c r="O28" i="39" s="1"/>
  <c r="P28" i="39"/>
  <c r="P28" i="25"/>
  <c r="AA28" i="25" s="1"/>
  <c r="R28" i="29"/>
  <c r="AD28" i="29" s="1"/>
  <c r="P19" i="1"/>
  <c r="W29" i="19"/>
  <c r="AI29" i="19" s="1"/>
  <c r="M19" i="1"/>
  <c r="U29" i="31"/>
  <c r="M29" i="24"/>
  <c r="P29" i="24" s="1"/>
  <c r="AA29" i="24" s="1"/>
  <c r="Q27" i="22"/>
  <c r="T26" i="32"/>
  <c r="AF26" i="32" s="1"/>
  <c r="W26" i="32"/>
  <c r="AI26" i="32" s="1"/>
  <c r="X26" i="32"/>
  <c r="AJ26" i="32" s="1"/>
  <c r="V26" i="32"/>
  <c r="AH26" i="32" s="1"/>
  <c r="S26" i="32"/>
  <c r="AE26" i="32" s="1"/>
  <c r="U26" i="32"/>
  <c r="AG26" i="32" s="1"/>
  <c r="R26" i="32"/>
  <c r="AD26" i="32" s="1"/>
  <c r="Z26" i="32"/>
  <c r="AL26" i="32" s="1"/>
  <c r="Y26" i="32"/>
  <c r="AK26" i="32" s="1"/>
  <c r="V30" i="27"/>
  <c r="AH30" i="27" s="1"/>
  <c r="V28" i="36"/>
  <c r="AH28" i="36" s="1"/>
  <c r="S27" i="28"/>
  <c r="AE27" i="28" s="1"/>
  <c r="V28" i="21"/>
  <c r="AH28" i="21" s="1"/>
  <c r="T19" i="1"/>
  <c r="N28" i="33"/>
  <c r="O28" i="33" s="1"/>
  <c r="P28" i="33"/>
  <c r="AB26" i="33"/>
  <c r="C32" i="31"/>
  <c r="E31" i="31"/>
  <c r="H31" i="31" s="1"/>
  <c r="K31" i="31" s="1"/>
  <c r="D31" i="31"/>
  <c r="G31" i="31" s="1"/>
  <c r="J31" i="31" s="1"/>
  <c r="I31" i="31"/>
  <c r="L31" i="31" s="1"/>
  <c r="V27" i="28"/>
  <c r="AH27" i="28" s="1"/>
  <c r="T27" i="31"/>
  <c r="AF27" i="31" s="1"/>
  <c r="V27" i="31"/>
  <c r="AH27" i="31" s="1"/>
  <c r="X27" i="31"/>
  <c r="AJ27" i="31" s="1"/>
  <c r="S27" i="31"/>
  <c r="AE27" i="31" s="1"/>
  <c r="Z27" i="31"/>
  <c r="AL27" i="31" s="1"/>
  <c r="W27" i="31"/>
  <c r="AI27" i="31" s="1"/>
  <c r="U27" i="31"/>
  <c r="AG27" i="31" s="1"/>
  <c r="R27" i="31"/>
  <c r="AD27" i="31" s="1"/>
  <c r="Y27" i="31"/>
  <c r="AK27" i="31" s="1"/>
  <c r="U26" i="35"/>
  <c r="AG26" i="35" s="1"/>
  <c r="V26" i="35"/>
  <c r="AH26" i="35" s="1"/>
  <c r="X26" i="35"/>
  <c r="AJ26" i="35" s="1"/>
  <c r="R26" i="35"/>
  <c r="AD26" i="35" s="1"/>
  <c r="S26" i="35"/>
  <c r="AE26" i="35" s="1"/>
  <c r="Y26" i="35"/>
  <c r="AK26" i="35" s="1"/>
  <c r="T26" i="35"/>
  <c r="AF26" i="35" s="1"/>
  <c r="W26" i="35"/>
  <c r="AI26" i="35" s="1"/>
  <c r="Z26" i="35"/>
  <c r="AL26" i="35" s="1"/>
  <c r="H19" i="1"/>
  <c r="O28" i="32"/>
  <c r="P28" i="32"/>
  <c r="P29" i="28"/>
  <c r="Q29" i="28" s="1"/>
  <c r="Y26" i="26"/>
  <c r="AK26" i="26" s="1"/>
  <c r="W26" i="26"/>
  <c r="AI26" i="26" s="1"/>
  <c r="Z26" i="26"/>
  <c r="AL26" i="26" s="1"/>
  <c r="S26" i="26"/>
  <c r="AE26" i="26" s="1"/>
  <c r="U26" i="26"/>
  <c r="AG26" i="26" s="1"/>
  <c r="V26" i="26"/>
  <c r="AH26" i="26" s="1"/>
  <c r="T26" i="26"/>
  <c r="AF26" i="26" s="1"/>
  <c r="R26" i="26"/>
  <c r="AD26" i="26" s="1"/>
  <c r="X26" i="26"/>
  <c r="AJ26" i="26" s="1"/>
  <c r="AA29" i="31"/>
  <c r="R30" i="27"/>
  <c r="AD30" i="27" s="1"/>
  <c r="AA28" i="28"/>
  <c r="AC28" i="28" s="1"/>
  <c r="AB27" i="22"/>
  <c r="T26" i="22"/>
  <c r="AF26" i="22" s="1"/>
  <c r="R26" i="22"/>
  <c r="AD26" i="22" s="1"/>
  <c r="S26" i="22"/>
  <c r="AE26" i="22" s="1"/>
  <c r="W26" i="22"/>
  <c r="AI26" i="22" s="1"/>
  <c r="V26" i="22"/>
  <c r="AH26" i="22" s="1"/>
  <c r="X26" i="22"/>
  <c r="AJ26" i="22" s="1"/>
  <c r="Y26" i="22"/>
  <c r="AK26" i="22" s="1"/>
  <c r="U26" i="22"/>
  <c r="AG26" i="22" s="1"/>
  <c r="Z26" i="22"/>
  <c r="AL26" i="22" s="1"/>
  <c r="T30" i="27"/>
  <c r="AF30" i="27" s="1"/>
  <c r="AB27" i="26"/>
  <c r="X29" i="19"/>
  <c r="AJ29" i="19" s="1"/>
  <c r="R27" i="20"/>
  <c r="AD27" i="20" s="1"/>
  <c r="S28" i="21"/>
  <c r="AE28" i="21" s="1"/>
  <c r="E30" i="33"/>
  <c r="H30" i="33" s="1"/>
  <c r="K30" i="33" s="1"/>
  <c r="C31" i="33"/>
  <c r="D30" i="33"/>
  <c r="G30" i="33" s="1"/>
  <c r="J30" i="33" s="1"/>
  <c r="S27" i="25"/>
  <c r="AE27" i="25" s="1"/>
  <c r="X27" i="25"/>
  <c r="AJ27" i="25" s="1"/>
  <c r="Y27" i="25"/>
  <c r="AK27" i="25" s="1"/>
  <c r="W27" i="25"/>
  <c r="AI27" i="25" s="1"/>
  <c r="T27" i="25"/>
  <c r="AF27" i="25" s="1"/>
  <c r="Z27" i="25"/>
  <c r="AL27" i="25" s="1"/>
  <c r="V27" i="25"/>
  <c r="AH27" i="25" s="1"/>
  <c r="U27" i="25"/>
  <c r="AG27" i="25" s="1"/>
  <c r="R27" i="25"/>
  <c r="AD27" i="25" s="1"/>
  <c r="F30" i="24"/>
  <c r="I30" i="24" s="1"/>
  <c r="L30" i="24" s="1"/>
  <c r="D30" i="24"/>
  <c r="G30" i="24" s="1"/>
  <c r="J30" i="24" s="1"/>
  <c r="E30" i="24"/>
  <c r="H30" i="24" s="1"/>
  <c r="K30" i="24" s="1"/>
  <c r="C31" i="24"/>
  <c r="F30" i="32"/>
  <c r="I30" i="32" s="1"/>
  <c r="L30" i="32" s="1"/>
  <c r="C31" i="32"/>
  <c r="D30" i="32"/>
  <c r="G30" i="32" s="1"/>
  <c r="J30" i="32" s="1"/>
  <c r="E30" i="32"/>
  <c r="H30" i="32" s="1"/>
  <c r="K30" i="32" s="1"/>
  <c r="M29" i="39"/>
  <c r="Q27" i="26"/>
  <c r="M29" i="32"/>
  <c r="I30" i="33"/>
  <c r="L30" i="33" s="1"/>
  <c r="Q27" i="39"/>
  <c r="AA27" i="39"/>
  <c r="E30" i="39"/>
  <c r="H30" i="39" s="1"/>
  <c r="K30" i="39" s="1"/>
  <c r="D30" i="39"/>
  <c r="G30" i="39" s="1"/>
  <c r="J30" i="39" s="1"/>
  <c r="C31" i="39"/>
  <c r="F30" i="39"/>
  <c r="I30" i="39" s="1"/>
  <c r="L30" i="39" s="1"/>
  <c r="O28" i="30"/>
  <c r="M29" i="35"/>
  <c r="Y26" i="39"/>
  <c r="AK26" i="39" s="1"/>
  <c r="R26" i="39"/>
  <c r="AD26" i="39" s="1"/>
  <c r="X26" i="39"/>
  <c r="AJ26" i="39" s="1"/>
  <c r="W26" i="39"/>
  <c r="AI26" i="39" s="1"/>
  <c r="U26" i="39"/>
  <c r="AG26" i="39" s="1"/>
  <c r="V26" i="39"/>
  <c r="AH26" i="39" s="1"/>
  <c r="S26" i="39"/>
  <c r="AE26" i="39" s="1"/>
  <c r="T26" i="39"/>
  <c r="AF26" i="39" s="1"/>
  <c r="Z26" i="39"/>
  <c r="AL26" i="39" s="1"/>
  <c r="W28" i="21"/>
  <c r="AI28" i="21" s="1"/>
  <c r="C31" i="30"/>
  <c r="E30" i="30"/>
  <c r="H30" i="30" s="1"/>
  <c r="K30" i="30" s="1"/>
  <c r="D30" i="30"/>
  <c r="G30" i="30" s="1"/>
  <c r="J30" i="30" s="1"/>
  <c r="I30" i="30"/>
  <c r="L30" i="30" s="1"/>
  <c r="Q27" i="35"/>
  <c r="AA27" i="35"/>
  <c r="AC27" i="35" s="1"/>
  <c r="M29" i="26"/>
  <c r="T28" i="21"/>
  <c r="AF28" i="21" s="1"/>
  <c r="Z28" i="21"/>
  <c r="AL28" i="21" s="1"/>
  <c r="Q27" i="33"/>
  <c r="AA27" i="33"/>
  <c r="AB27" i="33" s="1"/>
  <c r="P28" i="22"/>
  <c r="AA28" i="22" s="1"/>
  <c r="AC28" i="22" s="1"/>
  <c r="O28" i="22"/>
  <c r="E30" i="35"/>
  <c r="H30" i="35" s="1"/>
  <c r="K30" i="35" s="1"/>
  <c r="D30" i="35"/>
  <c r="G30" i="35" s="1"/>
  <c r="J30" i="35" s="1"/>
  <c r="I30" i="35"/>
  <c r="L30" i="35" s="1"/>
  <c r="C31" i="35"/>
  <c r="F30" i="26"/>
  <c r="I30" i="26" s="1"/>
  <c r="L30" i="26" s="1"/>
  <c r="E30" i="26"/>
  <c r="H30" i="26" s="1"/>
  <c r="K30" i="26" s="1"/>
  <c r="C31" i="26"/>
  <c r="D30" i="26"/>
  <c r="G30" i="26" s="1"/>
  <c r="J30" i="26" s="1"/>
  <c r="Z27" i="24"/>
  <c r="AL27" i="24" s="1"/>
  <c r="V27" i="24"/>
  <c r="AH27" i="24" s="1"/>
  <c r="X27" i="24"/>
  <c r="AJ27" i="24" s="1"/>
  <c r="S27" i="24"/>
  <c r="AE27" i="24" s="1"/>
  <c r="R27" i="24"/>
  <c r="AD27" i="24" s="1"/>
  <c r="T27" i="24"/>
  <c r="AF27" i="24" s="1"/>
  <c r="Y27" i="24"/>
  <c r="AK27" i="24" s="1"/>
  <c r="W27" i="24"/>
  <c r="AI27" i="24" s="1"/>
  <c r="U27" i="24"/>
  <c r="AG27" i="24" s="1"/>
  <c r="AB26" i="39"/>
  <c r="D30" i="25"/>
  <c r="G30" i="25" s="1"/>
  <c r="J30" i="25" s="1"/>
  <c r="C31" i="25"/>
  <c r="I30" i="25"/>
  <c r="L30" i="25" s="1"/>
  <c r="H30" i="25"/>
  <c r="K30" i="25" s="1"/>
  <c r="P28" i="35"/>
  <c r="AA28" i="35" s="1"/>
  <c r="N28" i="35"/>
  <c r="O28" i="35" s="1"/>
  <c r="N28" i="26"/>
  <c r="O28" i="26" s="1"/>
  <c r="P28" i="26"/>
  <c r="D30" i="22"/>
  <c r="G30" i="22" s="1"/>
  <c r="J30" i="22" s="1"/>
  <c r="E30" i="22"/>
  <c r="H30" i="22" s="1"/>
  <c r="K30" i="22" s="1"/>
  <c r="F30" i="22"/>
  <c r="I30" i="22" s="1"/>
  <c r="L30" i="22" s="1"/>
  <c r="C31" i="22"/>
  <c r="AA27" i="32"/>
  <c r="Q27" i="32"/>
  <c r="AC27" i="26"/>
  <c r="Z26" i="33"/>
  <c r="AL26" i="33" s="1"/>
  <c r="V26" i="33"/>
  <c r="AH26" i="33" s="1"/>
  <c r="X26" i="33"/>
  <c r="AJ26" i="33" s="1"/>
  <c r="S26" i="33"/>
  <c r="AE26" i="33" s="1"/>
  <c r="W26" i="33"/>
  <c r="AI26" i="33" s="1"/>
  <c r="Y26" i="33"/>
  <c r="AK26" i="33" s="1"/>
  <c r="R26" i="33"/>
  <c r="AD26" i="33" s="1"/>
  <c r="U26" i="33"/>
  <c r="AG26" i="33" s="1"/>
  <c r="T26" i="33"/>
  <c r="AF26" i="33" s="1"/>
  <c r="M29" i="22"/>
  <c r="Q28" i="24"/>
  <c r="T29" i="38"/>
  <c r="AF29" i="38" s="1"/>
  <c r="Z29" i="38"/>
  <c r="AL29" i="38" s="1"/>
  <c r="Y29" i="38"/>
  <c r="AK29" i="38" s="1"/>
  <c r="W30" i="27"/>
  <c r="AI30" i="27" s="1"/>
  <c r="Y30" i="27"/>
  <c r="AK30" i="27" s="1"/>
  <c r="T27" i="28"/>
  <c r="AF27" i="28" s="1"/>
  <c r="AA29" i="38"/>
  <c r="AC29" i="38" s="1"/>
  <c r="W27" i="28"/>
  <c r="AI27" i="28" s="1"/>
  <c r="X27" i="8"/>
  <c r="AJ27" i="8" s="1"/>
  <c r="Z28" i="29"/>
  <c r="AL28" i="29" s="1"/>
  <c r="U27" i="28"/>
  <c r="AG27" i="28" s="1"/>
  <c r="X27" i="28"/>
  <c r="AJ27" i="28" s="1"/>
  <c r="AE27" i="8"/>
  <c r="S28" i="29"/>
  <c r="AE28" i="29" s="1"/>
  <c r="X28" i="29"/>
  <c r="AJ28" i="29" s="1"/>
  <c r="Z27" i="8"/>
  <c r="AL27" i="8" s="1"/>
  <c r="Y28" i="29"/>
  <c r="AK28" i="29" s="1"/>
  <c r="R27" i="28"/>
  <c r="AD27" i="28" s="1"/>
  <c r="S28" i="28"/>
  <c r="AE28" i="28" s="1"/>
  <c r="Y28" i="28"/>
  <c r="AK28" i="28" s="1"/>
  <c r="Z28" i="28"/>
  <c r="AL28" i="28" s="1"/>
  <c r="V28" i="28"/>
  <c r="AH28" i="28" s="1"/>
  <c r="W28" i="28"/>
  <c r="AI28" i="28" s="1"/>
  <c r="U28" i="28"/>
  <c r="AG28" i="28" s="1"/>
  <c r="T28" i="28"/>
  <c r="AF28" i="28" s="1"/>
  <c r="R27" i="8"/>
  <c r="AD27" i="8" s="1"/>
  <c r="S29" i="19"/>
  <c r="AE29" i="19" s="1"/>
  <c r="U27" i="8"/>
  <c r="AG27" i="8" s="1"/>
  <c r="S29" i="38"/>
  <c r="AE29" i="38" s="1"/>
  <c r="Y28" i="21"/>
  <c r="AK28" i="21" s="1"/>
  <c r="N29" i="34"/>
  <c r="O29" i="34" s="1"/>
  <c r="U28" i="36"/>
  <c r="AG28" i="36" s="1"/>
  <c r="Y28" i="36"/>
  <c r="AK28" i="36" s="1"/>
  <c r="U28" i="21"/>
  <c r="AG28" i="21" s="1"/>
  <c r="V29" i="19"/>
  <c r="AH29" i="19" s="1"/>
  <c r="Y27" i="20"/>
  <c r="AK27" i="20" s="1"/>
  <c r="T27" i="8"/>
  <c r="AF27" i="8" s="1"/>
  <c r="X28" i="28"/>
  <c r="AJ28" i="28" s="1"/>
  <c r="R28" i="28"/>
  <c r="AD28" i="28" s="1"/>
  <c r="R29" i="19"/>
  <c r="AD29" i="19" s="1"/>
  <c r="X28" i="21"/>
  <c r="AJ28" i="21" s="1"/>
  <c r="AA28" i="34"/>
  <c r="AC28" i="34" s="1"/>
  <c r="R28" i="34"/>
  <c r="AD28" i="34" s="1"/>
  <c r="Y28" i="34"/>
  <c r="AK28" i="34" s="1"/>
  <c r="X28" i="34"/>
  <c r="AJ28" i="34" s="1"/>
  <c r="W28" i="34"/>
  <c r="AI28" i="34" s="1"/>
  <c r="V28" i="34"/>
  <c r="AH28" i="34" s="1"/>
  <c r="U28" i="34"/>
  <c r="AG28" i="34" s="1"/>
  <c r="T28" i="34"/>
  <c r="AF28" i="34" s="1"/>
  <c r="S28" i="34"/>
  <c r="AE28" i="34" s="1"/>
  <c r="Z28" i="34"/>
  <c r="AL28" i="34" s="1"/>
  <c r="T29" i="19"/>
  <c r="AF29" i="19" s="1"/>
  <c r="Z29" i="19"/>
  <c r="AL29" i="19" s="1"/>
  <c r="Y29" i="19"/>
  <c r="AK29" i="19" s="1"/>
  <c r="AB28" i="36"/>
  <c r="T28" i="29"/>
  <c r="AF28" i="29" s="1"/>
  <c r="W28" i="29"/>
  <c r="AI28" i="29" s="1"/>
  <c r="X27" i="20"/>
  <c r="AJ27" i="20" s="1"/>
  <c r="T27" i="20"/>
  <c r="AF27" i="20" s="1"/>
  <c r="AD28" i="36"/>
  <c r="V29" i="38"/>
  <c r="AH29" i="38" s="1"/>
  <c r="S30" i="27"/>
  <c r="AE30" i="27" s="1"/>
  <c r="V28" i="29"/>
  <c r="AH28" i="29" s="1"/>
  <c r="P29" i="29"/>
  <c r="Q29" i="29" s="1"/>
  <c r="O29" i="37"/>
  <c r="X30" i="27"/>
  <c r="AJ30" i="27" s="1"/>
  <c r="X29" i="38"/>
  <c r="AJ29" i="38" s="1"/>
  <c r="S28" i="36"/>
  <c r="AE28" i="36" s="1"/>
  <c r="W29" i="38"/>
  <c r="AI29" i="38" s="1"/>
  <c r="O29" i="28"/>
  <c r="Z28" i="36"/>
  <c r="AL28" i="36" s="1"/>
  <c r="U29" i="38"/>
  <c r="AG29" i="38" s="1"/>
  <c r="W28" i="36"/>
  <c r="AI28" i="36" s="1"/>
  <c r="X28" i="36"/>
  <c r="AJ28" i="36" s="1"/>
  <c r="R29" i="38"/>
  <c r="AD29" i="38" s="1"/>
  <c r="T28" i="36"/>
  <c r="AF28" i="36" s="1"/>
  <c r="Q31" i="27"/>
  <c r="X31" i="27" s="1"/>
  <c r="Q29" i="37"/>
  <c r="U29" i="37" s="1"/>
  <c r="Q28" i="8"/>
  <c r="R28" i="8" s="1"/>
  <c r="AC28" i="29"/>
  <c r="Y27" i="37"/>
  <c r="AK27" i="37" s="1"/>
  <c r="W27" i="37"/>
  <c r="AI27" i="37" s="1"/>
  <c r="R27" i="37"/>
  <c r="AD27" i="37" s="1"/>
  <c r="V27" i="37"/>
  <c r="AH27" i="37" s="1"/>
  <c r="U27" i="37"/>
  <c r="AG27" i="37" s="1"/>
  <c r="S27" i="37"/>
  <c r="AE27" i="37" s="1"/>
  <c r="T27" i="37"/>
  <c r="AF27" i="37" s="1"/>
  <c r="X27" i="37"/>
  <c r="AJ27" i="37" s="1"/>
  <c r="Z27" i="37"/>
  <c r="AL27" i="37" s="1"/>
  <c r="Q30" i="19"/>
  <c r="T30" i="19" s="1"/>
  <c r="AB30" i="27"/>
  <c r="Q28" i="37"/>
  <c r="Q29" i="21"/>
  <c r="W29" i="21" s="1"/>
  <c r="AI29" i="21" s="1"/>
  <c r="Q29" i="34"/>
  <c r="S29" i="34" s="1"/>
  <c r="Q29" i="36"/>
  <c r="Y29" i="36" s="1"/>
  <c r="Q30" i="40"/>
  <c r="Z30" i="40" s="1"/>
  <c r="Q29" i="40"/>
  <c r="Q28" i="20"/>
  <c r="Z28" i="20" s="1"/>
  <c r="M32" i="27"/>
  <c r="P32" i="27" s="1"/>
  <c r="M30" i="29"/>
  <c r="P30" i="29" s="1"/>
  <c r="P30" i="38"/>
  <c r="AA30" i="38" s="1"/>
  <c r="AC30" i="38" s="1"/>
  <c r="AA29" i="40"/>
  <c r="AC29" i="40" s="1"/>
  <c r="M31" i="40"/>
  <c r="P31" i="40" s="1"/>
  <c r="N31" i="40"/>
  <c r="C33" i="40"/>
  <c r="F32" i="40"/>
  <c r="I32" i="40" s="1"/>
  <c r="L32" i="40" s="1"/>
  <c r="D32" i="40"/>
  <c r="G32" i="40" s="1"/>
  <c r="J32" i="40" s="1"/>
  <c r="E32" i="40"/>
  <c r="H32" i="40" s="1"/>
  <c r="K32" i="40" s="1"/>
  <c r="AA30" i="40"/>
  <c r="O30" i="40"/>
  <c r="M31" i="38"/>
  <c r="P31" i="38" s="1"/>
  <c r="C33" i="38"/>
  <c r="F33" i="38" s="1"/>
  <c r="D32" i="38"/>
  <c r="G32" i="38" s="1"/>
  <c r="J32" i="38" s="1"/>
  <c r="H32" i="38"/>
  <c r="K32" i="38" s="1"/>
  <c r="I32" i="38"/>
  <c r="L32" i="38" s="1"/>
  <c r="M30" i="37"/>
  <c r="P30" i="37" s="1"/>
  <c r="C32" i="37"/>
  <c r="F31" i="37"/>
  <c r="I31" i="37" s="1"/>
  <c r="L31" i="37" s="1"/>
  <c r="E31" i="37"/>
  <c r="H31" i="37" s="1"/>
  <c r="K31" i="37" s="1"/>
  <c r="D31" i="37"/>
  <c r="G31" i="37" s="1"/>
  <c r="J31" i="37" s="1"/>
  <c r="AB28" i="37"/>
  <c r="AA29" i="37"/>
  <c r="AC29" i="37" s="1"/>
  <c r="M30" i="36"/>
  <c r="P30" i="36" s="1"/>
  <c r="N30" i="36"/>
  <c r="C32" i="36"/>
  <c r="F32" i="36" s="1"/>
  <c r="D31" i="36"/>
  <c r="G31" i="36" s="1"/>
  <c r="J31" i="36" s="1"/>
  <c r="E31" i="36"/>
  <c r="H31" i="36" s="1"/>
  <c r="K31" i="36" s="1"/>
  <c r="I31" i="36"/>
  <c r="L31" i="36" s="1"/>
  <c r="O29" i="36"/>
  <c r="AA29" i="36"/>
  <c r="AC29" i="36" s="1"/>
  <c r="M30" i="34"/>
  <c r="P30" i="34" s="1"/>
  <c r="C32" i="34"/>
  <c r="E31" i="34"/>
  <c r="H31" i="34" s="1"/>
  <c r="K31" i="34" s="1"/>
  <c r="D31" i="34"/>
  <c r="G31" i="34" s="1"/>
  <c r="J31" i="34" s="1"/>
  <c r="I31" i="34"/>
  <c r="L31" i="34" s="1"/>
  <c r="AA29" i="34"/>
  <c r="F32" i="33"/>
  <c r="N32" i="31"/>
  <c r="C32" i="29"/>
  <c r="D31" i="29"/>
  <c r="G31" i="29" s="1"/>
  <c r="J31" i="29" s="1"/>
  <c r="E31" i="29"/>
  <c r="H31" i="29" s="1"/>
  <c r="K31" i="29" s="1"/>
  <c r="I31" i="29"/>
  <c r="L31" i="29" s="1"/>
  <c r="O29" i="29"/>
  <c r="M30" i="28"/>
  <c r="N30" i="28" s="1"/>
  <c r="C32" i="28"/>
  <c r="E32" i="28" s="1"/>
  <c r="D31" i="28"/>
  <c r="G31" i="28" s="1"/>
  <c r="J31" i="28" s="1"/>
  <c r="I31" i="28"/>
  <c r="L31" i="28" s="1"/>
  <c r="H31" i="28"/>
  <c r="K31" i="28" s="1"/>
  <c r="AL30" i="27"/>
  <c r="N32" i="27"/>
  <c r="E33" i="27"/>
  <c r="H33" i="27" s="1"/>
  <c r="K33" i="27" s="1"/>
  <c r="D33" i="27"/>
  <c r="G33" i="27" s="1"/>
  <c r="J33" i="27" s="1"/>
  <c r="F33" i="27"/>
  <c r="I33" i="27" s="1"/>
  <c r="L33" i="27" s="1"/>
  <c r="AA31" i="27"/>
  <c r="AC31" i="27" s="1"/>
  <c r="O31" i="27"/>
  <c r="N32" i="25"/>
  <c r="F33" i="25"/>
  <c r="E33" i="25"/>
  <c r="AI27" i="20"/>
  <c r="AH27" i="20"/>
  <c r="AB27" i="20"/>
  <c r="K21" i="1" s="1"/>
  <c r="AG27" i="20"/>
  <c r="AC28" i="21"/>
  <c r="AB28" i="21"/>
  <c r="O28" i="8"/>
  <c r="AB27" i="8"/>
  <c r="P30" i="21"/>
  <c r="AA28" i="8"/>
  <c r="AC28" i="8" s="1"/>
  <c r="M31" i="21"/>
  <c r="O31" i="21" s="1"/>
  <c r="C33" i="21"/>
  <c r="D32" i="21"/>
  <c r="G32" i="21" s="1"/>
  <c r="J32" i="21" s="1"/>
  <c r="H32" i="21"/>
  <c r="K32" i="21" s="1"/>
  <c r="I32" i="21"/>
  <c r="L32" i="21" s="1"/>
  <c r="AB29" i="21"/>
  <c r="AC27" i="20"/>
  <c r="N29" i="20"/>
  <c r="AA28" i="20"/>
  <c r="AC28" i="20" s="1"/>
  <c r="C31" i="20"/>
  <c r="D30" i="20"/>
  <c r="G30" i="20" s="1"/>
  <c r="J30" i="20" s="1"/>
  <c r="F30" i="20"/>
  <c r="I30" i="20" s="1"/>
  <c r="L30" i="20" s="1"/>
  <c r="E30" i="20"/>
  <c r="O28" i="20"/>
  <c r="AG29" i="19"/>
  <c r="N31" i="19"/>
  <c r="C33" i="19"/>
  <c r="F32" i="19"/>
  <c r="E32" i="19"/>
  <c r="D32" i="19"/>
  <c r="AA30" i="19"/>
  <c r="AC30" i="19" s="1"/>
  <c r="AB29" i="19"/>
  <c r="O30" i="19"/>
  <c r="P29" i="8"/>
  <c r="N29" i="8"/>
  <c r="M30" i="8"/>
  <c r="C32" i="8"/>
  <c r="E32" i="8" s="1"/>
  <c r="F31" i="8"/>
  <c r="I31" i="8" s="1"/>
  <c r="L31" i="8" s="1"/>
  <c r="D31" i="8"/>
  <c r="G31" i="8" s="1"/>
  <c r="J31" i="8" s="1"/>
  <c r="H31" i="8"/>
  <c r="K31" i="8" s="1"/>
  <c r="DE22" i="1" l="1"/>
  <c r="DN22" i="1" s="1"/>
  <c r="CT25" i="1"/>
  <c r="DA70" i="1" s="1"/>
  <c r="DA71" i="1" s="1"/>
  <c r="CJ27" i="1"/>
  <c r="EL27" i="1"/>
  <c r="CM26" i="1"/>
  <c r="EO26" i="1"/>
  <c r="CH27" i="1"/>
  <c r="EJ27" i="1"/>
  <c r="CN26" i="1"/>
  <c r="EP26" i="1"/>
  <c r="CJ26" i="1"/>
  <c r="EL26" i="1"/>
  <c r="CO27" i="1"/>
  <c r="EQ27" i="1"/>
  <c r="CO26" i="1"/>
  <c r="EQ26" i="1"/>
  <c r="CM27" i="1"/>
  <c r="EO27" i="1"/>
  <c r="CH26" i="1"/>
  <c r="EJ26" i="1"/>
  <c r="CF26" i="1"/>
  <c r="EH26" i="1"/>
  <c r="CN27" i="1"/>
  <c r="EP27" i="1"/>
  <c r="CL26" i="1"/>
  <c r="EN26" i="1"/>
  <c r="CI27" i="1"/>
  <c r="EK27" i="1"/>
  <c r="CK26" i="1"/>
  <c r="EM26" i="1"/>
  <c r="CL27" i="1"/>
  <c r="EN27" i="1"/>
  <c r="ED25" i="1"/>
  <c r="DO25" i="1" s="1"/>
  <c r="CK27" i="1"/>
  <c r="EM27" i="1"/>
  <c r="CI26" i="1"/>
  <c r="EK26" i="1"/>
  <c r="CD26" i="1"/>
  <c r="EF26" i="1"/>
  <c r="DM23" i="1"/>
  <c r="DP23" i="1" s="1"/>
  <c r="DE23" i="1"/>
  <c r="DN23" i="1" s="1"/>
  <c r="DA68" i="1"/>
  <c r="DA69" i="1" s="1"/>
  <c r="BL27" i="1"/>
  <c r="CV24" i="1"/>
  <c r="DB24" i="1" s="1"/>
  <c r="DC24" i="1" s="1"/>
  <c r="DA24" i="1"/>
  <c r="CU24" i="1"/>
  <c r="DK25" i="1"/>
  <c r="DL25" i="1" s="1"/>
  <c r="DI26" i="1"/>
  <c r="DJ26" i="1" s="1"/>
  <c r="DH26" i="1"/>
  <c r="CS25" i="1"/>
  <c r="DF25" i="1" s="1"/>
  <c r="M31" i="19"/>
  <c r="P31" i="19" s="1"/>
  <c r="Q31" i="19" s="1"/>
  <c r="X31" i="19" s="1"/>
  <c r="AB33" i="46"/>
  <c r="BN27" i="1" s="1"/>
  <c r="BY26" i="1"/>
  <c r="BK27" i="1"/>
  <c r="EE27" i="1" s="1"/>
  <c r="BZ27" i="1"/>
  <c r="BZ26" i="1"/>
  <c r="AK20" i="1"/>
  <c r="Q28" i="23"/>
  <c r="AA28" i="23"/>
  <c r="AC28" i="23" s="1"/>
  <c r="N29" i="23"/>
  <c r="O29" i="23" s="1"/>
  <c r="P29" i="23"/>
  <c r="V27" i="23"/>
  <c r="AH27" i="23" s="1"/>
  <c r="R27" i="23"/>
  <c r="AD27" i="23" s="1"/>
  <c r="U27" i="23"/>
  <c r="AG27" i="23" s="1"/>
  <c r="T27" i="23"/>
  <c r="AF27" i="23" s="1"/>
  <c r="S27" i="23"/>
  <c r="AE27" i="23" s="1"/>
  <c r="X27" i="23"/>
  <c r="AJ27" i="23" s="1"/>
  <c r="W27" i="23"/>
  <c r="AI27" i="23" s="1"/>
  <c r="Z27" i="23"/>
  <c r="AL27" i="23" s="1"/>
  <c r="Y27" i="23"/>
  <c r="AK27" i="23" s="1"/>
  <c r="AB27" i="23"/>
  <c r="M30" i="23"/>
  <c r="E31" i="23"/>
  <c r="H31" i="23" s="1"/>
  <c r="K31" i="23" s="1"/>
  <c r="F31" i="23"/>
  <c r="I31" i="23" s="1"/>
  <c r="L31" i="23" s="1"/>
  <c r="D31" i="23"/>
  <c r="G31" i="23" s="1"/>
  <c r="J31" i="23" s="1"/>
  <c r="C32" i="23"/>
  <c r="G32" i="19"/>
  <c r="J32" i="19" s="1"/>
  <c r="H32" i="19"/>
  <c r="K32" i="19" s="1"/>
  <c r="I32" i="19"/>
  <c r="L32" i="19" s="1"/>
  <c r="BC24" i="1"/>
  <c r="H30" i="20"/>
  <c r="K30" i="20" s="1"/>
  <c r="M30" i="20" s="1"/>
  <c r="P30" i="20" s="1"/>
  <c r="BD24" i="1"/>
  <c r="BE24" i="1"/>
  <c r="X18" i="1"/>
  <c r="BF18" i="1"/>
  <c r="Y19" i="1"/>
  <c r="AA18" i="1"/>
  <c r="AB18" i="1"/>
  <c r="AE18" i="1"/>
  <c r="AC18" i="1"/>
  <c r="AD18" i="1"/>
  <c r="Z17" i="1"/>
  <c r="Q28" i="30"/>
  <c r="Y28" i="30" s="1"/>
  <c r="AK28" i="30" s="1"/>
  <c r="AP21" i="1"/>
  <c r="AI22" i="1"/>
  <c r="AX22" i="1"/>
  <c r="AF23" i="1"/>
  <c r="AU20" i="1"/>
  <c r="AT20" i="1"/>
  <c r="BA20" i="1"/>
  <c r="AZ23" i="1"/>
  <c r="AG21" i="1"/>
  <c r="AO24" i="1"/>
  <c r="AW20" i="1"/>
  <c r="AY21" i="1"/>
  <c r="AQ22" i="1"/>
  <c r="AV22" i="1"/>
  <c r="AM21" i="1"/>
  <c r="AN20" i="1"/>
  <c r="AL21" i="1"/>
  <c r="AH21" i="1"/>
  <c r="AS21" i="1"/>
  <c r="AP22" i="1"/>
  <c r="AJ20" i="1"/>
  <c r="W27" i="30"/>
  <c r="AI27" i="30" s="1"/>
  <c r="R27" i="30"/>
  <c r="AD27" i="30" s="1"/>
  <c r="P29" i="33"/>
  <c r="Q29" i="33" s="1"/>
  <c r="X29" i="33" s="1"/>
  <c r="AJ29" i="33" s="1"/>
  <c r="AB28" i="30"/>
  <c r="N29" i="30"/>
  <c r="O29" i="30" s="1"/>
  <c r="AB29" i="30" s="1"/>
  <c r="O29" i="25"/>
  <c r="AB29" i="25" s="1"/>
  <c r="AJ29" i="31"/>
  <c r="AG29" i="31"/>
  <c r="AL29" i="31"/>
  <c r="AI29" i="31"/>
  <c r="V19" i="1"/>
  <c r="V27" i="30"/>
  <c r="AH27" i="30" s="1"/>
  <c r="Y27" i="30"/>
  <c r="AK27" i="30" s="1"/>
  <c r="Z27" i="30"/>
  <c r="AL27" i="30" s="1"/>
  <c r="AF29" i="31"/>
  <c r="AE29" i="31"/>
  <c r="AK29" i="31"/>
  <c r="AH29" i="31"/>
  <c r="AD29" i="31"/>
  <c r="U27" i="30"/>
  <c r="AG27" i="30" s="1"/>
  <c r="AC29" i="34"/>
  <c r="S27" i="30"/>
  <c r="AE27" i="30" s="1"/>
  <c r="T27" i="30"/>
  <c r="AF27" i="30" s="1"/>
  <c r="W19" i="1"/>
  <c r="W30" i="19"/>
  <c r="AI30" i="19" s="1"/>
  <c r="AA29" i="28"/>
  <c r="AC29" i="28" s="1"/>
  <c r="AB28" i="28"/>
  <c r="Q28" i="25"/>
  <c r="R28" i="25" s="1"/>
  <c r="AD28" i="25" s="1"/>
  <c r="X30" i="19"/>
  <c r="O20" i="1"/>
  <c r="V30" i="19"/>
  <c r="AH30" i="19" s="1"/>
  <c r="S20" i="1"/>
  <c r="U30" i="19"/>
  <c r="AG30" i="19" s="1"/>
  <c r="N20" i="1"/>
  <c r="R28" i="20"/>
  <c r="AD28" i="20" s="1"/>
  <c r="R20" i="1"/>
  <c r="W31" i="27"/>
  <c r="AI31" i="27" s="1"/>
  <c r="U31" i="27"/>
  <c r="AG31" i="27" s="1"/>
  <c r="H20" i="1"/>
  <c r="V20" i="1" s="1"/>
  <c r="Q20" i="1"/>
  <c r="U20" i="1"/>
  <c r="AC28" i="24"/>
  <c r="Y30" i="19"/>
  <c r="AK30" i="19" s="1"/>
  <c r="AA29" i="29"/>
  <c r="AC29" i="29" s="1"/>
  <c r="AD28" i="8"/>
  <c r="S29" i="36"/>
  <c r="AE29" i="36" s="1"/>
  <c r="AC28" i="25"/>
  <c r="AB28" i="25"/>
  <c r="L22" i="1" s="1"/>
  <c r="AA28" i="39"/>
  <c r="AC28" i="39" s="1"/>
  <c r="Q28" i="39"/>
  <c r="W28" i="8"/>
  <c r="AI28" i="8" s="1"/>
  <c r="X28" i="8"/>
  <c r="AJ28" i="8" s="1"/>
  <c r="M20" i="1"/>
  <c r="U28" i="31"/>
  <c r="AG28" i="31" s="1"/>
  <c r="Z28" i="31"/>
  <c r="AL28" i="31" s="1"/>
  <c r="X28" i="31"/>
  <c r="AJ28" i="31" s="1"/>
  <c r="W28" i="31"/>
  <c r="AI28" i="31" s="1"/>
  <c r="Y28" i="31"/>
  <c r="AK28" i="31" s="1"/>
  <c r="R28" i="31"/>
  <c r="AD28" i="31" s="1"/>
  <c r="T28" i="31"/>
  <c r="AF28" i="31" s="1"/>
  <c r="V28" i="31"/>
  <c r="AH28" i="31" s="1"/>
  <c r="S28" i="31"/>
  <c r="AE28" i="31" s="1"/>
  <c r="U28" i="8"/>
  <c r="AG28" i="8" s="1"/>
  <c r="V28" i="8"/>
  <c r="AH28" i="8" s="1"/>
  <c r="AB29" i="38"/>
  <c r="M30" i="24"/>
  <c r="P30" i="24" s="1"/>
  <c r="Q30" i="24" s="1"/>
  <c r="N29" i="24"/>
  <c r="O29" i="24" s="1"/>
  <c r="AB29" i="24" s="1"/>
  <c r="P30" i="31"/>
  <c r="AA30" i="31" s="1"/>
  <c r="AC30" i="31" s="1"/>
  <c r="O30" i="31"/>
  <c r="Y28" i="8"/>
  <c r="AK28" i="8" s="1"/>
  <c r="T28" i="8"/>
  <c r="AF28" i="8" s="1"/>
  <c r="P20" i="1"/>
  <c r="S29" i="28"/>
  <c r="AE29" i="28" s="1"/>
  <c r="X29" i="28"/>
  <c r="AJ29" i="28" s="1"/>
  <c r="V29" i="28"/>
  <c r="AH29" i="28" s="1"/>
  <c r="Z29" i="28"/>
  <c r="AL29" i="28" s="1"/>
  <c r="W29" i="28"/>
  <c r="AI29" i="28" s="1"/>
  <c r="AB28" i="34"/>
  <c r="Z30" i="19"/>
  <c r="AL30" i="19" s="1"/>
  <c r="S30" i="19"/>
  <c r="AE30" i="19" s="1"/>
  <c r="T20" i="1"/>
  <c r="Z29" i="21"/>
  <c r="AL29" i="21" s="1"/>
  <c r="M30" i="30"/>
  <c r="P30" i="30" s="1"/>
  <c r="AA30" i="30" s="1"/>
  <c r="Q28" i="32"/>
  <c r="AA28" i="32"/>
  <c r="R30" i="19"/>
  <c r="AD30" i="19" s="1"/>
  <c r="U28" i="20"/>
  <c r="AG28" i="20" s="1"/>
  <c r="V29" i="21"/>
  <c r="AH29" i="21" s="1"/>
  <c r="AC28" i="35"/>
  <c r="T28" i="20"/>
  <c r="AF28" i="20" s="1"/>
  <c r="U29" i="21"/>
  <c r="AG29" i="21" s="1"/>
  <c r="M30" i="35"/>
  <c r="M31" i="31"/>
  <c r="S29" i="37"/>
  <c r="AE29" i="37" s="1"/>
  <c r="M30" i="25"/>
  <c r="O30" i="25" s="1"/>
  <c r="C33" i="31"/>
  <c r="E32" i="31"/>
  <c r="H32" i="31" s="1"/>
  <c r="K32" i="31" s="1"/>
  <c r="D32" i="31"/>
  <c r="G32" i="31" s="1"/>
  <c r="J32" i="31" s="1"/>
  <c r="I32" i="31"/>
  <c r="L32" i="31" s="1"/>
  <c r="AC29" i="31"/>
  <c r="AB29" i="31"/>
  <c r="AA28" i="33"/>
  <c r="AC28" i="33" s="1"/>
  <c r="Q28" i="33"/>
  <c r="T27" i="22"/>
  <c r="AF27" i="22" s="1"/>
  <c r="Z27" i="22"/>
  <c r="AL27" i="22" s="1"/>
  <c r="R27" i="22"/>
  <c r="AD27" i="22" s="1"/>
  <c r="S27" i="22"/>
  <c r="AE27" i="22" s="1"/>
  <c r="V27" i="22"/>
  <c r="AH27" i="22" s="1"/>
  <c r="U27" i="22"/>
  <c r="AG27" i="22" s="1"/>
  <c r="W27" i="22"/>
  <c r="AI27" i="22" s="1"/>
  <c r="X27" i="22"/>
  <c r="AJ27" i="22" s="1"/>
  <c r="Y27" i="22"/>
  <c r="AK27" i="22" s="1"/>
  <c r="T29" i="28"/>
  <c r="AF29" i="28" s="1"/>
  <c r="X28" i="24"/>
  <c r="AJ28" i="24" s="1"/>
  <c r="Z28" i="24"/>
  <c r="AL28" i="24" s="1"/>
  <c r="R28" i="24"/>
  <c r="AD28" i="24" s="1"/>
  <c r="Y28" i="24"/>
  <c r="AK28" i="24" s="1"/>
  <c r="W28" i="24"/>
  <c r="AI28" i="24" s="1"/>
  <c r="V28" i="24"/>
  <c r="AH28" i="24" s="1"/>
  <c r="T28" i="24"/>
  <c r="AF28" i="24" s="1"/>
  <c r="S28" i="24"/>
  <c r="AE28" i="24" s="1"/>
  <c r="U28" i="24"/>
  <c r="AG28" i="24" s="1"/>
  <c r="C32" i="35"/>
  <c r="D31" i="35"/>
  <c r="G31" i="35" s="1"/>
  <c r="J31" i="35" s="1"/>
  <c r="E31" i="35"/>
  <c r="H31" i="35" s="1"/>
  <c r="K31" i="35" s="1"/>
  <c r="I31" i="35"/>
  <c r="L31" i="35" s="1"/>
  <c r="X27" i="35"/>
  <c r="AJ27" i="35" s="1"/>
  <c r="V27" i="35"/>
  <c r="AH27" i="35" s="1"/>
  <c r="T27" i="35"/>
  <c r="AF27" i="35" s="1"/>
  <c r="R27" i="35"/>
  <c r="AD27" i="35" s="1"/>
  <c r="Y27" i="35"/>
  <c r="AK27" i="35" s="1"/>
  <c r="W27" i="35"/>
  <c r="AI27" i="35" s="1"/>
  <c r="S27" i="35"/>
  <c r="AE27" i="35" s="1"/>
  <c r="Z27" i="35"/>
  <c r="AL27" i="35" s="1"/>
  <c r="U27" i="35"/>
  <c r="AG27" i="35" s="1"/>
  <c r="N29" i="35"/>
  <c r="O29" i="35" s="1"/>
  <c r="P29" i="35"/>
  <c r="AA29" i="35" s="1"/>
  <c r="F31" i="32"/>
  <c r="I31" i="32" s="1"/>
  <c r="L31" i="32" s="1"/>
  <c r="C32" i="32"/>
  <c r="D31" i="32"/>
  <c r="G31" i="32" s="1"/>
  <c r="J31" i="32" s="1"/>
  <c r="E31" i="32"/>
  <c r="H31" i="32" s="1"/>
  <c r="K31" i="32" s="1"/>
  <c r="P29" i="22"/>
  <c r="AA29" i="22" s="1"/>
  <c r="AC29" i="22" s="1"/>
  <c r="O29" i="22"/>
  <c r="AA28" i="26"/>
  <c r="AC28" i="26" s="1"/>
  <c r="Q28" i="26"/>
  <c r="O29" i="32"/>
  <c r="P29" i="32"/>
  <c r="R27" i="32"/>
  <c r="AD27" i="32" s="1"/>
  <c r="S27" i="32"/>
  <c r="AE27" i="32" s="1"/>
  <c r="Z27" i="32"/>
  <c r="AL27" i="32" s="1"/>
  <c r="U27" i="32"/>
  <c r="AG27" i="32" s="1"/>
  <c r="Y27" i="32"/>
  <c r="AK27" i="32" s="1"/>
  <c r="T27" i="32"/>
  <c r="AF27" i="32" s="1"/>
  <c r="W27" i="32"/>
  <c r="AI27" i="32" s="1"/>
  <c r="X27" i="32"/>
  <c r="AJ27" i="32" s="1"/>
  <c r="V27" i="32"/>
  <c r="AH27" i="32" s="1"/>
  <c r="AC27" i="32"/>
  <c r="AB27" i="32"/>
  <c r="U27" i="26"/>
  <c r="AG27" i="26" s="1"/>
  <c r="Z27" i="26"/>
  <c r="AL27" i="26" s="1"/>
  <c r="Y27" i="26"/>
  <c r="AK27" i="26" s="1"/>
  <c r="R27" i="26"/>
  <c r="AD27" i="26" s="1"/>
  <c r="T27" i="26"/>
  <c r="AF27" i="26" s="1"/>
  <c r="S27" i="26"/>
  <c r="AE27" i="26" s="1"/>
  <c r="V27" i="26"/>
  <c r="AH27" i="26" s="1"/>
  <c r="X27" i="26"/>
  <c r="AJ27" i="26" s="1"/>
  <c r="W27" i="26"/>
  <c r="AI27" i="26" s="1"/>
  <c r="F31" i="24"/>
  <c r="I31" i="24" s="1"/>
  <c r="L31" i="24" s="1"/>
  <c r="C32" i="24"/>
  <c r="D31" i="24"/>
  <c r="G31" i="24" s="1"/>
  <c r="J31" i="24" s="1"/>
  <c r="E31" i="24"/>
  <c r="H31" i="24" s="1"/>
  <c r="K31" i="24" s="1"/>
  <c r="Y28" i="20"/>
  <c r="AK28" i="20" s="1"/>
  <c r="Z28" i="8"/>
  <c r="AL28" i="8" s="1"/>
  <c r="Y29" i="28"/>
  <c r="AK29" i="28" s="1"/>
  <c r="C32" i="25"/>
  <c r="D31" i="25"/>
  <c r="G31" i="25" s="1"/>
  <c r="J31" i="25" s="1"/>
  <c r="I31" i="25"/>
  <c r="L31" i="25" s="1"/>
  <c r="H31" i="25"/>
  <c r="K31" i="25" s="1"/>
  <c r="AB28" i="22"/>
  <c r="F31" i="22"/>
  <c r="I31" i="22" s="1"/>
  <c r="L31" i="22" s="1"/>
  <c r="E31" i="22"/>
  <c r="H31" i="22" s="1"/>
  <c r="K31" i="22" s="1"/>
  <c r="C32" i="22"/>
  <c r="D31" i="22"/>
  <c r="G31" i="22" s="1"/>
  <c r="J31" i="22" s="1"/>
  <c r="Q29" i="24"/>
  <c r="C32" i="30"/>
  <c r="E31" i="30"/>
  <c r="H31" i="30" s="1"/>
  <c r="K31" i="30" s="1"/>
  <c r="D31" i="30"/>
  <c r="G31" i="30" s="1"/>
  <c r="J31" i="30" s="1"/>
  <c r="I31" i="30"/>
  <c r="L31" i="30" s="1"/>
  <c r="E31" i="39"/>
  <c r="H31" i="39" s="1"/>
  <c r="K31" i="39" s="1"/>
  <c r="F31" i="39"/>
  <c r="I31" i="39" s="1"/>
  <c r="L31" i="39" s="1"/>
  <c r="D31" i="39"/>
  <c r="G31" i="39" s="1"/>
  <c r="J31" i="39" s="1"/>
  <c r="C32" i="39"/>
  <c r="R29" i="28"/>
  <c r="AD29" i="28" s="1"/>
  <c r="Z29" i="34"/>
  <c r="AL29" i="34" s="1"/>
  <c r="R29" i="37"/>
  <c r="AD29" i="37" s="1"/>
  <c r="M30" i="26"/>
  <c r="Q28" i="22"/>
  <c r="M30" i="39"/>
  <c r="Q29" i="30"/>
  <c r="M30" i="33"/>
  <c r="AB27" i="35"/>
  <c r="AB28" i="35"/>
  <c r="E31" i="26"/>
  <c r="H31" i="26" s="1"/>
  <c r="K31" i="26" s="1"/>
  <c r="F31" i="26"/>
  <c r="I31" i="26" s="1"/>
  <c r="L31" i="26" s="1"/>
  <c r="C32" i="26"/>
  <c r="D31" i="26"/>
  <c r="G31" i="26" s="1"/>
  <c r="J31" i="26" s="1"/>
  <c r="AC27" i="33"/>
  <c r="N29" i="26"/>
  <c r="O29" i="26" s="1"/>
  <c r="P29" i="26"/>
  <c r="AC27" i="39"/>
  <c r="AB27" i="39"/>
  <c r="N29" i="39"/>
  <c r="O29" i="39" s="1"/>
  <c r="P29" i="39"/>
  <c r="C32" i="33"/>
  <c r="I32" i="33" s="1"/>
  <c r="L32" i="33" s="1"/>
  <c r="E31" i="33"/>
  <c r="H31" i="33" s="1"/>
  <c r="K31" i="33" s="1"/>
  <c r="D31" i="33"/>
  <c r="G31" i="33" s="1"/>
  <c r="J31" i="33" s="1"/>
  <c r="M30" i="22"/>
  <c r="Z27" i="33"/>
  <c r="AL27" i="33" s="1"/>
  <c r="Y27" i="33"/>
  <c r="AK27" i="33" s="1"/>
  <c r="X27" i="33"/>
  <c r="AJ27" i="33" s="1"/>
  <c r="R27" i="33"/>
  <c r="AD27" i="33" s="1"/>
  <c r="W27" i="33"/>
  <c r="AI27" i="33" s="1"/>
  <c r="V27" i="33"/>
  <c r="AH27" i="33" s="1"/>
  <c r="S27" i="33"/>
  <c r="AE27" i="33" s="1"/>
  <c r="U27" i="33"/>
  <c r="AG27" i="33" s="1"/>
  <c r="T27" i="33"/>
  <c r="AF27" i="33" s="1"/>
  <c r="W27" i="39"/>
  <c r="AI27" i="39" s="1"/>
  <c r="V27" i="39"/>
  <c r="AH27" i="39" s="1"/>
  <c r="Z27" i="39"/>
  <c r="AL27" i="39" s="1"/>
  <c r="T27" i="39"/>
  <c r="AF27" i="39" s="1"/>
  <c r="U27" i="39"/>
  <c r="AG27" i="39" s="1"/>
  <c r="S27" i="39"/>
  <c r="AE27" i="39" s="1"/>
  <c r="R27" i="39"/>
  <c r="AD27" i="39" s="1"/>
  <c r="X27" i="39"/>
  <c r="AJ27" i="39" s="1"/>
  <c r="Y27" i="39"/>
  <c r="AK27" i="39" s="1"/>
  <c r="Q28" i="35"/>
  <c r="I31" i="33"/>
  <c r="L31" i="33" s="1"/>
  <c r="M30" i="32"/>
  <c r="Q29" i="25"/>
  <c r="V31" i="27"/>
  <c r="AH31" i="27" s="1"/>
  <c r="S31" i="27"/>
  <c r="AE31" i="27" s="1"/>
  <c r="V29" i="36"/>
  <c r="AH29" i="36" s="1"/>
  <c r="R29" i="36"/>
  <c r="AD29" i="36" s="1"/>
  <c r="T29" i="37"/>
  <c r="AF29" i="37" s="1"/>
  <c r="R29" i="21"/>
  <c r="AD29" i="21" s="1"/>
  <c r="S29" i="21"/>
  <c r="AE29" i="21" s="1"/>
  <c r="Y29" i="21"/>
  <c r="AK29" i="21" s="1"/>
  <c r="Z31" i="27"/>
  <c r="AL31" i="27" s="1"/>
  <c r="X29" i="34"/>
  <c r="AJ29" i="34" s="1"/>
  <c r="W29" i="34"/>
  <c r="AI29" i="34" s="1"/>
  <c r="W28" i="20"/>
  <c r="AI28" i="20" s="1"/>
  <c r="V29" i="34"/>
  <c r="AH29" i="34" s="1"/>
  <c r="T31" i="27"/>
  <c r="AF31" i="27" s="1"/>
  <c r="V28" i="20"/>
  <c r="AH28" i="20" s="1"/>
  <c r="S28" i="20"/>
  <c r="AE28" i="20" s="1"/>
  <c r="X30" i="40"/>
  <c r="AJ30" i="40" s="1"/>
  <c r="X28" i="20"/>
  <c r="AJ28" i="20" s="1"/>
  <c r="R31" i="27"/>
  <c r="AD31" i="27" s="1"/>
  <c r="Y29" i="34"/>
  <c r="AK29" i="34" s="1"/>
  <c r="Y30" i="40"/>
  <c r="AK30" i="40" s="1"/>
  <c r="V29" i="37"/>
  <c r="AH29" i="37" s="1"/>
  <c r="W29" i="36"/>
  <c r="AI29" i="36" s="1"/>
  <c r="U29" i="28"/>
  <c r="AG29" i="28" s="1"/>
  <c r="R30" i="40"/>
  <c r="AD30" i="40" s="1"/>
  <c r="S28" i="8"/>
  <c r="AE28" i="8" s="1"/>
  <c r="U29" i="36"/>
  <c r="AG29" i="36" s="1"/>
  <c r="V30" i="40"/>
  <c r="AH30" i="40" s="1"/>
  <c r="O31" i="38"/>
  <c r="N30" i="29"/>
  <c r="O30" i="29" s="1"/>
  <c r="R29" i="34"/>
  <c r="AD29" i="34" s="1"/>
  <c r="U30" i="40"/>
  <c r="AG30" i="40" s="1"/>
  <c r="AG29" i="37"/>
  <c r="W30" i="40"/>
  <c r="AI30" i="40" s="1"/>
  <c r="X29" i="29"/>
  <c r="AJ29" i="29" s="1"/>
  <c r="W29" i="29"/>
  <c r="AI29" i="29" s="1"/>
  <c r="V29" i="29"/>
  <c r="AH29" i="29" s="1"/>
  <c r="U29" i="29"/>
  <c r="AG29" i="29" s="1"/>
  <c r="T29" i="29"/>
  <c r="AF29" i="29" s="1"/>
  <c r="S29" i="29"/>
  <c r="AE29" i="29" s="1"/>
  <c r="R29" i="29"/>
  <c r="AD29" i="29" s="1"/>
  <c r="Z29" i="29"/>
  <c r="AL29" i="29" s="1"/>
  <c r="Y29" i="29"/>
  <c r="AK29" i="29" s="1"/>
  <c r="Y31" i="27"/>
  <c r="AK31" i="27" s="1"/>
  <c r="T29" i="34"/>
  <c r="AF29" i="34" s="1"/>
  <c r="Z29" i="36"/>
  <c r="AL29" i="36" s="1"/>
  <c r="X29" i="37"/>
  <c r="AJ29" i="37" s="1"/>
  <c r="U29" i="34"/>
  <c r="AG29" i="34" s="1"/>
  <c r="T29" i="36"/>
  <c r="AF29" i="36" s="1"/>
  <c r="W29" i="37"/>
  <c r="AI29" i="37" s="1"/>
  <c r="AB30" i="38"/>
  <c r="O30" i="28"/>
  <c r="X29" i="36"/>
  <c r="AJ29" i="36" s="1"/>
  <c r="T29" i="21"/>
  <c r="AF29" i="21" s="1"/>
  <c r="Y29" i="37"/>
  <c r="AK29" i="37" s="1"/>
  <c r="X29" i="21"/>
  <c r="AJ29" i="21" s="1"/>
  <c r="Z29" i="37"/>
  <c r="AL29" i="37" s="1"/>
  <c r="S30" i="40"/>
  <c r="AE30" i="40" s="1"/>
  <c r="O30" i="37"/>
  <c r="M31" i="37"/>
  <c r="O31" i="37" s="1"/>
  <c r="T30" i="40"/>
  <c r="AF30" i="40" s="1"/>
  <c r="AE29" i="34"/>
  <c r="N30" i="34"/>
  <c r="O30" i="34" s="1"/>
  <c r="AC30" i="40"/>
  <c r="Q30" i="29"/>
  <c r="X30" i="29" s="1"/>
  <c r="Q30" i="34"/>
  <c r="T30" i="34" s="1"/>
  <c r="Q30" i="37"/>
  <c r="V30" i="37" s="1"/>
  <c r="Q31" i="38"/>
  <c r="X31" i="38" s="1"/>
  <c r="Q30" i="36"/>
  <c r="V30" i="36" s="1"/>
  <c r="Q29" i="8"/>
  <c r="Y29" i="8" s="1"/>
  <c r="Q29" i="20"/>
  <c r="T29" i="20" s="1"/>
  <c r="AB29" i="40"/>
  <c r="Q30" i="21"/>
  <c r="W30" i="21" s="1"/>
  <c r="AI30" i="21" s="1"/>
  <c r="Q32" i="27"/>
  <c r="Y32" i="27" s="1"/>
  <c r="P30" i="28"/>
  <c r="AA30" i="28" s="1"/>
  <c r="AC30" i="28" s="1"/>
  <c r="M32" i="40"/>
  <c r="P32" i="40" s="1"/>
  <c r="Q30" i="38"/>
  <c r="V29" i="40"/>
  <c r="AH29" i="40" s="1"/>
  <c r="U29" i="40"/>
  <c r="AG29" i="40" s="1"/>
  <c r="Z29" i="40"/>
  <c r="AL29" i="40" s="1"/>
  <c r="R29" i="40"/>
  <c r="AD29" i="40" s="1"/>
  <c r="T29" i="40"/>
  <c r="AF29" i="40" s="1"/>
  <c r="Y29" i="40"/>
  <c r="AK29" i="40" s="1"/>
  <c r="S29" i="40"/>
  <c r="AE29" i="40" s="1"/>
  <c r="X29" i="40"/>
  <c r="AJ29" i="40" s="1"/>
  <c r="W29" i="40"/>
  <c r="AI29" i="40" s="1"/>
  <c r="Z28" i="37"/>
  <c r="AL28" i="37" s="1"/>
  <c r="X28" i="37"/>
  <c r="AJ28" i="37" s="1"/>
  <c r="T28" i="37"/>
  <c r="AF28" i="37" s="1"/>
  <c r="S28" i="37"/>
  <c r="AE28" i="37" s="1"/>
  <c r="R28" i="37"/>
  <c r="AD28" i="37" s="1"/>
  <c r="W28" i="37"/>
  <c r="AI28" i="37" s="1"/>
  <c r="V28" i="37"/>
  <c r="AH28" i="37" s="1"/>
  <c r="U28" i="37"/>
  <c r="AG28" i="37" s="1"/>
  <c r="Y28" i="37"/>
  <c r="AK28" i="37" s="1"/>
  <c r="Q31" i="40"/>
  <c r="U31" i="40" s="1"/>
  <c r="AA31" i="40"/>
  <c r="AC31" i="40" s="1"/>
  <c r="AL30" i="40"/>
  <c r="N32" i="40"/>
  <c r="F33" i="40"/>
  <c r="I33" i="40" s="1"/>
  <c r="L33" i="40" s="1"/>
  <c r="E33" i="40"/>
  <c r="H33" i="40" s="1"/>
  <c r="K33" i="40" s="1"/>
  <c r="D33" i="40"/>
  <c r="G33" i="40" s="1"/>
  <c r="J33" i="40" s="1"/>
  <c r="O31" i="40"/>
  <c r="AB30" i="40"/>
  <c r="AA31" i="38"/>
  <c r="AC31" i="38" s="1"/>
  <c r="M32" i="38"/>
  <c r="O32" i="38" s="1"/>
  <c r="D33" i="38"/>
  <c r="G33" i="38" s="1"/>
  <c r="J33" i="38" s="1"/>
  <c r="I33" i="38"/>
  <c r="L33" i="38" s="1"/>
  <c r="H33" i="38"/>
  <c r="K33" i="38" s="1"/>
  <c r="C33" i="37"/>
  <c r="D32" i="37"/>
  <c r="G32" i="37" s="1"/>
  <c r="J32" i="37" s="1"/>
  <c r="E32" i="37"/>
  <c r="H32" i="37" s="1"/>
  <c r="K32" i="37" s="1"/>
  <c r="F32" i="37"/>
  <c r="I32" i="37" s="1"/>
  <c r="L32" i="37" s="1"/>
  <c r="AB29" i="37"/>
  <c r="AA30" i="37"/>
  <c r="AC30" i="37" s="1"/>
  <c r="AB29" i="34"/>
  <c r="AB29" i="36"/>
  <c r="M31" i="36"/>
  <c r="AA30" i="36"/>
  <c r="AC30" i="36" s="1"/>
  <c r="N31" i="36"/>
  <c r="C33" i="36"/>
  <c r="F33" i="36" s="1"/>
  <c r="D32" i="36"/>
  <c r="G32" i="36" s="1"/>
  <c r="J32" i="36" s="1"/>
  <c r="E32" i="36"/>
  <c r="H32" i="36" s="1"/>
  <c r="K32" i="36" s="1"/>
  <c r="I32" i="36"/>
  <c r="L32" i="36" s="1"/>
  <c r="AK29" i="36"/>
  <c r="O30" i="36"/>
  <c r="M31" i="34"/>
  <c r="P31" i="34" s="1"/>
  <c r="C33" i="34"/>
  <c r="E32" i="34"/>
  <c r="H32" i="34" s="1"/>
  <c r="K32" i="34" s="1"/>
  <c r="D32" i="34"/>
  <c r="G32" i="34" s="1"/>
  <c r="J32" i="34" s="1"/>
  <c r="I32" i="34"/>
  <c r="L32" i="34" s="1"/>
  <c r="AA30" i="34"/>
  <c r="F33" i="33"/>
  <c r="N33" i="31"/>
  <c r="M31" i="29"/>
  <c r="P31" i="29" s="1"/>
  <c r="C33" i="29"/>
  <c r="D32" i="29"/>
  <c r="G32" i="29" s="1"/>
  <c r="J32" i="29" s="1"/>
  <c r="E32" i="29"/>
  <c r="H32" i="29" s="1"/>
  <c r="K32" i="29" s="1"/>
  <c r="I32" i="29"/>
  <c r="L32" i="29" s="1"/>
  <c r="AA30" i="29"/>
  <c r="M31" i="28"/>
  <c r="N31" i="28" s="1"/>
  <c r="C33" i="28"/>
  <c r="E33" i="28" s="1"/>
  <c r="D32" i="28"/>
  <c r="G32" i="28" s="1"/>
  <c r="J32" i="28" s="1"/>
  <c r="H32" i="28"/>
  <c r="K32" i="28" s="1"/>
  <c r="I32" i="28"/>
  <c r="L32" i="28" s="1"/>
  <c r="M33" i="27"/>
  <c r="P33" i="27" s="1"/>
  <c r="N33" i="27"/>
  <c r="O32" i="27"/>
  <c r="AB31" i="27"/>
  <c r="AJ31" i="27"/>
  <c r="AA32" i="27"/>
  <c r="AC32" i="27" s="1"/>
  <c r="N33" i="25"/>
  <c r="AB28" i="20"/>
  <c r="K22" i="1" s="1"/>
  <c r="P31" i="21"/>
  <c r="AA30" i="21"/>
  <c r="AC30" i="21" s="1"/>
  <c r="AB28" i="8"/>
  <c r="O29" i="20"/>
  <c r="O29" i="8"/>
  <c r="AJ30" i="19"/>
  <c r="M32" i="21"/>
  <c r="O32" i="21" s="1"/>
  <c r="D33" i="21"/>
  <c r="G33" i="21" s="1"/>
  <c r="J33" i="21" s="1"/>
  <c r="H33" i="21"/>
  <c r="K33" i="21" s="1"/>
  <c r="I33" i="21"/>
  <c r="L33" i="21" s="1"/>
  <c r="N30" i="20"/>
  <c r="AA29" i="20"/>
  <c r="AC29" i="20" s="1"/>
  <c r="AL28" i="20"/>
  <c r="C32" i="20"/>
  <c r="D31" i="20"/>
  <c r="G31" i="20" s="1"/>
  <c r="J31" i="20" s="1"/>
  <c r="F31" i="20"/>
  <c r="I31" i="20" s="1"/>
  <c r="L31" i="20" s="1"/>
  <c r="E31" i="20"/>
  <c r="N32" i="19"/>
  <c r="D33" i="19"/>
  <c r="F33" i="19"/>
  <c r="E33" i="19"/>
  <c r="AB30" i="19"/>
  <c r="AF30" i="19"/>
  <c r="AA31" i="19"/>
  <c r="AC31" i="19" s="1"/>
  <c r="O31" i="19"/>
  <c r="AA29" i="8"/>
  <c r="P30" i="8"/>
  <c r="N30" i="8"/>
  <c r="M31" i="8"/>
  <c r="C33" i="8"/>
  <c r="E33" i="8" s="1"/>
  <c r="D32" i="8"/>
  <c r="G32" i="8" s="1"/>
  <c r="J32" i="8" s="1"/>
  <c r="F32" i="8"/>
  <c r="I32" i="8" s="1"/>
  <c r="L32" i="8" s="1"/>
  <c r="H32" i="8"/>
  <c r="K32" i="8" s="1"/>
  <c r="CV25" i="1" l="1"/>
  <c r="DA25" i="1"/>
  <c r="DB25" i="1"/>
  <c r="DC25" i="1" s="1"/>
  <c r="CU25" i="1"/>
  <c r="CY25" i="1" s="1"/>
  <c r="CZ25" i="1" s="1"/>
  <c r="CT26" i="1"/>
  <c r="DA72" i="1" s="1"/>
  <c r="DA73" i="1" s="1"/>
  <c r="ED26" i="1"/>
  <c r="DO26" i="1" s="1"/>
  <c r="CF27" i="1"/>
  <c r="EH27" i="1"/>
  <c r="CS26" i="1"/>
  <c r="DF26" i="1" s="1"/>
  <c r="CD27" i="1"/>
  <c r="EF27" i="1"/>
  <c r="CY24" i="1"/>
  <c r="CZ24" i="1" s="1"/>
  <c r="DM24" i="1" s="1"/>
  <c r="DP24" i="1" s="1"/>
  <c r="DK26" i="1"/>
  <c r="DL26" i="1" s="1"/>
  <c r="CC27" i="1"/>
  <c r="DH27" i="1"/>
  <c r="DI27" i="1"/>
  <c r="DJ27" i="1" s="1"/>
  <c r="M32" i="19"/>
  <c r="P32" i="19" s="1"/>
  <c r="Q32" i="19" s="1"/>
  <c r="T32" i="19" s="1"/>
  <c r="BY27" i="1"/>
  <c r="R28" i="30"/>
  <c r="AD28" i="30" s="1"/>
  <c r="AB28" i="23"/>
  <c r="S28" i="23"/>
  <c r="AE28" i="23" s="1"/>
  <c r="Y28" i="23"/>
  <c r="AK28" i="23" s="1"/>
  <c r="W28" i="23"/>
  <c r="AI28" i="23" s="1"/>
  <c r="R28" i="23"/>
  <c r="AD28" i="23" s="1"/>
  <c r="U28" i="23"/>
  <c r="AG28" i="23" s="1"/>
  <c r="T28" i="23"/>
  <c r="AF28" i="23" s="1"/>
  <c r="X28" i="23"/>
  <c r="AJ28" i="23" s="1"/>
  <c r="V28" i="23"/>
  <c r="AH28" i="23" s="1"/>
  <c r="Z28" i="23"/>
  <c r="AL28" i="23" s="1"/>
  <c r="AK21" i="1"/>
  <c r="Q29" i="23"/>
  <c r="AA29" i="23"/>
  <c r="M31" i="23"/>
  <c r="D32" i="23"/>
  <c r="G32" i="23" s="1"/>
  <c r="J32" i="23" s="1"/>
  <c r="C33" i="23"/>
  <c r="E32" i="23"/>
  <c r="H32" i="23" s="1"/>
  <c r="K32" i="23" s="1"/>
  <c r="F32" i="23"/>
  <c r="I32" i="23" s="1"/>
  <c r="L32" i="23" s="1"/>
  <c r="N30" i="23"/>
  <c r="O30" i="23" s="1"/>
  <c r="P30" i="23"/>
  <c r="G33" i="19"/>
  <c r="J33" i="19" s="1"/>
  <c r="BC25" i="1"/>
  <c r="H31" i="20"/>
  <c r="K31" i="20" s="1"/>
  <c r="BD25" i="1"/>
  <c r="BE25" i="1"/>
  <c r="H33" i="19"/>
  <c r="K33" i="19" s="1"/>
  <c r="I33" i="19"/>
  <c r="L33" i="19" s="1"/>
  <c r="X19" i="1"/>
  <c r="BF19" i="1"/>
  <c r="AB29" i="29"/>
  <c r="Y20" i="1"/>
  <c r="V28" i="30"/>
  <c r="AH28" i="30" s="1"/>
  <c r="Z28" i="30"/>
  <c r="AL28" i="30" s="1"/>
  <c r="X28" i="30"/>
  <c r="AJ28" i="30" s="1"/>
  <c r="U28" i="30"/>
  <c r="AG28" i="30" s="1"/>
  <c r="W28" i="30"/>
  <c r="AI28" i="30" s="1"/>
  <c r="T28" i="30"/>
  <c r="AF28" i="30" s="1"/>
  <c r="S28" i="30"/>
  <c r="AE28" i="30" s="1"/>
  <c r="AA19" i="1"/>
  <c r="AB19" i="1"/>
  <c r="AC19" i="1"/>
  <c r="AD19" i="1"/>
  <c r="AE19" i="1"/>
  <c r="Z18" i="1"/>
  <c r="AL22" i="1"/>
  <c r="AJ21" i="1"/>
  <c r="BB24" i="1"/>
  <c r="AP23" i="1"/>
  <c r="AY22" i="1"/>
  <c r="BB23" i="1"/>
  <c r="AU21" i="1"/>
  <c r="AW21" i="1"/>
  <c r="AH22" i="1"/>
  <c r="AQ23" i="1"/>
  <c r="AV23" i="1"/>
  <c r="AS22" i="1"/>
  <c r="AS23" i="1"/>
  <c r="AT21" i="1"/>
  <c r="AO25" i="1"/>
  <c r="AF24" i="1"/>
  <c r="AY23" i="1"/>
  <c r="AG22" i="1"/>
  <c r="AI23" i="1"/>
  <c r="BA21" i="1"/>
  <c r="AX23" i="1"/>
  <c r="AN21" i="1"/>
  <c r="AR21" i="1"/>
  <c r="Y29" i="33"/>
  <c r="AK29" i="33" s="1"/>
  <c r="W29" i="33"/>
  <c r="AI29" i="33" s="1"/>
  <c r="AC29" i="30"/>
  <c r="V29" i="33"/>
  <c r="AH29" i="33" s="1"/>
  <c r="S29" i="33"/>
  <c r="AE29" i="33" s="1"/>
  <c r="T29" i="33"/>
  <c r="AF29" i="33" s="1"/>
  <c r="AA29" i="33"/>
  <c r="Z29" i="33"/>
  <c r="AL29" i="33" s="1"/>
  <c r="U28" i="25"/>
  <c r="AG28" i="25" s="1"/>
  <c r="AB29" i="28"/>
  <c r="T28" i="25"/>
  <c r="AF28" i="25" s="1"/>
  <c r="W20" i="1"/>
  <c r="U29" i="33"/>
  <c r="AG29" i="33" s="1"/>
  <c r="R29" i="33"/>
  <c r="AD29" i="33" s="1"/>
  <c r="V28" i="25"/>
  <c r="AH28" i="25" s="1"/>
  <c r="S28" i="25"/>
  <c r="AE28" i="25" s="1"/>
  <c r="W28" i="25"/>
  <c r="AI28" i="25" s="1"/>
  <c r="Z28" i="25"/>
  <c r="AL28" i="25" s="1"/>
  <c r="N30" i="24"/>
  <c r="O30" i="24" s="1"/>
  <c r="Y28" i="25"/>
  <c r="AK28" i="25" s="1"/>
  <c r="X28" i="25"/>
  <c r="AJ28" i="25" s="1"/>
  <c r="P31" i="37"/>
  <c r="AA31" i="37" s="1"/>
  <c r="AC31" i="37" s="1"/>
  <c r="S29" i="8"/>
  <c r="AE29" i="8" s="1"/>
  <c r="Y29" i="20"/>
  <c r="AK29" i="20" s="1"/>
  <c r="S29" i="20"/>
  <c r="AE29" i="20" s="1"/>
  <c r="R29" i="20"/>
  <c r="AD29" i="20" s="1"/>
  <c r="Z29" i="20"/>
  <c r="AL29" i="20" s="1"/>
  <c r="T30" i="29"/>
  <c r="AF30" i="29" s="1"/>
  <c r="U29" i="20"/>
  <c r="AG29" i="20" s="1"/>
  <c r="W29" i="20"/>
  <c r="AI29" i="20" s="1"/>
  <c r="W31" i="38"/>
  <c r="AI31" i="38" s="1"/>
  <c r="R29" i="8"/>
  <c r="AD29" i="8" s="1"/>
  <c r="U30" i="36"/>
  <c r="AG30" i="36" s="1"/>
  <c r="U21" i="1"/>
  <c r="U29" i="8"/>
  <c r="AG29" i="8" s="1"/>
  <c r="S21" i="1"/>
  <c r="AC30" i="34"/>
  <c r="R21" i="1"/>
  <c r="M31" i="25"/>
  <c r="P31" i="25" s="1"/>
  <c r="AA31" i="25" s="1"/>
  <c r="AC31" i="25" s="1"/>
  <c r="N30" i="30"/>
  <c r="O30" i="30" s="1"/>
  <c r="AB30" i="30" s="1"/>
  <c r="H21" i="1"/>
  <c r="P30" i="25"/>
  <c r="AA30" i="25" s="1"/>
  <c r="AC30" i="25" s="1"/>
  <c r="Y31" i="19"/>
  <c r="AK31" i="19" s="1"/>
  <c r="X29" i="8"/>
  <c r="AJ29" i="8" s="1"/>
  <c r="U31" i="19"/>
  <c r="AG31" i="19" s="1"/>
  <c r="AB28" i="39"/>
  <c r="V31" i="19"/>
  <c r="T31" i="19"/>
  <c r="AF31" i="19" s="1"/>
  <c r="M32" i="31"/>
  <c r="Z29" i="8"/>
  <c r="AL29" i="8" s="1"/>
  <c r="U30" i="29"/>
  <c r="AG30" i="29" s="1"/>
  <c r="AB30" i="31"/>
  <c r="Z31" i="19"/>
  <c r="AL31" i="19" s="1"/>
  <c r="V29" i="20"/>
  <c r="AH29" i="20" s="1"/>
  <c r="W30" i="29"/>
  <c r="AI30" i="29" s="1"/>
  <c r="Q30" i="31"/>
  <c r="Y30" i="29"/>
  <c r="AK30" i="29" s="1"/>
  <c r="M31" i="24"/>
  <c r="N31" i="24" s="1"/>
  <c r="M31" i="30"/>
  <c r="P31" i="30" s="1"/>
  <c r="AA31" i="30" s="1"/>
  <c r="AC29" i="35"/>
  <c r="AC29" i="24"/>
  <c r="Y28" i="39"/>
  <c r="AK28" i="39" s="1"/>
  <c r="X28" i="39"/>
  <c r="AJ28" i="39" s="1"/>
  <c r="R28" i="39"/>
  <c r="AD28" i="39" s="1"/>
  <c r="W28" i="39"/>
  <c r="AI28" i="39" s="1"/>
  <c r="U28" i="39"/>
  <c r="AG28" i="39" s="1"/>
  <c r="Z28" i="39"/>
  <c r="AL28" i="39" s="1"/>
  <c r="V28" i="39"/>
  <c r="AH28" i="39" s="1"/>
  <c r="T28" i="39"/>
  <c r="AF28" i="39" s="1"/>
  <c r="S28" i="39"/>
  <c r="AE28" i="39" s="1"/>
  <c r="T29" i="8"/>
  <c r="AF29" i="8" s="1"/>
  <c r="R31" i="19"/>
  <c r="AD31" i="19" s="1"/>
  <c r="X29" i="20"/>
  <c r="AJ29" i="20" s="1"/>
  <c r="Y30" i="36"/>
  <c r="AK30" i="36" s="1"/>
  <c r="Y31" i="38"/>
  <c r="AK31" i="38" s="1"/>
  <c r="V29" i="8"/>
  <c r="AH29" i="8" s="1"/>
  <c r="W31" i="19"/>
  <c r="AI31" i="19" s="1"/>
  <c r="R30" i="29"/>
  <c r="AD30" i="29" s="1"/>
  <c r="W29" i="8"/>
  <c r="AI29" i="8" s="1"/>
  <c r="U30" i="21"/>
  <c r="AG30" i="21" s="1"/>
  <c r="S31" i="19"/>
  <c r="AE31" i="19" s="1"/>
  <c r="Z32" i="27"/>
  <c r="AL32" i="27" s="1"/>
  <c r="S30" i="29"/>
  <c r="AE30" i="29" s="1"/>
  <c r="U30" i="34"/>
  <c r="AG30" i="34" s="1"/>
  <c r="O21" i="1"/>
  <c r="M21" i="1"/>
  <c r="P21" i="1"/>
  <c r="V30" i="34"/>
  <c r="AH30" i="34" s="1"/>
  <c r="Q21" i="1"/>
  <c r="T21" i="1"/>
  <c r="AB28" i="33"/>
  <c r="AC30" i="29"/>
  <c r="D33" i="31"/>
  <c r="G33" i="31" s="1"/>
  <c r="J33" i="31" s="1"/>
  <c r="E33" i="31"/>
  <c r="H33" i="31" s="1"/>
  <c r="K33" i="31" s="1"/>
  <c r="I33" i="31"/>
  <c r="L33" i="31" s="1"/>
  <c r="S30" i="37"/>
  <c r="AE30" i="37" s="1"/>
  <c r="R30" i="37"/>
  <c r="AD30" i="37" s="1"/>
  <c r="R28" i="33"/>
  <c r="AD28" i="33" s="1"/>
  <c r="Y28" i="33"/>
  <c r="AK28" i="33" s="1"/>
  <c r="X28" i="33"/>
  <c r="AJ28" i="33" s="1"/>
  <c r="Z28" i="33"/>
  <c r="AL28" i="33" s="1"/>
  <c r="T28" i="33"/>
  <c r="AF28" i="33" s="1"/>
  <c r="W28" i="33"/>
  <c r="AI28" i="33" s="1"/>
  <c r="V28" i="33"/>
  <c r="AH28" i="33" s="1"/>
  <c r="U28" i="33"/>
  <c r="AG28" i="33" s="1"/>
  <c r="S28" i="33"/>
  <c r="AE28" i="33" s="1"/>
  <c r="AC28" i="32"/>
  <c r="AB28" i="32"/>
  <c r="I22" i="1" s="1"/>
  <c r="V30" i="29"/>
  <c r="AH30" i="29" s="1"/>
  <c r="N21" i="1"/>
  <c r="X28" i="32"/>
  <c r="AJ28" i="32" s="1"/>
  <c r="W28" i="32"/>
  <c r="AI28" i="32" s="1"/>
  <c r="T28" i="32"/>
  <c r="AF28" i="32" s="1"/>
  <c r="R28" i="32"/>
  <c r="AD28" i="32" s="1"/>
  <c r="S28" i="32"/>
  <c r="AE28" i="32" s="1"/>
  <c r="Y28" i="32"/>
  <c r="AK28" i="32" s="1"/>
  <c r="U28" i="32"/>
  <c r="AG28" i="32" s="1"/>
  <c r="Z28" i="32"/>
  <c r="AL28" i="32" s="1"/>
  <c r="V28" i="32"/>
  <c r="AH28" i="32" s="1"/>
  <c r="P31" i="31"/>
  <c r="AA31" i="31" s="1"/>
  <c r="AC31" i="31" s="1"/>
  <c r="O31" i="31"/>
  <c r="L23" i="1"/>
  <c r="P30" i="35"/>
  <c r="AA30" i="35" s="1"/>
  <c r="N30" i="35"/>
  <c r="M31" i="26"/>
  <c r="X28" i="22"/>
  <c r="AJ28" i="22" s="1"/>
  <c r="T28" i="22"/>
  <c r="AF28" i="22" s="1"/>
  <c r="U28" i="22"/>
  <c r="AG28" i="22" s="1"/>
  <c r="V28" i="22"/>
  <c r="AH28" i="22" s="1"/>
  <c r="S28" i="22"/>
  <c r="AE28" i="22" s="1"/>
  <c r="R28" i="22"/>
  <c r="AD28" i="22" s="1"/>
  <c r="Y28" i="22"/>
  <c r="AK28" i="22" s="1"/>
  <c r="Z28" i="22"/>
  <c r="AL28" i="22" s="1"/>
  <c r="W28" i="22"/>
  <c r="AI28" i="22" s="1"/>
  <c r="E32" i="22"/>
  <c r="H32" i="22" s="1"/>
  <c r="K32" i="22" s="1"/>
  <c r="F32" i="22"/>
  <c r="I32" i="22" s="1"/>
  <c r="L32" i="22" s="1"/>
  <c r="C33" i="22"/>
  <c r="D32" i="22"/>
  <c r="G32" i="22" s="1"/>
  <c r="J32" i="22" s="1"/>
  <c r="C33" i="24"/>
  <c r="E32" i="24"/>
  <c r="H32" i="24" s="1"/>
  <c r="K32" i="24" s="1"/>
  <c r="F32" i="24"/>
  <c r="I32" i="24" s="1"/>
  <c r="L32" i="24" s="1"/>
  <c r="D32" i="24"/>
  <c r="G32" i="24" s="1"/>
  <c r="J32" i="24" s="1"/>
  <c r="Q29" i="32"/>
  <c r="E32" i="35"/>
  <c r="H32" i="35" s="1"/>
  <c r="K32" i="35" s="1"/>
  <c r="D32" i="35"/>
  <c r="G32" i="35" s="1"/>
  <c r="J32" i="35" s="1"/>
  <c r="I32" i="35"/>
  <c r="L32" i="35" s="1"/>
  <c r="C33" i="35"/>
  <c r="F32" i="26"/>
  <c r="I32" i="26" s="1"/>
  <c r="L32" i="26" s="1"/>
  <c r="E32" i="26"/>
  <c r="H32" i="26" s="1"/>
  <c r="K32" i="26" s="1"/>
  <c r="C33" i="26"/>
  <c r="D32" i="26"/>
  <c r="G32" i="26" s="1"/>
  <c r="J32" i="26" s="1"/>
  <c r="N30" i="26"/>
  <c r="O30" i="26" s="1"/>
  <c r="P30" i="26"/>
  <c r="M31" i="32"/>
  <c r="S29" i="25"/>
  <c r="AE29" i="25" s="1"/>
  <c r="U29" i="25"/>
  <c r="AG29" i="25" s="1"/>
  <c r="V29" i="25"/>
  <c r="AH29" i="25" s="1"/>
  <c r="W29" i="25"/>
  <c r="AI29" i="25" s="1"/>
  <c r="X29" i="25"/>
  <c r="AJ29" i="25" s="1"/>
  <c r="Z29" i="25"/>
  <c r="AL29" i="25" s="1"/>
  <c r="T29" i="25"/>
  <c r="AF29" i="25" s="1"/>
  <c r="R29" i="25"/>
  <c r="AD29" i="25" s="1"/>
  <c r="Y29" i="25"/>
  <c r="AK29" i="25" s="1"/>
  <c r="F32" i="32"/>
  <c r="I32" i="32" s="1"/>
  <c r="L32" i="32" s="1"/>
  <c r="C33" i="32"/>
  <c r="D32" i="32"/>
  <c r="G32" i="32" s="1"/>
  <c r="J32" i="32" s="1"/>
  <c r="E32" i="32"/>
  <c r="H32" i="32" s="1"/>
  <c r="K32" i="32" s="1"/>
  <c r="P30" i="32"/>
  <c r="AA30" i="32" s="1"/>
  <c r="AC30" i="32" s="1"/>
  <c r="O30" i="32"/>
  <c r="Y28" i="26"/>
  <c r="AK28" i="26" s="1"/>
  <c r="R28" i="26"/>
  <c r="AD28" i="26" s="1"/>
  <c r="U28" i="26"/>
  <c r="AG28" i="26" s="1"/>
  <c r="Z28" i="26"/>
  <c r="AL28" i="26" s="1"/>
  <c r="S28" i="26"/>
  <c r="AE28" i="26" s="1"/>
  <c r="T28" i="26"/>
  <c r="AF28" i="26" s="1"/>
  <c r="W28" i="26"/>
  <c r="AI28" i="26" s="1"/>
  <c r="V28" i="26"/>
  <c r="AH28" i="26" s="1"/>
  <c r="X28" i="26"/>
  <c r="AJ28" i="26" s="1"/>
  <c r="I21" i="1"/>
  <c r="AB29" i="35"/>
  <c r="Q30" i="30"/>
  <c r="R28" i="35"/>
  <c r="AD28" i="35" s="1"/>
  <c r="X28" i="35"/>
  <c r="AJ28" i="35" s="1"/>
  <c r="S28" i="35"/>
  <c r="AE28" i="35" s="1"/>
  <c r="T28" i="35"/>
  <c r="AF28" i="35" s="1"/>
  <c r="Z28" i="35"/>
  <c r="AL28" i="35" s="1"/>
  <c r="V28" i="35"/>
  <c r="AH28" i="35" s="1"/>
  <c r="U28" i="35"/>
  <c r="AG28" i="35" s="1"/>
  <c r="Y28" i="35"/>
  <c r="AK28" i="35" s="1"/>
  <c r="W28" i="35"/>
  <c r="AI28" i="35" s="1"/>
  <c r="P30" i="22"/>
  <c r="AA30" i="22" s="1"/>
  <c r="AC30" i="22" s="1"/>
  <c r="O30" i="22"/>
  <c r="AA29" i="26"/>
  <c r="AC29" i="26" s="1"/>
  <c r="Q29" i="26"/>
  <c r="AB29" i="22"/>
  <c r="M31" i="33"/>
  <c r="N30" i="33"/>
  <c r="O30" i="33" s="1"/>
  <c r="P30" i="33"/>
  <c r="E32" i="30"/>
  <c r="H32" i="30" s="1"/>
  <c r="K32" i="30" s="1"/>
  <c r="D32" i="30"/>
  <c r="G32" i="30" s="1"/>
  <c r="J32" i="30" s="1"/>
  <c r="I32" i="30"/>
  <c r="L32" i="30" s="1"/>
  <c r="C33" i="30"/>
  <c r="AA30" i="24"/>
  <c r="Q29" i="35"/>
  <c r="AB28" i="26"/>
  <c r="Q29" i="22"/>
  <c r="C33" i="33"/>
  <c r="E32" i="33"/>
  <c r="H32" i="33" s="1"/>
  <c r="K32" i="33" s="1"/>
  <c r="D32" i="33"/>
  <c r="G32" i="33" s="1"/>
  <c r="J32" i="33" s="1"/>
  <c r="Z29" i="30"/>
  <c r="AL29" i="30" s="1"/>
  <c r="S29" i="30"/>
  <c r="AE29" i="30" s="1"/>
  <c r="Y29" i="30"/>
  <c r="AK29" i="30" s="1"/>
  <c r="V29" i="30"/>
  <c r="AH29" i="30" s="1"/>
  <c r="X29" i="30"/>
  <c r="AJ29" i="30" s="1"/>
  <c r="T29" i="30"/>
  <c r="AF29" i="30" s="1"/>
  <c r="W29" i="30"/>
  <c r="AI29" i="30" s="1"/>
  <c r="U29" i="30"/>
  <c r="AG29" i="30" s="1"/>
  <c r="R29" i="30"/>
  <c r="AD29" i="30" s="1"/>
  <c r="E32" i="39"/>
  <c r="H32" i="39" s="1"/>
  <c r="K32" i="39" s="1"/>
  <c r="C33" i="39"/>
  <c r="D32" i="39"/>
  <c r="G32" i="39" s="1"/>
  <c r="J32" i="39" s="1"/>
  <c r="F32" i="39"/>
  <c r="I32" i="39" s="1"/>
  <c r="L32" i="39" s="1"/>
  <c r="R29" i="24"/>
  <c r="AD29" i="24" s="1"/>
  <c r="Y29" i="24"/>
  <c r="AK29" i="24" s="1"/>
  <c r="X29" i="24"/>
  <c r="AJ29" i="24" s="1"/>
  <c r="S29" i="24"/>
  <c r="AE29" i="24" s="1"/>
  <c r="T29" i="24"/>
  <c r="AF29" i="24" s="1"/>
  <c r="U29" i="24"/>
  <c r="AG29" i="24" s="1"/>
  <c r="W29" i="24"/>
  <c r="AI29" i="24" s="1"/>
  <c r="V29" i="24"/>
  <c r="AH29" i="24" s="1"/>
  <c r="Z29" i="24"/>
  <c r="AL29" i="24" s="1"/>
  <c r="D32" i="25"/>
  <c r="G32" i="25" s="1"/>
  <c r="J32" i="25" s="1"/>
  <c r="C33" i="25"/>
  <c r="I32" i="25"/>
  <c r="L32" i="25" s="1"/>
  <c r="H32" i="25"/>
  <c r="K32" i="25" s="1"/>
  <c r="U30" i="24"/>
  <c r="T30" i="24"/>
  <c r="S30" i="24"/>
  <c r="V30" i="24"/>
  <c r="Y30" i="24"/>
  <c r="X30" i="24"/>
  <c r="W30" i="24"/>
  <c r="Z30" i="24"/>
  <c r="R30" i="24"/>
  <c r="AA29" i="39"/>
  <c r="AC29" i="39" s="1"/>
  <c r="Q29" i="39"/>
  <c r="N30" i="39"/>
  <c r="O30" i="39" s="1"/>
  <c r="P30" i="39"/>
  <c r="M31" i="39"/>
  <c r="M31" i="22"/>
  <c r="AA29" i="32"/>
  <c r="AC29" i="32" s="1"/>
  <c r="M31" i="35"/>
  <c r="X32" i="27"/>
  <c r="AJ32" i="27" s="1"/>
  <c r="T32" i="27"/>
  <c r="AF32" i="27" s="1"/>
  <c r="V31" i="38"/>
  <c r="AH31" i="38" s="1"/>
  <c r="V30" i="21"/>
  <c r="AH30" i="21" s="1"/>
  <c r="V32" i="27"/>
  <c r="AH32" i="27" s="1"/>
  <c r="W30" i="37"/>
  <c r="AI30" i="37" s="1"/>
  <c r="Y30" i="37"/>
  <c r="AK30" i="37" s="1"/>
  <c r="X30" i="37"/>
  <c r="AJ30" i="37" s="1"/>
  <c r="Z30" i="37"/>
  <c r="AL30" i="37" s="1"/>
  <c r="S30" i="21"/>
  <c r="AE30" i="21" s="1"/>
  <c r="S30" i="34"/>
  <c r="AE30" i="34" s="1"/>
  <c r="S30" i="36"/>
  <c r="AE30" i="36" s="1"/>
  <c r="X31" i="40"/>
  <c r="AJ31" i="40" s="1"/>
  <c r="R30" i="21"/>
  <c r="AD30" i="21" s="1"/>
  <c r="Z30" i="34"/>
  <c r="AL30" i="34" s="1"/>
  <c r="T30" i="36"/>
  <c r="AF30" i="36" s="1"/>
  <c r="Z30" i="21"/>
  <c r="AL30" i="21" s="1"/>
  <c r="W30" i="34"/>
  <c r="AI30" i="34" s="1"/>
  <c r="X30" i="34"/>
  <c r="AJ30" i="34" s="1"/>
  <c r="Y30" i="21"/>
  <c r="AK30" i="21" s="1"/>
  <c r="R30" i="34"/>
  <c r="AD30" i="34" s="1"/>
  <c r="R30" i="36"/>
  <c r="AD30" i="36" s="1"/>
  <c r="AJ31" i="38"/>
  <c r="Z30" i="29"/>
  <c r="AL30" i="29" s="1"/>
  <c r="X30" i="36"/>
  <c r="AJ30" i="36" s="1"/>
  <c r="U30" i="37"/>
  <c r="AG30" i="37" s="1"/>
  <c r="U31" i="38"/>
  <c r="AG31" i="38" s="1"/>
  <c r="Z30" i="36"/>
  <c r="AL30" i="36" s="1"/>
  <c r="R31" i="38"/>
  <c r="AD31" i="38" s="1"/>
  <c r="S32" i="27"/>
  <c r="AE32" i="27" s="1"/>
  <c r="W30" i="36"/>
  <c r="AI30" i="36" s="1"/>
  <c r="U32" i="27"/>
  <c r="AG32" i="27" s="1"/>
  <c r="W32" i="27"/>
  <c r="AI32" i="27" s="1"/>
  <c r="S31" i="38"/>
  <c r="AE31" i="38" s="1"/>
  <c r="AH30" i="37"/>
  <c r="X30" i="21"/>
  <c r="AJ30" i="21" s="1"/>
  <c r="R32" i="27"/>
  <c r="AD32" i="27" s="1"/>
  <c r="T31" i="38"/>
  <c r="AF31" i="38" s="1"/>
  <c r="Y30" i="34"/>
  <c r="AK30" i="34" s="1"/>
  <c r="T30" i="37"/>
  <c r="AF30" i="37" s="1"/>
  <c r="Z31" i="38"/>
  <c r="AL31" i="38" s="1"/>
  <c r="W31" i="40"/>
  <c r="AI31" i="40" s="1"/>
  <c r="P32" i="38"/>
  <c r="Q32" i="38" s="1"/>
  <c r="Y31" i="40"/>
  <c r="AK31" i="40" s="1"/>
  <c r="N31" i="29"/>
  <c r="O31" i="29" s="1"/>
  <c r="V31" i="40"/>
  <c r="AH31" i="40" s="1"/>
  <c r="R31" i="40"/>
  <c r="AD31" i="40" s="1"/>
  <c r="S31" i="40"/>
  <c r="AE31" i="40" s="1"/>
  <c r="Q33" i="27"/>
  <c r="Y33" i="27" s="1"/>
  <c r="Q31" i="34"/>
  <c r="T31" i="34" s="1"/>
  <c r="Q32" i="40"/>
  <c r="W32" i="40" s="1"/>
  <c r="AA32" i="40"/>
  <c r="Q30" i="28"/>
  <c r="N31" i="34"/>
  <c r="O31" i="34" s="1"/>
  <c r="M32" i="36"/>
  <c r="P32" i="36" s="1"/>
  <c r="AB30" i="28"/>
  <c r="Z31" i="40"/>
  <c r="AL31" i="40" s="1"/>
  <c r="Q31" i="21"/>
  <c r="T31" i="21" s="1"/>
  <c r="AF31" i="21" s="1"/>
  <c r="U30" i="38"/>
  <c r="AG30" i="38" s="1"/>
  <c r="X30" i="38"/>
  <c r="AJ30" i="38" s="1"/>
  <c r="W30" i="38"/>
  <c r="AI30" i="38" s="1"/>
  <c r="V30" i="38"/>
  <c r="AH30" i="38" s="1"/>
  <c r="S30" i="38"/>
  <c r="AE30" i="38" s="1"/>
  <c r="R30" i="38"/>
  <c r="AD30" i="38" s="1"/>
  <c r="Z30" i="38"/>
  <c r="AL30" i="38" s="1"/>
  <c r="Y30" i="38"/>
  <c r="AK30" i="38" s="1"/>
  <c r="T30" i="38"/>
  <c r="AF30" i="38" s="1"/>
  <c r="Q31" i="29"/>
  <c r="T31" i="29" s="1"/>
  <c r="AB30" i="37"/>
  <c r="T31" i="40"/>
  <c r="AF31" i="40" s="1"/>
  <c r="P31" i="28"/>
  <c r="AA31" i="28" s="1"/>
  <c r="AC31" i="28" s="1"/>
  <c r="Q30" i="8"/>
  <c r="X30" i="8" s="1"/>
  <c r="Q30" i="20"/>
  <c r="S30" i="20" s="1"/>
  <c r="T30" i="21"/>
  <c r="AF30" i="21" s="1"/>
  <c r="O31" i="28"/>
  <c r="AB31" i="40"/>
  <c r="M33" i="40"/>
  <c r="P33" i="40" s="1"/>
  <c r="N33" i="40"/>
  <c r="O32" i="40"/>
  <c r="AG31" i="40"/>
  <c r="M33" i="38"/>
  <c r="P33" i="38" s="1"/>
  <c r="AB31" i="38"/>
  <c r="M32" i="37"/>
  <c r="O32" i="37" s="1"/>
  <c r="F33" i="37"/>
  <c r="I33" i="37" s="1"/>
  <c r="L33" i="37" s="1"/>
  <c r="D33" i="37"/>
  <c r="G33" i="37" s="1"/>
  <c r="J33" i="37" s="1"/>
  <c r="E33" i="37"/>
  <c r="H33" i="37" s="1"/>
  <c r="K33" i="37" s="1"/>
  <c r="AB30" i="29"/>
  <c r="AB30" i="34"/>
  <c r="AB30" i="36"/>
  <c r="P31" i="36"/>
  <c r="AH30" i="36"/>
  <c r="N32" i="36"/>
  <c r="O31" i="36"/>
  <c r="E33" i="36"/>
  <c r="H33" i="36" s="1"/>
  <c r="K33" i="36" s="1"/>
  <c r="D33" i="36"/>
  <c r="G33" i="36" s="1"/>
  <c r="J33" i="36" s="1"/>
  <c r="I33" i="36"/>
  <c r="L33" i="36" s="1"/>
  <c r="M32" i="34"/>
  <c r="P32" i="34" s="1"/>
  <c r="AF30" i="34"/>
  <c r="E33" i="34"/>
  <c r="H33" i="34" s="1"/>
  <c r="K33" i="34" s="1"/>
  <c r="D33" i="34"/>
  <c r="G33" i="34" s="1"/>
  <c r="J33" i="34" s="1"/>
  <c r="I33" i="34"/>
  <c r="L33" i="34" s="1"/>
  <c r="AA31" i="34"/>
  <c r="AJ30" i="29"/>
  <c r="M32" i="29"/>
  <c r="N32" i="29" s="1"/>
  <c r="AA31" i="29"/>
  <c r="E33" i="29"/>
  <c r="H33" i="29" s="1"/>
  <c r="K33" i="29" s="1"/>
  <c r="D33" i="29"/>
  <c r="G33" i="29" s="1"/>
  <c r="J33" i="29" s="1"/>
  <c r="I33" i="29"/>
  <c r="L33" i="29" s="1"/>
  <c r="M32" i="28"/>
  <c r="N32" i="28" s="1"/>
  <c r="D33" i="28"/>
  <c r="G33" i="28" s="1"/>
  <c r="J33" i="28" s="1"/>
  <c r="H33" i="28"/>
  <c r="K33" i="28" s="1"/>
  <c r="I33" i="28"/>
  <c r="L33" i="28" s="1"/>
  <c r="AK32" i="27"/>
  <c r="AB32" i="27"/>
  <c r="O33" i="27"/>
  <c r="AA33" i="27"/>
  <c r="AC33" i="27" s="1"/>
  <c r="AB30" i="21"/>
  <c r="AA31" i="21"/>
  <c r="AC31" i="21" s="1"/>
  <c r="AF29" i="20"/>
  <c r="AB31" i="19"/>
  <c r="AB29" i="20"/>
  <c r="K23" i="1" s="1"/>
  <c r="AC29" i="8"/>
  <c r="P32" i="21"/>
  <c r="AB29" i="8"/>
  <c r="O30" i="8"/>
  <c r="AK29" i="8"/>
  <c r="M33" i="21"/>
  <c r="O33" i="21" s="1"/>
  <c r="M31" i="20"/>
  <c r="P31" i="20" s="1"/>
  <c r="N31" i="20"/>
  <c r="AA30" i="20"/>
  <c r="AC30" i="20" s="1"/>
  <c r="C33" i="20"/>
  <c r="D32" i="20"/>
  <c r="G32" i="20" s="1"/>
  <c r="J32" i="20" s="1"/>
  <c r="E32" i="20"/>
  <c r="F32" i="20"/>
  <c r="I32" i="20" s="1"/>
  <c r="L32" i="20" s="1"/>
  <c r="O30" i="20"/>
  <c r="AJ31" i="19"/>
  <c r="AH31" i="19"/>
  <c r="N33" i="19"/>
  <c r="AA32" i="19"/>
  <c r="AC32" i="19" s="1"/>
  <c r="O32" i="19"/>
  <c r="AA30" i="8"/>
  <c r="P31" i="8"/>
  <c r="N31" i="8"/>
  <c r="M32" i="8"/>
  <c r="D33" i="8"/>
  <c r="G33" i="8" s="1"/>
  <c r="J33" i="8" s="1"/>
  <c r="F33" i="8"/>
  <c r="I33" i="8" s="1"/>
  <c r="L33" i="8" s="1"/>
  <c r="H33" i="8"/>
  <c r="K33" i="8" s="1"/>
  <c r="DM25" i="1" l="1"/>
  <c r="DP25" i="1" s="1"/>
  <c r="CU26" i="1"/>
  <c r="CV26" i="1"/>
  <c r="DA26" i="1"/>
  <c r="DB26" i="1"/>
  <c r="DC26" i="1" s="1"/>
  <c r="ED27" i="1"/>
  <c r="DO27" i="1" s="1"/>
  <c r="DQ31" i="1" s="1"/>
  <c r="CS27" i="1"/>
  <c r="DF27" i="1" s="1"/>
  <c r="DE24" i="1"/>
  <c r="DN24" i="1" s="1"/>
  <c r="DE25" i="1"/>
  <c r="DN25" i="1" s="1"/>
  <c r="DK27" i="1"/>
  <c r="DL27" i="1" s="1"/>
  <c r="CT27" i="1"/>
  <c r="M33" i="19"/>
  <c r="P33" i="19" s="1"/>
  <c r="AK22" i="1"/>
  <c r="AC29" i="23"/>
  <c r="AB29" i="23"/>
  <c r="W29" i="23"/>
  <c r="AI29" i="23" s="1"/>
  <c r="U29" i="23"/>
  <c r="AG29" i="23" s="1"/>
  <c r="Z29" i="23"/>
  <c r="AL29" i="23" s="1"/>
  <c r="T29" i="23"/>
  <c r="AF29" i="23" s="1"/>
  <c r="S29" i="23"/>
  <c r="AE29" i="23" s="1"/>
  <c r="X29" i="23"/>
  <c r="AJ29" i="23" s="1"/>
  <c r="V29" i="23"/>
  <c r="AH29" i="23" s="1"/>
  <c r="R29" i="23"/>
  <c r="AD29" i="23" s="1"/>
  <c r="Y29" i="23"/>
  <c r="AK29" i="23" s="1"/>
  <c r="N31" i="23"/>
  <c r="O31" i="23" s="1"/>
  <c r="P31" i="23"/>
  <c r="AA30" i="23"/>
  <c r="AC30" i="23" s="1"/>
  <c r="Q30" i="23"/>
  <c r="D33" i="23"/>
  <c r="G33" i="23" s="1"/>
  <c r="J33" i="23" s="1"/>
  <c r="E33" i="23"/>
  <c r="H33" i="23" s="1"/>
  <c r="K33" i="23" s="1"/>
  <c r="F33" i="23"/>
  <c r="I33" i="23" s="1"/>
  <c r="L33" i="23" s="1"/>
  <c r="M32" i="23"/>
  <c r="BC26" i="1"/>
  <c r="BE26" i="1"/>
  <c r="H32" i="20"/>
  <c r="K32" i="20" s="1"/>
  <c r="M32" i="20" s="1"/>
  <c r="P32" i="20" s="1"/>
  <c r="BD26" i="1"/>
  <c r="X20" i="1"/>
  <c r="BF20" i="1"/>
  <c r="Y21" i="1"/>
  <c r="AR22" i="1"/>
  <c r="AA20" i="1"/>
  <c r="AE20" i="1"/>
  <c r="AB20" i="1"/>
  <c r="AD20" i="1"/>
  <c r="AC20" i="1"/>
  <c r="Z19" i="1"/>
  <c r="AM22" i="1"/>
  <c r="AG23" i="1"/>
  <c r="BB25" i="1"/>
  <c r="AO26" i="1"/>
  <c r="AR23" i="1"/>
  <c r="AU22" i="1"/>
  <c r="AQ24" i="1"/>
  <c r="AY24" i="1"/>
  <c r="AI24" i="1"/>
  <c r="AH23" i="1"/>
  <c r="AZ24" i="1"/>
  <c r="AX24" i="1"/>
  <c r="AT22" i="1"/>
  <c r="BA22" i="1"/>
  <c r="AU23" i="1"/>
  <c r="AV24" i="1"/>
  <c r="AL23" i="1"/>
  <c r="AF25" i="1"/>
  <c r="AW22" i="1"/>
  <c r="AM23" i="1"/>
  <c r="AZ25" i="1"/>
  <c r="AN22" i="1"/>
  <c r="AJ22" i="1"/>
  <c r="AC29" i="33"/>
  <c r="AB29" i="33"/>
  <c r="Q31" i="37"/>
  <c r="T31" i="37" s="1"/>
  <c r="AF31" i="37" s="1"/>
  <c r="Q30" i="25"/>
  <c r="R30" i="25" s="1"/>
  <c r="AD30" i="25" s="1"/>
  <c r="P31" i="24"/>
  <c r="AA31" i="24" s="1"/>
  <c r="AC31" i="24" s="1"/>
  <c r="N31" i="30"/>
  <c r="O31" i="30" s="1"/>
  <c r="AB31" i="30" s="1"/>
  <c r="M32" i="26"/>
  <c r="O31" i="25"/>
  <c r="AB31" i="25" s="1"/>
  <c r="W21" i="1"/>
  <c r="U31" i="34"/>
  <c r="AG31" i="34" s="1"/>
  <c r="AA32" i="38"/>
  <c r="AC32" i="38" s="1"/>
  <c r="V21" i="1"/>
  <c r="Q22" i="1"/>
  <c r="O22" i="1"/>
  <c r="Y31" i="34"/>
  <c r="AK31" i="34" s="1"/>
  <c r="P22" i="1"/>
  <c r="T22" i="1"/>
  <c r="V31" i="34"/>
  <c r="AH31" i="34" s="1"/>
  <c r="AI30" i="24"/>
  <c r="S22" i="1"/>
  <c r="N22" i="1"/>
  <c r="W31" i="34"/>
  <c r="AI31" i="34" s="1"/>
  <c r="X30" i="20"/>
  <c r="AJ30" i="20" s="1"/>
  <c r="P32" i="31"/>
  <c r="AA32" i="31" s="1"/>
  <c r="AC32" i="31" s="1"/>
  <c r="O32" i="31"/>
  <c r="M22" i="1"/>
  <c r="U22" i="1"/>
  <c r="AC30" i="30"/>
  <c r="Y30" i="31"/>
  <c r="AK30" i="31" s="1"/>
  <c r="X30" i="31"/>
  <c r="AJ30" i="31" s="1"/>
  <c r="S30" i="31"/>
  <c r="AE30" i="31" s="1"/>
  <c r="Z30" i="31"/>
  <c r="AL30" i="31" s="1"/>
  <c r="W30" i="31"/>
  <c r="AI30" i="31" s="1"/>
  <c r="T30" i="31"/>
  <c r="AF30" i="31" s="1"/>
  <c r="U30" i="31"/>
  <c r="AG30" i="31" s="1"/>
  <c r="V30" i="31"/>
  <c r="AH30" i="31" s="1"/>
  <c r="R30" i="31"/>
  <c r="AD30" i="31" s="1"/>
  <c r="M32" i="24"/>
  <c r="P32" i="24" s="1"/>
  <c r="AA32" i="24" s="1"/>
  <c r="V32" i="19"/>
  <c r="AH32" i="19" s="1"/>
  <c r="W32" i="19"/>
  <c r="AI32" i="19" s="1"/>
  <c r="R22" i="1"/>
  <c r="S32" i="19"/>
  <c r="AE32" i="19" s="1"/>
  <c r="U32" i="19"/>
  <c r="AG32" i="19" s="1"/>
  <c r="Y32" i="19"/>
  <c r="AK32" i="19" s="1"/>
  <c r="Y31" i="21"/>
  <c r="AK31" i="21" s="1"/>
  <c r="AB30" i="22"/>
  <c r="X31" i="21"/>
  <c r="AJ31" i="21" s="1"/>
  <c r="AC31" i="29"/>
  <c r="H22" i="1"/>
  <c r="V22" i="1" s="1"/>
  <c r="AB29" i="26"/>
  <c r="AB30" i="24"/>
  <c r="R31" i="21"/>
  <c r="AD31" i="21" s="1"/>
  <c r="O30" i="35"/>
  <c r="AB30" i="35" s="1"/>
  <c r="AC30" i="35"/>
  <c r="Z31" i="21"/>
  <c r="AL31" i="21" s="1"/>
  <c r="Q30" i="35"/>
  <c r="M32" i="33"/>
  <c r="M33" i="31"/>
  <c r="AB31" i="31"/>
  <c r="R33" i="27"/>
  <c r="AD33" i="27" s="1"/>
  <c r="Q31" i="31"/>
  <c r="V32" i="40"/>
  <c r="AH32" i="40" s="1"/>
  <c r="M32" i="25"/>
  <c r="O32" i="25" s="1"/>
  <c r="M32" i="30"/>
  <c r="N32" i="30" s="1"/>
  <c r="O32" i="30" s="1"/>
  <c r="M32" i="32"/>
  <c r="AC30" i="24"/>
  <c r="AB30" i="25"/>
  <c r="L24" i="1" s="1"/>
  <c r="P31" i="22"/>
  <c r="AA31" i="22" s="1"/>
  <c r="AC31" i="22" s="1"/>
  <c r="O31" i="22"/>
  <c r="AL30" i="24"/>
  <c r="U30" i="20"/>
  <c r="AG30" i="20" s="1"/>
  <c r="S31" i="21"/>
  <c r="AE31" i="21" s="1"/>
  <c r="N31" i="39"/>
  <c r="O31" i="39" s="1"/>
  <c r="P31" i="39"/>
  <c r="D33" i="25"/>
  <c r="G33" i="25" s="1"/>
  <c r="J33" i="25" s="1"/>
  <c r="H33" i="25"/>
  <c r="K33" i="25" s="1"/>
  <c r="I33" i="25"/>
  <c r="L33" i="25" s="1"/>
  <c r="AA30" i="26"/>
  <c r="AC30" i="26" s="1"/>
  <c r="Q30" i="26"/>
  <c r="N31" i="26"/>
  <c r="O31" i="26" s="1"/>
  <c r="P31" i="26"/>
  <c r="AA31" i="26" s="1"/>
  <c r="Z32" i="19"/>
  <c r="AL32" i="19" s="1"/>
  <c r="U31" i="21"/>
  <c r="AG31" i="21" s="1"/>
  <c r="S32" i="40"/>
  <c r="AE32" i="40" s="1"/>
  <c r="AJ30" i="24"/>
  <c r="F33" i="32"/>
  <c r="I33" i="32" s="1"/>
  <c r="L33" i="32" s="1"/>
  <c r="D33" i="32"/>
  <c r="G33" i="32" s="1"/>
  <c r="J33" i="32" s="1"/>
  <c r="E33" i="32"/>
  <c r="H33" i="32" s="1"/>
  <c r="K33" i="32" s="1"/>
  <c r="U29" i="32"/>
  <c r="AG29" i="32" s="1"/>
  <c r="T29" i="32"/>
  <c r="AF29" i="32" s="1"/>
  <c r="Z29" i="32"/>
  <c r="AL29" i="32" s="1"/>
  <c r="Y29" i="32"/>
  <c r="AK29" i="32" s="1"/>
  <c r="S29" i="32"/>
  <c r="AE29" i="32" s="1"/>
  <c r="R29" i="32"/>
  <c r="AD29" i="32" s="1"/>
  <c r="X29" i="32"/>
  <c r="AJ29" i="32" s="1"/>
  <c r="W29" i="32"/>
  <c r="AI29" i="32" s="1"/>
  <c r="V29" i="32"/>
  <c r="AH29" i="32" s="1"/>
  <c r="AB29" i="39"/>
  <c r="T33" i="27"/>
  <c r="AF33" i="27" s="1"/>
  <c r="Q30" i="39"/>
  <c r="AA30" i="39"/>
  <c r="AK30" i="24"/>
  <c r="M32" i="39"/>
  <c r="Q30" i="33"/>
  <c r="AA30" i="33"/>
  <c r="AC30" i="33" s="1"/>
  <c r="Q30" i="22"/>
  <c r="Z33" i="27"/>
  <c r="AL33" i="27" s="1"/>
  <c r="AH30" i="24"/>
  <c r="E33" i="39"/>
  <c r="H33" i="39" s="1"/>
  <c r="K33" i="39" s="1"/>
  <c r="F33" i="39"/>
  <c r="I33" i="39" s="1"/>
  <c r="L33" i="39" s="1"/>
  <c r="D33" i="39"/>
  <c r="G33" i="39" s="1"/>
  <c r="J33" i="39" s="1"/>
  <c r="T30" i="30"/>
  <c r="AF30" i="30" s="1"/>
  <c r="S30" i="30"/>
  <c r="AE30" i="30" s="1"/>
  <c r="R30" i="30"/>
  <c r="AD30" i="30" s="1"/>
  <c r="W30" i="30"/>
  <c r="AI30" i="30" s="1"/>
  <c r="X30" i="30"/>
  <c r="AJ30" i="30" s="1"/>
  <c r="V30" i="30"/>
  <c r="AH30" i="30" s="1"/>
  <c r="U30" i="30"/>
  <c r="AG30" i="30" s="1"/>
  <c r="Z30" i="30"/>
  <c r="AL30" i="30" s="1"/>
  <c r="Y30" i="30"/>
  <c r="AK30" i="30" s="1"/>
  <c r="F33" i="26"/>
  <c r="I33" i="26" s="1"/>
  <c r="L33" i="26" s="1"/>
  <c r="E33" i="26"/>
  <c r="H33" i="26" s="1"/>
  <c r="K33" i="26" s="1"/>
  <c r="D33" i="26"/>
  <c r="G33" i="26" s="1"/>
  <c r="J33" i="26" s="1"/>
  <c r="AE30" i="24"/>
  <c r="X29" i="35"/>
  <c r="AJ29" i="35" s="1"/>
  <c r="U29" i="35"/>
  <c r="AG29" i="35" s="1"/>
  <c r="Y29" i="35"/>
  <c r="AK29" i="35" s="1"/>
  <c r="T29" i="35"/>
  <c r="AF29" i="35" s="1"/>
  <c r="V29" i="35"/>
  <c r="AH29" i="35" s="1"/>
  <c r="Z29" i="35"/>
  <c r="AL29" i="35" s="1"/>
  <c r="W29" i="35"/>
  <c r="AI29" i="35" s="1"/>
  <c r="R29" i="35"/>
  <c r="AD29" i="35" s="1"/>
  <c r="S29" i="35"/>
  <c r="AE29" i="35" s="1"/>
  <c r="S29" i="39"/>
  <c r="AE29" i="39" s="1"/>
  <c r="R29" i="39"/>
  <c r="AD29" i="39" s="1"/>
  <c r="U29" i="39"/>
  <c r="AG29" i="39" s="1"/>
  <c r="Z29" i="39"/>
  <c r="AL29" i="39" s="1"/>
  <c r="X29" i="39"/>
  <c r="AJ29" i="39" s="1"/>
  <c r="Y29" i="39"/>
  <c r="AK29" i="39" s="1"/>
  <c r="W29" i="39"/>
  <c r="AI29" i="39" s="1"/>
  <c r="T29" i="39"/>
  <c r="AF29" i="39" s="1"/>
  <c r="V29" i="39"/>
  <c r="AH29" i="39" s="1"/>
  <c r="AF30" i="24"/>
  <c r="N31" i="33"/>
  <c r="O31" i="33" s="1"/>
  <c r="P31" i="33"/>
  <c r="AA31" i="33" s="1"/>
  <c r="AB30" i="32"/>
  <c r="O31" i="24"/>
  <c r="Y30" i="20"/>
  <c r="AK30" i="20" s="1"/>
  <c r="R32" i="19"/>
  <c r="AD32" i="19" s="1"/>
  <c r="AG30" i="24"/>
  <c r="D33" i="33"/>
  <c r="G33" i="33" s="1"/>
  <c r="J33" i="33" s="1"/>
  <c r="E33" i="33"/>
  <c r="H33" i="33" s="1"/>
  <c r="K33" i="33" s="1"/>
  <c r="Q31" i="30"/>
  <c r="I33" i="33"/>
  <c r="L33" i="33" s="1"/>
  <c r="D33" i="35"/>
  <c r="G33" i="35" s="1"/>
  <c r="J33" i="35" s="1"/>
  <c r="E33" i="35"/>
  <c r="H33" i="35" s="1"/>
  <c r="K33" i="35" s="1"/>
  <c r="I33" i="35"/>
  <c r="L33" i="35" s="1"/>
  <c r="F33" i="24"/>
  <c r="I33" i="24" s="1"/>
  <c r="L33" i="24" s="1"/>
  <c r="E33" i="24"/>
  <c r="H33" i="24" s="1"/>
  <c r="K33" i="24" s="1"/>
  <c r="D33" i="24"/>
  <c r="G33" i="24" s="1"/>
  <c r="J33" i="24" s="1"/>
  <c r="N31" i="35"/>
  <c r="O31" i="35" s="1"/>
  <c r="P31" i="35"/>
  <c r="AA31" i="35" s="1"/>
  <c r="D33" i="30"/>
  <c r="G33" i="30" s="1"/>
  <c r="J33" i="30" s="1"/>
  <c r="E33" i="30"/>
  <c r="H33" i="30" s="1"/>
  <c r="K33" i="30" s="1"/>
  <c r="I33" i="30"/>
  <c r="L33" i="30" s="1"/>
  <c r="Q30" i="32"/>
  <c r="O31" i="32"/>
  <c r="P31" i="32"/>
  <c r="AA31" i="32" s="1"/>
  <c r="AC31" i="32" s="1"/>
  <c r="M32" i="22"/>
  <c r="Z30" i="20"/>
  <c r="AL30" i="20" s="1"/>
  <c r="AD30" i="24"/>
  <c r="T29" i="22"/>
  <c r="AF29" i="22" s="1"/>
  <c r="W29" i="22"/>
  <c r="AI29" i="22" s="1"/>
  <c r="Y29" i="22"/>
  <c r="AK29" i="22" s="1"/>
  <c r="X29" i="22"/>
  <c r="AJ29" i="22" s="1"/>
  <c r="V29" i="22"/>
  <c r="AH29" i="22" s="1"/>
  <c r="R29" i="22"/>
  <c r="AD29" i="22" s="1"/>
  <c r="S29" i="22"/>
  <c r="AE29" i="22" s="1"/>
  <c r="Z29" i="22"/>
  <c r="AL29" i="22" s="1"/>
  <c r="U29" i="22"/>
  <c r="AG29" i="22" s="1"/>
  <c r="U29" i="26"/>
  <c r="AG29" i="26" s="1"/>
  <c r="T29" i="26"/>
  <c r="AF29" i="26" s="1"/>
  <c r="X29" i="26"/>
  <c r="AJ29" i="26" s="1"/>
  <c r="Z29" i="26"/>
  <c r="AL29" i="26" s="1"/>
  <c r="Y29" i="26"/>
  <c r="AK29" i="26" s="1"/>
  <c r="S29" i="26"/>
  <c r="AE29" i="26" s="1"/>
  <c r="R29" i="26"/>
  <c r="AD29" i="26" s="1"/>
  <c r="W29" i="26"/>
  <c r="AI29" i="26" s="1"/>
  <c r="V29" i="26"/>
  <c r="AH29" i="26" s="1"/>
  <c r="AB29" i="32"/>
  <c r="M32" i="35"/>
  <c r="E33" i="22"/>
  <c r="H33" i="22" s="1"/>
  <c r="K33" i="22" s="1"/>
  <c r="D33" i="22"/>
  <c r="G33" i="22" s="1"/>
  <c r="J33" i="22" s="1"/>
  <c r="F33" i="22"/>
  <c r="I33" i="22" s="1"/>
  <c r="L33" i="22" s="1"/>
  <c r="Q31" i="25"/>
  <c r="U31" i="29"/>
  <c r="AG31" i="29" s="1"/>
  <c r="U33" i="27"/>
  <c r="AG33" i="27" s="1"/>
  <c r="W33" i="27"/>
  <c r="AI33" i="27" s="1"/>
  <c r="S33" i="27"/>
  <c r="AE33" i="27" s="1"/>
  <c r="S31" i="34"/>
  <c r="AE31" i="34" s="1"/>
  <c r="V31" i="21"/>
  <c r="AH31" i="21" s="1"/>
  <c r="T30" i="20"/>
  <c r="AF30" i="20" s="1"/>
  <c r="T32" i="38"/>
  <c r="AF32" i="38" s="1"/>
  <c r="X32" i="38"/>
  <c r="AJ32" i="38" s="1"/>
  <c r="S32" i="38"/>
  <c r="AE32" i="38" s="1"/>
  <c r="R31" i="29"/>
  <c r="AD31" i="29" s="1"/>
  <c r="U32" i="40"/>
  <c r="AG32" i="40" s="1"/>
  <c r="W30" i="8"/>
  <c r="AI30" i="8" s="1"/>
  <c r="X32" i="40"/>
  <c r="AJ32" i="40" s="1"/>
  <c r="S30" i="8"/>
  <c r="AE30" i="8" s="1"/>
  <c r="T30" i="8"/>
  <c r="AF30" i="8" s="1"/>
  <c r="V30" i="8"/>
  <c r="AH30" i="8" s="1"/>
  <c r="Y30" i="8"/>
  <c r="AK30" i="8" s="1"/>
  <c r="W31" i="29"/>
  <c r="AI31" i="29" s="1"/>
  <c r="U30" i="8"/>
  <c r="AG30" i="8" s="1"/>
  <c r="V31" i="29"/>
  <c r="AH31" i="29" s="1"/>
  <c r="X31" i="29"/>
  <c r="AJ31" i="29" s="1"/>
  <c r="W31" i="21"/>
  <c r="AI31" i="21" s="1"/>
  <c r="X33" i="27"/>
  <c r="AJ33" i="27" s="1"/>
  <c r="Z31" i="29"/>
  <c r="AL31" i="29" s="1"/>
  <c r="R31" i="34"/>
  <c r="AD31" i="34" s="1"/>
  <c r="AB32" i="40"/>
  <c r="V33" i="27"/>
  <c r="AH33" i="27" s="1"/>
  <c r="X31" i="34"/>
  <c r="AJ31" i="34" s="1"/>
  <c r="Z31" i="34"/>
  <c r="AL31" i="34" s="1"/>
  <c r="X32" i="19"/>
  <c r="AJ32" i="19" s="1"/>
  <c r="Y31" i="29"/>
  <c r="AK31" i="29" s="1"/>
  <c r="O33" i="38"/>
  <c r="V32" i="38"/>
  <c r="AH32" i="38" s="1"/>
  <c r="R32" i="40"/>
  <c r="AD32" i="40" s="1"/>
  <c r="AC31" i="34"/>
  <c r="O32" i="28"/>
  <c r="AC32" i="40"/>
  <c r="V30" i="20"/>
  <c r="AH30" i="20" s="1"/>
  <c r="Y32" i="38"/>
  <c r="AK32" i="38" s="1"/>
  <c r="Z32" i="40"/>
  <c r="AL32" i="40" s="1"/>
  <c r="S31" i="29"/>
  <c r="AE31" i="29" s="1"/>
  <c r="R32" i="38"/>
  <c r="AD32" i="38" s="1"/>
  <c r="Y32" i="40"/>
  <c r="AK32" i="40" s="1"/>
  <c r="Z30" i="8"/>
  <c r="AL30" i="8" s="1"/>
  <c r="R30" i="20"/>
  <c r="AD30" i="20" s="1"/>
  <c r="O32" i="36"/>
  <c r="T32" i="40"/>
  <c r="AF32" i="40" s="1"/>
  <c r="P32" i="29"/>
  <c r="Q32" i="29" s="1"/>
  <c r="W32" i="29" s="1"/>
  <c r="R30" i="8"/>
  <c r="AD30" i="8" s="1"/>
  <c r="M33" i="36"/>
  <c r="P33" i="36" s="1"/>
  <c r="Z32" i="38"/>
  <c r="AL32" i="38" s="1"/>
  <c r="Q33" i="38"/>
  <c r="V33" i="38" s="1"/>
  <c r="P32" i="37"/>
  <c r="AA32" i="37" s="1"/>
  <c r="AC32" i="37" s="1"/>
  <c r="AK33" i="27"/>
  <c r="W32" i="38"/>
  <c r="AI32" i="38" s="1"/>
  <c r="Q33" i="40"/>
  <c r="Z33" i="40" s="1"/>
  <c r="Q32" i="34"/>
  <c r="T32" i="34" s="1"/>
  <c r="Q31" i="36"/>
  <c r="R31" i="36" s="1"/>
  <c r="AD31" i="36" s="1"/>
  <c r="S30" i="28"/>
  <c r="AE30" i="28" s="1"/>
  <c r="V30" i="28"/>
  <c r="AH30" i="28" s="1"/>
  <c r="W30" i="28"/>
  <c r="AI30" i="28" s="1"/>
  <c r="R30" i="28"/>
  <c r="AD30" i="28" s="1"/>
  <c r="X30" i="28"/>
  <c r="AJ30" i="28" s="1"/>
  <c r="Z30" i="28"/>
  <c r="AL30" i="28" s="1"/>
  <c r="Y30" i="28"/>
  <c r="AK30" i="28" s="1"/>
  <c r="T30" i="28"/>
  <c r="AF30" i="28" s="1"/>
  <c r="U30" i="28"/>
  <c r="AG30" i="28" s="1"/>
  <c r="P32" i="28"/>
  <c r="AA32" i="28" s="1"/>
  <c r="AC32" i="28" s="1"/>
  <c r="Q33" i="19"/>
  <c r="U33" i="19" s="1"/>
  <c r="Q31" i="20"/>
  <c r="R31" i="20" s="1"/>
  <c r="Q32" i="21"/>
  <c r="W32" i="21" s="1"/>
  <c r="AI32" i="21" s="1"/>
  <c r="U32" i="38"/>
  <c r="AG32" i="38" s="1"/>
  <c r="W30" i="20"/>
  <c r="AI30" i="20" s="1"/>
  <c r="Q32" i="36"/>
  <c r="R32" i="36" s="1"/>
  <c r="Q31" i="28"/>
  <c r="Q31" i="8"/>
  <c r="Y31" i="8" s="1"/>
  <c r="O33" i="40"/>
  <c r="AI32" i="40"/>
  <c r="AA33" i="40"/>
  <c r="AA33" i="38"/>
  <c r="AC33" i="38" s="1"/>
  <c r="M33" i="37"/>
  <c r="O33" i="37" s="1"/>
  <c r="AB31" i="37"/>
  <c r="AB31" i="29"/>
  <c r="AA31" i="36"/>
  <c r="AC31" i="36" s="1"/>
  <c r="N33" i="36"/>
  <c r="AA32" i="36"/>
  <c r="N32" i="34"/>
  <c r="M33" i="34"/>
  <c r="P33" i="34" s="1"/>
  <c r="AB31" i="34"/>
  <c r="AF31" i="34"/>
  <c r="AA32" i="34"/>
  <c r="M33" i="29"/>
  <c r="P33" i="29" s="1"/>
  <c r="AF31" i="29"/>
  <c r="O32" i="29"/>
  <c r="M33" i="28"/>
  <c r="N33" i="28" s="1"/>
  <c r="AB31" i="28"/>
  <c r="AB33" i="27"/>
  <c r="AA32" i="21"/>
  <c r="AC32" i="21" s="1"/>
  <c r="AB31" i="21"/>
  <c r="AJ30" i="8"/>
  <c r="P33" i="21"/>
  <c r="AB32" i="19"/>
  <c r="AC30" i="8"/>
  <c r="AB30" i="8"/>
  <c r="O31" i="8"/>
  <c r="AE30" i="20"/>
  <c r="N32" i="20"/>
  <c r="E33" i="20"/>
  <c r="F33" i="20"/>
  <c r="I33" i="20" s="1"/>
  <c r="L33" i="20" s="1"/>
  <c r="D33" i="20"/>
  <c r="G33" i="20" s="1"/>
  <c r="J33" i="20" s="1"/>
  <c r="O31" i="20"/>
  <c r="AB30" i="20"/>
  <c r="K24" i="1" s="1"/>
  <c r="AA31" i="20"/>
  <c r="AC31" i="20" s="1"/>
  <c r="O33" i="19"/>
  <c r="AF32" i="19"/>
  <c r="AA33" i="19"/>
  <c r="AC33" i="19" s="1"/>
  <c r="AA31" i="8"/>
  <c r="AC31" i="8" s="1"/>
  <c r="P32" i="8"/>
  <c r="N32" i="8"/>
  <c r="M33" i="8"/>
  <c r="CY26" i="1" l="1"/>
  <c r="CZ26" i="1" s="1"/>
  <c r="DM26" i="1" s="1"/>
  <c r="DP26" i="1" s="1"/>
  <c r="DE26" i="1"/>
  <c r="DN26" i="1" s="1"/>
  <c r="DQ30" i="1"/>
  <c r="DQ29" i="1" s="1"/>
  <c r="DB27" i="1"/>
  <c r="DC27" i="1" s="1"/>
  <c r="DA74" i="1"/>
  <c r="CU27" i="1"/>
  <c r="CV27" i="1"/>
  <c r="DA27" i="1"/>
  <c r="AK23" i="1"/>
  <c r="AB30" i="23"/>
  <c r="AA31" i="23"/>
  <c r="AC31" i="23" s="1"/>
  <c r="Q31" i="23"/>
  <c r="N32" i="23"/>
  <c r="O32" i="23" s="1"/>
  <c r="P32" i="23"/>
  <c r="M33" i="23"/>
  <c r="U30" i="23"/>
  <c r="AG30" i="23" s="1"/>
  <c r="S30" i="23"/>
  <c r="AE30" i="23" s="1"/>
  <c r="Z30" i="23"/>
  <c r="AL30" i="23" s="1"/>
  <c r="Y30" i="23"/>
  <c r="AK30" i="23" s="1"/>
  <c r="R30" i="23"/>
  <c r="AD30" i="23" s="1"/>
  <c r="V30" i="23"/>
  <c r="AH30" i="23" s="1"/>
  <c r="X30" i="23"/>
  <c r="AJ30" i="23" s="1"/>
  <c r="W30" i="23"/>
  <c r="AI30" i="23" s="1"/>
  <c r="T30" i="23"/>
  <c r="AF30" i="23" s="1"/>
  <c r="H33" i="20"/>
  <c r="K33" i="20" s="1"/>
  <c r="BD27" i="1"/>
  <c r="BD28" i="1" s="1"/>
  <c r="BC27" i="1"/>
  <c r="BC28" i="1" s="1"/>
  <c r="BE27" i="1"/>
  <c r="BE28" i="1" s="1"/>
  <c r="U31" i="37"/>
  <c r="AG31" i="37" s="1"/>
  <c r="R31" i="37"/>
  <c r="AD31" i="37" s="1"/>
  <c r="X21" i="1"/>
  <c r="BF21" i="1"/>
  <c r="X31" i="37"/>
  <c r="AJ31" i="37" s="1"/>
  <c r="Y22" i="1"/>
  <c r="AB32" i="38"/>
  <c r="AA21" i="1"/>
  <c r="AB21" i="1"/>
  <c r="AC21" i="1"/>
  <c r="AD21" i="1"/>
  <c r="AE21" i="1"/>
  <c r="Z20" i="1"/>
  <c r="I23" i="1"/>
  <c r="V31" i="37"/>
  <c r="AH31" i="37" s="1"/>
  <c r="S30" i="25"/>
  <c r="AE30" i="25" s="1"/>
  <c r="Z31" i="37"/>
  <c r="AL31" i="37" s="1"/>
  <c r="AR24" i="1"/>
  <c r="AT23" i="1"/>
  <c r="AC31" i="30"/>
  <c r="W30" i="25"/>
  <c r="AI30" i="25" s="1"/>
  <c r="AN23" i="1"/>
  <c r="AJ23" i="1"/>
  <c r="AH24" i="1"/>
  <c r="AS24" i="1"/>
  <c r="BB26" i="1"/>
  <c r="AV25" i="1"/>
  <c r="BA23" i="1"/>
  <c r="AG24" i="1"/>
  <c r="AZ26" i="1"/>
  <c r="AL24" i="1"/>
  <c r="AW23" i="1"/>
  <c r="AI25" i="1"/>
  <c r="AP24" i="1"/>
  <c r="AQ25" i="1"/>
  <c r="AO27" i="1"/>
  <c r="AF26" i="1"/>
  <c r="S31" i="37"/>
  <c r="AE31" i="37" s="1"/>
  <c r="Z30" i="25"/>
  <c r="AL30" i="25" s="1"/>
  <c r="Y31" i="37"/>
  <c r="AK31" i="37" s="1"/>
  <c r="Q31" i="24"/>
  <c r="Z31" i="24" s="1"/>
  <c r="AL31" i="24" s="1"/>
  <c r="V30" i="25"/>
  <c r="AH30" i="25" s="1"/>
  <c r="W31" i="37"/>
  <c r="AI31" i="37" s="1"/>
  <c r="U30" i="25"/>
  <c r="AG30" i="25" s="1"/>
  <c r="T30" i="25"/>
  <c r="AF30" i="25" s="1"/>
  <c r="X30" i="25"/>
  <c r="AJ30" i="25" s="1"/>
  <c r="AB31" i="24"/>
  <c r="Y30" i="25"/>
  <c r="AK30" i="25" s="1"/>
  <c r="M33" i="24"/>
  <c r="P33" i="24" s="1"/>
  <c r="AA33" i="24" s="1"/>
  <c r="P32" i="30"/>
  <c r="Q32" i="30" s="1"/>
  <c r="W32" i="30" s="1"/>
  <c r="AI32" i="30" s="1"/>
  <c r="N32" i="26"/>
  <c r="O32" i="26" s="1"/>
  <c r="P32" i="26"/>
  <c r="S31" i="8"/>
  <c r="AE31" i="8" s="1"/>
  <c r="S23" i="1"/>
  <c r="P23" i="1"/>
  <c r="W22" i="1"/>
  <c r="R32" i="34"/>
  <c r="X33" i="19"/>
  <c r="AJ33" i="19" s="1"/>
  <c r="AB32" i="31"/>
  <c r="Z31" i="20"/>
  <c r="AL31" i="20" s="1"/>
  <c r="Z33" i="38"/>
  <c r="AL33" i="38" s="1"/>
  <c r="Q32" i="31"/>
  <c r="M33" i="30"/>
  <c r="N33" i="30" s="1"/>
  <c r="O33" i="30" s="1"/>
  <c r="V33" i="19"/>
  <c r="AH33" i="19" s="1"/>
  <c r="Q23" i="1"/>
  <c r="M33" i="25"/>
  <c r="P33" i="25" s="1"/>
  <c r="AA33" i="25" s="1"/>
  <c r="AC33" i="25" s="1"/>
  <c r="N32" i="24"/>
  <c r="O32" i="24" s="1"/>
  <c r="AB32" i="24" s="1"/>
  <c r="V31" i="8"/>
  <c r="AH31" i="8" s="1"/>
  <c r="W33" i="19"/>
  <c r="AI33" i="19" s="1"/>
  <c r="O23" i="1"/>
  <c r="AC31" i="35"/>
  <c r="L25" i="1"/>
  <c r="V32" i="21"/>
  <c r="AH32" i="21" s="1"/>
  <c r="Z31" i="8"/>
  <c r="AL31" i="8" s="1"/>
  <c r="T32" i="21"/>
  <c r="AF32" i="21" s="1"/>
  <c r="M33" i="35"/>
  <c r="T31" i="8"/>
  <c r="AF31" i="8" s="1"/>
  <c r="AC31" i="33"/>
  <c r="H23" i="1"/>
  <c r="P32" i="25"/>
  <c r="AA32" i="25" s="1"/>
  <c r="AC32" i="25" s="1"/>
  <c r="S32" i="21"/>
  <c r="AE32" i="21" s="1"/>
  <c r="AB32" i="36"/>
  <c r="T23" i="1"/>
  <c r="AB31" i="35"/>
  <c r="O32" i="32"/>
  <c r="P32" i="32"/>
  <c r="AA32" i="32" s="1"/>
  <c r="AC32" i="32" s="1"/>
  <c r="N32" i="33"/>
  <c r="O32" i="33" s="1"/>
  <c r="P32" i="33"/>
  <c r="U31" i="8"/>
  <c r="AG31" i="8" s="1"/>
  <c r="S31" i="20"/>
  <c r="AE31" i="20" s="1"/>
  <c r="U23" i="1"/>
  <c r="AC31" i="26"/>
  <c r="U30" i="35"/>
  <c r="AG30" i="35" s="1"/>
  <c r="Z30" i="35"/>
  <c r="AL30" i="35" s="1"/>
  <c r="X30" i="35"/>
  <c r="AJ30" i="35" s="1"/>
  <c r="R30" i="35"/>
  <c r="AD30" i="35" s="1"/>
  <c r="V30" i="35"/>
  <c r="AH30" i="35" s="1"/>
  <c r="S30" i="35"/>
  <c r="AE30" i="35" s="1"/>
  <c r="W30" i="35"/>
  <c r="AI30" i="35" s="1"/>
  <c r="T30" i="35"/>
  <c r="AF30" i="35" s="1"/>
  <c r="Y30" i="35"/>
  <c r="AK30" i="35" s="1"/>
  <c r="T33" i="19"/>
  <c r="AF33" i="19" s="1"/>
  <c r="W31" i="20"/>
  <c r="AI31" i="20" s="1"/>
  <c r="N23" i="1"/>
  <c r="M23" i="1"/>
  <c r="U31" i="31"/>
  <c r="AG31" i="31" s="1"/>
  <c r="R31" i="31"/>
  <c r="AD31" i="31" s="1"/>
  <c r="Y31" i="31"/>
  <c r="AK31" i="31" s="1"/>
  <c r="V31" i="31"/>
  <c r="AH31" i="31" s="1"/>
  <c r="S31" i="31"/>
  <c r="AE31" i="31" s="1"/>
  <c r="T31" i="31"/>
  <c r="AF31" i="31" s="1"/>
  <c r="Z31" i="31"/>
  <c r="AL31" i="31" s="1"/>
  <c r="W31" i="31"/>
  <c r="AI31" i="31" s="1"/>
  <c r="X31" i="31"/>
  <c r="AJ31" i="31" s="1"/>
  <c r="S31" i="36"/>
  <c r="AE31" i="36" s="1"/>
  <c r="S32" i="34"/>
  <c r="M33" i="22"/>
  <c r="R23" i="1"/>
  <c r="P33" i="31"/>
  <c r="AA33" i="31" s="1"/>
  <c r="AC33" i="31" s="1"/>
  <c r="O33" i="31"/>
  <c r="M33" i="26"/>
  <c r="AB30" i="33"/>
  <c r="P32" i="22"/>
  <c r="AA32" i="22" s="1"/>
  <c r="AC32" i="22" s="1"/>
  <c r="O32" i="22"/>
  <c r="M33" i="39"/>
  <c r="V30" i="33"/>
  <c r="AH30" i="33" s="1"/>
  <c r="S30" i="33"/>
  <c r="AE30" i="33" s="1"/>
  <c r="R30" i="33"/>
  <c r="AD30" i="33" s="1"/>
  <c r="Z30" i="33"/>
  <c r="AL30" i="33" s="1"/>
  <c r="X30" i="33"/>
  <c r="AJ30" i="33" s="1"/>
  <c r="U30" i="33"/>
  <c r="AG30" i="33" s="1"/>
  <c r="Y30" i="33"/>
  <c r="AK30" i="33" s="1"/>
  <c r="T30" i="33"/>
  <c r="AF30" i="33" s="1"/>
  <c r="W30" i="33"/>
  <c r="AI30" i="33" s="1"/>
  <c r="Y30" i="26"/>
  <c r="AK30" i="26" s="1"/>
  <c r="X30" i="26"/>
  <c r="AJ30" i="26" s="1"/>
  <c r="R30" i="26"/>
  <c r="AD30" i="26" s="1"/>
  <c r="U30" i="26"/>
  <c r="AG30" i="26" s="1"/>
  <c r="W30" i="26"/>
  <c r="AI30" i="26" s="1"/>
  <c r="T30" i="26"/>
  <c r="AF30" i="26" s="1"/>
  <c r="V30" i="26"/>
  <c r="AH30" i="26" s="1"/>
  <c r="S30" i="26"/>
  <c r="AE30" i="26" s="1"/>
  <c r="Z30" i="26"/>
  <c r="AL30" i="26" s="1"/>
  <c r="N32" i="39"/>
  <c r="O32" i="39" s="1"/>
  <c r="P32" i="39"/>
  <c r="Q31" i="35"/>
  <c r="AB31" i="33"/>
  <c r="AB30" i="26"/>
  <c r="Q31" i="32"/>
  <c r="R31" i="8"/>
  <c r="AD31" i="8" s="1"/>
  <c r="Y33" i="19"/>
  <c r="AK33" i="19" s="1"/>
  <c r="R32" i="21"/>
  <c r="AD32" i="21" s="1"/>
  <c r="U32" i="21"/>
  <c r="AG32" i="21" s="1"/>
  <c r="W31" i="25"/>
  <c r="AI31" i="25" s="1"/>
  <c r="U31" i="25"/>
  <c r="AG31" i="25" s="1"/>
  <c r="Y31" i="25"/>
  <c r="AK31" i="25" s="1"/>
  <c r="R31" i="25"/>
  <c r="AD31" i="25" s="1"/>
  <c r="X31" i="25"/>
  <c r="AJ31" i="25" s="1"/>
  <c r="T31" i="25"/>
  <c r="AF31" i="25" s="1"/>
  <c r="S31" i="25"/>
  <c r="AE31" i="25" s="1"/>
  <c r="V31" i="25"/>
  <c r="AH31" i="25" s="1"/>
  <c r="Z31" i="25"/>
  <c r="AL31" i="25" s="1"/>
  <c r="AB31" i="32"/>
  <c r="X31" i="30"/>
  <c r="AJ31" i="30" s="1"/>
  <c r="Z31" i="30"/>
  <c r="AL31" i="30" s="1"/>
  <c r="W31" i="30"/>
  <c r="AI31" i="30" s="1"/>
  <c r="U31" i="30"/>
  <c r="AG31" i="30" s="1"/>
  <c r="R31" i="30"/>
  <c r="AD31" i="30" s="1"/>
  <c r="V31" i="30"/>
  <c r="AH31" i="30" s="1"/>
  <c r="Y31" i="30"/>
  <c r="AK31" i="30" s="1"/>
  <c r="T31" i="30"/>
  <c r="AF31" i="30" s="1"/>
  <c r="S31" i="30"/>
  <c r="AE31" i="30" s="1"/>
  <c r="Q31" i="33"/>
  <c r="AC30" i="39"/>
  <c r="I24" i="1" s="1"/>
  <c r="AB30" i="39"/>
  <c r="W31" i="8"/>
  <c r="AI31" i="8" s="1"/>
  <c r="Z33" i="19"/>
  <c r="AL33" i="19" s="1"/>
  <c r="Z32" i="21"/>
  <c r="AL32" i="21" s="1"/>
  <c r="AH33" i="38"/>
  <c r="T30" i="39"/>
  <c r="AF30" i="39" s="1"/>
  <c r="X30" i="39"/>
  <c r="AJ30" i="39" s="1"/>
  <c r="Y30" i="39"/>
  <c r="AK30" i="39" s="1"/>
  <c r="V30" i="39"/>
  <c r="AH30" i="39" s="1"/>
  <c r="S30" i="39"/>
  <c r="AE30" i="39" s="1"/>
  <c r="U30" i="39"/>
  <c r="AG30" i="39" s="1"/>
  <c r="W30" i="39"/>
  <c r="AI30" i="39" s="1"/>
  <c r="R30" i="39"/>
  <c r="AD30" i="39" s="1"/>
  <c r="Z30" i="39"/>
  <c r="AL30" i="39" s="1"/>
  <c r="Q32" i="24"/>
  <c r="T30" i="32"/>
  <c r="AF30" i="32" s="1"/>
  <c r="Z30" i="32"/>
  <c r="AL30" i="32" s="1"/>
  <c r="Y30" i="32"/>
  <c r="AK30" i="32" s="1"/>
  <c r="R30" i="32"/>
  <c r="AD30" i="32" s="1"/>
  <c r="V30" i="32"/>
  <c r="AH30" i="32" s="1"/>
  <c r="S30" i="32"/>
  <c r="AE30" i="32" s="1"/>
  <c r="X30" i="32"/>
  <c r="AJ30" i="32" s="1"/>
  <c r="U30" i="32"/>
  <c r="AG30" i="32" s="1"/>
  <c r="W30" i="32"/>
  <c r="AI30" i="32" s="1"/>
  <c r="M33" i="33"/>
  <c r="AB31" i="22"/>
  <c r="X31" i="8"/>
  <c r="AJ31" i="8" s="1"/>
  <c r="S33" i="19"/>
  <c r="AE33" i="19" s="1"/>
  <c r="U31" i="20"/>
  <c r="AG31" i="20" s="1"/>
  <c r="X32" i="21"/>
  <c r="AJ32" i="21" s="1"/>
  <c r="V32" i="34"/>
  <c r="Q31" i="26"/>
  <c r="Q31" i="39"/>
  <c r="AA31" i="39"/>
  <c r="Q31" i="22"/>
  <c r="Y31" i="20"/>
  <c r="AK31" i="20" s="1"/>
  <c r="Z32" i="34"/>
  <c r="P32" i="35"/>
  <c r="AA32" i="35" s="1"/>
  <c r="N32" i="35"/>
  <c r="O32" i="35" s="1"/>
  <c r="R30" i="22"/>
  <c r="AD30" i="22" s="1"/>
  <c r="T30" i="22"/>
  <c r="AF30" i="22" s="1"/>
  <c r="Y30" i="22"/>
  <c r="AK30" i="22" s="1"/>
  <c r="Z30" i="22"/>
  <c r="AL30" i="22" s="1"/>
  <c r="W30" i="22"/>
  <c r="AI30" i="22" s="1"/>
  <c r="U30" i="22"/>
  <c r="AG30" i="22" s="1"/>
  <c r="V30" i="22"/>
  <c r="AH30" i="22" s="1"/>
  <c r="X30" i="22"/>
  <c r="AJ30" i="22" s="1"/>
  <c r="S30" i="22"/>
  <c r="AE30" i="22" s="1"/>
  <c r="M33" i="32"/>
  <c r="AB31" i="26"/>
  <c r="R33" i="19"/>
  <c r="AD33" i="19" s="1"/>
  <c r="T31" i="20"/>
  <c r="AF31" i="20" s="1"/>
  <c r="Z32" i="36"/>
  <c r="AL32" i="36" s="1"/>
  <c r="X33" i="38"/>
  <c r="AJ33" i="38" s="1"/>
  <c r="Y32" i="36"/>
  <c r="AK32" i="36" s="1"/>
  <c r="S33" i="40"/>
  <c r="AE33" i="40" s="1"/>
  <c r="X31" i="20"/>
  <c r="AJ31" i="20" s="1"/>
  <c r="AK31" i="8"/>
  <c r="AA32" i="29"/>
  <c r="AC32" i="29" s="1"/>
  <c r="W33" i="38"/>
  <c r="AI33" i="38" s="1"/>
  <c r="V33" i="40"/>
  <c r="AH33" i="40" s="1"/>
  <c r="U33" i="40"/>
  <c r="AG33" i="40" s="1"/>
  <c r="V31" i="20"/>
  <c r="AH31" i="20" s="1"/>
  <c r="R33" i="38"/>
  <c r="AD33" i="38" s="1"/>
  <c r="R33" i="40"/>
  <c r="AD33" i="40" s="1"/>
  <c r="W32" i="34"/>
  <c r="Y33" i="38"/>
  <c r="AK33" i="38" s="1"/>
  <c r="X33" i="40"/>
  <c r="AJ33" i="40" s="1"/>
  <c r="X32" i="34"/>
  <c r="T33" i="38"/>
  <c r="AF33" i="38" s="1"/>
  <c r="T33" i="40"/>
  <c r="AF33" i="40" s="1"/>
  <c r="U31" i="36"/>
  <c r="AG31" i="36" s="1"/>
  <c r="AD32" i="36"/>
  <c r="Z31" i="36"/>
  <c r="AL31" i="36" s="1"/>
  <c r="S33" i="38"/>
  <c r="AE33" i="38" s="1"/>
  <c r="W33" i="40"/>
  <c r="AI33" i="40" s="1"/>
  <c r="Y32" i="29"/>
  <c r="AK32" i="29" s="1"/>
  <c r="X32" i="36"/>
  <c r="AJ32" i="36" s="1"/>
  <c r="T32" i="36"/>
  <c r="AF32" i="36" s="1"/>
  <c r="U32" i="36"/>
  <c r="AG32" i="36" s="1"/>
  <c r="X31" i="36"/>
  <c r="AJ31" i="36" s="1"/>
  <c r="N33" i="29"/>
  <c r="O33" i="29" s="1"/>
  <c r="T32" i="29"/>
  <c r="AF32" i="29" s="1"/>
  <c r="V32" i="36"/>
  <c r="AH32" i="36" s="1"/>
  <c r="Y31" i="36"/>
  <c r="AK31" i="36" s="1"/>
  <c r="U32" i="34"/>
  <c r="Y32" i="34"/>
  <c r="O33" i="36"/>
  <c r="AC32" i="36"/>
  <c r="R32" i="29"/>
  <c r="AD32" i="29" s="1"/>
  <c r="W32" i="36"/>
  <c r="AI32" i="36" s="1"/>
  <c r="S32" i="36"/>
  <c r="AE32" i="36" s="1"/>
  <c r="T31" i="36"/>
  <c r="AF31" i="36" s="1"/>
  <c r="AC32" i="34"/>
  <c r="X32" i="29"/>
  <c r="AJ32" i="29" s="1"/>
  <c r="U32" i="29"/>
  <c r="AG32" i="29" s="1"/>
  <c r="P33" i="28"/>
  <c r="Q33" i="28" s="1"/>
  <c r="W33" i="28" s="1"/>
  <c r="Z32" i="29"/>
  <c r="AL32" i="29" s="1"/>
  <c r="Y32" i="21"/>
  <c r="AK32" i="21" s="1"/>
  <c r="O33" i="28"/>
  <c r="V32" i="29"/>
  <c r="AH32" i="29" s="1"/>
  <c r="U33" i="38"/>
  <c r="AG33" i="38" s="1"/>
  <c r="Y33" i="40"/>
  <c r="AK33" i="40" s="1"/>
  <c r="AL33" i="40"/>
  <c r="Q33" i="34"/>
  <c r="R33" i="34" s="1"/>
  <c r="Q33" i="36"/>
  <c r="S33" i="36" s="1"/>
  <c r="Q32" i="28"/>
  <c r="Q32" i="37"/>
  <c r="N33" i="34"/>
  <c r="O33" i="34" s="1"/>
  <c r="AB33" i="40"/>
  <c r="S32" i="29"/>
  <c r="AE32" i="29" s="1"/>
  <c r="R31" i="28"/>
  <c r="AD31" i="28" s="1"/>
  <c r="X31" i="28"/>
  <c r="AJ31" i="28" s="1"/>
  <c r="Y31" i="28"/>
  <c r="AK31" i="28" s="1"/>
  <c r="V31" i="28"/>
  <c r="AH31" i="28" s="1"/>
  <c r="U31" i="28"/>
  <c r="AG31" i="28" s="1"/>
  <c r="W31" i="28"/>
  <c r="AI31" i="28" s="1"/>
  <c r="Z31" i="28"/>
  <c r="AL31" i="28" s="1"/>
  <c r="T31" i="28"/>
  <c r="AF31" i="28" s="1"/>
  <c r="S31" i="28"/>
  <c r="AE31" i="28" s="1"/>
  <c r="Q33" i="21"/>
  <c r="R33" i="21" s="1"/>
  <c r="AD33" i="21" s="1"/>
  <c r="O32" i="34"/>
  <c r="Q32" i="20"/>
  <c r="S32" i="20" s="1"/>
  <c r="AB32" i="37"/>
  <c r="V31" i="36"/>
  <c r="AH31" i="36" s="1"/>
  <c r="W31" i="36"/>
  <c r="AI31" i="36" s="1"/>
  <c r="Q33" i="29"/>
  <c r="U33" i="29" s="1"/>
  <c r="P33" i="37"/>
  <c r="AA33" i="37" s="1"/>
  <c r="AC33" i="37" s="1"/>
  <c r="Q32" i="8"/>
  <c r="T32" i="8" s="1"/>
  <c r="AC33" i="40"/>
  <c r="AB33" i="38"/>
  <c r="AB31" i="36"/>
  <c r="AA33" i="36"/>
  <c r="AC33" i="36" s="1"/>
  <c r="AA33" i="34"/>
  <c r="AI32" i="29"/>
  <c r="AA33" i="29"/>
  <c r="AB32" i="28"/>
  <c r="AB32" i="21"/>
  <c r="AA33" i="21"/>
  <c r="AC33" i="21" s="1"/>
  <c r="O32" i="8"/>
  <c r="O32" i="20"/>
  <c r="M33" i="20"/>
  <c r="P33" i="20" s="1"/>
  <c r="AG33" i="19"/>
  <c r="AB31" i="8"/>
  <c r="N33" i="20"/>
  <c r="AA32" i="20"/>
  <c r="AC32" i="20" s="1"/>
  <c r="AB31" i="20"/>
  <c r="K25" i="1" s="1"/>
  <c r="AD31" i="20"/>
  <c r="AB33" i="19"/>
  <c r="AA32" i="8"/>
  <c r="P33" i="8"/>
  <c r="N33" i="8"/>
  <c r="DQ32" i="1" l="1"/>
  <c r="CY27" i="1"/>
  <c r="DE27" i="1" s="1"/>
  <c r="DN27" i="1" s="1"/>
  <c r="AB31" i="23"/>
  <c r="T31" i="23"/>
  <c r="AF31" i="23" s="1"/>
  <c r="S31" i="23"/>
  <c r="AE31" i="23" s="1"/>
  <c r="R31" i="23"/>
  <c r="AD31" i="23" s="1"/>
  <c r="V31" i="23"/>
  <c r="AH31" i="23" s="1"/>
  <c r="X31" i="23"/>
  <c r="AJ31" i="23" s="1"/>
  <c r="Z31" i="23"/>
  <c r="AL31" i="23" s="1"/>
  <c r="Y31" i="23"/>
  <c r="AK31" i="23" s="1"/>
  <c r="W31" i="23"/>
  <c r="AI31" i="23" s="1"/>
  <c r="U31" i="23"/>
  <c r="AG31" i="23" s="1"/>
  <c r="AK24" i="1"/>
  <c r="N33" i="23"/>
  <c r="O33" i="23" s="1"/>
  <c r="P33" i="23"/>
  <c r="Q33" i="23" s="1"/>
  <c r="AA32" i="23"/>
  <c r="AC32" i="23" s="1"/>
  <c r="Q32" i="23"/>
  <c r="X22" i="1"/>
  <c r="BF22" i="1"/>
  <c r="Y23" i="1"/>
  <c r="Y31" i="24"/>
  <c r="AK31" i="24" s="1"/>
  <c r="AA22" i="1"/>
  <c r="AD22" i="1"/>
  <c r="AB22" i="1"/>
  <c r="AE22" i="1"/>
  <c r="AC22" i="1"/>
  <c r="Z21" i="1"/>
  <c r="V23" i="1"/>
  <c r="S31" i="24"/>
  <c r="AE31" i="24" s="1"/>
  <c r="W31" i="24"/>
  <c r="AI31" i="24" s="1"/>
  <c r="U31" i="24"/>
  <c r="AG31" i="24" s="1"/>
  <c r="R31" i="24"/>
  <c r="AD31" i="24" s="1"/>
  <c r="V31" i="24"/>
  <c r="AH31" i="24" s="1"/>
  <c r="AM24" i="1"/>
  <c r="AX26" i="1"/>
  <c r="AX25" i="1"/>
  <c r="AM25" i="1"/>
  <c r="AS25" i="1"/>
  <c r="AY25" i="1"/>
  <c r="AH25" i="1"/>
  <c r="AR25" i="1"/>
  <c r="AU24" i="1"/>
  <c r="AQ26" i="1"/>
  <c r="AN24" i="1"/>
  <c r="AW24" i="1"/>
  <c r="BA24" i="1"/>
  <c r="BB27" i="1"/>
  <c r="AP25" i="1"/>
  <c r="AZ27" i="1"/>
  <c r="AT24" i="1"/>
  <c r="AI26" i="1"/>
  <c r="AF27" i="1"/>
  <c r="AJ24" i="1"/>
  <c r="AG25" i="1"/>
  <c r="T31" i="24"/>
  <c r="AF31" i="24" s="1"/>
  <c r="X31" i="24"/>
  <c r="AJ31" i="24" s="1"/>
  <c r="Z32" i="30"/>
  <c r="AL32" i="30" s="1"/>
  <c r="N33" i="24"/>
  <c r="O33" i="24" s="1"/>
  <c r="AB33" i="24" s="1"/>
  <c r="Y32" i="30"/>
  <c r="AK32" i="30" s="1"/>
  <c r="V32" i="30"/>
  <c r="AH32" i="30" s="1"/>
  <c r="T32" i="30"/>
  <c r="AF32" i="30" s="1"/>
  <c r="U32" i="30"/>
  <c r="AG32" i="30" s="1"/>
  <c r="R32" i="30"/>
  <c r="AD32" i="30" s="1"/>
  <c r="P33" i="30"/>
  <c r="Q33" i="30" s="1"/>
  <c r="O33" i="25"/>
  <c r="AB33" i="25" s="1"/>
  <c r="AA32" i="30"/>
  <c r="AB32" i="30" s="1"/>
  <c r="AC32" i="24"/>
  <c r="AA32" i="26"/>
  <c r="AC32" i="26" s="1"/>
  <c r="Q32" i="26"/>
  <c r="S32" i="30"/>
  <c r="AE32" i="30" s="1"/>
  <c r="X32" i="30"/>
  <c r="AJ32" i="30" s="1"/>
  <c r="W23" i="1"/>
  <c r="H24" i="1"/>
  <c r="V24" i="1" s="1"/>
  <c r="T33" i="34"/>
  <c r="AF33" i="34" s="1"/>
  <c r="T33" i="36"/>
  <c r="AF33" i="36" s="1"/>
  <c r="V33" i="36"/>
  <c r="AH33" i="36" s="1"/>
  <c r="Q32" i="25"/>
  <c r="T32" i="25" s="1"/>
  <c r="AF32" i="25" s="1"/>
  <c r="N24" i="1"/>
  <c r="R24" i="1"/>
  <c r="P24" i="1"/>
  <c r="T24" i="1"/>
  <c r="AB33" i="29"/>
  <c r="Z32" i="31"/>
  <c r="AL32" i="31" s="1"/>
  <c r="R32" i="31"/>
  <c r="AD32" i="31" s="1"/>
  <c r="W32" i="31"/>
  <c r="AI32" i="31" s="1"/>
  <c r="Y32" i="31"/>
  <c r="AK32" i="31" s="1"/>
  <c r="S32" i="31"/>
  <c r="AE32" i="31" s="1"/>
  <c r="V32" i="31"/>
  <c r="AH32" i="31" s="1"/>
  <c r="X32" i="31"/>
  <c r="AJ32" i="31" s="1"/>
  <c r="T32" i="31"/>
  <c r="AF32" i="31" s="1"/>
  <c r="U32" i="31"/>
  <c r="AG32" i="31" s="1"/>
  <c r="AC33" i="34"/>
  <c r="P33" i="35"/>
  <c r="AA33" i="35" s="1"/>
  <c r="N33" i="35"/>
  <c r="U33" i="34"/>
  <c r="AG33" i="34" s="1"/>
  <c r="S24" i="1"/>
  <c r="S33" i="34"/>
  <c r="AE33" i="34" s="1"/>
  <c r="X33" i="36"/>
  <c r="AJ33" i="36" s="1"/>
  <c r="Y33" i="36"/>
  <c r="AK33" i="36" s="1"/>
  <c r="AB32" i="32"/>
  <c r="O24" i="1"/>
  <c r="W33" i="36"/>
  <c r="AI33" i="36" s="1"/>
  <c r="AB32" i="25"/>
  <c r="L26" i="1" s="1"/>
  <c r="P33" i="22"/>
  <c r="AA33" i="22" s="1"/>
  <c r="AC33" i="22" s="1"/>
  <c r="O33" i="22"/>
  <c r="Q32" i="33"/>
  <c r="AA32" i="33"/>
  <c r="AC32" i="33" s="1"/>
  <c r="M24" i="1"/>
  <c r="Q32" i="32"/>
  <c r="U24" i="1"/>
  <c r="AB33" i="31"/>
  <c r="Q24" i="1"/>
  <c r="Q33" i="31"/>
  <c r="V32" i="24"/>
  <c r="AH32" i="24" s="1"/>
  <c r="W32" i="24"/>
  <c r="AI32" i="24" s="1"/>
  <c r="Z32" i="24"/>
  <c r="AL32" i="24" s="1"/>
  <c r="Y32" i="24"/>
  <c r="AK32" i="24" s="1"/>
  <c r="U32" i="24"/>
  <c r="AG32" i="24" s="1"/>
  <c r="R32" i="24"/>
  <c r="AD32" i="24" s="1"/>
  <c r="T32" i="24"/>
  <c r="AF32" i="24" s="1"/>
  <c r="X32" i="24"/>
  <c r="AJ32" i="24" s="1"/>
  <c r="S32" i="24"/>
  <c r="AE32" i="24" s="1"/>
  <c r="X31" i="32"/>
  <c r="AJ31" i="32" s="1"/>
  <c r="Y31" i="32"/>
  <c r="AK31" i="32" s="1"/>
  <c r="Z31" i="32"/>
  <c r="AL31" i="32" s="1"/>
  <c r="U31" i="32"/>
  <c r="AG31" i="32" s="1"/>
  <c r="S31" i="32"/>
  <c r="AE31" i="32" s="1"/>
  <c r="T31" i="32"/>
  <c r="AF31" i="32" s="1"/>
  <c r="W31" i="32"/>
  <c r="AI31" i="32" s="1"/>
  <c r="V31" i="32"/>
  <c r="AH31" i="32" s="1"/>
  <c r="R31" i="32"/>
  <c r="AD31" i="32" s="1"/>
  <c r="AB32" i="22"/>
  <c r="Q32" i="22"/>
  <c r="U31" i="22"/>
  <c r="AG31" i="22" s="1"/>
  <c r="T31" i="22"/>
  <c r="AF31" i="22" s="1"/>
  <c r="S31" i="22"/>
  <c r="AE31" i="22" s="1"/>
  <c r="R31" i="22"/>
  <c r="AD31" i="22" s="1"/>
  <c r="Y31" i="22"/>
  <c r="AK31" i="22" s="1"/>
  <c r="Z31" i="22"/>
  <c r="AL31" i="22" s="1"/>
  <c r="W31" i="22"/>
  <c r="AI31" i="22" s="1"/>
  <c r="V31" i="22"/>
  <c r="AH31" i="22" s="1"/>
  <c r="X31" i="22"/>
  <c r="AJ31" i="22" s="1"/>
  <c r="U31" i="33"/>
  <c r="AG31" i="33" s="1"/>
  <c r="Z31" i="33"/>
  <c r="AL31" i="33" s="1"/>
  <c r="T31" i="33"/>
  <c r="AF31" i="33" s="1"/>
  <c r="X31" i="33"/>
  <c r="AJ31" i="33" s="1"/>
  <c r="V31" i="33"/>
  <c r="AH31" i="33" s="1"/>
  <c r="S31" i="33"/>
  <c r="AE31" i="33" s="1"/>
  <c r="R31" i="33"/>
  <c r="AD31" i="33" s="1"/>
  <c r="W31" i="33"/>
  <c r="AI31" i="33" s="1"/>
  <c r="Y31" i="33"/>
  <c r="AK31" i="33" s="1"/>
  <c r="Q33" i="25"/>
  <c r="O33" i="32"/>
  <c r="P33" i="32"/>
  <c r="AA33" i="32" s="1"/>
  <c r="AC33" i="32" s="1"/>
  <c r="AB32" i="35"/>
  <c r="AC31" i="39"/>
  <c r="I25" i="1" s="1"/>
  <c r="AB31" i="39"/>
  <c r="Y31" i="39"/>
  <c r="AK31" i="39" s="1"/>
  <c r="W31" i="39"/>
  <c r="AI31" i="39" s="1"/>
  <c r="X31" i="39"/>
  <c r="AJ31" i="39" s="1"/>
  <c r="U31" i="39"/>
  <c r="AG31" i="39" s="1"/>
  <c r="Z31" i="39"/>
  <c r="AL31" i="39" s="1"/>
  <c r="T31" i="39"/>
  <c r="AF31" i="39" s="1"/>
  <c r="S31" i="39"/>
  <c r="AE31" i="39" s="1"/>
  <c r="R31" i="39"/>
  <c r="AD31" i="39" s="1"/>
  <c r="V31" i="39"/>
  <c r="AH31" i="39" s="1"/>
  <c r="AC32" i="35"/>
  <c r="Q32" i="35"/>
  <c r="T31" i="26"/>
  <c r="AF31" i="26" s="1"/>
  <c r="R31" i="26"/>
  <c r="AD31" i="26" s="1"/>
  <c r="S31" i="26"/>
  <c r="AE31" i="26" s="1"/>
  <c r="V31" i="26"/>
  <c r="AH31" i="26" s="1"/>
  <c r="W31" i="26"/>
  <c r="AI31" i="26" s="1"/>
  <c r="Y31" i="26"/>
  <c r="AK31" i="26" s="1"/>
  <c r="X31" i="26"/>
  <c r="AJ31" i="26" s="1"/>
  <c r="Z31" i="26"/>
  <c r="AL31" i="26" s="1"/>
  <c r="U31" i="26"/>
  <c r="AG31" i="26" s="1"/>
  <c r="X31" i="35"/>
  <c r="AJ31" i="35" s="1"/>
  <c r="S31" i="35"/>
  <c r="AE31" i="35" s="1"/>
  <c r="U31" i="35"/>
  <c r="AG31" i="35" s="1"/>
  <c r="V31" i="35"/>
  <c r="AH31" i="35" s="1"/>
  <c r="R31" i="35"/>
  <c r="AD31" i="35" s="1"/>
  <c r="Z31" i="35"/>
  <c r="AL31" i="35" s="1"/>
  <c r="Y31" i="35"/>
  <c r="AK31" i="35" s="1"/>
  <c r="W31" i="35"/>
  <c r="AI31" i="35" s="1"/>
  <c r="T31" i="35"/>
  <c r="AF31" i="35" s="1"/>
  <c r="N33" i="33"/>
  <c r="O33" i="33" s="1"/>
  <c r="P33" i="33"/>
  <c r="AA32" i="39"/>
  <c r="AC32" i="39" s="1"/>
  <c r="Q32" i="39"/>
  <c r="N33" i="39"/>
  <c r="O33" i="39" s="1"/>
  <c r="P33" i="39"/>
  <c r="N33" i="26"/>
  <c r="O33" i="26" s="1"/>
  <c r="P33" i="26"/>
  <c r="Q33" i="24"/>
  <c r="Z33" i="34"/>
  <c r="AL33" i="34" s="1"/>
  <c r="X33" i="34"/>
  <c r="AJ33" i="34" s="1"/>
  <c r="AB32" i="29"/>
  <c r="AI32" i="34"/>
  <c r="V32" i="20"/>
  <c r="AH32" i="20" s="1"/>
  <c r="U33" i="21"/>
  <c r="AG33" i="21" s="1"/>
  <c r="U33" i="36"/>
  <c r="AG33" i="36" s="1"/>
  <c r="AA33" i="28"/>
  <c r="AC33" i="28" s="1"/>
  <c r="X32" i="20"/>
  <c r="AJ32" i="20" s="1"/>
  <c r="Y33" i="34"/>
  <c r="AK33" i="34" s="1"/>
  <c r="R33" i="36"/>
  <c r="AD33" i="36" s="1"/>
  <c r="AF32" i="34"/>
  <c r="AH32" i="34"/>
  <c r="AG33" i="29"/>
  <c r="W33" i="21"/>
  <c r="AI33" i="21" s="1"/>
  <c r="AL32" i="34"/>
  <c r="T32" i="20"/>
  <c r="AF32" i="20" s="1"/>
  <c r="W32" i="20"/>
  <c r="AI32" i="20" s="1"/>
  <c r="AE33" i="36"/>
  <c r="R32" i="8"/>
  <c r="AD32" i="8" s="1"/>
  <c r="Y33" i="21"/>
  <c r="AK33" i="21" s="1"/>
  <c r="Z32" i="8"/>
  <c r="AL32" i="8" s="1"/>
  <c r="V33" i="21"/>
  <c r="AH33" i="21" s="1"/>
  <c r="X32" i="8"/>
  <c r="AJ32" i="8" s="1"/>
  <c r="S33" i="21"/>
  <c r="AE33" i="21" s="1"/>
  <c r="X33" i="29"/>
  <c r="AJ33" i="29" s="1"/>
  <c r="Z33" i="21"/>
  <c r="AL33" i="21" s="1"/>
  <c r="R32" i="20"/>
  <c r="AD32" i="20" s="1"/>
  <c r="W33" i="34"/>
  <c r="AI33" i="34" s="1"/>
  <c r="Z33" i="36"/>
  <c r="AL33" i="36" s="1"/>
  <c r="U32" i="8"/>
  <c r="AG32" i="8" s="1"/>
  <c r="AJ32" i="34"/>
  <c r="AE32" i="34"/>
  <c r="AF32" i="8"/>
  <c r="AG32" i="34"/>
  <c r="AK32" i="34"/>
  <c r="W33" i="29"/>
  <c r="AI33" i="29" s="1"/>
  <c r="AB32" i="34"/>
  <c r="V32" i="8"/>
  <c r="AH32" i="8" s="1"/>
  <c r="S32" i="8"/>
  <c r="AE32" i="8" s="1"/>
  <c r="AI33" i="28"/>
  <c r="Y32" i="8"/>
  <c r="AK32" i="8" s="1"/>
  <c r="W32" i="8"/>
  <c r="AI32" i="8" s="1"/>
  <c r="R33" i="28"/>
  <c r="AD33" i="28" s="1"/>
  <c r="AD32" i="34"/>
  <c r="U33" i="28"/>
  <c r="AG33" i="28" s="1"/>
  <c r="Y33" i="29"/>
  <c r="AK33" i="29" s="1"/>
  <c r="S33" i="29"/>
  <c r="AE33" i="29" s="1"/>
  <c r="V33" i="28"/>
  <c r="AH33" i="28" s="1"/>
  <c r="U32" i="20"/>
  <c r="AG32" i="20" s="1"/>
  <c r="Z33" i="29"/>
  <c r="AL33" i="29" s="1"/>
  <c r="Z32" i="20"/>
  <c r="AL32" i="20" s="1"/>
  <c r="R33" i="29"/>
  <c r="AD33" i="29" s="1"/>
  <c r="Y32" i="20"/>
  <c r="AK32" i="20" s="1"/>
  <c r="V33" i="34"/>
  <c r="AH33" i="34" s="1"/>
  <c r="V33" i="29"/>
  <c r="AH33" i="29" s="1"/>
  <c r="Z33" i="28"/>
  <c r="AL33" i="28" s="1"/>
  <c r="X32" i="28"/>
  <c r="AJ32" i="28" s="1"/>
  <c r="W32" i="28"/>
  <c r="AI32" i="28" s="1"/>
  <c r="Y32" i="28"/>
  <c r="AK32" i="28" s="1"/>
  <c r="U32" i="28"/>
  <c r="AG32" i="28" s="1"/>
  <c r="T32" i="28"/>
  <c r="AF32" i="28" s="1"/>
  <c r="V32" i="28"/>
  <c r="AH32" i="28" s="1"/>
  <c r="S32" i="28"/>
  <c r="AE32" i="28" s="1"/>
  <c r="R32" i="28"/>
  <c r="AD32" i="28" s="1"/>
  <c r="Z32" i="28"/>
  <c r="AL32" i="28" s="1"/>
  <c r="S33" i="28"/>
  <c r="AE33" i="28" s="1"/>
  <c r="T33" i="28"/>
  <c r="AF33" i="28" s="1"/>
  <c r="Q33" i="37"/>
  <c r="X33" i="28"/>
  <c r="AJ33" i="28" s="1"/>
  <c r="T33" i="29"/>
  <c r="AF33" i="29" s="1"/>
  <c r="Y33" i="28"/>
  <c r="AK33" i="28" s="1"/>
  <c r="Q33" i="8"/>
  <c r="X33" i="8" s="1"/>
  <c r="Q33" i="20"/>
  <c r="Z33" i="20" s="1"/>
  <c r="X33" i="21"/>
  <c r="AJ33" i="21" s="1"/>
  <c r="T33" i="21"/>
  <c r="AF33" i="21" s="1"/>
  <c r="U32" i="37"/>
  <c r="AG32" i="37" s="1"/>
  <c r="T32" i="37"/>
  <c r="AF32" i="37" s="1"/>
  <c r="X32" i="37"/>
  <c r="AJ32" i="37" s="1"/>
  <c r="W32" i="37"/>
  <c r="AI32" i="37" s="1"/>
  <c r="Z32" i="37"/>
  <c r="AL32" i="37" s="1"/>
  <c r="Y32" i="37"/>
  <c r="AK32" i="37" s="1"/>
  <c r="V32" i="37"/>
  <c r="AH32" i="37" s="1"/>
  <c r="S32" i="37"/>
  <c r="AE32" i="37" s="1"/>
  <c r="R32" i="37"/>
  <c r="AD32" i="37" s="1"/>
  <c r="AB33" i="37"/>
  <c r="AB33" i="36"/>
  <c r="AD33" i="34"/>
  <c r="AB33" i="34"/>
  <c r="AC33" i="29"/>
  <c r="AB33" i="21"/>
  <c r="O33" i="20"/>
  <c r="AB32" i="20"/>
  <c r="K26" i="1" s="1"/>
  <c r="AE32" i="20"/>
  <c r="AC32" i="8"/>
  <c r="AB32" i="8"/>
  <c r="O33" i="8"/>
  <c r="AA33" i="20"/>
  <c r="AC33" i="20" s="1"/>
  <c r="AA33" i="8"/>
  <c r="DO31" i="1" l="1"/>
  <c r="DO30" i="1"/>
  <c r="CZ27" i="1"/>
  <c r="DM27" i="1" s="1"/>
  <c r="DP27" i="1" s="1"/>
  <c r="H25" i="1"/>
  <c r="V25" i="1" s="1"/>
  <c r="AK25" i="1"/>
  <c r="AB32" i="23"/>
  <c r="Z32" i="23"/>
  <c r="AL32" i="23" s="1"/>
  <c r="Y32" i="23"/>
  <c r="AK32" i="23" s="1"/>
  <c r="V32" i="23"/>
  <c r="AH32" i="23" s="1"/>
  <c r="U32" i="23"/>
  <c r="AG32" i="23" s="1"/>
  <c r="X32" i="23"/>
  <c r="AJ32" i="23" s="1"/>
  <c r="S32" i="23"/>
  <c r="AE32" i="23" s="1"/>
  <c r="T32" i="23"/>
  <c r="AF32" i="23" s="1"/>
  <c r="W32" i="23"/>
  <c r="AI32" i="23" s="1"/>
  <c r="R32" i="23"/>
  <c r="AD32" i="23" s="1"/>
  <c r="R33" i="23"/>
  <c r="AD33" i="23" s="1"/>
  <c r="Y33" i="23"/>
  <c r="AK33" i="23" s="1"/>
  <c r="T33" i="23"/>
  <c r="AF33" i="23" s="1"/>
  <c r="W33" i="23"/>
  <c r="AI33" i="23" s="1"/>
  <c r="S33" i="23"/>
  <c r="AE33" i="23" s="1"/>
  <c r="Z33" i="23"/>
  <c r="AL33" i="23" s="1"/>
  <c r="U33" i="23"/>
  <c r="AG33" i="23" s="1"/>
  <c r="V33" i="23"/>
  <c r="AH33" i="23" s="1"/>
  <c r="X33" i="23"/>
  <c r="AJ33" i="23" s="1"/>
  <c r="AA33" i="23"/>
  <c r="AC33" i="23" s="1"/>
  <c r="X23" i="1"/>
  <c r="BF23" i="1"/>
  <c r="Y24" i="1"/>
  <c r="AA23" i="1"/>
  <c r="AB23" i="1"/>
  <c r="AC23" i="1"/>
  <c r="AD23" i="1"/>
  <c r="AE23" i="1"/>
  <c r="Z22" i="1"/>
  <c r="AI27" i="1"/>
  <c r="AL25" i="1"/>
  <c r="AW25" i="1"/>
  <c r="AX27" i="1"/>
  <c r="AS26" i="1"/>
  <c r="AV27" i="1"/>
  <c r="AH26" i="1"/>
  <c r="AR26" i="1"/>
  <c r="AT25" i="1"/>
  <c r="AV26" i="1"/>
  <c r="AY26" i="1"/>
  <c r="AP26" i="1"/>
  <c r="AN25" i="1"/>
  <c r="AP27" i="1"/>
  <c r="AU25" i="1"/>
  <c r="AL26" i="1"/>
  <c r="AQ27" i="1"/>
  <c r="AJ25" i="1"/>
  <c r="AG26" i="1"/>
  <c r="BA25" i="1"/>
  <c r="AC33" i="24"/>
  <c r="AA33" i="30"/>
  <c r="AC33" i="30" s="1"/>
  <c r="AB32" i="26"/>
  <c r="AC32" i="30"/>
  <c r="I26" i="1" s="1"/>
  <c r="S32" i="26"/>
  <c r="AE32" i="26" s="1"/>
  <c r="X32" i="26"/>
  <c r="AJ32" i="26" s="1"/>
  <c r="W32" i="26"/>
  <c r="AI32" i="26" s="1"/>
  <c r="V32" i="26"/>
  <c r="AH32" i="26" s="1"/>
  <c r="U32" i="26"/>
  <c r="AG32" i="26" s="1"/>
  <c r="T32" i="26"/>
  <c r="AF32" i="26" s="1"/>
  <c r="R32" i="26"/>
  <c r="AD32" i="26" s="1"/>
  <c r="Z32" i="26"/>
  <c r="AL32" i="26" s="1"/>
  <c r="Y32" i="26"/>
  <c r="AK32" i="26" s="1"/>
  <c r="Y32" i="25"/>
  <c r="AK32" i="25" s="1"/>
  <c r="R32" i="25"/>
  <c r="AD32" i="25" s="1"/>
  <c r="X32" i="25"/>
  <c r="AJ32" i="25" s="1"/>
  <c r="W32" i="25"/>
  <c r="AI32" i="25" s="1"/>
  <c r="V32" i="25"/>
  <c r="AH32" i="25" s="1"/>
  <c r="W24" i="1"/>
  <c r="S32" i="25"/>
  <c r="AE32" i="25" s="1"/>
  <c r="U32" i="25"/>
  <c r="AG32" i="25" s="1"/>
  <c r="Z32" i="25"/>
  <c r="AL32" i="25" s="1"/>
  <c r="M25" i="1"/>
  <c r="S25" i="1"/>
  <c r="P25" i="1"/>
  <c r="N25" i="1"/>
  <c r="AC33" i="35"/>
  <c r="O33" i="35"/>
  <c r="AB33" i="35" s="1"/>
  <c r="Q33" i="35"/>
  <c r="AB32" i="33"/>
  <c r="U25" i="1"/>
  <c r="Q25" i="1"/>
  <c r="L27" i="1"/>
  <c r="K5" i="14" s="1"/>
  <c r="L5" i="14" s="1"/>
  <c r="AB33" i="28"/>
  <c r="O25" i="1"/>
  <c r="R25" i="1"/>
  <c r="T25" i="1"/>
  <c r="Y33" i="31"/>
  <c r="AK33" i="31" s="1"/>
  <c r="Z33" i="31"/>
  <c r="AL33" i="31" s="1"/>
  <c r="T33" i="31"/>
  <c r="AF33" i="31" s="1"/>
  <c r="S33" i="31"/>
  <c r="AE33" i="31" s="1"/>
  <c r="V33" i="31"/>
  <c r="AH33" i="31" s="1"/>
  <c r="X33" i="31"/>
  <c r="AJ33" i="31" s="1"/>
  <c r="U33" i="31"/>
  <c r="AG33" i="31" s="1"/>
  <c r="R33" i="31"/>
  <c r="AD33" i="31" s="1"/>
  <c r="W33" i="31"/>
  <c r="AI33" i="31" s="1"/>
  <c r="S32" i="33"/>
  <c r="AE32" i="33" s="1"/>
  <c r="R32" i="33"/>
  <c r="AD32" i="33" s="1"/>
  <c r="Z32" i="33"/>
  <c r="AL32" i="33" s="1"/>
  <c r="X32" i="33"/>
  <c r="AJ32" i="33" s="1"/>
  <c r="Y32" i="33"/>
  <c r="AK32" i="33" s="1"/>
  <c r="U32" i="33"/>
  <c r="AG32" i="33" s="1"/>
  <c r="T32" i="33"/>
  <c r="AF32" i="33" s="1"/>
  <c r="W32" i="33"/>
  <c r="AI32" i="33" s="1"/>
  <c r="V32" i="33"/>
  <c r="AH32" i="33" s="1"/>
  <c r="AB33" i="22"/>
  <c r="Q33" i="22"/>
  <c r="W32" i="32"/>
  <c r="AI32" i="32" s="1"/>
  <c r="V32" i="32"/>
  <c r="AH32" i="32" s="1"/>
  <c r="R32" i="32"/>
  <c r="AD32" i="32" s="1"/>
  <c r="U32" i="32"/>
  <c r="AG32" i="32" s="1"/>
  <c r="T32" i="32"/>
  <c r="AF32" i="32" s="1"/>
  <c r="S32" i="32"/>
  <c r="AE32" i="32" s="1"/>
  <c r="Z32" i="32"/>
  <c r="AL32" i="32" s="1"/>
  <c r="X32" i="32"/>
  <c r="AJ32" i="32" s="1"/>
  <c r="Y32" i="32"/>
  <c r="AK32" i="32" s="1"/>
  <c r="Y33" i="24"/>
  <c r="AK33" i="24" s="1"/>
  <c r="S33" i="24"/>
  <c r="AE33" i="24" s="1"/>
  <c r="W33" i="24"/>
  <c r="AI33" i="24" s="1"/>
  <c r="V33" i="24"/>
  <c r="AH33" i="24" s="1"/>
  <c r="R33" i="24"/>
  <c r="AD33" i="24" s="1"/>
  <c r="Z33" i="24"/>
  <c r="AL33" i="24" s="1"/>
  <c r="T33" i="24"/>
  <c r="AF33" i="24" s="1"/>
  <c r="X33" i="24"/>
  <c r="AJ33" i="24" s="1"/>
  <c r="U33" i="24"/>
  <c r="AG33" i="24" s="1"/>
  <c r="U33" i="30"/>
  <c r="AG33" i="30" s="1"/>
  <c r="T33" i="30"/>
  <c r="AF33" i="30" s="1"/>
  <c r="S33" i="30"/>
  <c r="AE33" i="30" s="1"/>
  <c r="Z33" i="30"/>
  <c r="AL33" i="30" s="1"/>
  <c r="Y33" i="30"/>
  <c r="AK33" i="30" s="1"/>
  <c r="R33" i="30"/>
  <c r="AD33" i="30" s="1"/>
  <c r="X33" i="30"/>
  <c r="AJ33" i="30" s="1"/>
  <c r="W33" i="30"/>
  <c r="AI33" i="30" s="1"/>
  <c r="V33" i="30"/>
  <c r="AH33" i="30" s="1"/>
  <c r="T33" i="25"/>
  <c r="AF33" i="25" s="1"/>
  <c r="R33" i="25"/>
  <c r="AD33" i="25" s="1"/>
  <c r="V33" i="25"/>
  <c r="AH33" i="25" s="1"/>
  <c r="Y33" i="25"/>
  <c r="AK33" i="25" s="1"/>
  <c r="U33" i="25"/>
  <c r="AG33" i="25" s="1"/>
  <c r="W33" i="25"/>
  <c r="AI33" i="25" s="1"/>
  <c r="S33" i="25"/>
  <c r="AE33" i="25" s="1"/>
  <c r="Z33" i="25"/>
  <c r="AL33" i="25" s="1"/>
  <c r="X33" i="25"/>
  <c r="AJ33" i="25" s="1"/>
  <c r="Y32" i="22"/>
  <c r="AK32" i="22" s="1"/>
  <c r="U32" i="22"/>
  <c r="AG32" i="22" s="1"/>
  <c r="T32" i="22"/>
  <c r="AF32" i="22" s="1"/>
  <c r="R32" i="22"/>
  <c r="AD32" i="22" s="1"/>
  <c r="Z32" i="22"/>
  <c r="AL32" i="22" s="1"/>
  <c r="S32" i="22"/>
  <c r="AE32" i="22" s="1"/>
  <c r="W32" i="22"/>
  <c r="AI32" i="22" s="1"/>
  <c r="X32" i="22"/>
  <c r="AJ32" i="22" s="1"/>
  <c r="V32" i="22"/>
  <c r="AH32" i="22" s="1"/>
  <c r="Q33" i="26"/>
  <c r="AA33" i="26"/>
  <c r="Q33" i="33"/>
  <c r="AA33" i="33"/>
  <c r="AA33" i="39"/>
  <c r="AC33" i="39" s="1"/>
  <c r="Q33" i="39"/>
  <c r="AB32" i="39"/>
  <c r="T32" i="35"/>
  <c r="AF32" i="35" s="1"/>
  <c r="U32" i="35"/>
  <c r="AG32" i="35" s="1"/>
  <c r="S32" i="35"/>
  <c r="AE32" i="35" s="1"/>
  <c r="R32" i="35"/>
  <c r="AD32" i="35" s="1"/>
  <c r="V32" i="35"/>
  <c r="AH32" i="35" s="1"/>
  <c r="X32" i="35"/>
  <c r="AJ32" i="35" s="1"/>
  <c r="Z32" i="35"/>
  <c r="AL32" i="35" s="1"/>
  <c r="W32" i="35"/>
  <c r="AI32" i="35" s="1"/>
  <c r="Y32" i="35"/>
  <c r="AK32" i="35" s="1"/>
  <c r="S32" i="39"/>
  <c r="AE32" i="39" s="1"/>
  <c r="Y32" i="39"/>
  <c r="AK32" i="39" s="1"/>
  <c r="R32" i="39"/>
  <c r="AD32" i="39" s="1"/>
  <c r="X32" i="39"/>
  <c r="AJ32" i="39" s="1"/>
  <c r="W32" i="39"/>
  <c r="AI32" i="39" s="1"/>
  <c r="V32" i="39"/>
  <c r="AH32" i="39" s="1"/>
  <c r="Z32" i="39"/>
  <c r="AL32" i="39" s="1"/>
  <c r="U32" i="39"/>
  <c r="AG32" i="39" s="1"/>
  <c r="T32" i="39"/>
  <c r="AF32" i="39" s="1"/>
  <c r="Q33" i="32"/>
  <c r="AB33" i="32"/>
  <c r="Y33" i="20"/>
  <c r="AK33" i="20" s="1"/>
  <c r="T33" i="8"/>
  <c r="AF33" i="8" s="1"/>
  <c r="W33" i="20"/>
  <c r="AI33" i="20" s="1"/>
  <c r="T33" i="20"/>
  <c r="AF33" i="20" s="1"/>
  <c r="Z33" i="8"/>
  <c r="AL33" i="8" s="1"/>
  <c r="S33" i="8"/>
  <c r="AE33" i="8" s="1"/>
  <c r="W33" i="8"/>
  <c r="AI33" i="8" s="1"/>
  <c r="Y33" i="8"/>
  <c r="AK33" i="8" s="1"/>
  <c r="V33" i="8"/>
  <c r="AH33" i="8" s="1"/>
  <c r="S33" i="20"/>
  <c r="AE33" i="20" s="1"/>
  <c r="U33" i="20"/>
  <c r="AG33" i="20" s="1"/>
  <c r="R33" i="20"/>
  <c r="AD33" i="20" s="1"/>
  <c r="Z33" i="37"/>
  <c r="AL33" i="37" s="1"/>
  <c r="V33" i="37"/>
  <c r="AH33" i="37" s="1"/>
  <c r="T33" i="37"/>
  <c r="AF33" i="37" s="1"/>
  <c r="S33" i="37"/>
  <c r="AE33" i="37" s="1"/>
  <c r="W33" i="37"/>
  <c r="AI33" i="37" s="1"/>
  <c r="Y33" i="37"/>
  <c r="AK33" i="37" s="1"/>
  <c r="X33" i="37"/>
  <c r="AJ33" i="37" s="1"/>
  <c r="U33" i="37"/>
  <c r="AG33" i="37" s="1"/>
  <c r="R33" i="37"/>
  <c r="AD33" i="37" s="1"/>
  <c r="R33" i="8"/>
  <c r="AD33" i="8" s="1"/>
  <c r="X33" i="20"/>
  <c r="AJ33" i="20" s="1"/>
  <c r="U33" i="8"/>
  <c r="AG33" i="8" s="1"/>
  <c r="V33" i="20"/>
  <c r="AH33" i="20" s="1"/>
  <c r="AJ33" i="8"/>
  <c r="AL33" i="20"/>
  <c r="AC33" i="8"/>
  <c r="AB33" i="8"/>
  <c r="AB33" i="20"/>
  <c r="K27" i="1" s="1"/>
  <c r="K4" i="14" s="1"/>
  <c r="L4" i="14" s="1"/>
  <c r="DP31" i="1" l="1"/>
  <c r="DP30" i="1"/>
  <c r="DO29" i="1"/>
  <c r="DO32" i="1" s="1"/>
  <c r="AK27" i="1"/>
  <c r="AK26" i="1"/>
  <c r="AB33" i="23"/>
  <c r="X24" i="1"/>
  <c r="BF24" i="1"/>
  <c r="Y25" i="1"/>
  <c r="C25" i="1"/>
  <c r="L4" i="42"/>
  <c r="M4" i="42" s="1"/>
  <c r="C26" i="1"/>
  <c r="L5" i="42"/>
  <c r="M5" i="42" s="1"/>
  <c r="AA24" i="1"/>
  <c r="AB24" i="1"/>
  <c r="AC24" i="1"/>
  <c r="AD24" i="1"/>
  <c r="AE24" i="1"/>
  <c r="Z23" i="1"/>
  <c r="BA26" i="1"/>
  <c r="AM27" i="1"/>
  <c r="AL27" i="1"/>
  <c r="AR27" i="1"/>
  <c r="AT26" i="1"/>
  <c r="AN26" i="1"/>
  <c r="AU26" i="1"/>
  <c r="AJ26" i="1"/>
  <c r="AS27" i="1"/>
  <c r="AM26" i="1"/>
  <c r="AG27" i="1"/>
  <c r="AH27" i="1"/>
  <c r="AY27" i="1"/>
  <c r="AW26" i="1"/>
  <c r="AB33" i="30"/>
  <c r="H26" i="1"/>
  <c r="V26" i="1" s="1"/>
  <c r="W25" i="1"/>
  <c r="U26" i="1"/>
  <c r="X33" i="35"/>
  <c r="AJ33" i="35" s="1"/>
  <c r="V33" i="35"/>
  <c r="AH33" i="35" s="1"/>
  <c r="T33" i="35"/>
  <c r="AF33" i="35" s="1"/>
  <c r="Z33" i="35"/>
  <c r="AL33" i="35" s="1"/>
  <c r="U33" i="35"/>
  <c r="AG33" i="35" s="1"/>
  <c r="Y33" i="35"/>
  <c r="AK33" i="35" s="1"/>
  <c r="S33" i="35"/>
  <c r="AE33" i="35" s="1"/>
  <c r="W33" i="35"/>
  <c r="AI33" i="35" s="1"/>
  <c r="R33" i="35"/>
  <c r="AD33" i="35" s="1"/>
  <c r="T26" i="1"/>
  <c r="O26" i="1"/>
  <c r="M26" i="1"/>
  <c r="N26" i="1"/>
  <c r="S26" i="1"/>
  <c r="AB33" i="39"/>
  <c r="P26" i="1"/>
  <c r="X33" i="22"/>
  <c r="AJ33" i="22" s="1"/>
  <c r="V33" i="22"/>
  <c r="AH33" i="22" s="1"/>
  <c r="S33" i="22"/>
  <c r="AE33" i="22" s="1"/>
  <c r="R33" i="22"/>
  <c r="AD33" i="22" s="1"/>
  <c r="W33" i="22"/>
  <c r="AI33" i="22" s="1"/>
  <c r="Y33" i="22"/>
  <c r="AK33" i="22" s="1"/>
  <c r="T33" i="22"/>
  <c r="AF33" i="22" s="1"/>
  <c r="U33" i="22"/>
  <c r="AG33" i="22" s="1"/>
  <c r="Z33" i="22"/>
  <c r="AL33" i="22" s="1"/>
  <c r="R26" i="1"/>
  <c r="Q26" i="1"/>
  <c r="AC33" i="26"/>
  <c r="AB33" i="26"/>
  <c r="Z33" i="33"/>
  <c r="AL33" i="33" s="1"/>
  <c r="Y33" i="33"/>
  <c r="AK33" i="33" s="1"/>
  <c r="W33" i="33"/>
  <c r="AI33" i="33" s="1"/>
  <c r="V33" i="33"/>
  <c r="AH33" i="33" s="1"/>
  <c r="U33" i="33"/>
  <c r="AG33" i="33" s="1"/>
  <c r="T33" i="33"/>
  <c r="AF33" i="33" s="1"/>
  <c r="X33" i="33"/>
  <c r="AJ33" i="33" s="1"/>
  <c r="S33" i="33"/>
  <c r="AE33" i="33" s="1"/>
  <c r="R33" i="33"/>
  <c r="AD33" i="33" s="1"/>
  <c r="U33" i="26"/>
  <c r="AG33" i="26" s="1"/>
  <c r="S33" i="26"/>
  <c r="AE33" i="26" s="1"/>
  <c r="V33" i="26"/>
  <c r="AH33" i="26" s="1"/>
  <c r="X33" i="26"/>
  <c r="AJ33" i="26" s="1"/>
  <c r="Y33" i="26"/>
  <c r="AK33" i="26" s="1"/>
  <c r="Z33" i="26"/>
  <c r="AL33" i="26" s="1"/>
  <c r="R33" i="26"/>
  <c r="AD33" i="26" s="1"/>
  <c r="T33" i="26"/>
  <c r="AF33" i="26" s="1"/>
  <c r="W33" i="26"/>
  <c r="AI33" i="26" s="1"/>
  <c r="T33" i="32"/>
  <c r="AF33" i="32" s="1"/>
  <c r="V33" i="32"/>
  <c r="AH33" i="32" s="1"/>
  <c r="R33" i="32"/>
  <c r="AD33" i="32" s="1"/>
  <c r="U33" i="32"/>
  <c r="AG33" i="32" s="1"/>
  <c r="W33" i="32"/>
  <c r="AI33" i="32" s="1"/>
  <c r="X33" i="32"/>
  <c r="AJ33" i="32" s="1"/>
  <c r="S33" i="32"/>
  <c r="AE33" i="32" s="1"/>
  <c r="Y33" i="32"/>
  <c r="AK33" i="32" s="1"/>
  <c r="Z33" i="32"/>
  <c r="AL33" i="32" s="1"/>
  <c r="T33" i="39"/>
  <c r="AF33" i="39" s="1"/>
  <c r="U33" i="39"/>
  <c r="AG33" i="39" s="1"/>
  <c r="S33" i="39"/>
  <c r="AE33" i="39" s="1"/>
  <c r="W33" i="39"/>
  <c r="AI33" i="39" s="1"/>
  <c r="Y33" i="39"/>
  <c r="AK33" i="39" s="1"/>
  <c r="X33" i="39"/>
  <c r="AJ33" i="39" s="1"/>
  <c r="Z33" i="39"/>
  <c r="AL33" i="39" s="1"/>
  <c r="V33" i="39"/>
  <c r="AH33" i="39" s="1"/>
  <c r="R33" i="39"/>
  <c r="AD33" i="39" s="1"/>
  <c r="AC33" i="33"/>
  <c r="AB33" i="33"/>
  <c r="DP29" i="1" l="1"/>
  <c r="DP32" i="1" s="1"/>
  <c r="X25" i="1"/>
  <c r="BF25" i="1"/>
  <c r="Y26" i="1"/>
  <c r="AA25" i="1"/>
  <c r="AB25" i="1"/>
  <c r="AC25" i="1"/>
  <c r="AD25" i="1"/>
  <c r="AE25" i="1"/>
  <c r="Z24" i="1"/>
  <c r="AN27" i="1"/>
  <c r="AU27" i="1"/>
  <c r="BA27" i="1"/>
  <c r="AJ27" i="1"/>
  <c r="AT27" i="1"/>
  <c r="AW27" i="1"/>
  <c r="M27" i="1"/>
  <c r="R27" i="1"/>
  <c r="K11" i="14" s="1"/>
  <c r="L11" i="14" s="1"/>
  <c r="U27" i="1"/>
  <c r="K14" i="14" s="1"/>
  <c r="H27" i="1"/>
  <c r="P27" i="1"/>
  <c r="W26" i="1"/>
  <c r="O27" i="1"/>
  <c r="I27" i="1"/>
  <c r="K3" i="14" s="1"/>
  <c r="L3" i="14" s="1"/>
  <c r="S27" i="1"/>
  <c r="K12" i="14" s="1"/>
  <c r="L12" i="14" s="1"/>
  <c r="N27" i="1"/>
  <c r="K7" i="14" s="1"/>
  <c r="L7" i="14" s="1"/>
  <c r="Q27" i="1"/>
  <c r="K10" i="14" s="1"/>
  <c r="L10" i="14" s="1"/>
  <c r="T27" i="1"/>
  <c r="X26" i="1" l="1"/>
  <c r="BF26" i="1"/>
  <c r="C16" i="1"/>
  <c r="B3" i="15" s="1"/>
  <c r="K8" i="14"/>
  <c r="L8" i="14" s="1"/>
  <c r="K9" i="14"/>
  <c r="L9" i="14" s="1"/>
  <c r="C17" i="1"/>
  <c r="B4" i="15" s="1"/>
  <c r="D21" i="1"/>
  <c r="K13" i="14"/>
  <c r="L13" i="14" s="1"/>
  <c r="K6" i="14"/>
  <c r="L6" i="14" s="1"/>
  <c r="C15" i="1"/>
  <c r="L8" i="42"/>
  <c r="M8" i="42" s="1"/>
  <c r="C22" i="1"/>
  <c r="L2" i="42"/>
  <c r="M2" i="42" s="1"/>
  <c r="K2" i="14"/>
  <c r="L2" i="14" s="1"/>
  <c r="C27" i="1"/>
  <c r="B6" i="15" s="1"/>
  <c r="L14" i="42"/>
  <c r="M14" i="42" s="1"/>
  <c r="L9" i="42"/>
  <c r="M9" i="42" s="1"/>
  <c r="C21" i="1"/>
  <c r="B5" i="15" s="1"/>
  <c r="L13" i="42"/>
  <c r="M13" i="42" s="1"/>
  <c r="C19" i="1"/>
  <c r="L11" i="42"/>
  <c r="M11" i="42" s="1"/>
  <c r="C18" i="1"/>
  <c r="L10" i="42"/>
  <c r="M10" i="42" s="1"/>
  <c r="Y27" i="1"/>
  <c r="L6" i="42"/>
  <c r="M6" i="42" s="1"/>
  <c r="L7" i="42"/>
  <c r="M7" i="42" s="1"/>
  <c r="C20" i="1"/>
  <c r="L12" i="42"/>
  <c r="M12" i="42" s="1"/>
  <c r="C23" i="1"/>
  <c r="L3" i="42"/>
  <c r="M3" i="42" s="1"/>
  <c r="AA26" i="1"/>
  <c r="AE26" i="1"/>
  <c r="AB26" i="1"/>
  <c r="AD26" i="1"/>
  <c r="AC26" i="1"/>
  <c r="Z25" i="1"/>
  <c r="W27" i="1"/>
  <c r="V27" i="1"/>
  <c r="M15" i="42" l="1"/>
  <c r="X27" i="1"/>
  <c r="X2" i="1" s="1"/>
  <c r="BF27" i="1"/>
  <c r="BF28" i="1" s="1"/>
  <c r="A33" i="1"/>
  <c r="A34" i="1" s="1"/>
  <c r="B38" i="1"/>
  <c r="M6" i="15"/>
  <c r="E6" i="15"/>
  <c r="L15" i="14"/>
  <c r="C28" i="1" s="1"/>
  <c r="E33" i="1" s="1"/>
  <c r="D40" i="1" s="1"/>
  <c r="E5" i="15"/>
  <c r="M5" i="15"/>
  <c r="M4" i="15"/>
  <c r="E4" i="15"/>
  <c r="M3" i="15"/>
  <c r="E3" i="15"/>
  <c r="AA27" i="1"/>
  <c r="AB27" i="1"/>
  <c r="AC27" i="1"/>
  <c r="AD27" i="1"/>
  <c r="AE27" i="1"/>
  <c r="Z26" i="1"/>
  <c r="B2" i="15"/>
  <c r="B37" i="1"/>
  <c r="B40" i="1" s="1"/>
  <c r="B41" i="1" s="1"/>
  <c r="J3" i="15" l="1"/>
  <c r="H3" i="15"/>
  <c r="F3" i="15"/>
  <c r="I3" i="15"/>
  <c r="G3" i="15"/>
  <c r="E2" i="15"/>
  <c r="M2" i="15"/>
  <c r="M7" i="15" s="1"/>
  <c r="H4" i="15"/>
  <c r="G4" i="15"/>
  <c r="J4" i="15"/>
  <c r="I4" i="15"/>
  <c r="F4" i="15"/>
  <c r="J5" i="15"/>
  <c r="F5" i="15"/>
  <c r="I5" i="15"/>
  <c r="G5" i="15"/>
  <c r="H5" i="15"/>
  <c r="L16" i="14"/>
  <c r="I6" i="15"/>
  <c r="G6" i="15"/>
  <c r="H6" i="15"/>
  <c r="F6" i="15"/>
  <c r="J6" i="15"/>
  <c r="M16" i="42"/>
  <c r="C29" i="1"/>
  <c r="E34" i="1" s="1"/>
  <c r="Z27" i="1"/>
  <c r="B36" i="1"/>
  <c r="B35" i="1"/>
  <c r="E7" i="15" l="1"/>
  <c r="I2" i="15"/>
  <c r="G2" i="15"/>
  <c r="H2" i="15"/>
  <c r="J2" i="15"/>
  <c r="F2" i="15"/>
  <c r="I7" i="15" l="1"/>
  <c r="G7" i="15"/>
  <c r="J7" i="15"/>
  <c r="H7" i="15"/>
  <c r="F7" i="15"/>
  <c r="K7" i="15" l="1"/>
  <c r="C3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<sst xmlns="http://schemas.openxmlformats.org/spreadsheetml/2006/main" count="4360" uniqueCount="409">
  <si>
    <t>t</t>
  </si>
  <si>
    <t>HFO</t>
  </si>
  <si>
    <t>LFO</t>
  </si>
  <si>
    <t>Yacht</t>
  </si>
  <si>
    <t>General Cargo</t>
  </si>
  <si>
    <t>Research/Survey Vessel</t>
  </si>
  <si>
    <t>Supply Vessel</t>
  </si>
  <si>
    <t>Cable Layer</t>
  </si>
  <si>
    <t>Military Ops</t>
  </si>
  <si>
    <t>Special Craft</t>
  </si>
  <si>
    <t>Ro-Ro/Vehicles Carrier</t>
  </si>
  <si>
    <t>Container Ship</t>
  </si>
  <si>
    <t>Fishing Vessel</t>
  </si>
  <si>
    <t>Sailing Vessel</t>
  </si>
  <si>
    <t>Trawler</t>
  </si>
  <si>
    <t>Special Pleasure Craft</t>
  </si>
  <si>
    <t>Special Cargo</t>
  </si>
  <si>
    <t>Other Special Craft</t>
  </si>
  <si>
    <t>Passenger Vessel</t>
  </si>
  <si>
    <t>Crude Oil Tanker</t>
  </si>
  <si>
    <t>Oil/Chemical Tanker</t>
  </si>
  <si>
    <t>LNG Tanker</t>
  </si>
  <si>
    <t>Special Passenger Vessel</t>
  </si>
  <si>
    <t>Anchor Handling Vessel</t>
  </si>
  <si>
    <t>Barge</t>
  </si>
  <si>
    <t>Reefer</t>
  </si>
  <si>
    <t>Tug</t>
  </si>
  <si>
    <t>LPG Tanker</t>
  </si>
  <si>
    <t>Ro-Ro/Passenger Vessel</t>
  </si>
  <si>
    <t>Bulk Carrier</t>
  </si>
  <si>
    <t>Heavy Load Carrier</t>
  </si>
  <si>
    <t>Oil Products Tanker</t>
  </si>
  <si>
    <t>Platform</t>
  </si>
  <si>
    <t>Passenger/Cargo Ship</t>
  </si>
  <si>
    <t>Fish Carrier</t>
  </si>
  <si>
    <t>Training Ship</t>
  </si>
  <si>
    <t>Landing Craft</t>
  </si>
  <si>
    <t>Fire Fighting Vessel</t>
  </si>
  <si>
    <t>Offshore Vessel</t>
  </si>
  <si>
    <t>Special Fishing Vessel</t>
  </si>
  <si>
    <t>Other Pleasure Craft</t>
  </si>
  <si>
    <t>Patrol Vessel</t>
  </si>
  <si>
    <t>Search &amp; Rescue</t>
  </si>
  <si>
    <t>Other Passenger</t>
  </si>
  <si>
    <t>Other Fishing</t>
  </si>
  <si>
    <t>Other Cargo</t>
  </si>
  <si>
    <t>Service Vessel</t>
  </si>
  <si>
    <t>Pusher Tug</t>
  </si>
  <si>
    <t>Unspecified</t>
  </si>
  <si>
    <t>Pilot Boat</t>
  </si>
  <si>
    <t>Navigation Aids</t>
  </si>
  <si>
    <t>High Speed Craft</t>
  </si>
  <si>
    <t>TYPE</t>
  </si>
  <si>
    <t>Hydrogen (Combustion)</t>
  </si>
  <si>
    <t>Hydrogen (Fuel Cells)</t>
  </si>
  <si>
    <t>Ammonia</t>
  </si>
  <si>
    <t>Methanol</t>
  </si>
  <si>
    <t>bio-LNG</t>
  </si>
  <si>
    <t>bio-Ethanol</t>
  </si>
  <si>
    <t>HVO</t>
  </si>
  <si>
    <t>Synthetic Diesel</t>
  </si>
  <si>
    <t>Electricity (Battery)</t>
  </si>
  <si>
    <t>Hull coating + propeller upgrades</t>
  </si>
  <si>
    <t>Slow steaming</t>
  </si>
  <si>
    <t>Sailing &amp; hybrid</t>
  </si>
  <si>
    <t>Efficiency Suitabitliy</t>
  </si>
  <si>
    <t>Yes</t>
  </si>
  <si>
    <t>No</t>
  </si>
  <si>
    <t>N/A</t>
  </si>
  <si>
    <t>Fossil Fuel</t>
  </si>
  <si>
    <t>MGO</t>
  </si>
  <si>
    <t>MDO</t>
  </si>
  <si>
    <t>LNG</t>
  </si>
  <si>
    <t>Annual Growth Rate</t>
  </si>
  <si>
    <t>Efficiencies</t>
  </si>
  <si>
    <t>Adopt</t>
  </si>
  <si>
    <t>Savings</t>
  </si>
  <si>
    <t>Hull coating + propeller</t>
  </si>
  <si>
    <t>Clean fuel adoption</t>
  </si>
  <si>
    <t>Flag</t>
  </si>
  <si>
    <t>Vessel Name</t>
  </si>
  <si>
    <t>Imo</t>
  </si>
  <si>
    <t>Vessel Type - Generic</t>
  </si>
  <si>
    <t>Draught</t>
  </si>
  <si>
    <t>Built</t>
  </si>
  <si>
    <t>Length</t>
  </si>
  <si>
    <t>Capacity - Dwt</t>
  </si>
  <si>
    <t>Average Speed</t>
  </si>
  <si>
    <t>Vessel Type - Detailed</t>
  </si>
  <si>
    <t>Capacity - Gt</t>
  </si>
  <si>
    <t>Operational Days</t>
  </si>
  <si>
    <t>Vessel Type - Simplified</t>
  </si>
  <si>
    <t>Vessel Type - Contextual</t>
  </si>
  <si>
    <t>Estimated DWT</t>
  </si>
  <si>
    <t>Fuel Consumption</t>
  </si>
  <si>
    <t>Fuel Type</t>
  </si>
  <si>
    <t>Energy Consumption (TJ/year)</t>
  </si>
  <si>
    <t>Malta</t>
  </si>
  <si>
    <t>CELEBRITY EDGE</t>
  </si>
  <si>
    <t>Passenger</t>
  </si>
  <si>
    <t>Passenger Vessels</t>
  </si>
  <si>
    <t>French Polynesia</t>
  </si>
  <si>
    <t>HAVAI</t>
  </si>
  <si>
    <t>Cargo</t>
  </si>
  <si>
    <t>Cargo Vessels</t>
  </si>
  <si>
    <t>Rest</t>
  </si>
  <si>
    <t>USA</t>
  </si>
  <si>
    <t>USNS CESAR CHAVEZ</t>
  </si>
  <si>
    <t>Specialized Vessels</t>
  </si>
  <si>
    <t>Marshall Is</t>
  </si>
  <si>
    <t>DAPPLE</t>
  </si>
  <si>
    <t>ARANUI 5</t>
  </si>
  <si>
    <t>Mixed Vessels</t>
  </si>
  <si>
    <t>KAIMANA HILA</t>
  </si>
  <si>
    <t>Singapore</t>
  </si>
  <si>
    <t>Panama</t>
  </si>
  <si>
    <t>IRIS ACE</t>
  </si>
  <si>
    <t>CORCOVADO LNG</t>
  </si>
  <si>
    <t>Tanker</t>
  </si>
  <si>
    <t>Tankers</t>
  </si>
  <si>
    <t>Liberia</t>
  </si>
  <si>
    <t>Papua New Guinea</t>
  </si>
  <si>
    <t>Hong Kong</t>
  </si>
  <si>
    <t>PUERTO RICO</t>
  </si>
  <si>
    <t>JOHNNY TRAVELLER</t>
  </si>
  <si>
    <t>Vanuatu</t>
  </si>
  <si>
    <t>HAI FENG 718</t>
  </si>
  <si>
    <t>WORSHIP LIGHT</t>
  </si>
  <si>
    <t>ARAGO</t>
  </si>
  <si>
    <t>New Caledonia</t>
  </si>
  <si>
    <t>VAEARAI</t>
  </si>
  <si>
    <t>Fiji</t>
  </si>
  <si>
    <t>TUHAA PAE IV</t>
  </si>
  <si>
    <t>ELANDRA FIRTH</t>
  </si>
  <si>
    <t>CSC FRIENDSHIP</t>
  </si>
  <si>
    <t>ISAN</t>
  </si>
  <si>
    <t>Kiribati</t>
  </si>
  <si>
    <t>HIRI CHIEF</t>
  </si>
  <si>
    <t>CORAL</t>
  </si>
  <si>
    <t>OHANA</t>
  </si>
  <si>
    <t>Brunei</t>
  </si>
  <si>
    <t>AMARCO 9</t>
  </si>
  <si>
    <t>TE TABOMOA</t>
  </si>
  <si>
    <t>LIHIR DESTINY</t>
  </si>
  <si>
    <t>PANTHER</t>
  </si>
  <si>
    <t>TJ/year</t>
  </si>
  <si>
    <t>FUEL TYPE</t>
  </si>
  <si>
    <t>HULL</t>
  </si>
  <si>
    <t>SLOW</t>
  </si>
  <si>
    <t>SAIL</t>
  </si>
  <si>
    <t>unconstrained</t>
  </si>
  <si>
    <t>eff 1 adopt</t>
  </si>
  <si>
    <t>eff 2 adopt</t>
  </si>
  <si>
    <t>eff 3 adopt</t>
  </si>
  <si>
    <t>prop eff 1</t>
  </si>
  <si>
    <t>prop eff 2</t>
  </si>
  <si>
    <t>prop eff 3</t>
  </si>
  <si>
    <t>savings 1</t>
  </si>
  <si>
    <t>savings 2</t>
  </si>
  <si>
    <t>savings 3</t>
  </si>
  <si>
    <t>Actual</t>
  </si>
  <si>
    <t>Efficiency Adjustements</t>
  </si>
  <si>
    <t>Clean fuel transition</t>
  </si>
  <si>
    <t>Clean fuel total</t>
  </si>
  <si>
    <t>proportion</t>
  </si>
  <si>
    <t>TJ</t>
  </si>
  <si>
    <t>tonnes</t>
  </si>
  <si>
    <t>INPUTS</t>
  </si>
  <si>
    <t>t0</t>
  </si>
  <si>
    <t>(these are obtained from the CALCULATIONS PAGE)</t>
  </si>
  <si>
    <t>Year</t>
  </si>
  <si>
    <t>to</t>
  </si>
  <si>
    <t>k</t>
  </si>
  <si>
    <t>Clean Fuel Suitability (need to input numbers we will use)</t>
  </si>
  <si>
    <t>Operational Measures</t>
  </si>
  <si>
    <t>Clean Fuels</t>
  </si>
  <si>
    <t>adjusted logistic growth function - k, t0</t>
  </si>
  <si>
    <t>Production Mechanisms</t>
  </si>
  <si>
    <t>Hydrogen</t>
  </si>
  <si>
    <t>Electricity</t>
  </si>
  <si>
    <t>RE+El</t>
  </si>
  <si>
    <t>proportions of each production mechanism for clean fuels</t>
  </si>
  <si>
    <t>HFO-LFO</t>
  </si>
  <si>
    <t>MDO-MGO</t>
  </si>
  <si>
    <t>Fuel swaps</t>
  </si>
  <si>
    <t>Fuel Swaps</t>
  </si>
  <si>
    <t>Fossil</t>
  </si>
  <si>
    <t>(from efficiency)</t>
  </si>
  <si>
    <t>dirty/clean</t>
  </si>
  <si>
    <t>LFO, HFO need same efficiency for now</t>
  </si>
  <si>
    <t>Multiply dirty by uptake factors</t>
  </si>
  <si>
    <t xml:space="preserve">key assumption is that fuel swap does not affect proportion of transitoned clean fuel </t>
  </si>
  <si>
    <t>Final fuel values</t>
  </si>
  <si>
    <t>Uptake factors (includes transition)</t>
  </si>
  <si>
    <t>Fossil Fuels</t>
  </si>
  <si>
    <t>Check sum is 1</t>
  </si>
  <si>
    <t>SMR+CCS</t>
  </si>
  <si>
    <t>Biomass Gasification</t>
  </si>
  <si>
    <t>CO2</t>
  </si>
  <si>
    <t>Conventional</t>
  </si>
  <si>
    <t>Biomass</t>
  </si>
  <si>
    <t>Fossil+CCS</t>
  </si>
  <si>
    <t>Anaerobic</t>
  </si>
  <si>
    <t>1st Gen Fermentation</t>
  </si>
  <si>
    <t>2nd Gen Fermentation</t>
  </si>
  <si>
    <t>Algae</t>
  </si>
  <si>
    <t>Waste Hydrotreatment</t>
  </si>
  <si>
    <t>Crop Hydrotreatment</t>
  </si>
  <si>
    <t>PtL</t>
  </si>
  <si>
    <t>t/TJ</t>
  </si>
  <si>
    <t>RE to propeller</t>
  </si>
  <si>
    <t>TJ electricity</t>
  </si>
  <si>
    <t>Solar MW</t>
  </si>
  <si>
    <t>CLEAN</t>
  </si>
  <si>
    <t>FOSSIL</t>
  </si>
  <si>
    <t>Wind MW</t>
  </si>
  <si>
    <t>clean</t>
  </si>
  <si>
    <t>fosssil</t>
  </si>
  <si>
    <t>TJ elec</t>
  </si>
  <si>
    <t>RE MW</t>
  </si>
  <si>
    <t>Solar</t>
  </si>
  <si>
    <t>Wind</t>
  </si>
  <si>
    <t>Hydro</t>
  </si>
  <si>
    <t>Geothermal</t>
  </si>
  <si>
    <t>CFs</t>
  </si>
  <si>
    <t>Proportion</t>
  </si>
  <si>
    <t>#</t>
  </si>
  <si>
    <t>Not INCLUDED</t>
  </si>
  <si>
    <t>INCLUDED</t>
  </si>
  <si>
    <t>RE</t>
  </si>
  <si>
    <t>Emissions</t>
  </si>
  <si>
    <t>disabled</t>
  </si>
  <si>
    <t>NON-OPERATIONAL</t>
  </si>
  <si>
    <t>COMPARE</t>
  </si>
  <si>
    <t>Fuel</t>
  </si>
  <si>
    <t>Energy</t>
  </si>
  <si>
    <t>FUEL</t>
  </si>
  <si>
    <t>ENERGY</t>
  </si>
  <si>
    <t>TJ 2050</t>
  </si>
  <si>
    <t>notes</t>
  </si>
  <si>
    <t>tCO2-e 2050</t>
  </si>
  <si>
    <t>tCO2-e Current</t>
  </si>
  <si>
    <t>TJ Current</t>
  </si>
  <si>
    <t>reduction</t>
  </si>
  <si>
    <t>EMISSIONS</t>
  </si>
  <si>
    <t>COST</t>
  </si>
  <si>
    <t>$/TJ</t>
  </si>
  <si>
    <t>Pyrolisis ref</t>
  </si>
  <si>
    <t>RE + synthesis</t>
  </si>
  <si>
    <t>reforming + syntheiss</t>
  </si>
  <si>
    <t>CO2/gfuel</t>
  </si>
  <si>
    <t>IMO 4th Study</t>
  </si>
  <si>
    <t>RE pathway</t>
  </si>
  <si>
    <t>RE+met</t>
  </si>
  <si>
    <t>GTL</t>
  </si>
  <si>
    <t>pyrolysis</t>
  </si>
  <si>
    <t>Ptl</t>
  </si>
  <si>
    <t>Hydro MW</t>
  </si>
  <si>
    <t>MW</t>
  </si>
  <si>
    <t>DONE</t>
  </si>
  <si>
    <t>YES</t>
  </si>
  <si>
    <t>CALCULATED</t>
  </si>
  <si>
    <t>digestion</t>
  </si>
  <si>
    <t>waste</t>
  </si>
  <si>
    <t>Cost per TJ of prod</t>
  </si>
  <si>
    <t>Synt Diesel</t>
  </si>
  <si>
    <t>COST ELEC</t>
  </si>
  <si>
    <t>?difference in factor 10</t>
  </si>
  <si>
    <t>old CFs</t>
  </si>
  <si>
    <t>$/MW</t>
  </si>
  <si>
    <t>TJ 2030</t>
  </si>
  <si>
    <t>TJ 2040</t>
  </si>
  <si>
    <t>% compared to Current</t>
  </si>
  <si>
    <t>EMISSIONS (red)</t>
  </si>
  <si>
    <t>COST (compared)</t>
  </si>
  <si>
    <t>Achieved?</t>
  </si>
  <si>
    <t>Effective HCP</t>
  </si>
  <si>
    <t>Effective SS</t>
  </si>
  <si>
    <t>Effective SH</t>
  </si>
  <si>
    <t>Effective CF</t>
  </si>
  <si>
    <t>check which ones are more than 5000GT</t>
  </si>
  <si>
    <t>tCO2</t>
  </si>
  <si>
    <t>baseline current</t>
  </si>
  <si>
    <t>energy</t>
  </si>
  <si>
    <t>Obliged under Rus</t>
  </si>
  <si>
    <t>from database raw</t>
  </si>
  <si>
    <t>N19</t>
  </si>
  <si>
    <t>N20</t>
  </si>
  <si>
    <t>N21</t>
  </si>
  <si>
    <t>N22</t>
  </si>
  <si>
    <t>N23</t>
  </si>
  <si>
    <t>N24</t>
  </si>
  <si>
    <t>N25</t>
  </si>
  <si>
    <t>N26</t>
  </si>
  <si>
    <t>N27</t>
  </si>
  <si>
    <t>N28</t>
  </si>
  <si>
    <t>N29</t>
  </si>
  <si>
    <t>N30</t>
  </si>
  <si>
    <t>N31</t>
  </si>
  <si>
    <t>N32</t>
  </si>
  <si>
    <t>N33</t>
  </si>
  <si>
    <t>N34</t>
  </si>
  <si>
    <t>N35</t>
  </si>
  <si>
    <t>N36</t>
  </si>
  <si>
    <t>N37</t>
  </si>
  <si>
    <t>N38</t>
  </si>
  <si>
    <t>N39</t>
  </si>
  <si>
    <t>N40</t>
  </si>
  <si>
    <t>N41</t>
  </si>
  <si>
    <t>BT</t>
  </si>
  <si>
    <t>DCT</t>
  </si>
  <si>
    <t>RU</t>
  </si>
  <si>
    <t>HFO em</t>
  </si>
  <si>
    <t>LFO em</t>
  </si>
  <si>
    <t>MDO em</t>
  </si>
  <si>
    <t>MGO em</t>
  </si>
  <si>
    <t>LNG em</t>
  </si>
  <si>
    <t>RU Requirements</t>
  </si>
  <si>
    <t>TOTAL EM</t>
  </si>
  <si>
    <t>RU req</t>
  </si>
  <si>
    <t>TOTAL EM f</t>
  </si>
  <si>
    <t>Baseline en 93.3</t>
  </si>
  <si>
    <t>Em Factor</t>
  </si>
  <si>
    <t>emissions</t>
  </si>
  <si>
    <t>BT factor diff</t>
  </si>
  <si>
    <t>DCT factor diff</t>
  </si>
  <si>
    <t>Cost</t>
  </si>
  <si>
    <t>Zone</t>
  </si>
  <si>
    <t>Ru gen</t>
  </si>
  <si>
    <t>Income</t>
  </si>
  <si>
    <t>BCT</t>
  </si>
  <si>
    <t>belwo helper</t>
  </si>
  <si>
    <t>between</t>
  </si>
  <si>
    <t>above</t>
  </si>
  <si>
    <t>top</t>
  </si>
  <si>
    <t>RU Mt</t>
  </si>
  <si>
    <t>range</t>
  </si>
  <si>
    <t>min</t>
  </si>
  <si>
    <t>max</t>
  </si>
  <si>
    <t>RATIO</t>
  </si>
  <si>
    <t>Costs</t>
  </si>
  <si>
    <t>sum op costs</t>
  </si>
  <si>
    <t>OP COSTS</t>
  </si>
  <si>
    <t>op costs (right)</t>
  </si>
  <si>
    <t>Op costs</t>
  </si>
  <si>
    <t>SHEET INDEX</t>
  </si>
  <si>
    <t>COLOUR CODING</t>
  </si>
  <si>
    <t>Title</t>
  </si>
  <si>
    <t>Pacific Shipping Tool</t>
  </si>
  <si>
    <t>Name</t>
  </si>
  <si>
    <t>Function</t>
  </si>
  <si>
    <t>Model Inputs, Output Dashboard</t>
  </si>
  <si>
    <t>Developers</t>
  </si>
  <si>
    <t>Edoardo Santagata</t>
  </si>
  <si>
    <t>MAIN</t>
  </si>
  <si>
    <t>Detailed Parametrisation, Assumptions</t>
  </si>
  <si>
    <t>Supervision</t>
  </si>
  <si>
    <t>Anna Bruce</t>
  </si>
  <si>
    <t>current</t>
  </si>
  <si>
    <t>Energy Consumption by Vessel Type</t>
  </si>
  <si>
    <t>Iain MacGill</t>
  </si>
  <si>
    <t>Raw Data</t>
  </si>
  <si>
    <t>Atul Raturi</t>
  </si>
  <si>
    <t>dictionary</t>
  </si>
  <si>
    <t>Affiliation</t>
  </si>
  <si>
    <t>University of New South Wales (UNSW)</t>
  </si>
  <si>
    <t>efficiency</t>
  </si>
  <si>
    <t>Centre for Sustainable Development Reform (CSDR), UNSW</t>
  </si>
  <si>
    <t>Collaboration on Energy and Environmental Markets (CEEM), UNSW</t>
  </si>
  <si>
    <t>re</t>
  </si>
  <si>
    <t>Version</t>
  </si>
  <si>
    <t>production</t>
  </si>
  <si>
    <t>Release Date</t>
  </si>
  <si>
    <t>cost</t>
  </si>
  <si>
    <t>raw</t>
  </si>
  <si>
    <t>Correspondence</t>
  </si>
  <si>
    <t>email</t>
  </si>
  <si>
    <t xml:space="preserve">edoardo.santagata@unsw.edu.au </t>
  </si>
  <si>
    <t>Copyright Information</t>
  </si>
  <si>
    <t>Disclaimer</t>
  </si>
  <si>
    <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</si>
  <si>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USER MANUAL</t>
  </si>
  <si>
    <t>Distribution License</t>
  </si>
  <si>
    <t>© Copyright 2026 University of New South Wales (UNSW)</t>
  </si>
  <si>
    <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</si>
  <si>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The above copyright notice and this permission notice shall be included in all copies or substantial portions of the Software.</t>
  </si>
  <si>
    <t>Citation</t>
  </si>
  <si>
    <t>While this tool is published under the conditions of the open source MIT license by making sure that the code can be used, edited, and re-distributed by others, we require that the tool developers are acknowledged by using the following citation:</t>
  </si>
  <si>
    <r>
      <t xml:space="preserve">Santagata, E. 2026. </t>
    </r>
    <r>
      <rPr>
        <i/>
        <sz val="12"/>
        <color rgb="FF000000"/>
        <rFont val="Aptos Narrow"/>
        <family val="2"/>
        <scheme val="minor"/>
      </rPr>
      <t xml:space="preserve">Planning Frameworks and Tools for Secure and Resilient Clean Energy Transitions in Pacific Island Countries and Territories. </t>
    </r>
    <r>
      <rPr>
        <sz val="12"/>
        <color rgb="FF000000"/>
        <rFont val="Aptos Narrow"/>
        <scheme val="minor"/>
      </rPr>
      <t>PhD Thesis, UNSW Sydney. DOI: https://doi.org/10.26190/unsworks/31988</t>
    </r>
  </si>
  <si>
    <t>RESULTS SUMMARY</t>
  </si>
  <si>
    <t>Scenario</t>
  </si>
  <si>
    <t>colours need to be manually adjusted (surplus - green, tier 1 - yellow, tier 2 - red)</t>
  </si>
  <si>
    <t>11-56</t>
  </si>
  <si>
    <t>1-23 + (RU)</t>
  </si>
  <si>
    <t>Central input/output dashboard containing all scenario parameters and aggregated annual results (2025–2050) for fuel consumption, emissions, costs, renewable energy capacity, and IMO GHG Fuel Standard compliance.</t>
  </si>
  <si>
    <t>Baseline fleet fuel consumption summary by fuel type in energy (TJ) and mass (tonnes).</t>
  </si>
  <si>
    <t>Aggregated annual energy consumption by vessel type with assigned baseline fuel and operational measure eligibility flags.</t>
  </si>
  <si>
    <t>consumptions per type</t>
  </si>
  <si>
    <t>Vessel-type-specific clean fuel suitability proportions and operational measure applicability assumptions.</t>
  </si>
  <si>
    <t>Energy conversion ratios between fossil and clean fuels, and engine/system efficiency values used in renewable energy capacity calculations.</t>
  </si>
  <si>
    <t>Renewable energy generation capacity (MW by source) required to produce the clean fuels consumed under the modelled scenario.</t>
  </si>
  <si>
    <t>Production pathway proportions for each clean fuel, used to derive weighted-average emission intensities and costs.</t>
  </si>
  <si>
    <t>Well-to-wake CO₂-equivalent emission factors for fossil and clean fuels, disaggregated by production pathway.</t>
  </si>
  <si>
    <t>Unit fuel costs ($/TJ) for fossil and clean fuels, disaggregated by production pathway.</t>
  </si>
  <si>
    <t>Fleet input data with one row per vessel containing type classifications, physical characteristics, operational parameters, and energy consumption.</t>
  </si>
  <si>
    <t>Per-vessel-type decarbonisation trajectory calculations applying logistic S-curve adoption functions for operational measures and clean fuel transitions. (RU) sheets incorporate IMO GHG Fuel Standard compliance with BT/DCT thresholds and Revenue Unit calculations.</t>
  </si>
  <si>
    <t xml:space="preserve">
Review assumption sheets as needed. The dictionary, efficiency, production, emissions, cost, and re sheets contain detailed parametrisation that can be adjusted for different scenarios or regions. See sheet descriptions below.
Read results from the MAIN sheet. The output dashboard (rows 14 onwards and columns G onwards) presents annual time series for: fuel consumption by type (TJ), fossil vs clean fuel totals, consumption by vessel type, well-to-wake emissions (tCO₂-e), operational costs, renewable energy capacity requirements (MW by source), and IMO GHG Fuel Standard compliance indicators (BT and DCT thresholds, Revenue Unit requirements).
Scenario Design
The tool supports both normative and exploratory scenario approaches:
Normative scenarios: Work backwards from a target (e.g. IMO 2050 net-zero, IEA Net Zero) by calibrating k and t₀ parameters to meet the desired emissions trajectory
Exploratory scenarios: Test "what if" assumptions by varying adoption rates, measure eligibility, or fuel suitability proportions
Each numbered vessel type sheet (1–23) and its corresponding RU variant (1–23 RU) can be inspected to understand the per-type transition dynamics. The N sheets model the scenario without IMO carbon levy constraints; the N (RU) sheets model the same scenario under IMO GHG Fuel Standard compliance obligations.
IMO GHG Fuel Standard (Revenue Units)
The tool includes the IMO's proposed GHG Fuel Standard framework with two compliance thresholds:
BT (Below Threshold): The lower bound carbon intensity target
DCT (Deemed Compliance Threshold): The upper bound
These thresholds tighten annually from 2028 to 2050 (columns BT and DCT in MAIN). Vessels that exceed the DCT must purchase Revenue Units (RUs). The N (RU) sheets calculate per-type compliance under this framework, and MAIN aggregates fleet-wide RU requirements, costs, and income.</t>
  </si>
  <si>
    <t>Overview
This tool simulates decarbonisation scenarios for maritime shipping fleets over the period 2025–2050. It models the transition from fossil fuels to clean fuels and operational efficiency measures using logistic S-curve adoption functions, and calculates annual fuel consumption, well-to-wake emissions, costs, renewable energy capacity requirements, and IMO carbon levy (Revenue Unit) impacts for each scenario.
The tool is designed to work with fleet data produced by Function 2 of this repository, but can also accept user-provided fleet data from any source, provided it follows the required format in the raw sheet.
Getting Started
Populate the raw sheet with your vessel fleet data. The sample data included contains one dummy vessel per considered vessel type for demonstration purposes. Replace this with your actual fleet data, ensuring the following columns are present: Flag, Vessel Name, Imo, Vessel Type - Generic, Draught, Built, Length, Capacity - Dwt, Average Speed, Vessel Type - Detailed, Capacity - Gt, Operational Days, Vessel Type - Simplified, Vessel Type - Contextual, Estimated DWT, Fuel Consumption, Fuel Type, Energy Consumption (TJ/year). If using output from shippinganalysis.py (Function 2), the format will already match.
Review the consumptions per type sheet, which automatically aggregates energy consumption from raw by vessel type. Check that the Fuel Type assignment and operational measure eligibility flags (HULL, SLOW, SAIL) are appropriate for your fleet. These flags determine which measures are applied to each vessel type in the scenario simulation.
Set scenario parameters in the MAIN sheet. The key user inputs are located in cells A1–D12:
Annual Growth Rate (cell B1): Fleet-wide annual growth rate applied to energy consumption (default: 2.1%)
Operational Measures (rows 4–6): For each measure (hull coating + propeller upgrades, slow steaming, sailing &amp; hybrid), set the logistic adoption rate k, energy savings fraction, and inflection year t₀
Clean Fuels (row 8): Set the logistic adoption rate k and inflection year t₀ for clean fuel uptake
Fuel Swaps (rows 11–12): Set adoption parameters for HFO→LFO and MDO→MGO fuel swaps (set k = 0 to disable)</t>
  </si>
  <si>
    <r>
      <rPr>
        <b/>
        <sz val="20"/>
        <color theme="7"/>
        <rFont val="Calibri (Body)"/>
      </rPr>
      <t>SCENARIO SIMULATION TOOL</t>
    </r>
    <r>
      <rPr>
        <sz val="20"/>
        <color theme="0"/>
        <rFont val="Calibri (Body)"/>
      </rPr>
      <t>|</t>
    </r>
    <r>
      <rPr>
        <b/>
        <sz val="14"/>
        <color theme="0"/>
        <rFont val="Aptos Narrow"/>
        <family val="2"/>
        <scheme val="minor"/>
      </rPr>
      <t>MARITIME SHIPPING DECARBONISATION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</si>
</sst>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49" x14ac:knownFonts="1">
    <font>
      <sz val="12"/>
      <color theme="1"/>
      <name val="Aptos Narrow"/>
      <family val="2"/>
      <scheme val="minor"/>
    </font>
    <font>
      <sz val="12"/>
      <color theme="1"/>
      <name val="Aptos Narrow"/>
      <family val="2"/>
      <scheme val="minor"/>
    </font>
    <font>
      <sz val="12"/>
      <color rgb="FFFF0000"/>
      <name val="Aptos Narrow"/>
      <family val="2"/>
      <scheme val="minor"/>
    </font>
    <font>
      <b/>
      <sz val="12"/>
      <color theme="1"/>
      <name val="Aptos Narrow"/>
      <family val="2"/>
      <scheme val="minor"/>
    </font>
    <font>
      <i/>
      <sz val="12"/>
      <color theme="1"/>
      <name val="Aptos Narrow"/>
      <family val="2"/>
      <scheme val="minor"/>
    </font>
    <font>
      <b/>
      <sz val="11"/>
      <name val="Calibri"/>
      <family val="2"/>
    </font>
    <font>
      <b/>
      <i/>
      <sz val="12"/>
      <color theme="1"/>
      <name val="Aptos Narrow"/>
      <family val="2"/>
      <scheme val="minor"/>
    </font>
    <font>
      <i/>
      <sz val="12"/>
      <color theme="4"/>
      <name val="Aptos Narrow"/>
      <family val="2"/>
      <scheme val="minor"/>
    </font>
    <font>
      <i/>
      <sz val="9"/>
      <color theme="1"/>
      <name val="Aptos Narrow"/>
      <family val="2"/>
      <scheme val="minor"/>
    </font>
    <font>
      <b/>
      <sz val="12"/>
      <color rgb="FF000000"/>
      <name val="Aptos Narrow"/>
      <family val="2"/>
      <scheme val="minor"/>
    </font>
    <font>
      <b/>
      <sz val="12"/>
      <color theme="8"/>
      <name val="Aptos Narrow"/>
      <family val="2"/>
      <scheme val="minor"/>
    </font>
    <font>
      <b/>
      <i/>
      <sz val="12"/>
      <color rgb="FF000000"/>
      <name val="Aptos Narrow"/>
      <family val="2"/>
      <scheme val="minor"/>
    </font>
    <font>
      <sz val="8"/>
      <color theme="1"/>
      <name val="Times New Roman"/>
      <family val="1"/>
    </font>
    <font>
      <b/>
      <sz val="12"/>
      <color theme="1"/>
      <name val="Aptos Narrow"/>
      <scheme val="minor"/>
    </font>
    <font>
      <sz val="8"/>
      <name val="Aptos Narrow"/>
      <family val="2"/>
      <scheme val="minor"/>
    </font>
    <font>
      <sz val="12"/>
      <color rgb="FF000000"/>
      <name val="Aptos Narrow"/>
      <family val="2"/>
      <scheme val="minor"/>
    </font>
    <font>
      <b/>
      <sz val="18"/>
      <color theme="1"/>
      <name val="Aptos Narrow"/>
      <family val="2"/>
      <scheme val="minor"/>
    </font>
    <font>
      <sz val="12"/>
      <color theme="5"/>
      <name val="Aptos Narrow"/>
      <family val="2"/>
      <scheme val="minor"/>
    </font>
    <font>
      <b/>
      <sz val="12"/>
      <color theme="5"/>
      <name val="Aptos Narrow"/>
      <scheme val="minor"/>
    </font>
    <font>
      <b/>
      <sz val="14"/>
      <color theme="5"/>
      <name val="Aptos Narrow"/>
      <scheme val="minor"/>
    </font>
    <font>
      <i/>
      <sz val="12"/>
      <color theme="1"/>
      <name val="Aptos Narrow"/>
      <scheme val="minor"/>
    </font>
    <font>
      <sz val="12"/>
      <color theme="0" tint="-0.499984740745262"/>
      <name val="Aptos Narrow"/>
      <family val="2"/>
      <scheme val="minor"/>
    </font>
    <font>
      <b/>
      <sz val="12"/>
      <color theme="0" tint="-0.499984740745262"/>
      <name val="Aptos Narrow"/>
      <family val="2"/>
      <scheme val="minor"/>
    </font>
    <font>
      <sz val="12"/>
      <color theme="9"/>
      <name val="Aptos Narrow"/>
      <family val="2"/>
      <scheme val="minor"/>
    </font>
    <font>
      <b/>
      <sz val="12"/>
      <color theme="9"/>
      <name val="Aptos Narrow"/>
      <scheme val="minor"/>
    </font>
    <font>
      <sz val="12"/>
      <color theme="9"/>
      <name val="Aptos Narrow"/>
      <scheme val="minor"/>
    </font>
    <font>
      <b/>
      <sz val="14"/>
      <color theme="9"/>
      <name val="Aptos Narrow"/>
      <scheme val="minor"/>
    </font>
    <font>
      <sz val="12"/>
      <color theme="2" tint="-0.499984740745262"/>
      <name val="Aptos Narrow"/>
      <family val="2"/>
      <scheme val="minor"/>
    </font>
    <font>
      <b/>
      <sz val="12"/>
      <color rgb="FFFFFF00"/>
      <name val="Aptos Narrow"/>
      <scheme val="minor"/>
    </font>
    <font>
      <b/>
      <sz val="12"/>
      <color theme="6"/>
      <name val="Aptos Narrow"/>
      <scheme val="minor"/>
    </font>
    <font>
      <sz val="9"/>
      <color theme="1"/>
      <name val="Aptos Narrow"/>
      <family val="2"/>
      <scheme val="minor"/>
    </font>
    <font>
      <b/>
      <i/>
      <sz val="12"/>
      <color theme="1"/>
      <name val="Aptos Narrow"/>
      <scheme val="minor"/>
    </font>
    <font>
      <sz val="12"/>
      <color theme="1"/>
      <name val="Aptos Narrow"/>
      <scheme val="minor"/>
    </font>
    <font>
      <i/>
      <sz val="12"/>
      <color theme="2" tint="-0.499984740745262"/>
      <name val="Aptos Narrow"/>
      <scheme val="minor"/>
    </font>
    <font>
      <b/>
      <sz val="12"/>
      <color theme="9" tint="-0.249977111117893"/>
      <name val="Aptos Narrow"/>
      <scheme val="minor"/>
    </font>
    <font>
      <b/>
      <sz val="11"/>
      <color theme="1"/>
      <name val="Aptos Narrow"/>
      <family val="2"/>
      <scheme val="minor"/>
    </font>
    <font>
      <b/>
      <sz val="12"/>
      <color theme="0"/>
      <name val="Aptos Narrow"/>
      <family val="2"/>
      <scheme val="minor"/>
    </font>
    <font>
      <sz val="11"/>
      <color rgb="FF000000"/>
      <name val="Calibri"/>
      <family val="2"/>
    </font>
    <font>
      <u/>
      <sz val="12"/>
      <color theme="10"/>
      <name val="Aptos Narrow"/>
      <family val="2"/>
      <scheme val="minor"/>
    </font>
    <font>
      <b/>
      <sz val="14"/>
      <color theme="0"/>
      <name val="Aptos Narrow"/>
      <family val="2"/>
      <scheme val="minor"/>
    </font>
    <font>
      <b/>
      <sz val="20"/>
      <color theme="7"/>
      <name val="Calibri (Body)"/>
    </font>
    <font>
      <sz val="20"/>
      <color theme="0"/>
      <name val="Calibri (Body)"/>
    </font>
    <font>
      <sz val="12"/>
      <name val="Aptos Narrow"/>
      <family val="2"/>
      <scheme val="minor"/>
    </font>
    <font>
      <b/>
      <sz val="18"/>
      <color theme="0"/>
      <name val="Aptos Narrow"/>
      <family val="2"/>
      <scheme val="minor"/>
    </font>
    <font>
      <sz val="12"/>
      <name val="Arial"/>
      <family val="2"/>
    </font>
    <font>
      <sz val="12"/>
      <color rgb="FF000000"/>
      <name val="Arial"/>
      <family val="2"/>
    </font>
    <font>
      <i/>
      <sz val="12"/>
      <color rgb="FF000000"/>
      <name val="Aptos Narrow"/>
      <family val="2"/>
      <scheme val="minor"/>
    </font>
    <font>
      <sz val="12"/>
      <color rgb="FF000000"/>
      <name val="Aptos Narrow"/>
      <scheme val="minor"/>
    </font>
    <font>
      <i/>
      <sz val="9"/>
      <color theme="1"/>
      <name val="Aptos Narrow"/>
      <scheme val="minor"/>
    </font>
  </fonts>
  <fills count="2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bgColor indexed="64"/>
      </patternFill>
    </fill>
    <fill>
      <patternFill patternType="solid">
        <fgColor theme="9" tint="0.79998168889431442"/>
        <bgColor indexed="64"/>
      </patternFill>
    </fill>
    <fill>
      <patternFill patternType="solid">
        <fgColor rgb="FFFFFA93"/>
        <bgColor indexed="64"/>
      </patternFill>
    </fill>
    <fill>
      <patternFill patternType="solid">
        <fgColor theme="9" tint="0.3999755851924192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4"/>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bgColor indexed="64"/>
      </patternFill>
    </fill>
    <fill>
      <patternFill patternType="solid">
        <fgColor theme="4" tint="-0.499984740745262"/>
        <bgColor indexed="64"/>
      </patternFill>
    </fill>
    <fill>
      <patternFill patternType="solid">
        <fgColor rgb="FFFFFFFF"/>
        <bgColor rgb="FF000000"/>
      </patternFill>
    </fill>
    <fill>
      <patternFill patternType="solid">
        <fgColor rgb="FF002060"/>
        <bgColor indexed="64"/>
      </patternFill>
    </fill>
    <fill>
      <patternFill patternType="solid">
        <fgColor theme="0"/>
        <bgColor rgb="FF000000"/>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44" fontId="1" fillId="0" borderId="0" applyFont="0" applyFill="0" applyBorder="0" applyAlignment="0" applyProtection="0"/>
    <xf numFmtId="0" fontId="38" fillId="0" borderId="0" applyNumberFormat="0" applyFill="0" applyBorder="0" applyAlignment="0" applyProtection="0"/>
  </cellStyleXfs>
  <cellXfs count="164">
    <xf numFmtId="0" fontId="0" fillId="0" borderId="0" xfId="0"/>
    <xf numFmtId="0" fontId="3" fillId="0" borderId="0" xfId="0" applyFont="1"/>
    <xf numFmtId="9" fontId="0" fillId="0" borderId="0" xfId="0" applyNumberFormat="1"/>
    <xf numFmtId="0" fontId="4" fillId="0" borderId="0" xfId="0" applyFont="1"/>
    <xf numFmtId="0" fontId="0" fillId="0" borderId="0" xfId="0" applyAlignment="1">
      <alignment horizontal="center"/>
    </xf>
    <xf numFmtId="9" fontId="0" fillId="2" borderId="1" xfId="0" applyNumberFormat="1" applyFill="1" applyBorder="1"/>
    <xf numFmtId="0" fontId="5" fillId="0" borderId="1" xfId="0" applyFont="1" applyBorder="1" applyAlignment="1">
      <alignment horizontal="center" vertical="top"/>
    </xf>
    <xf numFmtId="0" fontId="0" fillId="0" borderId="0" xfId="0" applyAlignment="1">
      <alignment horizontal="right"/>
    </xf>
    <xf numFmtId="0" fontId="2" fillId="0" borderId="0" xfId="0" applyFont="1"/>
    <xf numFmtId="10" fontId="0" fillId="0" borderId="0" xfId="0" applyNumberFormat="1"/>
    <xf numFmtId="2" fontId="0" fillId="2" borderId="1" xfId="0" applyNumberFormat="1" applyFill="1" applyBorder="1"/>
    <xf numFmtId="1" fontId="0" fillId="2" borderId="1" xfId="0" applyNumberFormat="1" applyFill="1" applyBorder="1"/>
    <xf numFmtId="0" fontId="6" fillId="0" borderId="0" xfId="0" applyFont="1"/>
    <xf numFmtId="0" fontId="0" fillId="0" borderId="0" xfId="0" applyAlignment="1">
      <alignment horizontal="left"/>
    </xf>
    <xf numFmtId="0" fontId="7" fillId="0" borderId="0" xfId="0" applyFont="1" applyAlignment="1">
      <alignment horizontal="center"/>
    </xf>
    <xf numFmtId="0" fontId="3" fillId="2" borderId="1" xfId="0" applyFont="1" applyFill="1" applyBorder="1"/>
    <xf numFmtId="1" fontId="0" fillId="0" borderId="0" xfId="0" applyNumberFormat="1"/>
    <xf numFmtId="1" fontId="3" fillId="0" borderId="0" xfId="0" applyNumberFormat="1" applyFont="1"/>
    <xf numFmtId="10" fontId="0" fillId="2" borderId="1" xfId="0" applyNumberFormat="1" applyFill="1" applyBorder="1"/>
    <xf numFmtId="0" fontId="3" fillId="0" borderId="2" xfId="0" applyFont="1" applyBorder="1"/>
    <xf numFmtId="0" fontId="0" fillId="0" borderId="2" xfId="0" applyBorder="1"/>
    <xf numFmtId="9" fontId="0" fillId="0" borderId="2" xfId="0" applyNumberFormat="1" applyBorder="1"/>
    <xf numFmtId="0" fontId="9" fillId="0" borderId="0" xfId="0" applyFont="1"/>
    <xf numFmtId="0" fontId="0" fillId="0" borderId="0" xfId="0" quotePrefix="1"/>
    <xf numFmtId="0" fontId="10" fillId="0" borderId="0" xfId="0" applyFont="1"/>
    <xf numFmtId="1" fontId="0" fillId="0" borderId="2" xfId="0" applyNumberFormat="1" applyBorder="1"/>
    <xf numFmtId="0" fontId="1" fillId="0" borderId="0" xfId="1"/>
    <xf numFmtId="0" fontId="6" fillId="0" borderId="0" xfId="0" applyFont="1" applyAlignment="1">
      <alignment horizontal="left"/>
    </xf>
    <xf numFmtId="0" fontId="11" fillId="0" borderId="0" xfId="0" applyFont="1"/>
    <xf numFmtId="0" fontId="0" fillId="0" borderId="1" xfId="0" applyBorder="1"/>
    <xf numFmtId="10" fontId="3" fillId="0" borderId="0" xfId="0" applyNumberFormat="1" applyFont="1"/>
    <xf numFmtId="0" fontId="3" fillId="0" borderId="0" xfId="0" applyFont="1" applyAlignment="1">
      <alignment horizontal="right"/>
    </xf>
    <xf numFmtId="0" fontId="12" fillId="0" borderId="0" xfId="0" applyFont="1" applyAlignment="1">
      <alignment horizontal="left" vertical="center" wrapText="1"/>
    </xf>
    <xf numFmtId="0" fontId="13" fillId="0" borderId="0" xfId="1" applyFont="1"/>
    <xf numFmtId="44" fontId="0" fillId="0" borderId="0" xfId="2" applyFont="1"/>
    <xf numFmtId="0" fontId="15" fillId="0" borderId="0" xfId="0" applyFont="1"/>
    <xf numFmtId="0" fontId="0" fillId="3" borderId="1" xfId="0" applyFill="1" applyBorder="1"/>
    <xf numFmtId="0" fontId="1" fillId="3" borderId="7" xfId="1" applyFill="1" applyBorder="1"/>
    <xf numFmtId="0" fontId="16" fillId="0" borderId="0" xfId="1" applyFont="1"/>
    <xf numFmtId="0" fontId="1" fillId="0" borderId="0" xfId="1" applyAlignment="1">
      <alignment horizontal="right"/>
    </xf>
    <xf numFmtId="0" fontId="13" fillId="0" borderId="0" xfId="0" applyFont="1"/>
    <xf numFmtId="10" fontId="13" fillId="0" borderId="0" xfId="0" applyNumberFormat="1" applyFont="1"/>
    <xf numFmtId="0" fontId="17" fillId="0" borderId="0" xfId="0" applyFont="1"/>
    <xf numFmtId="0" fontId="18" fillId="0" borderId="0" xfId="0" applyFont="1"/>
    <xf numFmtId="0" fontId="19" fillId="0" borderId="0" xfId="0" applyFont="1"/>
    <xf numFmtId="1" fontId="13" fillId="0" borderId="0" xfId="0" applyNumberFormat="1" applyFont="1"/>
    <xf numFmtId="10" fontId="20" fillId="0" borderId="0" xfId="0" applyNumberFormat="1"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164" fontId="24" fillId="0" borderId="0" xfId="0" applyNumberFormat="1" applyFont="1"/>
    <xf numFmtId="164" fontId="25" fillId="0" borderId="0" xfId="0" applyNumberFormat="1" applyFont="1"/>
    <xf numFmtId="164" fontId="26" fillId="0" borderId="0" xfId="0" applyNumberFormat="1" applyFont="1"/>
    <xf numFmtId="0" fontId="27" fillId="0" borderId="0" xfId="0" applyFont="1"/>
    <xf numFmtId="0" fontId="28" fillId="4" borderId="0" xfId="0" applyFont="1" applyFill="1"/>
    <xf numFmtId="0" fontId="29" fillId="0" borderId="0" xfId="0" applyFont="1"/>
    <xf numFmtId="0" fontId="31" fillId="0" borderId="0" xfId="0" applyFont="1"/>
    <xf numFmtId="9" fontId="13" fillId="0" borderId="0" xfId="0" applyNumberFormat="1" applyFont="1"/>
    <xf numFmtId="0" fontId="32" fillId="0" borderId="0" xfId="0" applyFont="1"/>
    <xf numFmtId="3" fontId="24" fillId="0" borderId="0" xfId="0" applyNumberFormat="1" applyFont="1"/>
    <xf numFmtId="0" fontId="33" fillId="0" borderId="0" xfId="0" applyFont="1"/>
    <xf numFmtId="9" fontId="33" fillId="0" borderId="0" xfId="0" applyNumberFormat="1" applyFont="1"/>
    <xf numFmtId="0" fontId="35" fillId="0" borderId="1" xfId="0" applyFont="1" applyBorder="1" applyAlignment="1">
      <alignment horizontal="center" vertical="top"/>
    </xf>
    <xf numFmtId="0" fontId="35" fillId="0" borderId="12" xfId="0" applyFont="1" applyBorder="1" applyAlignment="1">
      <alignment horizontal="center" vertical="top"/>
    </xf>
    <xf numFmtId="0" fontId="0" fillId="6" borderId="0" xfId="0" applyFill="1"/>
    <xf numFmtId="0" fontId="0" fillId="7" borderId="0" xfId="0" applyFill="1"/>
    <xf numFmtId="0" fontId="3" fillId="0" borderId="0" xfId="0" applyFont="1" applyAlignment="1">
      <alignment horizontal="center"/>
    </xf>
    <xf numFmtId="0" fontId="9" fillId="0" borderId="2" xfId="0" applyFont="1" applyBorder="1"/>
    <xf numFmtId="1" fontId="15" fillId="0" borderId="2" xfId="0" applyNumberFormat="1" applyFont="1" applyBorder="1"/>
    <xf numFmtId="1" fontId="15" fillId="0" borderId="0" xfId="0" applyNumberFormat="1" applyFont="1"/>
    <xf numFmtId="1" fontId="9" fillId="0" borderId="0" xfId="0" applyNumberFormat="1" applyFont="1"/>
    <xf numFmtId="0" fontId="34" fillId="5" borderId="0" xfId="0" applyFont="1" applyFill="1" applyAlignment="1">
      <alignment horizontal="center"/>
    </xf>
    <xf numFmtId="164" fontId="0" fillId="0" borderId="0" xfId="0" applyNumberFormat="1"/>
    <xf numFmtId="2" fontId="0" fillId="0" borderId="0" xfId="0" applyNumberFormat="1"/>
    <xf numFmtId="44" fontId="0" fillId="0" borderId="0" xfId="0" applyNumberFormat="1"/>
    <xf numFmtId="44" fontId="13" fillId="0" borderId="0" xfId="0" applyNumberFormat="1" applyFont="1"/>
    <xf numFmtId="164" fontId="20" fillId="0" borderId="0" xfId="0" applyNumberFormat="1" applyFont="1"/>
    <xf numFmtId="0" fontId="37" fillId="0" borderId="0" xfId="0" applyFont="1"/>
    <xf numFmtId="0" fontId="0" fillId="9" borderId="9" xfId="0" applyFill="1" applyBorder="1" applyAlignment="1">
      <alignment wrapText="1"/>
    </xf>
    <xf numFmtId="0" fontId="0" fillId="9" borderId="9" xfId="0" applyFill="1" applyBorder="1"/>
    <xf numFmtId="0" fontId="0" fillId="9" borderId="10" xfId="0" applyFill="1" applyBorder="1"/>
    <xf numFmtId="0" fontId="0" fillId="9" borderId="0" xfId="0" applyFill="1"/>
    <xf numFmtId="0" fontId="0" fillId="9" borderId="2" xfId="0" applyFill="1" applyBorder="1"/>
    <xf numFmtId="0" fontId="3" fillId="9" borderId="0" xfId="0" applyFont="1" applyFill="1" applyAlignment="1">
      <alignment vertical="center" wrapText="1"/>
    </xf>
    <xf numFmtId="0" fontId="0" fillId="9" borderId="5" xfId="0" applyFill="1" applyBorder="1"/>
    <xf numFmtId="0" fontId="3" fillId="10" borderId="1" xfId="0" applyFont="1" applyFill="1" applyBorder="1" applyAlignment="1">
      <alignment horizontal="center"/>
    </xf>
    <xf numFmtId="0" fontId="0" fillId="9" borderId="7" xfId="0" applyFill="1" applyBorder="1"/>
    <xf numFmtId="0" fontId="3" fillId="9" borderId="0" xfId="0" applyFont="1" applyFill="1" applyAlignment="1">
      <alignment horizontal="left"/>
    </xf>
    <xf numFmtId="0" fontId="3" fillId="11" borderId="1" xfId="0" applyFont="1" applyFill="1" applyBorder="1" applyAlignment="1">
      <alignment horizontal="center"/>
    </xf>
    <xf numFmtId="0" fontId="3" fillId="10" borderId="1" xfId="0" applyFont="1" applyFill="1" applyBorder="1" applyAlignment="1">
      <alignment horizontal="center" vertical="center"/>
    </xf>
    <xf numFmtId="0" fontId="0" fillId="9" borderId="1" xfId="0" applyFill="1" applyBorder="1"/>
    <xf numFmtId="0" fontId="0" fillId="9" borderId="0" xfId="0" applyFill="1" applyAlignment="1">
      <alignment horizontal="left"/>
    </xf>
    <xf numFmtId="0" fontId="3" fillId="12" borderId="1" xfId="0" applyFont="1" applyFill="1" applyBorder="1" applyAlignment="1">
      <alignment horizontal="center"/>
    </xf>
    <xf numFmtId="0" fontId="0" fillId="9" borderId="12" xfId="0" applyFill="1" applyBorder="1"/>
    <xf numFmtId="0" fontId="3" fillId="13" borderId="1" xfId="0" applyFont="1" applyFill="1" applyBorder="1" applyAlignment="1">
      <alignment horizontal="center"/>
    </xf>
    <xf numFmtId="0" fontId="3" fillId="14" borderId="1" xfId="0" applyFont="1" applyFill="1" applyBorder="1" applyAlignment="1">
      <alignment horizontal="center"/>
    </xf>
    <xf numFmtId="165" fontId="0" fillId="9" borderId="7" xfId="0" applyNumberFormat="1" applyFill="1" applyBorder="1" applyAlignment="1">
      <alignment horizontal="left"/>
    </xf>
    <xf numFmtId="15" fontId="0" fillId="9" borderId="1" xfId="0" applyNumberFormat="1" applyFill="1" applyBorder="1" applyAlignment="1">
      <alignment horizontal="left"/>
    </xf>
    <xf numFmtId="0" fontId="3" fillId="9" borderId="0" xfId="0" applyFont="1" applyFill="1" applyAlignment="1">
      <alignment horizontal="right"/>
    </xf>
    <xf numFmtId="0" fontId="3" fillId="9" borderId="0" xfId="0" applyFont="1" applyFill="1"/>
    <xf numFmtId="0" fontId="30" fillId="9" borderId="5" xfId="0" applyFont="1" applyFill="1" applyBorder="1"/>
    <xf numFmtId="0" fontId="3" fillId="13" borderId="1" xfId="0" quotePrefix="1" applyFont="1" applyFill="1" applyBorder="1" applyAlignment="1">
      <alignment horizontal="center"/>
    </xf>
    <xf numFmtId="17" fontId="0" fillId="0" borderId="0" xfId="0" quotePrefix="1" applyNumberFormat="1"/>
    <xf numFmtId="0" fontId="0" fillId="9" borderId="0" xfId="0" applyFill="1" applyAlignment="1">
      <alignment vertical="center"/>
    </xf>
    <xf numFmtId="0" fontId="36" fillId="15" borderId="2" xfId="0" applyFont="1" applyFill="1" applyBorder="1"/>
    <xf numFmtId="0" fontId="0" fillId="15" borderId="4" xfId="0" applyFill="1" applyBorder="1"/>
    <xf numFmtId="0" fontId="38" fillId="0" borderId="1" xfId="3" applyBorder="1"/>
    <xf numFmtId="0" fontId="42" fillId="16" borderId="12" xfId="0" applyFont="1" applyFill="1" applyBorder="1" applyAlignment="1">
      <alignment vertical="center" wrapText="1"/>
    </xf>
    <xf numFmtId="0" fontId="42" fillId="16" borderId="7" xfId="0" applyFont="1" applyFill="1" applyBorder="1" applyAlignment="1">
      <alignment vertical="center" wrapText="1"/>
    </xf>
    <xf numFmtId="0" fontId="44" fillId="18" borderId="0" xfId="0" applyFont="1" applyFill="1" applyAlignment="1">
      <alignment vertical="center" wrapText="1"/>
    </xf>
    <xf numFmtId="0" fontId="15" fillId="16" borderId="7" xfId="0" applyFont="1" applyFill="1" applyBorder="1" applyAlignment="1">
      <alignment vertical="center" wrapText="1"/>
    </xf>
    <xf numFmtId="0" fontId="45" fillId="18" borderId="0" xfId="0" applyFont="1" applyFill="1" applyAlignment="1">
      <alignment vertical="center" wrapText="1"/>
    </xf>
    <xf numFmtId="0" fontId="15" fillId="16" borderId="6" xfId="0" applyFont="1" applyFill="1" applyBorder="1" applyAlignment="1">
      <alignment vertical="center" wrapText="1"/>
    </xf>
    <xf numFmtId="0" fontId="0" fillId="9" borderId="11" xfId="0" applyFill="1" applyBorder="1"/>
    <xf numFmtId="0" fontId="0" fillId="9" borderId="14" xfId="0" applyFill="1" applyBorder="1"/>
    <xf numFmtId="0" fontId="0" fillId="9" borderId="3" xfId="0" applyFill="1" applyBorder="1"/>
    <xf numFmtId="0" fontId="0" fillId="9" borderId="4" xfId="0" applyFill="1" applyBorder="1"/>
    <xf numFmtId="1" fontId="0" fillId="9" borderId="0" xfId="0" applyNumberFormat="1" applyFill="1"/>
    <xf numFmtId="0" fontId="0" fillId="9" borderId="0" xfId="0" applyFill="1" applyAlignment="1">
      <alignment horizontal="left" vertical="top" wrapText="1"/>
    </xf>
    <xf numFmtId="0" fontId="3" fillId="9" borderId="5" xfId="0" applyFont="1" applyFill="1" applyBorder="1"/>
    <xf numFmtId="0" fontId="20" fillId="9" borderId="0" xfId="0" applyFont="1" applyFill="1"/>
    <xf numFmtId="0" fontId="48" fillId="0" borderId="0" xfId="0" applyFont="1"/>
    <xf numFmtId="9" fontId="48" fillId="19" borderId="1" xfId="0" applyNumberFormat="1" applyFont="1" applyFill="1" applyBorder="1"/>
    <xf numFmtId="1" fontId="48" fillId="19" borderId="1" xfId="0" applyNumberFormat="1" applyFont="1" applyFill="1" applyBorder="1"/>
    <xf numFmtId="0" fontId="48" fillId="9" borderId="0" xfId="0" applyFont="1" applyFill="1"/>
    <xf numFmtId="0" fontId="13" fillId="9" borderId="8" xfId="0" applyFont="1" applyFill="1" applyBorder="1"/>
    <xf numFmtId="0" fontId="3" fillId="9" borderId="9" xfId="0" applyFont="1" applyFill="1" applyBorder="1"/>
    <xf numFmtId="0" fontId="3" fillId="9" borderId="10" xfId="0" applyFont="1" applyFill="1" applyBorder="1"/>
    <xf numFmtId="1" fontId="0" fillId="9" borderId="5" xfId="0" applyNumberFormat="1" applyFill="1" applyBorder="1"/>
    <xf numFmtId="0" fontId="13" fillId="9" borderId="2" xfId="0" applyFont="1" applyFill="1" applyBorder="1"/>
    <xf numFmtId="0" fontId="13" fillId="9" borderId="11" xfId="0" applyFont="1" applyFill="1" applyBorder="1"/>
    <xf numFmtId="0" fontId="3" fillId="9" borderId="3" xfId="0" applyFont="1" applyFill="1" applyBorder="1"/>
    <xf numFmtId="0" fontId="8" fillId="9" borderId="0" xfId="0" applyFont="1" applyFill="1"/>
    <xf numFmtId="0" fontId="13" fillId="9" borderId="0" xfId="0" applyFont="1" applyFill="1"/>
    <xf numFmtId="44" fontId="30" fillId="9" borderId="0" xfId="2" applyFont="1" applyFill="1" applyBorder="1"/>
    <xf numFmtId="0" fontId="13" fillId="9" borderId="9" xfId="0" applyFont="1" applyFill="1" applyBorder="1"/>
    <xf numFmtId="1" fontId="3" fillId="9" borderId="2" xfId="0" applyNumberFormat="1" applyFont="1" applyFill="1" applyBorder="1"/>
    <xf numFmtId="10" fontId="0" fillId="9" borderId="0" xfId="0" applyNumberFormat="1" applyFill="1"/>
    <xf numFmtId="10" fontId="0" fillId="9" borderId="5" xfId="0" applyNumberFormat="1" applyFill="1" applyBorder="1"/>
    <xf numFmtId="0" fontId="4" fillId="9" borderId="2" xfId="0" applyFont="1" applyFill="1" applyBorder="1"/>
    <xf numFmtId="9" fontId="0" fillId="9" borderId="5" xfId="0" applyNumberFormat="1" applyFill="1" applyBorder="1"/>
    <xf numFmtId="0" fontId="13" fillId="9" borderId="5" xfId="0" applyFont="1" applyFill="1" applyBorder="1"/>
    <xf numFmtId="0" fontId="0" fillId="0" borderId="0" xfId="0" applyAlignment="1">
      <alignment vertical="top" wrapText="1"/>
    </xf>
    <xf numFmtId="0" fontId="0" fillId="0" borderId="0" xfId="0" applyAlignment="1">
      <alignment horizontal="left"/>
    </xf>
    <xf numFmtId="0" fontId="0" fillId="9" borderId="6" xfId="0" applyFill="1" applyBorder="1" applyAlignment="1">
      <alignment horizontal="left" vertical="top" wrapText="1"/>
    </xf>
    <xf numFmtId="0" fontId="39" fillId="8" borderId="8" xfId="0" applyFont="1" applyFill="1" applyBorder="1" applyAlignment="1">
      <alignment horizontal="left" wrapText="1"/>
    </xf>
    <xf numFmtId="0" fontId="39" fillId="8" borderId="9" xfId="0" applyFont="1" applyFill="1" applyBorder="1" applyAlignment="1">
      <alignment horizontal="left" wrapText="1"/>
    </xf>
    <xf numFmtId="0" fontId="16" fillId="9" borderId="0" xfId="0" applyFont="1" applyFill="1" applyAlignment="1">
      <alignment horizontal="left" vertical="center" wrapText="1"/>
    </xf>
    <xf numFmtId="0" fontId="3" fillId="0" borderId="0" xfId="0" applyFont="1" applyAlignment="1">
      <alignment horizontal="center"/>
    </xf>
    <xf numFmtId="0" fontId="3" fillId="0" borderId="0" xfId="0" applyFont="1" applyAlignment="1">
      <alignment horizontal="left"/>
    </xf>
    <xf numFmtId="0" fontId="3" fillId="10" borderId="7" xfId="0" applyFont="1" applyFill="1" applyBorder="1" applyAlignment="1">
      <alignment horizontal="center" vertical="center"/>
    </xf>
    <xf numFmtId="0" fontId="3" fillId="10" borderId="12" xfId="0" applyFont="1" applyFill="1" applyBorder="1" applyAlignment="1">
      <alignment horizontal="center" vertical="center"/>
    </xf>
    <xf numFmtId="0" fontId="3" fillId="10" borderId="6" xfId="0" applyFont="1" applyFill="1" applyBorder="1" applyAlignment="1">
      <alignment horizontal="center" vertical="center"/>
    </xf>
    <xf numFmtId="0" fontId="9" fillId="10" borderId="7"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10" borderId="6" xfId="0" applyFont="1" applyFill="1" applyBorder="1" applyAlignment="1">
      <alignment horizontal="center" vertical="center" wrapText="1"/>
    </xf>
    <xf numFmtId="0" fontId="0" fillId="9" borderId="2" xfId="0" applyFill="1" applyBorder="1" applyAlignment="1">
      <alignment horizontal="left" vertical="top" wrapText="1"/>
    </xf>
    <xf numFmtId="0" fontId="0" fillId="9" borderId="0" xfId="0" applyFill="1" applyAlignment="1">
      <alignment horizontal="left" vertical="top" wrapText="1"/>
    </xf>
    <xf numFmtId="0" fontId="0" fillId="9" borderId="5" xfId="0" applyFill="1" applyBorder="1" applyAlignment="1">
      <alignment horizontal="left" vertical="top" wrapText="1"/>
    </xf>
    <xf numFmtId="0" fontId="3" fillId="10" borderId="13" xfId="0" applyFont="1" applyFill="1" applyBorder="1" applyAlignment="1">
      <alignment horizontal="center" vertical="center"/>
    </xf>
    <xf numFmtId="0" fontId="43" fillId="17" borderId="7" xfId="0" applyFont="1" applyFill="1" applyBorder="1" applyAlignment="1">
      <alignment horizontal="center" vertical="center" wrapText="1"/>
    </xf>
    <xf numFmtId="0" fontId="0" fillId="0" borderId="0" xfId="0" applyAlignment="1">
      <alignment horizontal="center"/>
    </xf>
  </cellXfs>
  <cellStyles count="4">
    <cellStyle name="Currency" xfId="2" builtinId="4"/>
    <cellStyle name="Hyperlink" xfId="3" builtinId="8"/>
    <cellStyle name="Normal" xfId="0" builtinId="0"/>
    <cellStyle name="Normal 2" xfId="1" xr:uid="{BCE5B21F-731C-E440-BAE6-F9614A607BFB}"/>
  </cellStyles>
  <dxfs count="5">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E915"/>
      <color rgb="FF4472C4"/>
      <color rgb="FFFF4D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1"/>
          <c:order val="0"/>
          <c:tx>
            <c:strRef>
              <c:f>MAIN!$H$1</c:f>
              <c:strCache>
                <c:ptCount val="1"/>
                <c:pt idx="0">
                  <c:v>HFO</c:v>
                </c:pt>
              </c:strCache>
            </c:strRef>
          </c:tx>
          <c:spPr>
            <a:solidFill>
              <a:schemeClr val="bg2">
                <a:lumMod val="25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MAIN!$H$2:$H$27</c:f>
              <c:numCache>
                <c:formatCode>0</c:formatCode>
                <c:ptCount val="26"/>
                <c:pt idx="0">
                  <c:v>380.37772809810554</c:v>
                </c:pt>
                <c:pt idx="1">
                  <c:v>365.85749054447467</c:v>
                </c:pt>
                <c:pt idx="2">
                  <c:v>346.44751655876632</c:v>
                </c:pt>
                <c:pt idx="3">
                  <c:v>321.98847367192218</c:v>
                </c:pt>
                <c:pt idx="4">
                  <c:v>292.73833522076404</c:v>
                </c:pt>
                <c:pt idx="5">
                  <c:v>259.43241855548604</c:v>
                </c:pt>
                <c:pt idx="6">
                  <c:v>223.26637734765347</c:v>
                </c:pt>
                <c:pt idx="7">
                  <c:v>185.81813287594571</c:v>
                </c:pt>
                <c:pt idx="8">
                  <c:v>148.93509746205143</c:v>
                </c:pt>
                <c:pt idx="9">
                  <c:v>114.56724412704513</c:v>
                </c:pt>
                <c:pt idx="10">
                  <c:v>84.480621968659392</c:v>
                </c:pt>
                <c:pt idx="11">
                  <c:v>59.86625934521269</c:v>
                </c:pt>
                <c:pt idx="12">
                  <c:v>41.046412175065434</c:v>
                </c:pt>
                <c:pt idx="13">
                  <c:v>27.50601035205429</c:v>
                </c:pt>
                <c:pt idx="14">
                  <c:v>18.227831746763943</c:v>
                </c:pt>
                <c:pt idx="15">
                  <c:v>12.088311083429391</c:v>
                </c:pt>
                <c:pt idx="16">
                  <c:v>8.1150974244395737</c:v>
                </c:pt>
                <c:pt idx="17">
                  <c:v>5.5757934830490319</c:v>
                </c:pt>
                <c:pt idx="18">
                  <c:v>3.962768876468822</c:v>
                </c:pt>
                <c:pt idx="19">
                  <c:v>2.9408775223334707</c:v>
                </c:pt>
                <c:pt idx="20">
                  <c:v>2.2946296667311956</c:v>
                </c:pt>
                <c:pt idx="21">
                  <c:v>1.8871931419605696</c:v>
                </c:pt>
                <c:pt idx="22">
                  <c:v>1.6320349055399674</c:v>
                </c:pt>
                <c:pt idx="23">
                  <c:v>1.4743930008324762</c:v>
                </c:pt>
                <c:pt idx="24">
                  <c:v>1.379503306025877</c:v>
                </c:pt>
                <c:pt idx="25">
                  <c:v>1.3252057885260025</c:v>
                </c:pt>
              </c:numCache>
            </c:numRef>
          </c:val>
          <c:extLst>
            <c:ext xmlns:c16="http://schemas.microsoft.com/office/drawing/2014/chart" uri="{C3380CC4-5D6E-409C-BE32-E72D297353CC}">
              <c16:uniqueId val="{00000001-7292-C24A-9A87-193F82819BC8}"/>
            </c:ext>
          </c:extLst>
        </c:ser>
        <c:ser>
          <c:idx val="2"/>
          <c:order val="1"/>
          <c:tx>
            <c:strRef>
              <c:f>MAIN!$I$1</c:f>
              <c:strCache>
                <c:ptCount val="1"/>
                <c:pt idx="0">
                  <c:v>LFO</c:v>
                </c:pt>
              </c:strCache>
            </c:strRef>
          </c:tx>
          <c:spPr>
            <a:solidFill>
              <a:schemeClr val="bg2">
                <a:lumMod val="75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MAIN!$I$2:$I$27</c:f>
              <c:numCache>
                <c:formatCode>0</c:formatCode>
                <c:ptCount val="26"/>
                <c:pt idx="0">
                  <c:v>213.57532020238992</c:v>
                </c:pt>
                <c:pt idx="1">
                  <c:v>235.0412203119804</c:v>
                </c:pt>
                <c:pt idx="2">
                  <c:v>259.39734515520126</c:v>
                </c:pt>
                <c:pt idx="3">
                  <c:v>285.636990960106</c:v>
                </c:pt>
                <c:pt idx="4">
                  <c:v>311.82227921214093</c:v>
                </c:pt>
                <c:pt idx="5">
                  <c:v>334.94359427221008</c:v>
                </c:pt>
                <c:pt idx="6">
                  <c:v>351.03034364032533</c:v>
                </c:pt>
                <c:pt idx="7">
                  <c:v>355.70539032020292</c:v>
                </c:pt>
                <c:pt idx="8">
                  <c:v>345.33783408604563</c:v>
                </c:pt>
                <c:pt idx="9">
                  <c:v>318.6505537517881</c:v>
                </c:pt>
                <c:pt idx="10">
                  <c:v>278.00952788204171</c:v>
                </c:pt>
                <c:pt idx="11">
                  <c:v>229.22427952200403</c:v>
                </c:pt>
                <c:pt idx="12">
                  <c:v>179.49149889229417</c:v>
                </c:pt>
                <c:pt idx="13">
                  <c:v>134.74773765165349</c:v>
                </c:pt>
                <c:pt idx="14">
                  <c:v>98.175899227806696</c:v>
                </c:pt>
                <c:pt idx="15">
                  <c:v>70.351089934228625</c:v>
                </c:pt>
                <c:pt idx="16">
                  <c:v>50.252480496668369</c:v>
                </c:pt>
                <c:pt idx="17">
                  <c:v>36.260442431175612</c:v>
                </c:pt>
                <c:pt idx="18">
                  <c:v>26.771710663245429</c:v>
                </c:pt>
                <c:pt idx="19">
                  <c:v>20.459924977546628</c:v>
                </c:pt>
                <c:pt idx="20">
                  <c:v>16.326129933118644</c:v>
                </c:pt>
                <c:pt idx="21">
                  <c:v>13.658091643796444</c:v>
                </c:pt>
                <c:pt idx="22">
                  <c:v>11.964809731491201</c:v>
                </c:pt>
                <c:pt idx="23">
                  <c:v>10.914910967762403</c:v>
                </c:pt>
                <c:pt idx="24">
                  <c:v>10.287784045660221</c:v>
                </c:pt>
                <c:pt idx="25">
                  <c:v>9.937857784791932</c:v>
                </c:pt>
              </c:numCache>
            </c:numRef>
          </c:val>
          <c:extLst>
            <c:ext xmlns:c16="http://schemas.microsoft.com/office/drawing/2014/chart" uri="{C3380CC4-5D6E-409C-BE32-E72D297353CC}">
              <c16:uniqueId val="{00000002-7292-C24A-9A87-193F82819BC8}"/>
            </c:ext>
          </c:extLst>
        </c:ser>
        <c:ser>
          <c:idx val="3"/>
          <c:order val="2"/>
          <c:tx>
            <c:strRef>
              <c:f>MAIN!$J$1</c:f>
              <c:strCache>
                <c:ptCount val="1"/>
                <c:pt idx="0">
                  <c:v>MDO</c:v>
                </c:pt>
              </c:strCache>
            </c:strRef>
          </c:tx>
          <c:spPr>
            <a:solidFill>
              <a:schemeClr val="accent4"/>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MAIN!$J$2:$J$27</c:f>
              <c:numCache>
                <c:formatCode>General</c:formatCode>
                <c:ptCount val="26"/>
              </c:numCache>
            </c:numRef>
          </c:val>
          <c:extLst>
            <c:ext xmlns:c16="http://schemas.microsoft.com/office/drawing/2014/chart" uri="{C3380CC4-5D6E-409C-BE32-E72D297353CC}">
              <c16:uniqueId val="{00000003-7292-C24A-9A87-193F82819BC8}"/>
            </c:ext>
          </c:extLst>
        </c:ser>
        <c:ser>
          <c:idx val="4"/>
          <c:order val="3"/>
          <c:tx>
            <c:strRef>
              <c:f>MAIN!$K$1</c:f>
              <c:strCache>
                <c:ptCount val="1"/>
                <c:pt idx="0">
                  <c:v>MGO</c:v>
                </c:pt>
              </c:strCache>
            </c:strRef>
          </c:tx>
          <c:spPr>
            <a:solidFill>
              <a:srgbClr val="C00000"/>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MAIN!$K$2:$K$27</c:f>
              <c:numCache>
                <c:formatCode>0</c:formatCode>
                <c:ptCount val="26"/>
                <c:pt idx="0">
                  <c:v>21.924534260915191</c:v>
                </c:pt>
                <c:pt idx="1">
                  <c:v>22.230213908011425</c:v>
                </c:pt>
                <c:pt idx="2">
                  <c:v>22.463128676084615</c:v>
                </c:pt>
                <c:pt idx="3">
                  <c:v>22.579446425426919</c:v>
                </c:pt>
                <c:pt idx="4">
                  <c:v>22.515804265945683</c:v>
                </c:pt>
                <c:pt idx="5">
                  <c:v>22.18608528784803</c:v>
                </c:pt>
                <c:pt idx="6">
                  <c:v>21.484672912530446</c:v>
                </c:pt>
                <c:pt idx="7">
                  <c:v>20.304096677333142</c:v>
                </c:pt>
                <c:pt idx="8">
                  <c:v>18.574098905861185</c:v>
                </c:pt>
                <c:pt idx="9">
                  <c:v>16.316317761912451</c:v>
                </c:pt>
                <c:pt idx="10">
                  <c:v>13.683181322245687</c:v>
                </c:pt>
                <c:pt idx="11">
                  <c:v>10.937033513664698</c:v>
                </c:pt>
                <c:pt idx="12">
                  <c:v>8.3622512324005136</c:v>
                </c:pt>
                <c:pt idx="13">
                  <c:v>6.1660663950001915</c:v>
                </c:pt>
                <c:pt idx="14">
                  <c:v>4.4335621054933894</c:v>
                </c:pt>
                <c:pt idx="15">
                  <c:v>3.1469642739519532</c:v>
                </c:pt>
                <c:pt idx="16">
                  <c:v>2.2330483220228405</c:v>
                </c:pt>
                <c:pt idx="17">
                  <c:v>1.6041560687809953</c:v>
                </c:pt>
                <c:pt idx="18">
                  <c:v>1.1810962104919487</c:v>
                </c:pt>
                <c:pt idx="19">
                  <c:v>0.90126629020378268</c:v>
                </c:pt>
                <c:pt idx="20">
                  <c:v>0.71875360745740702</c:v>
                </c:pt>
                <c:pt idx="21">
                  <c:v>0.60136568473797847</c:v>
                </c:pt>
                <c:pt idx="22">
                  <c:v>0.52714756886692227</c:v>
                </c:pt>
                <c:pt idx="23">
                  <c:v>0.48138399339230742</c:v>
                </c:pt>
                <c:pt idx="24">
                  <c:v>0.45431974009618498</c:v>
                </c:pt>
                <c:pt idx="25">
                  <c:v>0.43953281376867936</c:v>
                </c:pt>
              </c:numCache>
            </c:numRef>
          </c:val>
          <c:extLst>
            <c:ext xmlns:c16="http://schemas.microsoft.com/office/drawing/2014/chart" uri="{C3380CC4-5D6E-409C-BE32-E72D297353CC}">
              <c16:uniqueId val="{00000004-7292-C24A-9A87-193F82819BC8}"/>
            </c:ext>
          </c:extLst>
        </c:ser>
        <c:ser>
          <c:idx val="5"/>
          <c:order val="4"/>
          <c:tx>
            <c:strRef>
              <c:f>MAIN!$L$1</c:f>
              <c:strCache>
                <c:ptCount val="1"/>
                <c:pt idx="0">
                  <c:v>LNG</c:v>
                </c:pt>
              </c:strCache>
            </c:strRef>
          </c:tx>
          <c:spPr>
            <a:solidFill>
              <a:schemeClr val="accent6"/>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MAIN!$L$2:$L$27</c:f>
              <c:numCache>
                <c:formatCode>0</c:formatCode>
                <c:ptCount val="26"/>
                <c:pt idx="0">
                  <c:v>202.51921531880922</c:v>
                </c:pt>
                <c:pt idx="1">
                  <c:v>205.29775095510291</c:v>
                </c:pt>
                <c:pt idx="2">
                  <c:v>207.40305973087385</c:v>
                </c:pt>
                <c:pt idx="3">
                  <c:v>208.43098689191649</c:v>
                </c:pt>
                <c:pt idx="4">
                  <c:v>207.79749083318754</c:v>
                </c:pt>
                <c:pt idx="5">
                  <c:v>204.70910314422522</c:v>
                </c:pt>
                <c:pt idx="6">
                  <c:v>198.19318345772399</c:v>
                </c:pt>
                <c:pt idx="7">
                  <c:v>187.2608631459106</c:v>
                </c:pt>
                <c:pt idx="8">
                  <c:v>171.26728711004296</c:v>
                </c:pt>
                <c:pt idx="9">
                  <c:v>150.4153352045513</c:v>
                </c:pt>
                <c:pt idx="10">
                  <c:v>126.11314735818333</c:v>
                </c:pt>
                <c:pt idx="11">
                  <c:v>100.7804319351381</c:v>
                </c:pt>
                <c:pt idx="12">
                  <c:v>77.037714021306812</c:v>
                </c:pt>
                <c:pt idx="13">
                  <c:v>56.792636969438973</c:v>
                </c:pt>
                <c:pt idx="14">
                  <c:v>40.826344554223894</c:v>
                </c:pt>
                <c:pt idx="15">
                  <c:v>28.972343150468035</c:v>
                </c:pt>
                <c:pt idx="16">
                  <c:v>20.553904046195981</c:v>
                </c:pt>
                <c:pt idx="17">
                  <c:v>14.762079805938814</c:v>
                </c:pt>
                <c:pt idx="18">
                  <c:v>10.866540565134919</c:v>
                </c:pt>
                <c:pt idx="19">
                  <c:v>8.2901935551802453</c:v>
                </c:pt>
                <c:pt idx="20">
                  <c:v>6.6099404693306312</c:v>
                </c:pt>
                <c:pt idx="21">
                  <c:v>5.529204028330299</c:v>
                </c:pt>
                <c:pt idx="22">
                  <c:v>4.8457742396690247</c:v>
                </c:pt>
                <c:pt idx="23">
                  <c:v>4.4241534472298527</c:v>
                </c:pt>
                <c:pt idx="24">
                  <c:v>4.1745370456609203</c:v>
                </c:pt>
                <c:pt idx="25">
                  <c:v>4.0378188961497559</c:v>
                </c:pt>
              </c:numCache>
            </c:numRef>
          </c:val>
          <c:extLst>
            <c:ext xmlns:c16="http://schemas.microsoft.com/office/drawing/2014/chart" uri="{C3380CC4-5D6E-409C-BE32-E72D297353CC}">
              <c16:uniqueId val="{00000005-7292-C24A-9A87-193F82819BC8}"/>
            </c:ext>
          </c:extLst>
        </c:ser>
        <c:ser>
          <c:idx val="6"/>
          <c:order val="5"/>
          <c:tx>
            <c:strRef>
              <c:f>MAIN!$M$1</c:f>
              <c:strCache>
                <c:ptCount val="1"/>
                <c:pt idx="0">
                  <c:v>Hydrogen (Combustion)</c:v>
                </c:pt>
              </c:strCache>
            </c:strRef>
          </c:tx>
          <c:spPr>
            <a:solidFill>
              <a:schemeClr val="tx2">
                <a:lumMod val="50000"/>
                <a:lumOff val="5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MAIN!$M$2:$M$27</c:f>
              <c:numCache>
                <c:formatCode>0</c:formatCode>
                <c:ptCount val="26"/>
                <c:pt idx="0">
                  <c:v>0</c:v>
                </c:pt>
                <c:pt idx="1">
                  <c:v>0.91768432117752352</c:v>
                </c:pt>
                <c:pt idx="2">
                  <c:v>2.3774288188702211</c:v>
                </c:pt>
                <c:pt idx="3">
                  <c:v>4.669848508193672</c:v>
                </c:pt>
                <c:pt idx="4">
                  <c:v>8.2135825962501219</c:v>
                </c:pt>
                <c:pt idx="5">
                  <c:v>13.575636870311742</c:v>
                </c:pt>
                <c:pt idx="6">
                  <c:v>21.448571415114543</c:v>
                </c:pt>
                <c:pt idx="7">
                  <c:v>32.532648112743928</c:v>
                </c:pt>
                <c:pt idx="8">
                  <c:v>47.277585594994051</c:v>
                </c:pt>
                <c:pt idx="9">
                  <c:v>65.523846549083132</c:v>
                </c:pt>
                <c:pt idx="10">
                  <c:v>86.25148497743875</c:v>
                </c:pt>
                <c:pt idx="11">
                  <c:v>107.72451933579507</c:v>
                </c:pt>
                <c:pt idx="12">
                  <c:v>128.07380469937877</c:v>
                </c:pt>
                <c:pt idx="13">
                  <c:v>145.94818251307771</c:v>
                </c:pt>
                <c:pt idx="14">
                  <c:v>160.80471603325967</c:v>
                </c:pt>
                <c:pt idx="15">
                  <c:v>172.77603325125096</c:v>
                </c:pt>
                <c:pt idx="16">
                  <c:v>182.35560036664404</c:v>
                </c:pt>
                <c:pt idx="17">
                  <c:v>190.12768962596317</c:v>
                </c:pt>
                <c:pt idx="18">
                  <c:v>196.61776457141082</c:v>
                </c:pt>
                <c:pt idx="19">
                  <c:v>202.24024525975588</c:v>
                </c:pt>
                <c:pt idx="20">
                  <c:v>207.29875789661358</c:v>
                </c:pt>
                <c:pt idx="21">
                  <c:v>212.00624549695581</c:v>
                </c:pt>
                <c:pt idx="22">
                  <c:v>216.50819734384447</c:v>
                </c:pt>
                <c:pt idx="23">
                  <c:v>220.90252635562825</c:v>
                </c:pt>
                <c:pt idx="24">
                  <c:v>225.25463009573707</c:v>
                </c:pt>
                <c:pt idx="25">
                  <c:v>229.60811009749796</c:v>
                </c:pt>
              </c:numCache>
            </c:numRef>
          </c:val>
          <c:extLst>
            <c:ext xmlns:c16="http://schemas.microsoft.com/office/drawing/2014/chart" uri="{C3380CC4-5D6E-409C-BE32-E72D297353CC}">
              <c16:uniqueId val="{00000006-7292-C24A-9A87-193F82819BC8}"/>
            </c:ext>
          </c:extLst>
        </c:ser>
        <c:ser>
          <c:idx val="7"/>
          <c:order val="6"/>
          <c:tx>
            <c:strRef>
              <c:f>MAIN!$N$1</c:f>
              <c:strCache>
                <c:ptCount val="1"/>
                <c:pt idx="0">
                  <c:v>Hydrogen (Fuel Cells)</c:v>
                </c:pt>
              </c:strCache>
            </c:strRef>
          </c:tx>
          <c:spPr>
            <a:solidFill>
              <a:schemeClr val="accent1">
                <a:lumMod val="20000"/>
                <a:lumOff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MAIN!$N$2:$N$27</c:f>
              <c:numCache>
                <c:formatCode>0</c:formatCode>
                <c:ptCount val="26"/>
                <c:pt idx="0">
                  <c:v>0</c:v>
                </c:pt>
                <c:pt idx="1">
                  <c:v>5.4420463870551355E-2</c:v>
                </c:pt>
                <c:pt idx="2">
                  <c:v>0.14098359790909773</c:v>
                </c:pt>
                <c:pt idx="3">
                  <c:v>0.27692102300518479</c:v>
                </c:pt>
                <c:pt idx="4">
                  <c:v>0.48705464718904118</c:v>
                </c:pt>
                <c:pt idx="5">
                  <c:v>0.80500205880634124</c:v>
                </c:pt>
                <c:pt idx="6">
                  <c:v>1.2718227302091947</c:v>
                </c:pt>
                <c:pt idx="7">
                  <c:v>1.9290287735645237</c:v>
                </c:pt>
                <c:pt idx="8">
                  <c:v>2.8032719592367665</c:v>
                </c:pt>
                <c:pt idx="9">
                  <c:v>3.8850756923268479</c:v>
                </c:pt>
                <c:pt idx="10">
                  <c:v>5.1139475564253285</c:v>
                </c:pt>
                <c:pt idx="11">
                  <c:v>6.3869454207997904</c:v>
                </c:pt>
                <c:pt idx="12">
                  <c:v>7.5932411755613582</c:v>
                </c:pt>
                <c:pt idx="13">
                  <c:v>8.6527277469396235</c:v>
                </c:pt>
                <c:pt idx="14">
                  <c:v>9.5332229228395331</c:v>
                </c:pt>
                <c:pt idx="15">
                  <c:v>10.242599025036421</c:v>
                </c:pt>
                <c:pt idx="16">
                  <c:v>10.810119707883494</c:v>
                </c:pt>
                <c:pt idx="17">
                  <c:v>11.270429012759216</c:v>
                </c:pt>
                <c:pt idx="18">
                  <c:v>11.654681270048613</c:v>
                </c:pt>
                <c:pt idx="19">
                  <c:v>11.987445002493402</c:v>
                </c:pt>
                <c:pt idx="20">
                  <c:v>12.28671850354695</c:v>
                </c:pt>
                <c:pt idx="21">
                  <c:v>12.56512273199494</c:v>
                </c:pt>
                <c:pt idx="22">
                  <c:v>12.83127890774005</c:v>
                </c:pt>
                <c:pt idx="23">
                  <c:v>13.090987215525782</c:v>
                </c:pt>
                <c:pt idx="24">
                  <c:v>13.3481198571133</c:v>
                </c:pt>
                <c:pt idx="25">
                  <c:v>13.605256634314763</c:v>
                </c:pt>
              </c:numCache>
            </c:numRef>
          </c:val>
          <c:extLst>
            <c:ext xmlns:c16="http://schemas.microsoft.com/office/drawing/2014/chart" uri="{C3380CC4-5D6E-409C-BE32-E72D297353CC}">
              <c16:uniqueId val="{00000007-7292-C24A-9A87-193F82819BC8}"/>
            </c:ext>
          </c:extLst>
        </c:ser>
        <c:ser>
          <c:idx val="8"/>
          <c:order val="7"/>
          <c:tx>
            <c:strRef>
              <c:f>MAIN!$O$1</c:f>
              <c:strCache>
                <c:ptCount val="1"/>
                <c:pt idx="0">
                  <c:v>Ammonia</c:v>
                </c:pt>
              </c:strCache>
            </c:strRef>
          </c:tx>
          <c:spPr>
            <a:solidFill>
              <a:schemeClr val="accent3">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MAIN!$O$2:$O$27</c:f>
              <c:numCache>
                <c:formatCode>0</c:formatCode>
                <c:ptCount val="26"/>
                <c:pt idx="0">
                  <c:v>0</c:v>
                </c:pt>
                <c:pt idx="1">
                  <c:v>1.7588069229277226</c:v>
                </c:pt>
                <c:pt idx="2">
                  <c:v>4.5562758885965744</c:v>
                </c:pt>
                <c:pt idx="3">
                  <c:v>8.949171888665667</c:v>
                </c:pt>
                <c:pt idx="4">
                  <c:v>15.739472240282344</c:v>
                </c:pt>
                <c:pt idx="5">
                  <c:v>26.01328041512939</c:v>
                </c:pt>
                <c:pt idx="6">
                  <c:v>41.097038543503913</c:v>
                </c:pt>
                <c:pt idx="7">
                  <c:v>62.331657182863275</c:v>
                </c:pt>
                <c:pt idx="8">
                  <c:v>90.577740748756241</c:v>
                </c:pt>
                <c:pt idx="9">
                  <c:v>125.52849787374247</c:v>
                </c:pt>
                <c:pt idx="10">
                  <c:v>165.22892539127756</c:v>
                </c:pt>
                <c:pt idx="11">
                  <c:v>206.35281150613204</c:v>
                </c:pt>
                <c:pt idx="12">
                  <c:v>245.3195866262964</c:v>
                </c:pt>
                <c:pt idx="13">
                  <c:v>279.54159066890236</c:v>
                </c:pt>
                <c:pt idx="14">
                  <c:v>307.97968674030818</c:v>
                </c:pt>
                <c:pt idx="15">
                  <c:v>330.88878302420687</c:v>
                </c:pt>
                <c:pt idx="16">
                  <c:v>349.21476126613402</c:v>
                </c:pt>
                <c:pt idx="17">
                  <c:v>364.07718836857345</c:v>
                </c:pt>
                <c:pt idx="18">
                  <c:v>376.48277801166455</c:v>
                </c:pt>
                <c:pt idx="19">
                  <c:v>387.22540411765249</c:v>
                </c:pt>
                <c:pt idx="20">
                  <c:v>396.88663623503504</c:v>
                </c:pt>
                <c:pt idx="21">
                  <c:v>405.87429971187646</c:v>
                </c:pt>
                <c:pt idx="22">
                  <c:v>414.46699415812782</c:v>
                </c:pt>
                <c:pt idx="23">
                  <c:v>422.85218042572291</c:v>
                </c:pt>
                <c:pt idx="24">
                  <c:v>431.15503557575829</c:v>
                </c:pt>
                <c:pt idx="25">
                  <c:v>439.45898791019113</c:v>
                </c:pt>
              </c:numCache>
            </c:numRef>
          </c:val>
          <c:extLst>
            <c:ext xmlns:c16="http://schemas.microsoft.com/office/drawing/2014/chart" uri="{C3380CC4-5D6E-409C-BE32-E72D297353CC}">
              <c16:uniqueId val="{00000008-7292-C24A-9A87-193F82819BC8}"/>
            </c:ext>
          </c:extLst>
        </c:ser>
        <c:ser>
          <c:idx val="9"/>
          <c:order val="8"/>
          <c:tx>
            <c:strRef>
              <c:f>MAIN!$P$1</c:f>
              <c:strCache>
                <c:ptCount val="1"/>
                <c:pt idx="0">
                  <c:v>Methanol</c:v>
                </c:pt>
              </c:strCache>
            </c:strRef>
          </c:tx>
          <c:spPr>
            <a:solidFill>
              <a:schemeClr val="accent2">
                <a:lumMod val="60000"/>
                <a:lumOff val="4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MAIN!$P$2:$P$27</c:f>
              <c:numCache>
                <c:formatCode>0</c:formatCode>
                <c:ptCount val="26"/>
                <c:pt idx="0">
                  <c:v>0</c:v>
                </c:pt>
                <c:pt idx="1">
                  <c:v>1.5991443360263931</c:v>
                </c:pt>
                <c:pt idx="2">
                  <c:v>4.1430585049144355</c:v>
                </c:pt>
                <c:pt idx="3">
                  <c:v>8.1383354149974423</c:v>
                </c:pt>
                <c:pt idx="4">
                  <c:v>14.314781911370851</c:v>
                </c:pt>
                <c:pt idx="5">
                  <c:v>23.660924193021302</c:v>
                </c:pt>
                <c:pt idx="6">
                  <c:v>37.38430600960826</c:v>
                </c:pt>
                <c:pt idx="7">
                  <c:v>56.706116950996645</c:v>
                </c:pt>
                <c:pt idx="8">
                  <c:v>82.411043292212852</c:v>
                </c:pt>
                <c:pt idx="9">
                  <c:v>114.22186027184051</c:v>
                </c:pt>
                <c:pt idx="10">
                  <c:v>150.36136014876902</c:v>
                </c:pt>
                <c:pt idx="11">
                  <c:v>187.80370406185409</c:v>
                </c:pt>
                <c:pt idx="12">
                  <c:v>223.29033910708731</c:v>
                </c:pt>
                <c:pt idx="13">
                  <c:v>254.46523695789989</c:v>
                </c:pt>
                <c:pt idx="14">
                  <c:v>280.3811538768141</c:v>
                </c:pt>
                <c:pt idx="15">
                  <c:v>301.26864103661273</c:v>
                </c:pt>
                <c:pt idx="16">
                  <c:v>317.98750655949112</c:v>
                </c:pt>
                <c:pt idx="17">
                  <c:v>331.55606696566224</c:v>
                </c:pt>
                <c:pt idx="18">
                  <c:v>342.89026760367631</c:v>
                </c:pt>
                <c:pt idx="19">
                  <c:v>352.71256194410932</c:v>
                </c:pt>
                <c:pt idx="20">
                  <c:v>361.5523027417683</c:v>
                </c:pt>
                <c:pt idx="21">
                  <c:v>369.78077404760108</c:v>
                </c:pt>
                <c:pt idx="22">
                  <c:v>377.65167275427268</c:v>
                </c:pt>
                <c:pt idx="23">
                  <c:v>385.33575414293659</c:v>
                </c:pt>
                <c:pt idx="24">
                  <c:v>392.94708530365261</c:v>
                </c:pt>
                <c:pt idx="25">
                  <c:v>400.56173179670668</c:v>
                </c:pt>
              </c:numCache>
            </c:numRef>
          </c:val>
          <c:extLst>
            <c:ext xmlns:c16="http://schemas.microsoft.com/office/drawing/2014/chart" uri="{C3380CC4-5D6E-409C-BE32-E72D297353CC}">
              <c16:uniqueId val="{00000009-7292-C24A-9A87-193F82819BC8}"/>
            </c:ext>
          </c:extLst>
        </c:ser>
        <c:ser>
          <c:idx val="10"/>
          <c:order val="9"/>
          <c:tx>
            <c:strRef>
              <c:f>MAIN!$Q$1</c:f>
              <c:strCache>
                <c:ptCount val="1"/>
                <c:pt idx="0">
                  <c:v>bio-LNG</c:v>
                </c:pt>
              </c:strCache>
            </c:strRef>
          </c:tx>
          <c:spPr>
            <a:solidFill>
              <a:schemeClr val="accent5">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MAIN!$Q$2:$Q$27</c:f>
              <c:numCache>
                <c:formatCode>0</c:formatCode>
                <c:ptCount val="26"/>
                <c:pt idx="0">
                  <c:v>0</c:v>
                </c:pt>
                <c:pt idx="1">
                  <c:v>4.1408169306949495E-2</c:v>
                </c:pt>
                <c:pt idx="2">
                  <c:v>0.10716313623603888</c:v>
                </c:pt>
                <c:pt idx="3">
                  <c:v>0.21027337987670741</c:v>
                </c:pt>
                <c:pt idx="4">
                  <c:v>0.36945053800887562</c:v>
                </c:pt>
                <c:pt idx="5">
                  <c:v>0.60999284796791287</c:v>
                </c:pt>
                <c:pt idx="6">
                  <c:v>0.96272570610318464</c:v>
                </c:pt>
                <c:pt idx="7">
                  <c:v>1.4586873535328562</c:v>
                </c:pt>
                <c:pt idx="8">
                  <c:v>2.1175601912747473</c:v>
                </c:pt>
                <c:pt idx="9">
                  <c:v>2.9316811068245014</c:v>
                </c:pt>
                <c:pt idx="10">
                  <c:v>3.8549621789155974</c:v>
                </c:pt>
                <c:pt idx="11">
                  <c:v>4.8095424374848319</c:v>
                </c:pt>
                <c:pt idx="12">
                  <c:v>5.7119546843238185</c:v>
                </c:pt>
                <c:pt idx="13">
                  <c:v>6.5021667159003993</c:v>
                </c:pt>
                <c:pt idx="14">
                  <c:v>7.1563737126536848</c:v>
                </c:pt>
                <c:pt idx="15">
                  <c:v>7.6809074871225285</c:v>
                </c:pt>
                <c:pt idx="16">
                  <c:v>8.0980986136388218</c:v>
                </c:pt>
                <c:pt idx="17">
                  <c:v>8.4342115714666104</c:v>
                </c:pt>
                <c:pt idx="18">
                  <c:v>8.7127933328889018</c:v>
                </c:pt>
                <c:pt idx="19">
                  <c:v>8.9523753225864464</c:v>
                </c:pt>
                <c:pt idx="20">
                  <c:v>9.1665110226693791</c:v>
                </c:pt>
                <c:pt idx="21">
                  <c:v>9.3646907280120661</c:v>
                </c:pt>
                <c:pt idx="22">
                  <c:v>9.5533881284713615</c:v>
                </c:pt>
                <c:pt idx="23">
                  <c:v>9.7369524867672332</c:v>
                </c:pt>
                <c:pt idx="24">
                  <c:v>9.9182830720589159</c:v>
                </c:pt>
                <c:pt idx="25">
                  <c:v>10.099308337493451</c:v>
                </c:pt>
              </c:numCache>
            </c:numRef>
          </c:val>
          <c:extLst>
            <c:ext xmlns:c16="http://schemas.microsoft.com/office/drawing/2014/chart" uri="{C3380CC4-5D6E-409C-BE32-E72D297353CC}">
              <c16:uniqueId val="{0000000A-7292-C24A-9A87-193F82819BC8}"/>
            </c:ext>
          </c:extLst>
        </c:ser>
        <c:ser>
          <c:idx val="11"/>
          <c:order val="10"/>
          <c:tx>
            <c:strRef>
              <c:f>MAIN!$R$1</c:f>
              <c:strCache>
                <c:ptCount val="1"/>
                <c:pt idx="0">
                  <c:v>bio-Ethanol</c:v>
                </c:pt>
              </c:strCache>
            </c:strRef>
          </c:tx>
          <c:spPr>
            <a:solidFill>
              <a:schemeClr val="accent6">
                <a:lumMod val="20000"/>
                <a:lumOff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MAIN!$R$2:$R$27</c:f>
              <c:numCache>
                <c:formatCode>0</c:formatCode>
                <c:ptCount val="26"/>
                <c:pt idx="0">
                  <c:v>0</c:v>
                </c:pt>
                <c:pt idx="1">
                  <c:v>0.27757831271201189</c:v>
                </c:pt>
                <c:pt idx="2">
                  <c:v>0.71913032468172111</c:v>
                </c:pt>
                <c:pt idx="3">
                  <c:v>1.4125725061838765</c:v>
                </c:pt>
                <c:pt idx="4">
                  <c:v>2.4845541654616716</c:v>
                </c:pt>
                <c:pt idx="5">
                  <c:v>4.1066144612421169</c:v>
                </c:pt>
                <c:pt idx="6">
                  <c:v>6.4882855452727517</c:v>
                </c:pt>
                <c:pt idx="7">
                  <c:v>9.8414442586875719</c:v>
                </c:pt>
                <c:pt idx="8">
                  <c:v>14.302188970248382</c:v>
                </c:pt>
                <c:pt idx="9">
                  <c:v>19.822314403658218</c:v>
                </c:pt>
                <c:pt idx="10">
                  <c:v>26.093314656839613</c:v>
                </c:pt>
                <c:pt idx="11">
                  <c:v>32.590037545074239</c:v>
                </c:pt>
                <c:pt idx="12">
                  <c:v>38.747006223648128</c:v>
                </c:pt>
                <c:pt idx="13">
                  <c:v>44.155416624111517</c:v>
                </c:pt>
                <c:pt idx="14">
                  <c:v>48.650961813460142</c:v>
                </c:pt>
                <c:pt idx="15">
                  <c:v>52.273717872003445</c:v>
                </c:pt>
                <c:pt idx="16">
                  <c:v>55.172938625982788</c:v>
                </c:pt>
                <c:pt idx="17">
                  <c:v>57.525363134541024</c:v>
                </c:pt>
                <c:pt idx="18">
                  <c:v>59.489949166397707</c:v>
                </c:pt>
                <c:pt idx="19">
                  <c:v>61.192066645343317</c:v>
                </c:pt>
                <c:pt idx="20">
                  <c:v>62.723570195814894</c:v>
                </c:pt>
                <c:pt idx="21">
                  <c:v>64.148881373335826</c:v>
                </c:pt>
                <c:pt idx="22">
                  <c:v>65.512015267263493</c:v>
                </c:pt>
                <c:pt idx="23">
                  <c:v>66.842593520002097</c:v>
                </c:pt>
                <c:pt idx="24">
                  <c:v>68.160400545547105</c:v>
                </c:pt>
                <c:pt idx="25">
                  <c:v>69.478626405504571</c:v>
                </c:pt>
              </c:numCache>
            </c:numRef>
          </c:val>
          <c:extLst>
            <c:ext xmlns:c16="http://schemas.microsoft.com/office/drawing/2014/chart" uri="{C3380CC4-5D6E-409C-BE32-E72D297353CC}">
              <c16:uniqueId val="{0000000B-7292-C24A-9A87-193F82819BC8}"/>
            </c:ext>
          </c:extLst>
        </c:ser>
        <c:ser>
          <c:idx val="12"/>
          <c:order val="11"/>
          <c:tx>
            <c:strRef>
              <c:f>MAIN!$S$1</c:f>
              <c:strCache>
                <c:ptCount val="1"/>
                <c:pt idx="0">
                  <c:v>HVO</c:v>
                </c:pt>
              </c:strCache>
            </c:strRef>
          </c:tx>
          <c:spPr>
            <a:solidFill>
              <a:schemeClr val="accent1"/>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MAIN!$S$2:$S$27</c:f>
              <c:numCache>
                <c:formatCode>0</c:formatCode>
                <c:ptCount val="26"/>
                <c:pt idx="0">
                  <c:v>0</c:v>
                </c:pt>
                <c:pt idx="1">
                  <c:v>7.9269727500154846E-2</c:v>
                </c:pt>
                <c:pt idx="2">
                  <c:v>0.20515722861992042</c:v>
                </c:pt>
                <c:pt idx="3">
                  <c:v>0.40257413903973926</c:v>
                </c:pt>
                <c:pt idx="4">
                  <c:v>0.70735615889547199</c:v>
                </c:pt>
                <c:pt idx="5">
                  <c:v>1.1679571832450251</c:v>
                </c:pt>
                <c:pt idx="6">
                  <c:v>1.8434237112549912</c:v>
                </c:pt>
                <c:pt idx="7">
                  <c:v>2.7932211027119389</c:v>
                </c:pt>
                <c:pt idx="8">
                  <c:v>4.0550799771744428</c:v>
                </c:pt>
                <c:pt idx="9">
                  <c:v>5.6143697898525691</c:v>
                </c:pt>
                <c:pt idx="10">
                  <c:v>7.3828677563405813</c:v>
                </c:pt>
                <c:pt idx="11">
                  <c:v>9.2114810171792048</c:v>
                </c:pt>
                <c:pt idx="12">
                  <c:v>10.940350374782422</c:v>
                </c:pt>
                <c:pt idx="13">
                  <c:v>12.454474113031242</c:v>
                </c:pt>
                <c:pt idx="14">
                  <c:v>13.708222798322625</c:v>
                </c:pt>
                <c:pt idx="15">
                  <c:v>14.713688341067163</c:v>
                </c:pt>
                <c:pt idx="16">
                  <c:v>15.513613822586684</c:v>
                </c:pt>
                <c:pt idx="17">
                  <c:v>16.158287026878774</c:v>
                </c:pt>
                <c:pt idx="18">
                  <c:v>16.692798892169662</c:v>
                </c:pt>
                <c:pt idx="19">
                  <c:v>17.152639272967029</c:v>
                </c:pt>
                <c:pt idx="20">
                  <c:v>17.563766699489229</c:v>
                </c:pt>
                <c:pt idx="21">
                  <c:v>17.944358919078596</c:v>
                </c:pt>
                <c:pt idx="22">
                  <c:v>18.306816553667598</c:v>
                </c:pt>
                <c:pt idx="23">
                  <c:v>18.659471440182408</c:v>
                </c:pt>
                <c:pt idx="24">
                  <c:v>19.007878167912697</c:v>
                </c:pt>
                <c:pt idx="25">
                  <c:v>19.35573177267397</c:v>
                </c:pt>
              </c:numCache>
            </c:numRef>
          </c:val>
          <c:extLst>
            <c:ext xmlns:c16="http://schemas.microsoft.com/office/drawing/2014/chart" uri="{C3380CC4-5D6E-409C-BE32-E72D297353CC}">
              <c16:uniqueId val="{0000000C-7292-C24A-9A87-193F82819BC8}"/>
            </c:ext>
          </c:extLst>
        </c:ser>
        <c:ser>
          <c:idx val="13"/>
          <c:order val="12"/>
          <c:tx>
            <c:strRef>
              <c:f>MAIN!$T$1</c:f>
              <c:strCache>
                <c:ptCount val="1"/>
                <c:pt idx="0">
                  <c:v>Synthetic Diesel</c:v>
                </c:pt>
              </c:strCache>
            </c:strRef>
          </c:tx>
          <c:spPr>
            <a:solidFill>
              <a:srgbClr val="FF4D59"/>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MAIN!$T$2:$T$27</c:f>
              <c:numCache>
                <c:formatCode>0</c:formatCode>
                <c:ptCount val="26"/>
                <c:pt idx="0">
                  <c:v>0</c:v>
                </c:pt>
                <c:pt idx="1">
                  <c:v>0.86862643976479215</c:v>
                </c:pt>
                <c:pt idx="2">
                  <c:v>2.2509112142972123</c:v>
                </c:pt>
                <c:pt idx="3">
                  <c:v>4.4224708497908214</c:v>
                </c:pt>
                <c:pt idx="4">
                  <c:v>7.7804793560311847</c:v>
                </c:pt>
                <c:pt idx="5">
                  <c:v>12.863099531082094</c:v>
                </c:pt>
                <c:pt idx="6">
                  <c:v>20.328043925518315</c:v>
                </c:pt>
                <c:pt idx="7">
                  <c:v>30.841003799309384</c:v>
                </c:pt>
                <c:pt idx="8">
                  <c:v>44.830777852298937</c:v>
                </c:pt>
                <c:pt idx="9">
                  <c:v>62.148728539812403</c:v>
                </c:pt>
                <c:pt idx="10">
                  <c:v>81.829757500544133</c:v>
                </c:pt>
                <c:pt idx="11">
                  <c:v>102.22825938190796</c:v>
                </c:pt>
                <c:pt idx="12">
                  <c:v>121.57052354400179</c:v>
                </c:pt>
                <c:pt idx="13">
                  <c:v>138.57282013821228</c:v>
                </c:pt>
                <c:pt idx="14">
                  <c:v>152.71767631031386</c:v>
                </c:pt>
                <c:pt idx="15">
                  <c:v>164.12884671286031</c:v>
                </c:pt>
                <c:pt idx="16">
                  <c:v>173.2730852544573</c:v>
                </c:pt>
                <c:pt idx="17">
                  <c:v>180.70393423910301</c:v>
                </c:pt>
                <c:pt idx="18">
                  <c:v>186.91959724934256</c:v>
                </c:pt>
                <c:pt idx="19">
                  <c:v>192.31319493514499</c:v>
                </c:pt>
                <c:pt idx="20">
                  <c:v>197.17286656129414</c:v>
                </c:pt>
                <c:pt idx="21">
                  <c:v>201.70076833649489</c:v>
                </c:pt>
                <c:pt idx="22">
                  <c:v>206.0350693707266</c:v>
                </c:pt>
                <c:pt idx="23">
                  <c:v>210.26879082198596</c:v>
                </c:pt>
                <c:pt idx="24">
                  <c:v>214.46408826005077</c:v>
                </c:pt>
                <c:pt idx="25">
                  <c:v>218.66242107555576</c:v>
                </c:pt>
              </c:numCache>
            </c:numRef>
          </c:val>
          <c:extLst>
            <c:ext xmlns:c16="http://schemas.microsoft.com/office/drawing/2014/chart" uri="{C3380CC4-5D6E-409C-BE32-E72D297353CC}">
              <c16:uniqueId val="{0000000D-7292-C24A-9A87-193F82819BC8}"/>
            </c:ext>
          </c:extLst>
        </c:ser>
        <c:ser>
          <c:idx val="14"/>
          <c:order val="13"/>
          <c:tx>
            <c:strRef>
              <c:f>MAIN!$U$1</c:f>
              <c:strCache>
                <c:ptCount val="1"/>
                <c:pt idx="0">
                  <c:v>Electricity (Battery)</c:v>
                </c:pt>
              </c:strCache>
            </c:strRef>
          </c:tx>
          <c:spPr>
            <a:solidFill>
              <a:srgbClr val="FFE915"/>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MAIN!$U$2:$U$27</c:f>
              <c:numCache>
                <c:formatCode>0</c:formatCode>
                <c:ptCount val="26"/>
                <c:pt idx="0">
                  <c:v>0</c:v>
                </c:pt>
                <c:pt idx="1">
                  <c:v>2.0934280782060333E-3</c:v>
                </c:pt>
                <c:pt idx="2">
                  <c:v>5.4312861742014046E-3</c:v>
                </c:pt>
                <c:pt idx="3">
                  <c:v>1.0683887102363279E-2</c:v>
                </c:pt>
                <c:pt idx="4">
                  <c:v>1.8818767717234612E-2</c:v>
                </c:pt>
                <c:pt idx="5">
                  <c:v>3.1149519799890227E-2</c:v>
                </c:pt>
                <c:pt idx="6">
                  <c:v>4.9285873119394787E-2</c:v>
                </c:pt>
                <c:pt idx="7">
                  <c:v>7.486461626917057E-2</c:v>
                </c:pt>
                <c:pt idx="8">
                  <c:v>0.10895459680620415</c:v>
                </c:pt>
                <c:pt idx="9">
                  <c:v>0.15122462814577731</c:v>
                </c:pt>
                <c:pt idx="10">
                  <c:v>0.19935273564406286</c:v>
                </c:pt>
                <c:pt idx="11">
                  <c:v>0.24934581445138784</c:v>
                </c:pt>
                <c:pt idx="12">
                  <c:v>0.2968786488604569</c:v>
                </c:pt>
                <c:pt idx="13">
                  <c:v>0.33880322473299818</c:v>
                </c:pt>
                <c:pt idx="14">
                  <c:v>0.37383218625598141</c:v>
                </c:pt>
                <c:pt idx="15">
                  <c:v>0.40224362382955287</c:v>
                </c:pt>
                <c:pt idx="16">
                  <c:v>0.42515868518241517</c:v>
                </c:pt>
                <c:pt idx="17">
                  <c:v>0.44391717315214629</c:v>
                </c:pt>
                <c:pt idx="18">
                  <c:v>0.45972924337576815</c:v>
                </c:pt>
                <c:pt idx="19">
                  <c:v>0.47355210007876275</c:v>
                </c:pt>
                <c:pt idx="20">
                  <c:v>0.48608870975172536</c:v>
                </c:pt>
                <c:pt idx="21">
                  <c:v>0.49783316053179638</c:v>
                </c:pt>
                <c:pt idx="22">
                  <c:v>0.50912376301512241</c:v>
                </c:pt>
                <c:pt idx="23">
                  <c:v>0.52018872651934822</c:v>
                </c:pt>
                <c:pt idx="24">
                  <c:v>0.53118087821367665</c:v>
                </c:pt>
                <c:pt idx="25">
                  <c:v>0.54220243250944489</c:v>
                </c:pt>
              </c:numCache>
            </c:numRef>
          </c:val>
          <c:extLst>
            <c:ext xmlns:c16="http://schemas.microsoft.com/office/drawing/2014/chart" uri="{C3380CC4-5D6E-409C-BE32-E72D297353CC}">
              <c16:uniqueId val="{0000000E-7292-C24A-9A87-193F82819BC8}"/>
            </c:ext>
          </c:extLst>
        </c:ser>
        <c:dLbls>
          <c:showLegendKey val="0"/>
          <c:showVal val="0"/>
          <c:showCatName val="0"/>
          <c:showSerName val="0"/>
          <c:showPercent val="0"/>
          <c:showBubbleSize val="0"/>
        </c:dLbls>
        <c:axId val="1933465936"/>
        <c:axId val="1933425328"/>
      </c:areaChart>
      <c:catAx>
        <c:axId val="193346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33425328"/>
        <c:crosses val="autoZero"/>
        <c:auto val="1"/>
        <c:lblAlgn val="ctr"/>
        <c:lblOffset val="100"/>
        <c:noMultiLvlLbl val="0"/>
      </c:catAx>
      <c:valAx>
        <c:axId val="193342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334659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MAIN!$V$1</c:f>
              <c:strCache>
                <c:ptCount val="1"/>
                <c:pt idx="0">
                  <c:v>Fossil Fuels</c:v>
                </c:pt>
              </c:strCache>
            </c:strRef>
          </c:tx>
          <c:spPr>
            <a:solidFill>
              <a:schemeClr val="tx1">
                <a:lumMod val="65000"/>
                <a:lumOff val="35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MAIN!$V$2:$V$27</c:f>
              <c:numCache>
                <c:formatCode>0</c:formatCode>
                <c:ptCount val="26"/>
                <c:pt idx="0">
                  <c:v>818.39679788021976</c:v>
                </c:pt>
                <c:pt idx="1">
                  <c:v>828.4266757195694</c:v>
                </c:pt>
                <c:pt idx="2">
                  <c:v>835.71105012092607</c:v>
                </c:pt>
                <c:pt idx="3">
                  <c:v>838.63589794937161</c:v>
                </c:pt>
                <c:pt idx="4">
                  <c:v>834.87390953203817</c:v>
                </c:pt>
                <c:pt idx="5">
                  <c:v>821.27120125976933</c:v>
                </c:pt>
                <c:pt idx="6">
                  <c:v>793.9745773582332</c:v>
                </c:pt>
                <c:pt idx="7">
                  <c:v>749.08848301939247</c:v>
                </c:pt>
                <c:pt idx="8">
                  <c:v>684.11431756400123</c:v>
                </c:pt>
                <c:pt idx="9">
                  <c:v>599.94945084529695</c:v>
                </c:pt>
                <c:pt idx="10">
                  <c:v>502.28647853113006</c:v>
                </c:pt>
                <c:pt idx="11">
                  <c:v>400.80800431601949</c:v>
                </c:pt>
                <c:pt idx="12">
                  <c:v>305.93787632106694</c:v>
                </c:pt>
                <c:pt idx="13">
                  <c:v>225.21245136814696</c:v>
                </c:pt>
                <c:pt idx="14">
                  <c:v>161.66363763428791</c:v>
                </c:pt>
                <c:pt idx="15">
                  <c:v>114.558708442078</c:v>
                </c:pt>
                <c:pt idx="16">
                  <c:v>81.154530289326772</c:v>
                </c:pt>
                <c:pt idx="17">
                  <c:v>58.20247178894445</c:v>
                </c:pt>
                <c:pt idx="18">
                  <c:v>42.782116315341113</c:v>
                </c:pt>
                <c:pt idx="19">
                  <c:v>32.592262345264125</c:v>
                </c:pt>
                <c:pt idx="20">
                  <c:v>25.94945367663788</c:v>
                </c:pt>
                <c:pt idx="21">
                  <c:v>21.675854498825291</c:v>
                </c:pt>
                <c:pt idx="22">
                  <c:v>18.969766445567117</c:v>
                </c:pt>
                <c:pt idx="23">
                  <c:v>17.294841409217039</c:v>
                </c:pt>
                <c:pt idx="24">
                  <c:v>16.296144137443203</c:v>
                </c:pt>
                <c:pt idx="25">
                  <c:v>15.74041528323637</c:v>
                </c:pt>
              </c:numCache>
            </c:numRef>
          </c:val>
          <c:extLst>
            <c:ext xmlns:c16="http://schemas.microsoft.com/office/drawing/2014/chart" uri="{C3380CC4-5D6E-409C-BE32-E72D297353CC}">
              <c16:uniqueId val="{00000000-39D1-7F45-A97C-97A807995C44}"/>
            </c:ext>
          </c:extLst>
        </c:ser>
        <c:ser>
          <c:idx val="1"/>
          <c:order val="1"/>
          <c:tx>
            <c:strRef>
              <c:f>MAIN!$W$1</c:f>
              <c:strCache>
                <c:ptCount val="1"/>
                <c:pt idx="0">
                  <c:v>Clean Fuels</c:v>
                </c:pt>
              </c:strCache>
            </c:strRef>
          </c:tx>
          <c:spPr>
            <a:solidFill>
              <a:schemeClr val="accent6">
                <a:lumMod val="60000"/>
                <a:lumOff val="4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MAIN!$W$2:$W$27</c:f>
              <c:numCache>
                <c:formatCode>0</c:formatCode>
                <c:ptCount val="26"/>
                <c:pt idx="0">
                  <c:v>0</c:v>
                </c:pt>
                <c:pt idx="1">
                  <c:v>5.5990321213643055</c:v>
                </c:pt>
                <c:pt idx="2">
                  <c:v>14.505540000299423</c:v>
                </c:pt>
                <c:pt idx="3">
                  <c:v>28.492851596855477</c:v>
                </c:pt>
                <c:pt idx="4">
                  <c:v>50.115550381206802</c:v>
                </c:pt>
                <c:pt idx="5">
                  <c:v>82.833657080605818</c:v>
                </c:pt>
                <c:pt idx="6">
                  <c:v>130.87350345970455</c:v>
                </c:pt>
                <c:pt idx="7">
                  <c:v>198.50867215067927</c:v>
                </c:pt>
                <c:pt idx="8">
                  <c:v>288.48420318300265</c:v>
                </c:pt>
                <c:pt idx="9">
                  <c:v>399.8275988552864</c:v>
                </c:pt>
                <c:pt idx="10">
                  <c:v>526.31597290219463</c:v>
                </c:pt>
                <c:pt idx="11">
                  <c:v>657.35664652067862</c:v>
                </c:pt>
                <c:pt idx="12">
                  <c:v>781.54368508394032</c:v>
                </c:pt>
                <c:pt idx="13">
                  <c:v>890.63141870280799</c:v>
                </c:pt>
                <c:pt idx="14">
                  <c:v>981.30584639422784</c:v>
                </c:pt>
                <c:pt idx="15">
                  <c:v>1054.3754603739899</c:v>
                </c:pt>
                <c:pt idx="16">
                  <c:v>1112.8508829020006</c:v>
                </c:pt>
                <c:pt idx="17">
                  <c:v>1160.2970871180996</c:v>
                </c:pt>
                <c:pt idx="18">
                  <c:v>1199.9203593409748</c:v>
                </c:pt>
                <c:pt idx="19">
                  <c:v>1234.2494846001316</c:v>
                </c:pt>
                <c:pt idx="20">
                  <c:v>1265.1372185659832</c:v>
                </c:pt>
                <c:pt idx="21">
                  <c:v>1293.8829745058817</c:v>
                </c:pt>
                <c:pt idx="22">
                  <c:v>1321.3745562471292</c:v>
                </c:pt>
                <c:pt idx="23">
                  <c:v>1348.2094451352705</c:v>
                </c:pt>
                <c:pt idx="24">
                  <c:v>1374.7867017560447</c:v>
                </c:pt>
                <c:pt idx="25">
                  <c:v>1401.3723764624481</c:v>
                </c:pt>
              </c:numCache>
            </c:numRef>
          </c:val>
          <c:extLst>
            <c:ext xmlns:c16="http://schemas.microsoft.com/office/drawing/2014/chart" uri="{C3380CC4-5D6E-409C-BE32-E72D297353CC}">
              <c16:uniqueId val="{00000001-39D1-7F45-A97C-97A807995C44}"/>
            </c:ext>
          </c:extLst>
        </c:ser>
        <c:dLbls>
          <c:showLegendKey val="0"/>
          <c:showVal val="0"/>
          <c:showCatName val="0"/>
          <c:showSerName val="0"/>
          <c:showPercent val="0"/>
          <c:showBubbleSize val="0"/>
        </c:dLbls>
        <c:axId val="461273232"/>
        <c:axId val="460429296"/>
      </c:areaChart>
      <c:catAx>
        <c:axId val="461273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29296"/>
        <c:crosses val="autoZero"/>
        <c:auto val="1"/>
        <c:lblAlgn val="ctr"/>
        <c:lblOffset val="100"/>
        <c:noMultiLvlLbl val="0"/>
      </c:catAx>
      <c:valAx>
        <c:axId val="46042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273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MAIN!$AF$1</c:f>
              <c:strCache>
                <c:ptCount val="1"/>
                <c:pt idx="0">
                  <c:v>Passenger Vessel</c:v>
                </c:pt>
              </c:strCache>
            </c:strRef>
          </c:tx>
          <c:spPr>
            <a:solidFill>
              <a:schemeClr val="accent1"/>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MAIN!$AF$2:$AF$27</c:f>
              <c:numCache>
                <c:formatCode>General</c:formatCode>
                <c:ptCount val="26"/>
                <c:pt idx="0">
                  <c:v>130.67116473394779</c:v>
                </c:pt>
                <c:pt idx="1">
                  <c:v>133.15947765478788</c:v>
                </c:pt>
                <c:pt idx="2">
                  <c:v>135.6983178096049</c:v>
                </c:pt>
                <c:pt idx="3">
                  <c:v>138.29073986733326</c:v>
                </c:pt>
                <c:pt idx="4">
                  <c:v>140.94075833460158</c:v>
                </c:pt>
                <c:pt idx="5">
                  <c:v>143.65349869935469</c:v>
                </c:pt>
                <c:pt idx="6">
                  <c:v>146.43503363354287</c:v>
                </c:pt>
                <c:pt idx="7">
                  <c:v>149.29152394881046</c:v>
                </c:pt>
                <c:pt idx="8">
                  <c:v>152.22733041890197</c:v>
                </c:pt>
                <c:pt idx="9">
                  <c:v>155.24238537808705</c:v>
                </c:pt>
                <c:pt idx="10">
                  <c:v>158.33034464092134</c:v>
                </c:pt>
                <c:pt idx="11">
                  <c:v>161.47963120204196</c:v>
                </c:pt>
                <c:pt idx="12">
                  <c:v>164.67769467579308</c:v>
                </c:pt>
                <c:pt idx="13">
                  <c:v>167.9157827237909</c:v>
                </c:pt>
                <c:pt idx="14">
                  <c:v>171.19107852470415</c:v>
                </c:pt>
                <c:pt idx="15">
                  <c:v>174.5057412612386</c:v>
                </c:pt>
                <c:pt idx="16">
                  <c:v>177.86460757904527</c:v>
                </c:pt>
                <c:pt idx="17">
                  <c:v>181.27321505745917</c:v>
                </c:pt>
                <c:pt idx="18">
                  <c:v>184.73670503603361</c:v>
                </c:pt>
                <c:pt idx="19">
                  <c:v>188.25943824031611</c:v>
                </c:pt>
                <c:pt idx="20">
                  <c:v>191.84499531592093</c:v>
                </c:pt>
                <c:pt idx="21">
                  <c:v>195.49632348148711</c:v>
                </c:pt>
                <c:pt idx="22">
                  <c:v>199.21590653713926</c:v>
                </c:pt>
                <c:pt idx="23">
                  <c:v>203.00591065460347</c:v>
                </c:pt>
                <c:pt idx="24">
                  <c:v>206.8682950861149</c:v>
                </c:pt>
                <c:pt idx="25">
                  <c:v>210.80489118023957</c:v>
                </c:pt>
              </c:numCache>
            </c:numRef>
          </c:val>
          <c:extLst>
            <c:ext xmlns:c16="http://schemas.microsoft.com/office/drawing/2014/chart" uri="{C3380CC4-5D6E-409C-BE32-E72D297353CC}">
              <c16:uniqueId val="{00000000-8729-4E41-BF49-1171E0E963DD}"/>
            </c:ext>
          </c:extLst>
        </c:ser>
        <c:ser>
          <c:idx val="1"/>
          <c:order val="1"/>
          <c:tx>
            <c:strRef>
              <c:f>MAIN!$AG$1</c:f>
              <c:strCache>
                <c:ptCount val="1"/>
                <c:pt idx="0">
                  <c:v>General Cargo</c:v>
                </c:pt>
              </c:strCache>
            </c:strRef>
          </c:tx>
          <c:spPr>
            <a:solidFill>
              <a:schemeClr val="accent2"/>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MAIN!$AG$2:$AG$27</c:f>
              <c:numCache>
                <c:formatCode>General</c:formatCode>
                <c:ptCount val="26"/>
                <c:pt idx="0">
                  <c:v>2.4794096439495958</c:v>
                </c:pt>
                <c:pt idx="1">
                  <c:v>2.5240185973316107</c:v>
                </c:pt>
                <c:pt idx="2">
                  <c:v>2.5701218411807343</c:v>
                </c:pt>
                <c:pt idx="3">
                  <c:v>2.6181408494091398</c:v>
                </c:pt>
                <c:pt idx="4">
                  <c:v>2.6686757532957688</c:v>
                </c:pt>
                <c:pt idx="5">
                  <c:v>2.7225329594071752</c:v>
                </c:pt>
                <c:pt idx="6">
                  <c:v>2.7806920496475418</c:v>
                </c:pt>
                <c:pt idx="7">
                  <c:v>2.8441397104691166</c:v>
                </c:pt>
                <c:pt idx="8">
                  <c:v>2.9135082041895011</c:v>
                </c:pt>
                <c:pt idx="9">
                  <c:v>2.9885756781448887</c:v>
                </c:pt>
                <c:pt idx="10">
                  <c:v>3.0679199298232795</c:v>
                </c:pt>
                <c:pt idx="11">
                  <c:v>3.1491262919062284</c:v>
                </c:pt>
                <c:pt idx="12">
                  <c:v>3.2296053898661312</c:v>
                </c:pt>
                <c:pt idx="13">
                  <c:v>3.3075007284801918</c:v>
                </c:pt>
                <c:pt idx="14">
                  <c:v>3.3820884796459092</c:v>
                </c:pt>
                <c:pt idx="15">
                  <c:v>3.4535871457407685</c:v>
                </c:pt>
                <c:pt idx="16">
                  <c:v>3.5227157392650348</c:v>
                </c:pt>
                <c:pt idx="17">
                  <c:v>3.5903167469266664</c:v>
                </c:pt>
                <c:pt idx="18">
                  <c:v>3.6571482712948131</c:v>
                </c:pt>
                <c:pt idx="19">
                  <c:v>3.7238122212641405</c:v>
                </c:pt>
                <c:pt idx="20">
                  <c:v>3.7907554946216204</c:v>
                </c:pt>
                <c:pt idx="21">
                  <c:v>3.8582985727301495</c:v>
                </c:pt>
                <c:pt idx="22">
                  <c:v>3.9266682349556983</c:v>
                </c:pt>
                <c:pt idx="23">
                  <c:v>3.9960254477331629</c:v>
                </c:pt>
                <c:pt idx="24">
                  <c:v>4.0664864488274617</c:v>
                </c:pt>
                <c:pt idx="25">
                  <c:v>4.1381377295987427</c:v>
                </c:pt>
              </c:numCache>
            </c:numRef>
          </c:val>
          <c:extLst>
            <c:ext xmlns:c16="http://schemas.microsoft.com/office/drawing/2014/chart" uri="{C3380CC4-5D6E-409C-BE32-E72D297353CC}">
              <c16:uniqueId val="{00000001-8729-4E41-BF49-1171E0E963DD}"/>
            </c:ext>
          </c:extLst>
        </c:ser>
        <c:ser>
          <c:idx val="2"/>
          <c:order val="2"/>
          <c:tx>
            <c:strRef>
              <c:f>MAIN!$AH$1</c:f>
              <c:strCache>
                <c:ptCount val="1"/>
                <c:pt idx="0">
                  <c:v>Special Craft</c:v>
                </c:pt>
              </c:strCache>
            </c:strRef>
          </c:tx>
          <c:spPr>
            <a:solidFill>
              <a:schemeClr val="accent3"/>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MAIN!$AH$2:$AH$27</c:f>
              <c:numCache>
                <c:formatCode>General</c:formatCode>
                <c:ptCount val="26"/>
                <c:pt idx="0">
                  <c:v>10.60403427028317</c:v>
                </c:pt>
                <c:pt idx="1">
                  <c:v>10.820073549535543</c:v>
                </c:pt>
                <c:pt idx="2">
                  <c:v>11.042624599208882</c:v>
                </c:pt>
                <c:pt idx="3">
                  <c:v>11.273012157829045</c:v>
                </c:pt>
                <c:pt idx="4">
                  <c:v>11.513111415589982</c:v>
                </c:pt>
                <c:pt idx="5">
                  <c:v>11.765438156035374</c:v>
                </c:pt>
                <c:pt idx="6">
                  <c:v>12.033056704157369</c:v>
                </c:pt>
                <c:pt idx="7">
                  <c:v>12.319083511095132</c:v>
                </c:pt>
                <c:pt idx="8">
                  <c:v>12.625589401400228</c:v>
                </c:pt>
                <c:pt idx="9">
                  <c:v>12.952064373386566</c:v>
                </c:pt>
                <c:pt idx="10">
                  <c:v>13.294327681237903</c:v>
                </c:pt>
                <c:pt idx="11">
                  <c:v>13.645117666927737</c:v>
                </c:pt>
                <c:pt idx="12">
                  <c:v>13.996562358945146</c:v>
                </c:pt>
                <c:pt idx="13">
                  <c:v>14.342964269636617</c:v>
                </c:pt>
                <c:pt idx="14">
                  <c:v>14.682061453359388</c:v>
                </c:pt>
                <c:pt idx="15">
                  <c:v>15.01448287845923</c:v>
                </c:pt>
                <c:pt idx="16">
                  <c:v>15.342415640024017</c:v>
                </c:pt>
                <c:pt idx="17">
                  <c:v>15.668452962846716</c:v>
                </c:pt>
                <c:pt idx="18">
                  <c:v>15.994951621317567</c:v>
                </c:pt>
                <c:pt idx="19">
                  <c:v>16.32380449120685</c:v>
                </c:pt>
                <c:pt idx="20">
                  <c:v>16.656438230397391</c:v>
                </c:pt>
                <c:pt idx="21">
                  <c:v>16.99389702364229</c:v>
                </c:pt>
                <c:pt idx="22">
                  <c:v>17.33694061130679</c:v>
                </c:pt>
                <c:pt idx="23">
                  <c:v>17.686128620239067</c:v>
                </c:pt>
                <c:pt idx="24">
                  <c:v>18.041884679044475</c:v>
                </c:pt>
                <c:pt idx="25">
                  <c:v>18.404542176492207</c:v>
                </c:pt>
              </c:numCache>
            </c:numRef>
          </c:val>
          <c:extLst>
            <c:ext xmlns:c16="http://schemas.microsoft.com/office/drawing/2014/chart" uri="{C3380CC4-5D6E-409C-BE32-E72D297353CC}">
              <c16:uniqueId val="{00000002-8729-4E41-BF49-1171E0E963DD}"/>
            </c:ext>
          </c:extLst>
        </c:ser>
        <c:ser>
          <c:idx val="3"/>
          <c:order val="3"/>
          <c:tx>
            <c:strRef>
              <c:f>MAIN!$AI$1</c:f>
              <c:strCache>
                <c:ptCount val="1"/>
                <c:pt idx="0">
                  <c:v>Supply Vessel</c:v>
                </c:pt>
              </c:strCache>
            </c:strRef>
          </c:tx>
          <c:spPr>
            <a:solidFill>
              <a:schemeClr val="accent4"/>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MAIN!$AI$2:$AI$27</c:f>
              <c:numCache>
                <c:formatCode>General</c:formatCode>
                <c:ptCount val="26"/>
                <c:pt idx="0">
                  <c:v>0.78928445057578944</c:v>
                </c:pt>
                <c:pt idx="1">
                  <c:v>0.80544713470660978</c:v>
                </c:pt>
                <c:pt idx="2">
                  <c:v>0.8221434569565329</c:v>
                </c:pt>
                <c:pt idx="3">
                  <c:v>0.83949838834766466</c:v>
                </c:pt>
                <c:pt idx="4">
                  <c:v>0.85768956300052268</c:v>
                </c:pt>
                <c:pt idx="5">
                  <c:v>0.87695590841647375</c:v>
                </c:pt>
                <c:pt idx="6">
                  <c:v>0.89758883029192416</c:v>
                </c:pt>
                <c:pt idx="7">
                  <c:v>0.91988467858854972</c:v>
                </c:pt>
                <c:pt idx="8">
                  <c:v>0.94403963413865877</c:v>
                </c:pt>
                <c:pt idx="9">
                  <c:v>0.97000270868327942</c:v>
                </c:pt>
                <c:pt idx="10">
                  <c:v>0.99737138166283246</c:v>
                </c:pt>
                <c:pt idx="11">
                  <c:v>1.0254480769426615</c:v>
                </c:pt>
                <c:pt idx="12">
                  <c:v>1.0534767273170804</c:v>
                </c:pt>
                <c:pt idx="13">
                  <c:v>1.0809094242503523</c:v>
                </c:pt>
                <c:pt idx="14">
                  <c:v>1.1075271660422981</c:v>
                </c:pt>
                <c:pt idx="15">
                  <c:v>1.1333877073395418</c:v>
                </c:pt>
                <c:pt idx="16">
                  <c:v>1.1586979405599978</c:v>
                </c:pt>
                <c:pt idx="17">
                  <c:v>1.18370358838802</c:v>
                </c:pt>
                <c:pt idx="18">
                  <c:v>1.2086276741110615</c:v>
                </c:pt>
                <c:pt idx="19">
                  <c:v>1.2336487417858648</c:v>
                </c:pt>
                <c:pt idx="20">
                  <c:v>1.258900633010765</c:v>
                </c:pt>
                <c:pt idx="21">
                  <c:v>1.284480504513978</c:v>
                </c:pt>
                <c:pt idx="22">
                  <c:v>1.3104582134514524</c:v>
                </c:pt>
                <c:pt idx="23">
                  <c:v>1.3368843910858508</c:v>
                </c:pt>
                <c:pt idx="24">
                  <c:v>1.3637965807583781</c:v>
                </c:pt>
                <c:pt idx="25">
                  <c:v>1.3912236181301196</c:v>
                </c:pt>
              </c:numCache>
            </c:numRef>
          </c:val>
          <c:extLst>
            <c:ext xmlns:c16="http://schemas.microsoft.com/office/drawing/2014/chart" uri="{C3380CC4-5D6E-409C-BE32-E72D297353CC}">
              <c16:uniqueId val="{00000003-8729-4E41-BF49-1171E0E963DD}"/>
            </c:ext>
          </c:extLst>
        </c:ser>
        <c:ser>
          <c:idx val="4"/>
          <c:order val="4"/>
          <c:tx>
            <c:strRef>
              <c:f>MAIN!$AJ$1</c:f>
              <c:strCache>
                <c:ptCount val="1"/>
                <c:pt idx="0">
                  <c:v>Passenger/Cargo Ship</c:v>
                </c:pt>
              </c:strCache>
            </c:strRef>
          </c:tx>
          <c:spPr>
            <a:solidFill>
              <a:schemeClr val="accent5"/>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MAIN!$AJ$2:$AJ$27</c:f>
              <c:numCache>
                <c:formatCode>General</c:formatCode>
                <c:ptCount val="26"/>
                <c:pt idx="0">
                  <c:v>4.8756260059855672</c:v>
                </c:pt>
                <c:pt idx="1">
                  <c:v>4.9630813300883787</c:v>
                </c:pt>
                <c:pt idx="2">
                  <c:v>5.0533188201527643</c:v>
                </c:pt>
                <c:pt idx="3">
                  <c:v>5.1470837838103334</c:v>
                </c:pt>
                <c:pt idx="4">
                  <c:v>5.2454362416568161</c:v>
                </c:pt>
                <c:pt idx="5">
                  <c:v>5.349799565823667</c:v>
                </c:pt>
                <c:pt idx="6">
                  <c:v>5.4619021909885932</c:v>
                </c:pt>
                <c:pt idx="7">
                  <c:v>5.5834851563440644</c:v>
                </c:pt>
                <c:pt idx="8">
                  <c:v>5.7156654353607648</c:v>
                </c:pt>
                <c:pt idx="9">
                  <c:v>5.8580559542980346</c:v>
                </c:pt>
                <c:pt idx="10">
                  <c:v>6.0081558551650556</c:v>
                </c:pt>
                <c:pt idx="11">
                  <c:v>6.1617165945031811</c:v>
                </c:pt>
                <c:pt idx="12">
                  <c:v>6.3141820614894888</c:v>
                </c:pt>
                <c:pt idx="13">
                  <c:v>6.4622868897102705</c:v>
                </c:pt>
                <c:pt idx="14">
                  <c:v>6.6047605072740412</c:v>
                </c:pt>
                <c:pt idx="15">
                  <c:v>6.7419919450471975</c:v>
                </c:pt>
                <c:pt idx="16">
                  <c:v>6.8752517681120153</c:v>
                </c:pt>
                <c:pt idx="17">
                  <c:v>7.006028096194683</c:v>
                </c:pt>
                <c:pt idx="18">
                  <c:v>7.1356605551436543</c:v>
                </c:pt>
                <c:pt idx="19">
                  <c:v>7.2652138178837378</c:v>
                </c:pt>
                <c:pt idx="20">
                  <c:v>7.3954796884928475</c:v>
                </c:pt>
                <c:pt idx="21">
                  <c:v>7.5270274605253809</c:v>
                </c:pt>
                <c:pt idx="22">
                  <c:v>7.6602615304261192</c:v>
                </c:pt>
                <c:pt idx="23">
                  <c:v>7.7954705132131981</c:v>
                </c:pt>
                <c:pt idx="24">
                  <c:v>7.9328643745243426</c:v>
                </c:pt>
                <c:pt idx="25">
                  <c:v>8.0726008167156511</c:v>
                </c:pt>
              </c:numCache>
            </c:numRef>
          </c:val>
          <c:extLst>
            <c:ext xmlns:c16="http://schemas.microsoft.com/office/drawing/2014/chart" uri="{C3380CC4-5D6E-409C-BE32-E72D297353CC}">
              <c16:uniqueId val="{00000004-8729-4E41-BF49-1171E0E963DD}"/>
            </c:ext>
          </c:extLst>
        </c:ser>
        <c:ser>
          <c:idx val="5"/>
          <c:order val="5"/>
          <c:tx>
            <c:strRef>
              <c:f>MAIN!$AK$1</c:f>
              <c:strCache>
                <c:ptCount val="1"/>
                <c:pt idx="0">
                  <c:v>Container Ship</c:v>
                </c:pt>
              </c:strCache>
            </c:strRef>
          </c:tx>
          <c:spPr>
            <a:solidFill>
              <a:schemeClr val="accent6"/>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MAIN!$AK$2:$AK$27</c:f>
              <c:numCache>
                <c:formatCode>General</c:formatCode>
                <c:ptCount val="26"/>
                <c:pt idx="0">
                  <c:v>125.995648383874</c:v>
                </c:pt>
                <c:pt idx="1">
                  <c:v>128.2385747815612</c:v>
                </c:pt>
                <c:pt idx="2">
                  <c:v>130.54334986816764</c:v>
                </c:pt>
                <c:pt idx="3">
                  <c:v>132.92386526220957</c:v>
                </c:pt>
                <c:pt idx="4">
                  <c:v>135.3997916920828</c:v>
                </c:pt>
                <c:pt idx="5">
                  <c:v>137.9974713166059</c:v>
                </c:pt>
                <c:pt idx="6">
                  <c:v>140.74884865371766</c:v>
                </c:pt>
                <c:pt idx="7">
                  <c:v>143.68610610580822</c:v>
                </c:pt>
                <c:pt idx="8">
                  <c:v>146.82998554176328</c:v>
                </c:pt>
                <c:pt idx="9">
                  <c:v>150.17364677848227</c:v>
                </c:pt>
                <c:pt idx="10">
                  <c:v>153.67148319875514</c:v>
                </c:pt>
                <c:pt idx="11">
                  <c:v>157.24583728427646</c:v>
                </c:pt>
                <c:pt idx="12">
                  <c:v>160.81341705996118</c:v>
                </c:pt>
                <c:pt idx="13">
                  <c:v>164.31461430881834</c:v>
                </c:pt>
                <c:pt idx="14">
                  <c:v>167.72641919594628</c:v>
                </c:pt>
                <c:pt idx="15">
                  <c:v>171.05627190575942</c:v>
                </c:pt>
                <c:pt idx="16">
                  <c:v>174.32779051586206</c:v>
                </c:pt>
                <c:pt idx="17">
                  <c:v>177.56859162220249</c:v>
                </c:pt>
                <c:pt idx="18">
                  <c:v>180.80357596125106</c:v>
                </c:pt>
                <c:pt idx="19">
                  <c:v>184.05260886028555</c:v>
                </c:pt>
                <c:pt idx="20">
                  <c:v>187.3305585744466</c:v>
                </c:pt>
                <c:pt idx="21">
                  <c:v>190.64822012557545</c:v>
                </c:pt>
                <c:pt idx="22">
                  <c:v>194.01337222194027</c:v>
                </c:pt>
                <c:pt idx="23">
                  <c:v>197.43167830251127</c:v>
                </c:pt>
                <c:pt idx="24">
                  <c:v>200.90736776350974</c:v>
                </c:pt>
                <c:pt idx="25">
                  <c:v>204.44372007064914</c:v>
                </c:pt>
              </c:numCache>
            </c:numRef>
          </c:val>
          <c:extLst>
            <c:ext xmlns:c16="http://schemas.microsoft.com/office/drawing/2014/chart" uri="{C3380CC4-5D6E-409C-BE32-E72D297353CC}">
              <c16:uniqueId val="{00000005-8729-4E41-BF49-1171E0E963DD}"/>
            </c:ext>
          </c:extLst>
        </c:ser>
        <c:ser>
          <c:idx val="6"/>
          <c:order val="6"/>
          <c:tx>
            <c:strRef>
              <c:f>MAIN!$AL$1</c:f>
              <c:strCache>
                <c:ptCount val="1"/>
                <c:pt idx="0">
                  <c:v>Ro-Ro/Vehicles Carrier</c:v>
                </c:pt>
              </c:strCache>
            </c:strRef>
          </c:tx>
          <c:spPr>
            <a:solidFill>
              <a:schemeClr val="accent1">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MAIN!$AL$2:$AL$27</c:f>
              <c:numCache>
                <c:formatCode>General</c:formatCode>
                <c:ptCount val="26"/>
                <c:pt idx="0">
                  <c:v>110.7481850914975</c:v>
                </c:pt>
                <c:pt idx="1">
                  <c:v>112.73926709337651</c:v>
                </c:pt>
                <c:pt idx="2">
                  <c:v>114.79622859660741</c:v>
                </c:pt>
                <c:pt idx="3">
                  <c:v>116.93743282870345</c:v>
                </c:pt>
                <c:pt idx="4">
                  <c:v>119.18902022761426</c:v>
                </c:pt>
                <c:pt idx="5">
                  <c:v>121.58611062479153</c:v>
                </c:pt>
                <c:pt idx="6">
                  <c:v>124.17136245715997</c:v>
                </c:pt>
                <c:pt idx="7">
                  <c:v>126.9877439290465</c:v>
                </c:pt>
                <c:pt idx="8">
                  <c:v>130.06279614286854</c:v>
                </c:pt>
                <c:pt idx="9">
                  <c:v>133.38688220808751</c:v>
                </c:pt>
                <c:pt idx="10">
                  <c:v>136.89811609173597</c:v>
                </c:pt>
                <c:pt idx="11">
                  <c:v>140.49141159679078</c:v>
                </c:pt>
                <c:pt idx="12">
                  <c:v>144.05407830952277</c:v>
                </c:pt>
                <c:pt idx="13">
                  <c:v>147.50532768407513</c:v>
                </c:pt>
                <c:pt idx="14">
                  <c:v>150.81367530167367</c:v>
                </c:pt>
                <c:pt idx="15">
                  <c:v>153.98865576998449</c:v>
                </c:pt>
                <c:pt idx="16">
                  <c:v>157.06159085910735</c:v>
                </c:pt>
                <c:pt idx="17">
                  <c:v>160.06917762102137</c:v>
                </c:pt>
                <c:pt idx="18">
                  <c:v>163.04444059122929</c:v>
                </c:pt>
                <c:pt idx="19">
                  <c:v>166.01360602033446</c:v>
                </c:pt>
                <c:pt idx="20">
                  <c:v>168.99615335803091</c:v>
                </c:pt>
                <c:pt idx="21">
                  <c:v>172.00605995128259</c:v>
                </c:pt>
                <c:pt idx="22">
                  <c:v>175.05322506961593</c:v>
                </c:pt>
                <c:pt idx="23">
                  <c:v>178.14468388861746</c:v>
                </c:pt>
                <c:pt idx="24">
                  <c:v>181.28552526902683</c:v>
                </c:pt>
                <c:pt idx="25">
                  <c:v>184.4795439238153</c:v>
                </c:pt>
              </c:numCache>
            </c:numRef>
          </c:val>
          <c:extLst>
            <c:ext xmlns:c16="http://schemas.microsoft.com/office/drawing/2014/chart" uri="{C3380CC4-5D6E-409C-BE32-E72D297353CC}">
              <c16:uniqueId val="{00000006-8729-4E41-BF49-1171E0E963DD}"/>
            </c:ext>
          </c:extLst>
        </c:ser>
        <c:ser>
          <c:idx val="7"/>
          <c:order val="7"/>
          <c:tx>
            <c:strRef>
              <c:f>MAIN!$AM$1</c:f>
              <c:strCache>
                <c:ptCount val="1"/>
                <c:pt idx="0">
                  <c:v>LNG Tanker</c:v>
                </c:pt>
              </c:strCache>
            </c:strRef>
          </c:tx>
          <c:spPr>
            <a:solidFill>
              <a:schemeClr val="accent2">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MAIN!$AM$2:$AM$27</c:f>
              <c:numCache>
                <c:formatCode>General</c:formatCode>
                <c:ptCount val="26"/>
                <c:pt idx="0">
                  <c:v>198.59706183540879</c:v>
                </c:pt>
                <c:pt idx="1">
                  <c:v>202.83089295980696</c:v>
                </c:pt>
                <c:pt idx="2">
                  <c:v>207.298287596531</c:v>
                </c:pt>
                <c:pt idx="3">
                  <c:v>212.08417383806989</c:v>
                </c:pt>
                <c:pt idx="4">
                  <c:v>217.31044577134401</c:v>
                </c:pt>
                <c:pt idx="5">
                  <c:v>223.14203114720442</c:v>
                </c:pt>
                <c:pt idx="6">
                  <c:v>229.78069053161306</c:v>
                </c:pt>
                <c:pt idx="7">
                  <c:v>237.43158753496925</c:v>
                </c:pt>
                <c:pt idx="8">
                  <c:v>246.22936634202628</c:v>
                </c:pt>
                <c:pt idx="9">
                  <c:v>256.13477255241253</c:v>
                </c:pt>
                <c:pt idx="10">
                  <c:v>266.86125824742692</c:v>
                </c:pt>
                <c:pt idx="11">
                  <c:v>277.91469751849388</c:v>
                </c:pt>
                <c:pt idx="12">
                  <c:v>288.75974847825648</c:v>
                </c:pt>
                <c:pt idx="13">
                  <c:v>299.00737265992808</c:v>
                </c:pt>
                <c:pt idx="14">
                  <c:v>308.49974930553338</c:v>
                </c:pt>
                <c:pt idx="15">
                  <c:v>317.27359888146407</c:v>
                </c:pt>
                <c:pt idx="16">
                  <c:v>325.47043374174206</c:v>
                </c:pt>
                <c:pt idx="17">
                  <c:v>333.2589827610642</c:v>
                </c:pt>
                <c:pt idx="18">
                  <c:v>340.79191890277741</c:v>
                </c:pt>
                <c:pt idx="19">
                  <c:v>348.19054078301355</c:v>
                </c:pt>
                <c:pt idx="20">
                  <c:v>355.54461386897935</c:v>
                </c:pt>
                <c:pt idx="21">
                  <c:v>362.91800699798091</c:v>
                </c:pt>
                <c:pt idx="22">
                  <c:v>370.35529071268206</c:v>
                </c:pt>
                <c:pt idx="23">
                  <c:v>377.88741317696929</c:v>
                </c:pt>
                <c:pt idx="24">
                  <c:v>385.53601478170486</c:v>
                </c:pt>
                <c:pt idx="25">
                  <c:v>393.31650660070801</c:v>
                </c:pt>
              </c:numCache>
            </c:numRef>
          </c:val>
          <c:extLst>
            <c:ext xmlns:c16="http://schemas.microsoft.com/office/drawing/2014/chart" uri="{C3380CC4-5D6E-409C-BE32-E72D297353CC}">
              <c16:uniqueId val="{00000007-8729-4E41-BF49-1171E0E963DD}"/>
            </c:ext>
          </c:extLst>
        </c:ser>
        <c:ser>
          <c:idx val="8"/>
          <c:order val="8"/>
          <c:tx>
            <c:strRef>
              <c:f>MAIN!$AN$1</c:f>
              <c:strCache>
                <c:ptCount val="1"/>
                <c:pt idx="0">
                  <c:v>Other Special Craft</c:v>
                </c:pt>
              </c:strCache>
            </c:strRef>
          </c:tx>
          <c:spPr>
            <a:solidFill>
              <a:schemeClr val="accent3">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MAIN!$AN$2:$AN$27</c:f>
              <c:numCache>
                <c:formatCode>General</c:formatCode>
                <c:ptCount val="26"/>
                <c:pt idx="0">
                  <c:v>60.877048192666209</c:v>
                </c:pt>
                <c:pt idx="1">
                  <c:v>61.969015044425554</c:v>
                </c:pt>
                <c:pt idx="2">
                  <c:v>63.095720010042434</c:v>
                </c:pt>
                <c:pt idx="3">
                  <c:v>64.266468997835545</c:v>
                </c:pt>
                <c:pt idx="4">
                  <c:v>65.494497421024107</c:v>
                </c:pt>
                <c:pt idx="5">
                  <c:v>66.797577498752091</c:v>
                </c:pt>
                <c:pt idx="6">
                  <c:v>68.197290459982426</c:v>
                </c:pt>
                <c:pt idx="7">
                  <c:v>69.715374913602474</c:v>
                </c:pt>
                <c:pt idx="8">
                  <c:v>71.365777386216465</c:v>
                </c:pt>
                <c:pt idx="9">
                  <c:v>73.143664876536945</c:v>
                </c:pt>
                <c:pt idx="10">
                  <c:v>75.01781168098384</c:v>
                </c:pt>
                <c:pt idx="11">
                  <c:v>76.935170501720307</c:v>
                </c:pt>
                <c:pt idx="12">
                  <c:v>78.838853755942068</c:v>
                </c:pt>
                <c:pt idx="13">
                  <c:v>80.688090090741838</c:v>
                </c:pt>
                <c:pt idx="14">
                  <c:v>82.467015150204006</c:v>
                </c:pt>
                <c:pt idx="15">
                  <c:v>84.180486372280754</c:v>
                </c:pt>
                <c:pt idx="16">
                  <c:v>85.844368027867887</c:v>
                </c:pt>
                <c:pt idx="17">
                  <c:v>87.477240774336735</c:v>
                </c:pt>
                <c:pt idx="18">
                  <c:v>89.095831175052894</c:v>
                </c:pt>
                <c:pt idx="19">
                  <c:v>90.713432732199152</c:v>
                </c:pt>
                <c:pt idx="20">
                  <c:v>92.339931908550028</c:v>
                </c:pt>
                <c:pt idx="21">
                  <c:v>93.982436901310138</c:v>
                </c:pt>
                <c:pt idx="22">
                  <c:v>95.645997002986348</c:v>
                </c:pt>
                <c:pt idx="23">
                  <c:v>97.334215859622475</c:v>
                </c:pt>
                <c:pt idx="24">
                  <c:v>99.049715101391001</c:v>
                </c:pt>
                <c:pt idx="25">
                  <c:v>100.79446379932408</c:v>
                </c:pt>
              </c:numCache>
            </c:numRef>
          </c:val>
          <c:extLst>
            <c:ext xmlns:c16="http://schemas.microsoft.com/office/drawing/2014/chart" uri="{C3380CC4-5D6E-409C-BE32-E72D297353CC}">
              <c16:uniqueId val="{00000008-8729-4E41-BF49-1171E0E963DD}"/>
            </c:ext>
          </c:extLst>
        </c:ser>
        <c:ser>
          <c:idx val="9"/>
          <c:order val="9"/>
          <c:tx>
            <c:strRef>
              <c:f>MAIN!$AO$1</c:f>
              <c:strCache>
                <c:ptCount val="1"/>
                <c:pt idx="0">
                  <c:v>Oil/Chemical Tanker</c:v>
                </c:pt>
              </c:strCache>
            </c:strRef>
          </c:tx>
          <c:spPr>
            <a:solidFill>
              <a:schemeClr val="accent4">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MAIN!$AO$2:$AO$27</c:f>
              <c:numCache>
                <c:formatCode>General</c:formatCode>
                <c:ptCount val="26"/>
                <c:pt idx="0">
                  <c:v>4.4448390512876657</c:v>
                </c:pt>
                <c:pt idx="1">
                  <c:v>4.5340992304392449</c:v>
                </c:pt>
                <c:pt idx="2">
                  <c:v>4.6253185693567254</c:v>
                </c:pt>
                <c:pt idx="3">
                  <c:v>4.7186374047695461</c:v>
                </c:pt>
                <c:pt idx="4">
                  <c:v>4.8142428113108489</c:v>
                </c:pt>
                <c:pt idx="5">
                  <c:v>4.9123761577136138</c:v>
                </c:pt>
                <c:pt idx="6">
                  <c:v>5.0133254222219366</c:v>
                </c:pt>
                <c:pt idx="7">
                  <c:v>5.1173836821689669</c:v>
                </c:pt>
                <c:pt idx="8">
                  <c:v>5.2247573003626062</c:v>
                </c:pt>
                <c:pt idx="9">
                  <c:v>5.3354375181199654</c:v>
                </c:pt>
                <c:pt idx="10">
                  <c:v>5.4491092973558528</c:v>
                </c:pt>
                <c:pt idx="11">
                  <c:v>5.5652006779879564</c:v>
                </c:pt>
                <c:pt idx="12">
                  <c:v>5.6830894662227163</c:v>
                </c:pt>
                <c:pt idx="13">
                  <c:v>5.8023362064791089</c:v>
                </c:pt>
                <c:pt idx="14">
                  <c:v>5.9227896889789724</c:v>
                </c:pt>
                <c:pt idx="15">
                  <c:v>6.0445414074571362</c:v>
                </c:pt>
                <c:pt idx="16">
                  <c:v>6.1678140856071355</c:v>
                </c:pt>
                <c:pt idx="17">
                  <c:v>6.2928653272516044</c:v>
                </c:pt>
                <c:pt idx="18">
                  <c:v>6.4199338806721071</c:v>
                </c:pt>
                <c:pt idx="19">
                  <c:v>6.5492206299350357</c:v>
                </c:pt>
                <c:pt idx="20">
                  <c:v>6.6808884190153677</c:v>
                </c:pt>
                <c:pt idx="21">
                  <c:v>6.8150690756102756</c:v>
                </c:pt>
                <c:pt idx="22">
                  <c:v>6.9518716300798973</c:v>
                </c:pt>
                <c:pt idx="23">
                  <c:v>7.0913893887784516</c:v>
                </c:pt>
                <c:pt idx="24">
                  <c:v>7.2337053165664686</c:v>
                </c:pt>
                <c:pt idx="25">
                  <c:v>7.3788958840064369</c:v>
                </c:pt>
              </c:numCache>
            </c:numRef>
          </c:val>
          <c:extLst>
            <c:ext xmlns:c16="http://schemas.microsoft.com/office/drawing/2014/chart" uri="{C3380CC4-5D6E-409C-BE32-E72D297353CC}">
              <c16:uniqueId val="{00000009-8729-4E41-BF49-1171E0E963DD}"/>
            </c:ext>
          </c:extLst>
        </c:ser>
        <c:ser>
          <c:idx val="10"/>
          <c:order val="10"/>
          <c:tx>
            <c:strRef>
              <c:f>MAIN!$AP$1</c:f>
              <c:strCache>
                <c:ptCount val="1"/>
                <c:pt idx="0">
                  <c:v>Reefer</c:v>
                </c:pt>
              </c:strCache>
            </c:strRef>
          </c:tx>
          <c:spPr>
            <a:solidFill>
              <a:schemeClr val="accent5">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MAIN!$AP$2:$AP$27</c:f>
              <c:numCache>
                <c:formatCode>General</c:formatCode>
                <c:ptCount val="26"/>
                <c:pt idx="0">
                  <c:v>5.6627290395888474</c:v>
                </c:pt>
                <c:pt idx="1">
                  <c:v>5.7700598766512163</c:v>
                </c:pt>
                <c:pt idx="2">
                  <c:v>5.880845733550216</c:v>
                </c:pt>
                <c:pt idx="3">
                  <c:v>5.9959650660967734</c:v>
                </c:pt>
                <c:pt idx="4">
                  <c:v>6.1166668242767228</c:v>
                </c:pt>
                <c:pt idx="5">
                  <c:v>6.244629087600531</c:v>
                </c:pt>
                <c:pt idx="6">
                  <c:v>6.3818931165181585</c:v>
                </c:pt>
                <c:pt idx="7">
                  <c:v>6.5305231181035222</c:v>
                </c:pt>
                <c:pt idx="8">
                  <c:v>6.6918609521183594</c:v>
                </c:pt>
                <c:pt idx="9">
                  <c:v>6.8654911684412241</c:v>
                </c:pt>
                <c:pt idx="10">
                  <c:v>7.0485168089452603</c:v>
                </c:pt>
                <c:pt idx="11">
                  <c:v>7.2359767818197724</c:v>
                </c:pt>
                <c:pt idx="12">
                  <c:v>7.4225283176712207</c:v>
                </c:pt>
                <c:pt idx="13">
                  <c:v>7.6043258079281149</c:v>
                </c:pt>
                <c:pt idx="14">
                  <c:v>7.7798577128791324</c:v>
                </c:pt>
                <c:pt idx="15">
                  <c:v>7.9495631833590208</c:v>
                </c:pt>
                <c:pt idx="16">
                  <c:v>8.1149236100011386</c:v>
                </c:pt>
                <c:pt idx="17">
                  <c:v>8.2776834231851062</c:v>
                </c:pt>
                <c:pt idx="18">
                  <c:v>8.4394184989356837</c:v>
                </c:pt>
                <c:pt idx="19">
                  <c:v>8.6013855800493513</c:v>
                </c:pt>
                <c:pt idx="20">
                  <c:v>8.7645231156896415</c:v>
                </c:pt>
                <c:pt idx="21">
                  <c:v>8.929509375961814</c:v>
                </c:pt>
                <c:pt idx="22">
                  <c:v>9.0968295389193674</c:v>
                </c:pt>
                <c:pt idx="23">
                  <c:v>9.2668330877561687</c:v>
                </c:pt>
                <c:pt idx="24">
                  <c:v>9.439777300453521</c:v>
                </c:pt>
                <c:pt idx="25">
                  <c:v>9.6158582063450559</c:v>
                </c:pt>
              </c:numCache>
            </c:numRef>
          </c:val>
          <c:extLst>
            <c:ext xmlns:c16="http://schemas.microsoft.com/office/drawing/2014/chart" uri="{C3380CC4-5D6E-409C-BE32-E72D297353CC}">
              <c16:uniqueId val="{0000000A-8729-4E41-BF49-1171E0E963DD}"/>
            </c:ext>
          </c:extLst>
        </c:ser>
        <c:ser>
          <c:idx val="11"/>
          <c:order val="11"/>
          <c:tx>
            <c:strRef>
              <c:f>MAIN!$AQ$1</c:f>
              <c:strCache>
                <c:ptCount val="1"/>
                <c:pt idx="0">
                  <c:v>Bulk Carrier</c:v>
                </c:pt>
              </c:strCache>
            </c:strRef>
          </c:tx>
          <c:spPr>
            <a:solidFill>
              <a:schemeClr val="accent6">
                <a:lumMod val="6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MAIN!$AQ$2:$AQ$27</c:f>
              <c:numCache>
                <c:formatCode>General</c:formatCode>
                <c:ptCount val="26"/>
                <c:pt idx="0">
                  <c:v>1.739706950317417</c:v>
                </c:pt>
                <c:pt idx="1">
                  <c:v>1.7726811932867301</c:v>
                </c:pt>
                <c:pt idx="2">
                  <c:v>1.8067168894849106</c:v>
                </c:pt>
                <c:pt idx="3">
                  <c:v>1.8420839186235127</c:v>
                </c:pt>
                <c:pt idx="4">
                  <c:v>1.87916598385269</c:v>
                </c:pt>
                <c:pt idx="5">
                  <c:v>1.918478625747867</c:v>
                </c:pt>
                <c:pt idx="6">
                  <c:v>1.960648961546577</c:v>
                </c:pt>
                <c:pt idx="7">
                  <c:v>2.0063111581616777</c:v>
                </c:pt>
                <c:pt idx="8">
                  <c:v>2.0558774625393896</c:v>
                </c:pt>
                <c:pt idx="9">
                  <c:v>2.109220239848745</c:v>
                </c:pt>
                <c:pt idx="10">
                  <c:v>2.1654494849079935</c:v>
                </c:pt>
                <c:pt idx="11">
                  <c:v>2.2230410481694745</c:v>
                </c:pt>
                <c:pt idx="12">
                  <c:v>2.2803535208737511</c:v>
                </c:pt>
                <c:pt idx="13">
                  <c:v>2.3362054528908169</c:v>
                </c:pt>
                <c:pt idx="14">
                  <c:v>2.3901324681004152</c:v>
                </c:pt>
                <c:pt idx="15">
                  <c:v>2.4422694826806115</c:v>
                </c:pt>
                <c:pt idx="16">
                  <c:v>2.4930716103341788</c:v>
                </c:pt>
                <c:pt idx="17">
                  <c:v>2.5430747759896315</c:v>
                </c:pt>
                <c:pt idx="18">
                  <c:v>2.5927631212073337</c:v>
                </c:pt>
                <c:pt idx="19">
                  <c:v>2.6425227432493106</c:v>
                </c:pt>
                <c:pt idx="20">
                  <c:v>2.692641953020237</c:v>
                </c:pt>
                <c:pt idx="21">
                  <c:v>2.7433291290612813</c:v>
                </c:pt>
                <c:pt idx="22">
                  <c:v>2.7947333280597619</c:v>
                </c:pt>
                <c:pt idx="23">
                  <c:v>2.8469619184483079</c:v>
                </c:pt>
                <c:pt idx="24">
                  <c:v>2.9000939413198461</c:v>
                </c:pt>
                <c:pt idx="25">
                  <c:v>2.9541896209216967</c:v>
                </c:pt>
              </c:numCache>
            </c:numRef>
          </c:val>
          <c:extLst>
            <c:ext xmlns:c16="http://schemas.microsoft.com/office/drawing/2014/chart" uri="{C3380CC4-5D6E-409C-BE32-E72D297353CC}">
              <c16:uniqueId val="{0000000B-8729-4E41-BF49-1171E0E963DD}"/>
            </c:ext>
          </c:extLst>
        </c:ser>
        <c:ser>
          <c:idx val="12"/>
          <c:order val="12"/>
          <c:tx>
            <c:strRef>
              <c:f>MAIN!$AR$1</c:f>
              <c:strCache>
                <c:ptCount val="1"/>
                <c:pt idx="0">
                  <c:v>LPG Tanker</c:v>
                </c:pt>
              </c:strCache>
            </c:strRef>
          </c:tx>
          <c:spPr>
            <a:solidFill>
              <a:schemeClr val="accent1">
                <a:lumMod val="80000"/>
                <a:lumOff val="2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MAIN!$AR$2:$AR$27</c:f>
              <c:numCache>
                <c:formatCode>General</c:formatCode>
                <c:ptCount val="26"/>
                <c:pt idx="0">
                  <c:v>5.0618200188849336</c:v>
                </c:pt>
                <c:pt idx="1">
                  <c:v>5.1577612825208536</c:v>
                </c:pt>
                <c:pt idx="2">
                  <c:v>5.2567909313598165</c:v>
                </c:pt>
                <c:pt idx="3">
                  <c:v>5.3596942025513243</c:v>
                </c:pt>
                <c:pt idx="4">
                  <c:v>5.4675875118724129</c:v>
                </c:pt>
                <c:pt idx="5">
                  <c:v>5.5819708668989332</c:v>
                </c:pt>
                <c:pt idx="6">
                  <c:v>5.7046689166538433</c:v>
                </c:pt>
                <c:pt idx="7">
                  <c:v>5.8375268217684972</c:v>
                </c:pt>
                <c:pt idx="8">
                  <c:v>5.9817440485350364</c:v>
                </c:pt>
                <c:pt idx="9">
                  <c:v>6.1369492329473569</c:v>
                </c:pt>
                <c:pt idx="10">
                  <c:v>6.3005528319533655</c:v>
                </c:pt>
                <c:pt idx="11">
                  <c:v>6.4681202074717818</c:v>
                </c:pt>
                <c:pt idx="12">
                  <c:v>6.634875546130039</c:v>
                </c:pt>
                <c:pt idx="13">
                  <c:v>6.7973813219021046</c:v>
                </c:pt>
                <c:pt idx="14">
                  <c:v>6.9542863943896602</c:v>
                </c:pt>
                <c:pt idx="15">
                  <c:v>7.105983313275213</c:v>
                </c:pt>
                <c:pt idx="16">
                  <c:v>7.2537962691939404</c:v>
                </c:pt>
                <c:pt idx="17">
                  <c:v>7.3992845796684215</c:v>
                </c:pt>
                <c:pt idx="18">
                  <c:v>7.5438568942656241</c:v>
                </c:pt>
                <c:pt idx="19">
                  <c:v>7.6886365946273836</c:v>
                </c:pt>
                <c:pt idx="20">
                  <c:v>7.8344625449708492</c:v>
                </c:pt>
                <c:pt idx="21">
                  <c:v>7.9819410397475075</c:v>
                </c:pt>
                <c:pt idx="22">
                  <c:v>8.1315057716109855</c:v>
                </c:pt>
                <c:pt idx="23">
                  <c:v>8.2834691378196723</c:v>
                </c:pt>
                <c:pt idx="24">
                  <c:v>8.4380611149144009</c:v>
                </c:pt>
                <c:pt idx="25">
                  <c:v>8.5954569302808146</c:v>
                </c:pt>
              </c:numCache>
            </c:numRef>
          </c:val>
          <c:extLst>
            <c:ext xmlns:c16="http://schemas.microsoft.com/office/drawing/2014/chart" uri="{C3380CC4-5D6E-409C-BE32-E72D297353CC}">
              <c16:uniqueId val="{0000000C-8729-4E41-BF49-1171E0E963DD}"/>
            </c:ext>
          </c:extLst>
        </c:ser>
        <c:ser>
          <c:idx val="13"/>
          <c:order val="13"/>
          <c:tx>
            <c:strRef>
              <c:f>MAIN!$AS$1</c:f>
              <c:strCache>
                <c:ptCount val="1"/>
                <c:pt idx="0">
                  <c:v>Ro-Ro/Passenger Vessel</c:v>
                </c:pt>
              </c:strCache>
            </c:strRef>
          </c:tx>
          <c:spPr>
            <a:solidFill>
              <a:schemeClr val="accent2">
                <a:lumMod val="80000"/>
                <a:lumOff val="2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MAIN!$AS$2:$AS$27</c:f>
              <c:numCache>
                <c:formatCode>General</c:formatCode>
                <c:ptCount val="26"/>
                <c:pt idx="0">
                  <c:v>3.9221534834004288</c:v>
                </c:pt>
                <c:pt idx="1">
                  <c:v>3.9997874472847839</c:v>
                </c:pt>
                <c:pt idx="2">
                  <c:v>4.0817596518111312</c:v>
                </c:pt>
                <c:pt idx="3">
                  <c:v>4.1697212254952438</c:v>
                </c:pt>
                <c:pt idx="4">
                  <c:v>4.2660391223049308</c:v>
                </c:pt>
                <c:pt idx="5">
                  <c:v>4.373909597914178</c:v>
                </c:pt>
                <c:pt idx="6">
                  <c:v>4.4972305121659115</c:v>
                </c:pt>
                <c:pt idx="7">
                  <c:v>4.6399426596931335</c:v>
                </c:pt>
                <c:pt idx="8">
                  <c:v>4.804586971957316</c:v>
                </c:pt>
                <c:pt idx="9">
                  <c:v>4.9903009686932549</c:v>
                </c:pt>
                <c:pt idx="10">
                  <c:v>5.1914167985143038</c:v>
                </c:pt>
                <c:pt idx="11">
                  <c:v>5.3982691763862336</c:v>
                </c:pt>
                <c:pt idx="12">
                  <c:v>5.6004523117362588</c:v>
                </c:pt>
                <c:pt idx="13">
                  <c:v>5.7904570006788356</c:v>
                </c:pt>
                <c:pt idx="14">
                  <c:v>5.965290712570968</c:v>
                </c:pt>
                <c:pt idx="15">
                  <c:v>6.1257354030095321</c:v>
                </c:pt>
                <c:pt idx="16">
                  <c:v>6.2745888731142934</c:v>
                </c:pt>
                <c:pt idx="17">
                  <c:v>6.4151563370870281</c:v>
                </c:pt>
                <c:pt idx="18">
                  <c:v>6.5504148978982597</c:v>
                </c:pt>
                <c:pt idx="19">
                  <c:v>6.6827220223719648</c:v>
                </c:pt>
                <c:pt idx="20">
                  <c:v>6.8138171376081269</c:v>
                </c:pt>
                <c:pt idx="21">
                  <c:v>6.9449341023807847</c:v>
                </c:pt>
                <c:pt idx="22">
                  <c:v>7.0769310476746385</c:v>
                </c:pt>
                <c:pt idx="23">
                  <c:v>7.2104014592707566</c:v>
                </c:pt>
                <c:pt idx="24">
                  <c:v>7.3457583374973918</c:v>
                </c:pt>
                <c:pt idx="25">
                  <c:v>7.4832940948265234</c:v>
                </c:pt>
              </c:numCache>
            </c:numRef>
          </c:val>
          <c:extLst>
            <c:ext xmlns:c16="http://schemas.microsoft.com/office/drawing/2014/chart" uri="{C3380CC4-5D6E-409C-BE32-E72D297353CC}">
              <c16:uniqueId val="{0000000D-8729-4E41-BF49-1171E0E963DD}"/>
            </c:ext>
          </c:extLst>
        </c:ser>
        <c:ser>
          <c:idx val="14"/>
          <c:order val="14"/>
          <c:tx>
            <c:strRef>
              <c:f>MAIN!$AT$1</c:f>
              <c:strCache>
                <c:ptCount val="1"/>
                <c:pt idx="0">
                  <c:v>Crude Oil Tanker</c:v>
                </c:pt>
              </c:strCache>
            </c:strRef>
          </c:tx>
          <c:spPr>
            <a:solidFill>
              <a:schemeClr val="accent3">
                <a:lumMod val="80000"/>
                <a:lumOff val="2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MAIN!$AT$2:$AT$27</c:f>
              <c:numCache>
                <c:formatCode>General</c:formatCode>
                <c:ptCount val="26"/>
                <c:pt idx="0">
                  <c:v>54.087614848118321</c:v>
                </c:pt>
                <c:pt idx="1">
                  <c:v>55.057797934491852</c:v>
                </c:pt>
                <c:pt idx="2">
                  <c:v>56.058844897788802</c:v>
                </c:pt>
                <c:pt idx="3">
                  <c:v>57.099023786475556</c:v>
                </c:pt>
                <c:pt idx="4">
                  <c:v>58.190093908104188</c:v>
                </c:pt>
                <c:pt idx="5">
                  <c:v>59.347845399887234</c:v>
                </c:pt>
                <c:pt idx="6">
                  <c:v>60.591452601493728</c:v>
                </c:pt>
                <c:pt idx="7">
                  <c:v>61.940229680409487</c:v>
                </c:pt>
                <c:pt idx="8">
                  <c:v>63.406567749243138</c:v>
                </c:pt>
                <c:pt idx="9">
                  <c:v>64.986172816745835</c:v>
                </c:pt>
                <c:pt idx="10">
                  <c:v>66.651301687760409</c:v>
                </c:pt>
                <c:pt idx="11">
                  <c:v>68.354823269382223</c:v>
                </c:pt>
                <c:pt idx="12">
                  <c:v>70.046194479124324</c:v>
                </c:pt>
                <c:pt idx="13">
                  <c:v>71.689191069945309</c:v>
                </c:pt>
                <c:pt idx="14">
                  <c:v>73.269717989636632</c:v>
                </c:pt>
                <c:pt idx="15">
                  <c:v>74.792090940764496</c:v>
                </c:pt>
                <c:pt idx="16">
                  <c:v>76.270404899999619</c:v>
                </c:pt>
                <c:pt idx="17">
                  <c:v>77.72116828010769</c:v>
                </c:pt>
                <c:pt idx="18">
                  <c:v>79.159242181354173</c:v>
                </c:pt>
                <c:pt idx="19">
                  <c:v>80.596437521767939</c:v>
                </c:pt>
                <c:pt idx="20">
                  <c:v>82.04153815678599</c:v>
                </c:pt>
                <c:pt idx="21">
                  <c:v>83.500859527844582</c:v>
                </c:pt>
                <c:pt idx="22">
                  <c:v>84.978887795105351</c:v>
                </c:pt>
                <c:pt idx="23">
                  <c:v>86.478824700851476</c:v>
                </c:pt>
                <c:pt idx="24">
                  <c:v>88.002999492759258</c:v>
                </c:pt>
                <c:pt idx="25">
                  <c:v>89.553161637314901</c:v>
                </c:pt>
              </c:numCache>
            </c:numRef>
          </c:val>
          <c:extLst>
            <c:ext xmlns:c16="http://schemas.microsoft.com/office/drawing/2014/chart" uri="{C3380CC4-5D6E-409C-BE32-E72D297353CC}">
              <c16:uniqueId val="{0000000E-8729-4E41-BF49-1171E0E963DD}"/>
            </c:ext>
          </c:extLst>
        </c:ser>
        <c:ser>
          <c:idx val="15"/>
          <c:order val="15"/>
          <c:tx>
            <c:strRef>
              <c:f>MAIN!$AU$1</c:f>
              <c:strCache>
                <c:ptCount val="1"/>
                <c:pt idx="0">
                  <c:v>Oil Products Tanker</c:v>
                </c:pt>
              </c:strCache>
            </c:strRef>
          </c:tx>
          <c:spPr>
            <a:solidFill>
              <a:schemeClr val="accent4">
                <a:lumMod val="80000"/>
                <a:lumOff val="2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MAIN!$AU$2:$AU$27</c:f>
              <c:numCache>
                <c:formatCode>General</c:formatCode>
                <c:ptCount val="26"/>
                <c:pt idx="0">
                  <c:v>21.54349318047257</c:v>
                </c:pt>
                <c:pt idx="1">
                  <c:v>21.951826537082447</c:v>
                </c:pt>
                <c:pt idx="2">
                  <c:v>22.373304297347968</c:v>
                </c:pt>
                <c:pt idx="3">
                  <c:v>22.811268490640426</c:v>
                </c:pt>
                <c:pt idx="4">
                  <c:v>23.270470667901861</c:v>
                </c:pt>
                <c:pt idx="5">
                  <c:v>23.757294976111115</c:v>
                </c:pt>
                <c:pt idx="6">
                  <c:v>24.279507261077836</c:v>
                </c:pt>
                <c:pt idx="7">
                  <c:v>24.844960667585948</c:v>
                </c:pt>
                <c:pt idx="8">
                  <c:v>25.458760215922311</c:v>
                </c:pt>
                <c:pt idx="9">
                  <c:v>26.119325352471243</c:v>
                </c:pt>
                <c:pt idx="10">
                  <c:v>26.8156347839281</c:v>
                </c:pt>
                <c:pt idx="11">
                  <c:v>27.528814351412201</c:v>
                </c:pt>
                <c:pt idx="12">
                  <c:v>28.238537827906523</c:v>
                </c:pt>
                <c:pt idx="13">
                  <c:v>28.930174839706886</c:v>
                </c:pt>
                <c:pt idx="14">
                  <c:v>29.597974829928958</c:v>
                </c:pt>
                <c:pt idx="15">
                  <c:v>30.243608520047701</c:v>
                </c:pt>
                <c:pt idx="16">
                  <c:v>30.872711766694167</c:v>
                </c:pt>
                <c:pt idx="17">
                  <c:v>31.491921144517107</c:v>
                </c:pt>
                <c:pt idx="18">
                  <c:v>32.10723197382157</c:v>
                </c:pt>
                <c:pt idx="19">
                  <c:v>32.723425452802978</c:v>
                </c:pt>
                <c:pt idx="20">
                  <c:v>33.344071851734476</c:v>
                </c:pt>
                <c:pt idx="21">
                  <c:v>33.971751606177278</c:v>
                </c:pt>
                <c:pt idx="22">
                  <c:v>34.608310545238467</c:v>
                </c:pt>
                <c:pt idx="23">
                  <c:v>35.255078255545101</c:v>
                </c:pt>
                <c:pt idx="24">
                  <c:v>35.91303353484593</c:v>
                </c:pt>
                <c:pt idx="25">
                  <c:v>36.582922164297486</c:v>
                </c:pt>
              </c:numCache>
            </c:numRef>
          </c:val>
          <c:extLst>
            <c:ext xmlns:c16="http://schemas.microsoft.com/office/drawing/2014/chart" uri="{C3380CC4-5D6E-409C-BE32-E72D297353CC}">
              <c16:uniqueId val="{0000000F-8729-4E41-BF49-1171E0E963DD}"/>
            </c:ext>
          </c:extLst>
        </c:ser>
        <c:ser>
          <c:idx val="16"/>
          <c:order val="16"/>
          <c:tx>
            <c:strRef>
              <c:f>MAIN!$AV$1</c:f>
              <c:strCache>
                <c:ptCount val="1"/>
                <c:pt idx="0">
                  <c:v>Heavy Load Carrier</c:v>
                </c:pt>
              </c:strCache>
            </c:strRef>
          </c:tx>
          <c:spPr>
            <a:solidFill>
              <a:schemeClr val="accent5">
                <a:lumMod val="80000"/>
                <a:lumOff val="2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MAIN!$AV$2:$AV$27</c:f>
              <c:numCache>
                <c:formatCode>General</c:formatCode>
                <c:ptCount val="26"/>
                <c:pt idx="0">
                  <c:v>36.664777637605233</c:v>
                </c:pt>
                <c:pt idx="1">
                  <c:v>37.359718406806429</c:v>
                </c:pt>
                <c:pt idx="2">
                  <c:v>38.077029579598879</c:v>
                </c:pt>
                <c:pt idx="3">
                  <c:v>38.822398941279566</c:v>
                </c:pt>
                <c:pt idx="4">
                  <c:v>39.60391313579543</c:v>
                </c:pt>
                <c:pt idx="5">
                  <c:v>40.432437315209945</c:v>
                </c:pt>
                <c:pt idx="6">
                  <c:v>41.321188138836149</c:v>
                </c:pt>
                <c:pt idx="7">
                  <c:v>42.283530839732876</c:v>
                </c:pt>
                <c:pt idx="8">
                  <c:v>43.328153629792496</c:v>
                </c:pt>
                <c:pt idx="9">
                  <c:v>44.452366571669252</c:v>
                </c:pt>
                <c:pt idx="10">
                  <c:v>45.637412574073068</c:v>
                </c:pt>
                <c:pt idx="11">
                  <c:v>46.851169787837719</c:v>
                </c:pt>
                <c:pt idx="12">
                  <c:v>48.059045095331442</c:v>
                </c:pt>
                <c:pt idx="13">
                  <c:v>49.236139126980127</c:v>
                </c:pt>
                <c:pt idx="14">
                  <c:v>50.372665034954998</c:v>
                </c:pt>
                <c:pt idx="15">
                  <c:v>51.471466212890569</c:v>
                </c:pt>
                <c:pt idx="16">
                  <c:v>52.542134300751812</c:v>
                </c:pt>
                <c:pt idx="17">
                  <c:v>53.59596405615919</c:v>
                </c:pt>
                <c:pt idx="18">
                  <c:v>54.643158888745916</c:v>
                </c:pt>
                <c:pt idx="19">
                  <c:v>55.691855898990944</c:v>
                </c:pt>
                <c:pt idx="20">
                  <c:v>56.748131314392502</c:v>
                </c:pt>
                <c:pt idx="21">
                  <c:v>57.816376767044147</c:v>
                </c:pt>
                <c:pt idx="22">
                  <c:v>58.899733665500321</c:v>
                </c:pt>
                <c:pt idx="23">
                  <c:v>60.000464827476883</c:v>
                </c:pt>
                <c:pt idx="24">
                  <c:v>61.120236064618673</c:v>
                </c:pt>
                <c:pt idx="25">
                  <c:v>62.260316618642484</c:v>
                </c:pt>
              </c:numCache>
            </c:numRef>
          </c:val>
          <c:extLst>
            <c:ext xmlns:c16="http://schemas.microsoft.com/office/drawing/2014/chart" uri="{C3380CC4-5D6E-409C-BE32-E72D297353CC}">
              <c16:uniqueId val="{00000010-8729-4E41-BF49-1171E0E963DD}"/>
            </c:ext>
          </c:extLst>
        </c:ser>
        <c:ser>
          <c:idx val="17"/>
          <c:order val="17"/>
          <c:tx>
            <c:strRef>
              <c:f>MAIN!$AW$1</c:f>
              <c:strCache>
                <c:ptCount val="1"/>
                <c:pt idx="0">
                  <c:v>Landing Craft</c:v>
                </c:pt>
              </c:strCache>
            </c:strRef>
          </c:tx>
          <c:spPr>
            <a:solidFill>
              <a:schemeClr val="accent6">
                <a:lumMod val="80000"/>
                <a:lumOff val="2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MAIN!$AW$2:$AW$27</c:f>
              <c:numCache>
                <c:formatCode>General</c:formatCode>
                <c:ptCount val="26"/>
                <c:pt idx="0">
                  <c:v>9.1562724613921578</c:v>
                </c:pt>
                <c:pt idx="1">
                  <c:v>9.3298195940170459</c:v>
                </c:pt>
                <c:pt idx="2">
                  <c:v>9.5089532738283769</c:v>
                </c:pt>
                <c:pt idx="3">
                  <c:v>9.6950939079644609</c:v>
                </c:pt>
                <c:pt idx="4">
                  <c:v>9.8902609690649026</c:v>
                </c:pt>
                <c:pt idx="5">
                  <c:v>10.097167804899357</c:v>
                </c:pt>
                <c:pt idx="6">
                  <c:v>10.319115003702542</c:v>
                </c:pt>
                <c:pt idx="7">
                  <c:v>10.559440256939727</c:v>
                </c:pt>
                <c:pt idx="8">
                  <c:v>10.820313266445048</c:v>
                </c:pt>
                <c:pt idx="9">
                  <c:v>11.101062275812804</c:v>
                </c:pt>
                <c:pt idx="10">
                  <c:v>11.397003088124293</c:v>
                </c:pt>
                <c:pt idx="11">
                  <c:v>11.700113933662621</c:v>
                </c:pt>
                <c:pt idx="12">
                  <c:v>12.001755894350719</c:v>
                </c:pt>
                <c:pt idx="13">
                  <c:v>12.295710865876297</c:v>
                </c:pt>
                <c:pt idx="14">
                  <c:v>12.579534784725752</c:v>
                </c:pt>
                <c:pt idx="15">
                  <c:v>12.853937729849786</c:v>
                </c:pt>
                <c:pt idx="16">
                  <c:v>13.121315015621747</c:v>
                </c:pt>
                <c:pt idx="17">
                  <c:v>13.384487274943877</c:v>
                </c:pt>
                <c:pt idx="18">
                  <c:v>13.646002599054061</c:v>
                </c:pt>
                <c:pt idx="19">
                  <c:v>13.907893061070734</c:v>
                </c:pt>
                <c:pt idx="20">
                  <c:v>14.171676073565182</c:v>
                </c:pt>
                <c:pt idx="21">
                  <c:v>14.438448356130172</c:v>
                </c:pt>
                <c:pt idx="22">
                  <c:v>14.708994410799802</c:v>
                </c:pt>
                <c:pt idx="23">
                  <c:v>14.983879329656233</c:v>
                </c:pt>
                <c:pt idx="24">
                  <c:v>15.263519114821181</c:v>
                </c:pt>
                <c:pt idx="25">
                  <c:v>15.548230733251136</c:v>
                </c:pt>
              </c:numCache>
            </c:numRef>
          </c:val>
          <c:extLst>
            <c:ext xmlns:c16="http://schemas.microsoft.com/office/drawing/2014/chart" uri="{C3380CC4-5D6E-409C-BE32-E72D297353CC}">
              <c16:uniqueId val="{00000011-8729-4E41-BF49-1171E0E963DD}"/>
            </c:ext>
          </c:extLst>
        </c:ser>
        <c:ser>
          <c:idx val="18"/>
          <c:order val="18"/>
          <c:tx>
            <c:strRef>
              <c:f>MAIN!$AX$1</c:f>
              <c:strCache>
                <c:ptCount val="1"/>
                <c:pt idx="0">
                  <c:v>High Speed Craft</c:v>
                </c:pt>
              </c:strCache>
            </c:strRef>
          </c:tx>
          <c:spPr>
            <a:solidFill>
              <a:schemeClr val="accent1">
                <a:lumMod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MAIN!$AX$2:$AX$27</c:f>
              <c:numCache>
                <c:formatCode>General</c:formatCode>
                <c:ptCount val="26"/>
                <c:pt idx="0">
                  <c:v>23.940914614338261</c:v>
                </c:pt>
                <c:pt idx="1">
                  <c:v>24.370348792502103</c:v>
                </c:pt>
                <c:pt idx="2">
                  <c:v>24.813444313362698</c:v>
                </c:pt>
                <c:pt idx="3">
                  <c:v>25.27386088058638</c:v>
                </c:pt>
                <c:pt idx="4">
                  <c:v>25.756803541184681</c:v>
                </c:pt>
                <c:pt idx="5">
                  <c:v>26.269261516771767</c:v>
                </c:pt>
                <c:pt idx="6">
                  <c:v>26.819721985606307</c:v>
                </c:pt>
                <c:pt idx="7">
                  <c:v>27.416734018227338</c:v>
                </c:pt>
                <c:pt idx="8">
                  <c:v>28.065782318846225</c:v>
                </c:pt>
                <c:pt idx="9">
                  <c:v>28.764966229093542</c:v>
                </c:pt>
                <c:pt idx="10">
                  <c:v>29.502005720200195</c:v>
                </c:pt>
                <c:pt idx="11">
                  <c:v>30.256039057477384</c:v>
                </c:pt>
                <c:pt idx="12">
                  <c:v>31.004694250117936</c:v>
                </c:pt>
                <c:pt idx="13">
                  <c:v>31.731937283536009</c:v>
                </c:pt>
                <c:pt idx="14">
                  <c:v>32.431529235154663</c:v>
                </c:pt>
                <c:pt idx="15">
                  <c:v>33.105380373469323</c:v>
                </c:pt>
                <c:pt idx="16">
                  <c:v>33.759729587621514</c:v>
                </c:pt>
                <c:pt idx="17">
                  <c:v>34.401884031042769</c:v>
                </c:pt>
                <c:pt idx="18">
                  <c:v>35.038421703771142</c:v>
                </c:pt>
                <c:pt idx="19">
                  <c:v>35.674570497272029</c:v>
                </c:pt>
                <c:pt idx="20">
                  <c:v>36.314218427934982</c:v>
                </c:pt>
                <c:pt idx="21">
                  <c:v>36.960160912873512</c:v>
                </c:pt>
                <c:pt idx="22">
                  <c:v>37.614383670586783</c:v>
                </c:pt>
                <c:pt idx="23">
                  <c:v>38.278303894989364</c:v>
                </c:pt>
                <c:pt idx="24">
                  <c:v>38.952952585874641</c:v>
                </c:pt>
                <c:pt idx="25">
                  <c:v>39.639104113269582</c:v>
                </c:pt>
              </c:numCache>
            </c:numRef>
          </c:val>
          <c:extLst>
            <c:ext xmlns:c16="http://schemas.microsoft.com/office/drawing/2014/chart" uri="{C3380CC4-5D6E-409C-BE32-E72D297353CC}">
              <c16:uniqueId val="{00000012-8729-4E41-BF49-1171E0E963DD}"/>
            </c:ext>
          </c:extLst>
        </c:ser>
        <c:ser>
          <c:idx val="19"/>
          <c:order val="19"/>
          <c:tx>
            <c:strRef>
              <c:f>MAIN!$AY$1</c:f>
              <c:strCache>
                <c:ptCount val="1"/>
                <c:pt idx="0">
                  <c:v>Other Cargo</c:v>
                </c:pt>
              </c:strCache>
            </c:strRef>
          </c:tx>
          <c:spPr>
            <a:solidFill>
              <a:schemeClr val="accent2">
                <a:lumMod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MAIN!$AY$2:$AY$27</c:f>
              <c:numCache>
                <c:formatCode>General</c:formatCode>
                <c:ptCount val="26"/>
                <c:pt idx="0">
                  <c:v>1.5071681239534449</c:v>
                </c:pt>
                <c:pt idx="1">
                  <c:v>1.5380313726868136</c:v>
                </c:pt>
                <c:pt idx="2">
                  <c:v>1.569913623330395</c:v>
                </c:pt>
                <c:pt idx="3">
                  <c:v>1.6030535127163208</c:v>
                </c:pt>
                <c:pt idx="4">
                  <c:v>1.6377902398291586</c:v>
                </c:pt>
                <c:pt idx="5">
                  <c:v>1.6745800456524136</c:v>
                </c:pt>
                <c:pt idx="6">
                  <c:v>1.7139793802421361</c:v>
                </c:pt>
                <c:pt idx="7">
                  <c:v>1.7565541349134863</c:v>
                </c:pt>
                <c:pt idx="8">
                  <c:v>1.8026789242895838</c:v>
                </c:pt>
                <c:pt idx="9">
                  <c:v>1.8522563843864259</c:v>
                </c:pt>
                <c:pt idx="10">
                  <c:v>1.9045178871685935</c:v>
                </c:pt>
                <c:pt idx="11">
                  <c:v>1.9581313849650375</c:v>
                </c:pt>
                <c:pt idx="12">
                  <c:v>2.0116531392209867</c:v>
                </c:pt>
                <c:pt idx="13">
                  <c:v>2.0640368981329242</c:v>
                </c:pt>
                <c:pt idx="14">
                  <c:v>2.1148644697785812</c:v>
                </c:pt>
                <c:pt idx="15">
                  <c:v>2.1642461388117837</c:v>
                </c:pt>
                <c:pt idx="16">
                  <c:v>2.2125769740282522</c:v>
                </c:pt>
                <c:pt idx="17">
                  <c:v>2.2603261920670814</c:v>
                </c:pt>
                <c:pt idx="18">
                  <c:v>2.3079196642215725</c:v>
                </c:pt>
                <c:pt idx="19">
                  <c:v>2.3556983270334841</c:v>
                </c:pt>
                <c:pt idx="20">
                  <c:v>2.4039177560314142</c:v>
                </c:pt>
                <c:pt idx="21">
                  <c:v>2.4527634756149466</c:v>
                </c:pt>
                <c:pt idx="22">
                  <c:v>2.5023688806312747</c:v>
                </c:pt>
                <c:pt idx="23">
                  <c:v>2.5528306533666196</c:v>
                </c:pt>
                <c:pt idx="24">
                  <c:v>2.60422048423258</c:v>
                </c:pt>
                <c:pt idx="25">
                  <c:v>2.6565934360004921</c:v>
                </c:pt>
              </c:numCache>
            </c:numRef>
          </c:val>
          <c:extLst>
            <c:ext xmlns:c16="http://schemas.microsoft.com/office/drawing/2014/chart" uri="{C3380CC4-5D6E-409C-BE32-E72D297353CC}">
              <c16:uniqueId val="{00000013-8729-4E41-BF49-1171E0E963DD}"/>
            </c:ext>
          </c:extLst>
        </c:ser>
        <c:ser>
          <c:idx val="20"/>
          <c:order val="20"/>
          <c:tx>
            <c:strRef>
              <c:f>MAIN!$AZ$1</c:f>
              <c:strCache>
                <c:ptCount val="1"/>
                <c:pt idx="0">
                  <c:v>Special Cargo</c:v>
                </c:pt>
              </c:strCache>
            </c:strRef>
          </c:tx>
          <c:spPr>
            <a:solidFill>
              <a:schemeClr val="accent3">
                <a:lumMod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MAIN!$AZ$2:$AZ$27</c:f>
              <c:numCache>
                <c:formatCode>General</c:formatCode>
                <c:ptCount val="26"/>
                <c:pt idx="0">
                  <c:v>0.1375060242206462</c:v>
                </c:pt>
                <c:pt idx="1">
                  <c:v>0.14018181789986092</c:v>
                </c:pt>
                <c:pt idx="2">
                  <c:v>0.14294471121194019</c:v>
                </c:pt>
                <c:pt idx="3">
                  <c:v>0.14581613585998834</c:v>
                </c:pt>
                <c:pt idx="4">
                  <c:v>0.14882657504555633</c:v>
                </c:pt>
                <c:pt idx="5">
                  <c:v>0.15201701363735171</c:v>
                </c:pt>
                <c:pt idx="6">
                  <c:v>0.15543735824189742</c:v>
                </c:pt>
                <c:pt idx="7">
                  <c:v>0.15913816822108096</c:v>
                </c:pt>
                <c:pt idx="8">
                  <c:v>0.16315248530980142</c:v>
                </c:pt>
                <c:pt idx="9">
                  <c:v>0.16747054145375145</c:v>
                </c:pt>
                <c:pt idx="10">
                  <c:v>0.17202197415766882</c:v>
                </c:pt>
                <c:pt idx="11">
                  <c:v>0.17668586385991317</c:v>
                </c:pt>
                <c:pt idx="12">
                  <c:v>0.18133171017616584</c:v>
                </c:pt>
                <c:pt idx="13">
                  <c:v>0.18586533399360206</c:v>
                </c:pt>
                <c:pt idx="14">
                  <c:v>0.19024943801361144</c:v>
                </c:pt>
                <c:pt idx="15">
                  <c:v>0.19449437093988498</c:v>
                </c:pt>
                <c:pt idx="16">
                  <c:v>0.19863600873552995</c:v>
                </c:pt>
                <c:pt idx="17">
                  <c:v>0.2027167339472456</c:v>
                </c:pt>
                <c:pt idx="18">
                  <c:v>0.20677487534560385</c:v>
                </c:pt>
                <c:pt idx="19">
                  <c:v>0.21084100542421785</c:v>
                </c:pt>
                <c:pt idx="20">
                  <c:v>0.21493794108897984</c:v>
                </c:pt>
                <c:pt idx="21">
                  <c:v>0.21908215012137949</c:v>
                </c:pt>
                <c:pt idx="22">
                  <c:v>0.22328538229555958</c:v>
                </c:pt>
                <c:pt idx="23">
                  <c:v>0.22755606743316009</c:v>
                </c:pt>
                <c:pt idx="24">
                  <c:v>0.23190037587914553</c:v>
                </c:pt>
                <c:pt idx="25">
                  <c:v>0.23632297399151159</c:v>
                </c:pt>
              </c:numCache>
            </c:numRef>
          </c:val>
          <c:extLst>
            <c:ext xmlns:c16="http://schemas.microsoft.com/office/drawing/2014/chart" uri="{C3380CC4-5D6E-409C-BE32-E72D297353CC}">
              <c16:uniqueId val="{00000014-8729-4E41-BF49-1171E0E963DD}"/>
            </c:ext>
          </c:extLst>
        </c:ser>
        <c:ser>
          <c:idx val="21"/>
          <c:order val="21"/>
          <c:tx>
            <c:strRef>
              <c:f>MAIN!$BA$1</c:f>
              <c:strCache>
                <c:ptCount val="1"/>
                <c:pt idx="0">
                  <c:v>Other Passenger</c:v>
                </c:pt>
              </c:strCache>
            </c:strRef>
          </c:tx>
          <c:spPr>
            <a:solidFill>
              <a:schemeClr val="accent4">
                <a:lumMod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MAIN!$BA$2:$BA$27</c:f>
              <c:numCache>
                <c:formatCode>General</c:formatCode>
                <c:ptCount val="26"/>
                <c:pt idx="0">
                  <c:v>0.44863749785702489</c:v>
                </c:pt>
                <c:pt idx="1">
                  <c:v>0.45668482095596485</c:v>
                </c:pt>
                <c:pt idx="2">
                  <c:v>0.46498814891952966</c:v>
                </c:pt>
                <c:pt idx="3">
                  <c:v>0.47361606226447117</c:v>
                </c:pt>
                <c:pt idx="4">
                  <c:v>0.48266610025798534</c:v>
                </c:pt>
                <c:pt idx="5">
                  <c:v>0.49226923646342396</c:v>
                </c:pt>
                <c:pt idx="6">
                  <c:v>0.5025845151979812</c:v>
                </c:pt>
                <c:pt idx="7">
                  <c:v>0.51377214060078102</c:v>
                </c:pt>
                <c:pt idx="8">
                  <c:v>0.52593489253690051</c:v>
                </c:pt>
                <c:pt idx="9">
                  <c:v>0.539037153878553</c:v>
                </c:pt>
                <c:pt idx="10">
                  <c:v>0.55284880470470288</c:v>
                </c:pt>
                <c:pt idx="11">
                  <c:v>0.56697890938893303</c:v>
                </c:pt>
                <c:pt idx="12">
                  <c:v>0.5810082310666761</c:v>
                </c:pt>
                <c:pt idx="13">
                  <c:v>0.59463630251266963</c:v>
                </c:pt>
                <c:pt idx="14">
                  <c:v>0.60774621028984099</c:v>
                </c:pt>
                <c:pt idx="15">
                  <c:v>0.62037375161361896</c:v>
                </c:pt>
                <c:pt idx="16">
                  <c:v>0.63263583929451861</c:v>
                </c:pt>
                <c:pt idx="17">
                  <c:v>0.64466940473573786</c:v>
                </c:pt>
                <c:pt idx="18">
                  <c:v>0.65659771547009738</c:v>
                </c:pt>
                <c:pt idx="19">
                  <c:v>0.66851873885531399</c:v>
                </c:pt>
                <c:pt idx="20">
                  <c:v>0.68050533384321743</c:v>
                </c:pt>
                <c:pt idx="21">
                  <c:v>0.69260988477080887</c:v>
                </c:pt>
                <c:pt idx="22">
                  <c:v>0.70486960273855204</c:v>
                </c:pt>
                <c:pt idx="23">
                  <c:v>0.71731104505814736</c:v>
                </c:pt>
                <c:pt idx="24">
                  <c:v>0.72995353200933555</c:v>
                </c:pt>
                <c:pt idx="25">
                  <c:v>0.74281157479341908</c:v>
                </c:pt>
              </c:numCache>
            </c:numRef>
          </c:val>
          <c:extLst>
            <c:ext xmlns:c16="http://schemas.microsoft.com/office/drawing/2014/chart" uri="{C3380CC4-5D6E-409C-BE32-E72D297353CC}">
              <c16:uniqueId val="{00000015-8729-4E41-BF49-1171E0E963DD}"/>
            </c:ext>
          </c:extLst>
        </c:ser>
        <c:ser>
          <c:idx val="22"/>
          <c:order val="22"/>
          <c:tx>
            <c:strRef>
              <c:f>MAIN!$BB$1</c:f>
              <c:strCache>
                <c:ptCount val="1"/>
                <c:pt idx="0">
                  <c:v>Special Passenger Vessel</c:v>
                </c:pt>
              </c:strCache>
            </c:strRef>
          </c:tx>
          <c:spPr>
            <a:solidFill>
              <a:schemeClr val="accent5">
                <a:lumMod val="80000"/>
              </a:schemeClr>
            </a:solidFill>
            <a:ln>
              <a:noFill/>
            </a:ln>
            <a:effectLst/>
          </c:spPr>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MAIN!$BB$2:$BB$27</c:f>
              <c:numCache>
                <c:formatCode>General</c:formatCode>
                <c:ptCount val="26"/>
                <c:pt idx="0">
                  <c:v>4.4417023405944747</c:v>
                </c:pt>
                <c:pt idx="1">
                  <c:v>4.5370613886881044</c:v>
                </c:pt>
                <c:pt idx="2">
                  <c:v>4.6356229018218187</c:v>
                </c:pt>
                <c:pt idx="3">
                  <c:v>4.7381000373555073</c:v>
                </c:pt>
                <c:pt idx="4">
                  <c:v>4.8455061022337613</c:v>
                </c:pt>
                <c:pt idx="5">
                  <c:v>4.9592048194762235</c:v>
                </c:pt>
                <c:pt idx="6">
                  <c:v>5.0808621333313226</c:v>
                </c:pt>
                <c:pt idx="7">
                  <c:v>5.2121783348113677</c:v>
                </c:pt>
                <c:pt idx="8">
                  <c:v>5.3542920222398882</c:v>
                </c:pt>
                <c:pt idx="9">
                  <c:v>5.5069427389024748</c:v>
                </c:pt>
                <c:pt idx="10">
                  <c:v>5.6678709838187107</c:v>
                </c:pt>
                <c:pt idx="11">
                  <c:v>5.8331296532735744</c:v>
                </c:pt>
                <c:pt idx="12">
                  <c:v>5.9984227979852998</c:v>
                </c:pt>
                <c:pt idx="13">
                  <c:v>6.1606237809603517</c:v>
                </c:pt>
                <c:pt idx="14">
                  <c:v>6.3184699747302453</c:v>
                </c:pt>
                <c:pt idx="15">
                  <c:v>6.4722741205852854</c:v>
                </c:pt>
                <c:pt idx="16">
                  <c:v>6.6232025387442244</c:v>
                </c:pt>
                <c:pt idx="17">
                  <c:v>6.7726481159015863</c:v>
                </c:pt>
                <c:pt idx="18">
                  <c:v>6.9218789733414869</c:v>
                </c:pt>
                <c:pt idx="19">
                  <c:v>7.0719129636556435</c:v>
                </c:pt>
                <c:pt idx="20">
                  <c:v>7.2235151444895322</c:v>
                </c:pt>
                <c:pt idx="21">
                  <c:v>7.3772425823202008</c:v>
                </c:pt>
                <c:pt idx="22">
                  <c:v>7.5334972889516783</c:v>
                </c:pt>
                <c:pt idx="23">
                  <c:v>7.6925719234419354</c:v>
                </c:pt>
                <c:pt idx="24">
                  <c:v>7.8546846127935721</c:v>
                </c:pt>
                <c:pt idx="25">
                  <c:v>8.0200038420699364</c:v>
                </c:pt>
              </c:numCache>
            </c:numRef>
          </c:val>
          <c:extLst>
            <c:ext xmlns:c16="http://schemas.microsoft.com/office/drawing/2014/chart" uri="{C3380CC4-5D6E-409C-BE32-E72D297353CC}">
              <c16:uniqueId val="{00000016-8729-4E41-BF49-1171E0E963DD}"/>
            </c:ext>
          </c:extLst>
        </c:ser>
        <c:dLbls>
          <c:showLegendKey val="0"/>
          <c:showVal val="0"/>
          <c:showCatName val="0"/>
          <c:showSerName val="0"/>
          <c:showPercent val="0"/>
          <c:showBubbleSize val="0"/>
        </c:dLbls>
        <c:axId val="2012454592"/>
        <c:axId val="342683424"/>
      </c:areaChart>
      <c:catAx>
        <c:axId val="201245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83424"/>
        <c:crosses val="autoZero"/>
        <c:auto val="1"/>
        <c:lblAlgn val="ctr"/>
        <c:lblOffset val="100"/>
        <c:noMultiLvlLbl val="0"/>
      </c:catAx>
      <c:valAx>
        <c:axId val="34268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545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Energy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MAIN!$B$14</c:f>
              <c:strCache>
                <c:ptCount val="1"/>
                <c:pt idx="0">
                  <c:v>2025</c:v>
                </c:pt>
              </c:strCache>
            </c:strRef>
          </c:tx>
          <c:spPr>
            <a:solidFill>
              <a:schemeClr val="accent1"/>
            </a:solidFill>
            <a:ln>
              <a:noFill/>
            </a:ln>
            <a:effectLst/>
          </c:spPr>
          <c:invertIfNegative val="0"/>
          <c:cat>
            <c:strRef>
              <c:f>MAIN!$A$15:$A$27</c:f>
              <c:strCache>
                <c:ptCount val="13"/>
                <c:pt idx="0">
                  <c:v>Hydrogen</c:v>
                </c:pt>
                <c:pt idx="1">
                  <c:v>Ammonia</c:v>
                </c:pt>
                <c:pt idx="2">
                  <c:v>Methanol</c:v>
                </c:pt>
                <c:pt idx="3">
                  <c:v>bio-LNG</c:v>
                </c:pt>
                <c:pt idx="4">
                  <c:v>bio-Ethanol</c:v>
                </c:pt>
                <c:pt idx="5">
                  <c:v>HVO</c:v>
                </c:pt>
                <c:pt idx="6">
                  <c:v>Synthetic Diesel</c:v>
                </c:pt>
                <c:pt idx="7">
                  <c:v>HFO</c:v>
                </c:pt>
                <c:pt idx="8">
                  <c:v>LFO</c:v>
                </c:pt>
                <c:pt idx="9">
                  <c:v>MDO</c:v>
                </c:pt>
                <c:pt idx="10">
                  <c:v>MGO</c:v>
                </c:pt>
                <c:pt idx="11">
                  <c:v>LNG</c:v>
                </c:pt>
                <c:pt idx="12">
                  <c:v>Electricity</c:v>
                </c:pt>
              </c:strCache>
            </c:strRef>
          </c:cat>
          <c:val>
            <c:numRef>
              <c:f>MAIN!$B$15:$B$27</c:f>
              <c:numCache>
                <c:formatCode>0</c:formatCode>
                <c:ptCount val="13"/>
                <c:pt idx="0">
                  <c:v>0</c:v>
                </c:pt>
                <c:pt idx="1">
                  <c:v>0</c:v>
                </c:pt>
                <c:pt idx="2">
                  <c:v>0</c:v>
                </c:pt>
                <c:pt idx="3">
                  <c:v>0</c:v>
                </c:pt>
                <c:pt idx="4">
                  <c:v>0</c:v>
                </c:pt>
                <c:pt idx="5">
                  <c:v>0</c:v>
                </c:pt>
                <c:pt idx="6">
                  <c:v>0</c:v>
                </c:pt>
                <c:pt idx="7">
                  <c:v>380.37772809810554</c:v>
                </c:pt>
                <c:pt idx="8">
                  <c:v>213.57532020238992</c:v>
                </c:pt>
                <c:pt idx="9">
                  <c:v>0</c:v>
                </c:pt>
                <c:pt idx="10">
                  <c:v>21.924534260915191</c:v>
                </c:pt>
                <c:pt idx="11">
                  <c:v>202.51921531880922</c:v>
                </c:pt>
                <c:pt idx="12">
                  <c:v>0</c:v>
                </c:pt>
              </c:numCache>
            </c:numRef>
          </c:val>
          <c:extLst>
            <c:ext xmlns:c16="http://schemas.microsoft.com/office/drawing/2014/chart" uri="{C3380CC4-5D6E-409C-BE32-E72D297353CC}">
              <c16:uniqueId val="{00000000-5D8F-B24F-A11F-975BDD7B1D46}"/>
            </c:ext>
          </c:extLst>
        </c:ser>
        <c:ser>
          <c:idx val="1"/>
          <c:order val="1"/>
          <c:tx>
            <c:strRef>
              <c:f>MAIN!$C$14</c:f>
              <c:strCache>
                <c:ptCount val="1"/>
                <c:pt idx="0">
                  <c:v>2050</c:v>
                </c:pt>
              </c:strCache>
            </c:strRef>
          </c:tx>
          <c:spPr>
            <a:solidFill>
              <a:schemeClr val="accent2"/>
            </a:solidFill>
            <a:ln>
              <a:noFill/>
            </a:ln>
            <a:effectLst/>
          </c:spPr>
          <c:invertIfNegative val="0"/>
          <c:cat>
            <c:strRef>
              <c:f>MAIN!$A$15:$A$27</c:f>
              <c:strCache>
                <c:ptCount val="13"/>
                <c:pt idx="0">
                  <c:v>Hydrogen</c:v>
                </c:pt>
                <c:pt idx="1">
                  <c:v>Ammonia</c:v>
                </c:pt>
                <c:pt idx="2">
                  <c:v>Methanol</c:v>
                </c:pt>
                <c:pt idx="3">
                  <c:v>bio-LNG</c:v>
                </c:pt>
                <c:pt idx="4">
                  <c:v>bio-Ethanol</c:v>
                </c:pt>
                <c:pt idx="5">
                  <c:v>HVO</c:v>
                </c:pt>
                <c:pt idx="6">
                  <c:v>Synthetic Diesel</c:v>
                </c:pt>
                <c:pt idx="7">
                  <c:v>HFO</c:v>
                </c:pt>
                <c:pt idx="8">
                  <c:v>LFO</c:v>
                </c:pt>
                <c:pt idx="9">
                  <c:v>MDO</c:v>
                </c:pt>
                <c:pt idx="10">
                  <c:v>MGO</c:v>
                </c:pt>
                <c:pt idx="11">
                  <c:v>LNG</c:v>
                </c:pt>
                <c:pt idx="12">
                  <c:v>Electricity</c:v>
                </c:pt>
              </c:strCache>
            </c:strRef>
          </c:cat>
          <c:val>
            <c:numRef>
              <c:f>MAIN!$C$15:$C$27</c:f>
              <c:numCache>
                <c:formatCode>0</c:formatCode>
                <c:ptCount val="13"/>
                <c:pt idx="0">
                  <c:v>243.21336673181273</c:v>
                </c:pt>
                <c:pt idx="1">
                  <c:v>439.45898791019113</c:v>
                </c:pt>
                <c:pt idx="2">
                  <c:v>400.56173179670668</c:v>
                </c:pt>
                <c:pt idx="3">
                  <c:v>10.099308337493451</c:v>
                </c:pt>
                <c:pt idx="4">
                  <c:v>69.478626405504571</c:v>
                </c:pt>
                <c:pt idx="5">
                  <c:v>19.35573177267397</c:v>
                </c:pt>
                <c:pt idx="6">
                  <c:v>218.66242107555576</c:v>
                </c:pt>
                <c:pt idx="7">
                  <c:v>1.3252057885260025</c:v>
                </c:pt>
                <c:pt idx="8">
                  <c:v>9.937857784791932</c:v>
                </c:pt>
                <c:pt idx="9">
                  <c:v>0</c:v>
                </c:pt>
                <c:pt idx="10">
                  <c:v>0.43953281376867936</c:v>
                </c:pt>
                <c:pt idx="11">
                  <c:v>4.0378188961497559</c:v>
                </c:pt>
                <c:pt idx="12">
                  <c:v>0.54220243250944489</c:v>
                </c:pt>
              </c:numCache>
            </c:numRef>
          </c:val>
          <c:extLst>
            <c:ext xmlns:c16="http://schemas.microsoft.com/office/drawing/2014/chart" uri="{C3380CC4-5D6E-409C-BE32-E72D297353CC}">
              <c16:uniqueId val="{00000001-5D8F-B24F-A11F-975BDD7B1D46}"/>
            </c:ext>
          </c:extLst>
        </c:ser>
        <c:dLbls>
          <c:showLegendKey val="0"/>
          <c:showVal val="0"/>
          <c:showCatName val="0"/>
          <c:showSerName val="0"/>
          <c:showPercent val="0"/>
          <c:showBubbleSize val="0"/>
        </c:dLbls>
        <c:gapWidth val="219"/>
        <c:overlap val="-27"/>
        <c:axId val="1913308240"/>
        <c:axId val="1914672048"/>
      </c:barChart>
      <c:catAx>
        <c:axId val="191330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72048"/>
        <c:crosses val="autoZero"/>
        <c:auto val="1"/>
        <c:lblAlgn val="ctr"/>
        <c:lblOffset val="100"/>
        <c:noMultiLvlLbl val="0"/>
      </c:catAx>
      <c:valAx>
        <c:axId val="1914672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30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Clean fuel shares 2050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8A-E84A-9FE1-46169AAF2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8A-E84A-9FE1-46169AAF22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8A-E84A-9FE1-46169AAF22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8A-E84A-9FE1-46169AAF22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8A-E84A-9FE1-46169AAF22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8A-E84A-9FE1-46169AAF22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8A-E84A-9FE1-46169AAF22A9}"/>
              </c:ext>
            </c:extLst>
          </c:dPt>
          <c:cat>
            <c:strRef>
              <c:f>MAIN!$A$15:$A$21</c:f>
              <c:strCache>
                <c:ptCount val="7"/>
                <c:pt idx="0">
                  <c:v>Hydrogen</c:v>
                </c:pt>
                <c:pt idx="1">
                  <c:v>Ammonia</c:v>
                </c:pt>
                <c:pt idx="2">
                  <c:v>Methanol</c:v>
                </c:pt>
                <c:pt idx="3">
                  <c:v>bio-LNG</c:v>
                </c:pt>
                <c:pt idx="4">
                  <c:v>bio-Ethanol</c:v>
                </c:pt>
                <c:pt idx="5">
                  <c:v>HVO</c:v>
                </c:pt>
                <c:pt idx="6">
                  <c:v>Synthetic Diesel</c:v>
                </c:pt>
              </c:strCache>
            </c:strRef>
          </c:cat>
          <c:val>
            <c:numRef>
              <c:f>MAIN!$C$15:$C$21</c:f>
              <c:numCache>
                <c:formatCode>0</c:formatCode>
                <c:ptCount val="7"/>
                <c:pt idx="0">
                  <c:v>243.21336673181273</c:v>
                </c:pt>
                <c:pt idx="1">
                  <c:v>439.45898791019113</c:v>
                </c:pt>
                <c:pt idx="2">
                  <c:v>400.56173179670668</c:v>
                </c:pt>
                <c:pt idx="3">
                  <c:v>10.099308337493451</c:v>
                </c:pt>
                <c:pt idx="4">
                  <c:v>69.478626405504571</c:v>
                </c:pt>
                <c:pt idx="5">
                  <c:v>19.35573177267397</c:v>
                </c:pt>
                <c:pt idx="6">
                  <c:v>218.66242107555576</c:v>
                </c:pt>
              </c:numCache>
            </c:numRef>
          </c:val>
          <c:extLst>
            <c:ext xmlns:c16="http://schemas.microsoft.com/office/drawing/2014/chart" uri="{C3380CC4-5D6E-409C-BE32-E72D297353CC}">
              <c16:uniqueId val="{00000000-F25F-5043-9570-CC39182B27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MAIN!$H$1</c:f>
              <c:strCache>
                <c:ptCount val="1"/>
                <c:pt idx="0">
                  <c:v>HFO</c:v>
                </c:pt>
              </c:strCache>
            </c:strRef>
          </c:tx>
          <c:spPr>
            <a:solidFill>
              <a:schemeClr val="bg2">
                <a:lumMod val="25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MAIN!$H$2:$H$27</c:f>
              <c:numCache>
                <c:formatCode>0</c:formatCode>
                <c:ptCount val="26"/>
                <c:pt idx="0">
                  <c:v>380.37772809810554</c:v>
                </c:pt>
                <c:pt idx="1">
                  <c:v>365.85749054447467</c:v>
                </c:pt>
                <c:pt idx="2">
                  <c:v>346.44751655876632</c:v>
                </c:pt>
                <c:pt idx="3">
                  <c:v>321.98847367192218</c:v>
                </c:pt>
                <c:pt idx="4">
                  <c:v>292.73833522076404</c:v>
                </c:pt>
                <c:pt idx="5">
                  <c:v>259.43241855548604</c:v>
                </c:pt>
                <c:pt idx="6">
                  <c:v>223.26637734765347</c:v>
                </c:pt>
                <c:pt idx="7">
                  <c:v>185.81813287594571</c:v>
                </c:pt>
                <c:pt idx="8">
                  <c:v>148.93509746205143</c:v>
                </c:pt>
                <c:pt idx="9">
                  <c:v>114.56724412704513</c:v>
                </c:pt>
                <c:pt idx="10">
                  <c:v>84.480621968659392</c:v>
                </c:pt>
                <c:pt idx="11">
                  <c:v>59.86625934521269</c:v>
                </c:pt>
                <c:pt idx="12">
                  <c:v>41.046412175065434</c:v>
                </c:pt>
                <c:pt idx="13">
                  <c:v>27.50601035205429</c:v>
                </c:pt>
                <c:pt idx="14">
                  <c:v>18.227831746763943</c:v>
                </c:pt>
                <c:pt idx="15">
                  <c:v>12.088311083429391</c:v>
                </c:pt>
                <c:pt idx="16">
                  <c:v>8.1150974244395737</c:v>
                </c:pt>
                <c:pt idx="17">
                  <c:v>5.5757934830490319</c:v>
                </c:pt>
                <c:pt idx="18">
                  <c:v>3.962768876468822</c:v>
                </c:pt>
                <c:pt idx="19">
                  <c:v>2.9408775223334707</c:v>
                </c:pt>
                <c:pt idx="20">
                  <c:v>2.2946296667311956</c:v>
                </c:pt>
                <c:pt idx="21">
                  <c:v>1.8871931419605696</c:v>
                </c:pt>
                <c:pt idx="22">
                  <c:v>1.6320349055399674</c:v>
                </c:pt>
                <c:pt idx="23">
                  <c:v>1.4743930008324762</c:v>
                </c:pt>
                <c:pt idx="24">
                  <c:v>1.379503306025877</c:v>
                </c:pt>
                <c:pt idx="25">
                  <c:v>1.3252057885260025</c:v>
                </c:pt>
              </c:numCache>
            </c:numRef>
          </c:val>
          <c:extLst>
            <c:ext xmlns:c16="http://schemas.microsoft.com/office/drawing/2014/chart" uri="{C3380CC4-5D6E-409C-BE32-E72D297353CC}">
              <c16:uniqueId val="{00000000-8866-CF40-8A3E-E1750391903B}"/>
            </c:ext>
          </c:extLst>
        </c:ser>
        <c:ser>
          <c:idx val="2"/>
          <c:order val="1"/>
          <c:tx>
            <c:strRef>
              <c:f>MAIN!$I$1</c:f>
              <c:strCache>
                <c:ptCount val="1"/>
                <c:pt idx="0">
                  <c:v>LFO</c:v>
                </c:pt>
              </c:strCache>
            </c:strRef>
          </c:tx>
          <c:spPr>
            <a:solidFill>
              <a:schemeClr val="bg2">
                <a:lumMod val="75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MAIN!$I$2:$I$27</c:f>
              <c:numCache>
                <c:formatCode>0</c:formatCode>
                <c:ptCount val="26"/>
                <c:pt idx="0">
                  <c:v>213.57532020238992</c:v>
                </c:pt>
                <c:pt idx="1">
                  <c:v>235.0412203119804</c:v>
                </c:pt>
                <c:pt idx="2">
                  <c:v>259.39734515520126</c:v>
                </c:pt>
                <c:pt idx="3">
                  <c:v>285.636990960106</c:v>
                </c:pt>
                <c:pt idx="4">
                  <c:v>311.82227921214093</c:v>
                </c:pt>
                <c:pt idx="5">
                  <c:v>334.94359427221008</c:v>
                </c:pt>
                <c:pt idx="6">
                  <c:v>351.03034364032533</c:v>
                </c:pt>
                <c:pt idx="7">
                  <c:v>355.70539032020292</c:v>
                </c:pt>
                <c:pt idx="8">
                  <c:v>345.33783408604563</c:v>
                </c:pt>
                <c:pt idx="9">
                  <c:v>318.6505537517881</c:v>
                </c:pt>
                <c:pt idx="10">
                  <c:v>278.00952788204171</c:v>
                </c:pt>
                <c:pt idx="11">
                  <c:v>229.22427952200403</c:v>
                </c:pt>
                <c:pt idx="12">
                  <c:v>179.49149889229417</c:v>
                </c:pt>
                <c:pt idx="13">
                  <c:v>134.74773765165349</c:v>
                </c:pt>
                <c:pt idx="14">
                  <c:v>98.175899227806696</c:v>
                </c:pt>
                <c:pt idx="15">
                  <c:v>70.351089934228625</c:v>
                </c:pt>
                <c:pt idx="16">
                  <c:v>50.252480496668369</c:v>
                </c:pt>
                <c:pt idx="17">
                  <c:v>36.260442431175612</c:v>
                </c:pt>
                <c:pt idx="18">
                  <c:v>26.771710663245429</c:v>
                </c:pt>
                <c:pt idx="19">
                  <c:v>20.459924977546628</c:v>
                </c:pt>
                <c:pt idx="20">
                  <c:v>16.326129933118644</c:v>
                </c:pt>
                <c:pt idx="21">
                  <c:v>13.658091643796444</c:v>
                </c:pt>
                <c:pt idx="22">
                  <c:v>11.964809731491201</c:v>
                </c:pt>
                <c:pt idx="23">
                  <c:v>10.914910967762403</c:v>
                </c:pt>
                <c:pt idx="24">
                  <c:v>10.287784045660221</c:v>
                </c:pt>
                <c:pt idx="25">
                  <c:v>9.937857784791932</c:v>
                </c:pt>
              </c:numCache>
            </c:numRef>
          </c:val>
          <c:extLst>
            <c:ext xmlns:c16="http://schemas.microsoft.com/office/drawing/2014/chart" uri="{C3380CC4-5D6E-409C-BE32-E72D297353CC}">
              <c16:uniqueId val="{00000001-8866-CF40-8A3E-E1750391903B}"/>
            </c:ext>
          </c:extLst>
        </c:ser>
        <c:ser>
          <c:idx val="3"/>
          <c:order val="2"/>
          <c:tx>
            <c:strRef>
              <c:f>MAIN!$J$1</c:f>
              <c:strCache>
                <c:ptCount val="1"/>
                <c:pt idx="0">
                  <c:v>MDO</c:v>
                </c:pt>
              </c:strCache>
            </c:strRef>
          </c:tx>
          <c:spPr>
            <a:solidFill>
              <a:schemeClr val="accent4"/>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MAIN!$J$2:$J$27</c:f>
              <c:numCache>
                <c:formatCode>General</c:formatCode>
                <c:ptCount val="26"/>
              </c:numCache>
            </c:numRef>
          </c:val>
          <c:extLst>
            <c:ext xmlns:c16="http://schemas.microsoft.com/office/drawing/2014/chart" uri="{C3380CC4-5D6E-409C-BE32-E72D297353CC}">
              <c16:uniqueId val="{00000002-8866-CF40-8A3E-E1750391903B}"/>
            </c:ext>
          </c:extLst>
        </c:ser>
        <c:ser>
          <c:idx val="4"/>
          <c:order val="3"/>
          <c:tx>
            <c:strRef>
              <c:f>MAIN!$K$1</c:f>
              <c:strCache>
                <c:ptCount val="1"/>
                <c:pt idx="0">
                  <c:v>MGO</c:v>
                </c:pt>
              </c:strCache>
            </c:strRef>
          </c:tx>
          <c:spPr>
            <a:solidFill>
              <a:srgbClr val="C00000"/>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MAIN!$K$2:$K$27</c:f>
              <c:numCache>
                <c:formatCode>0</c:formatCode>
                <c:ptCount val="26"/>
                <c:pt idx="0">
                  <c:v>21.924534260915191</c:v>
                </c:pt>
                <c:pt idx="1">
                  <c:v>22.230213908011425</c:v>
                </c:pt>
                <c:pt idx="2">
                  <c:v>22.463128676084615</c:v>
                </c:pt>
                <c:pt idx="3">
                  <c:v>22.579446425426919</c:v>
                </c:pt>
                <c:pt idx="4">
                  <c:v>22.515804265945683</c:v>
                </c:pt>
                <c:pt idx="5">
                  <c:v>22.18608528784803</c:v>
                </c:pt>
                <c:pt idx="6">
                  <c:v>21.484672912530446</c:v>
                </c:pt>
                <c:pt idx="7">
                  <c:v>20.304096677333142</c:v>
                </c:pt>
                <c:pt idx="8">
                  <c:v>18.574098905861185</c:v>
                </c:pt>
                <c:pt idx="9">
                  <c:v>16.316317761912451</c:v>
                </c:pt>
                <c:pt idx="10">
                  <c:v>13.683181322245687</c:v>
                </c:pt>
                <c:pt idx="11">
                  <c:v>10.937033513664698</c:v>
                </c:pt>
                <c:pt idx="12">
                  <c:v>8.3622512324005136</c:v>
                </c:pt>
                <c:pt idx="13">
                  <c:v>6.1660663950001915</c:v>
                </c:pt>
                <c:pt idx="14">
                  <c:v>4.4335621054933894</c:v>
                </c:pt>
                <c:pt idx="15">
                  <c:v>3.1469642739519532</c:v>
                </c:pt>
                <c:pt idx="16">
                  <c:v>2.2330483220228405</c:v>
                </c:pt>
                <c:pt idx="17">
                  <c:v>1.6041560687809953</c:v>
                </c:pt>
                <c:pt idx="18">
                  <c:v>1.1810962104919487</c:v>
                </c:pt>
                <c:pt idx="19">
                  <c:v>0.90126629020378268</c:v>
                </c:pt>
                <c:pt idx="20">
                  <c:v>0.71875360745740702</c:v>
                </c:pt>
                <c:pt idx="21">
                  <c:v>0.60136568473797847</c:v>
                </c:pt>
                <c:pt idx="22">
                  <c:v>0.52714756886692227</c:v>
                </c:pt>
                <c:pt idx="23">
                  <c:v>0.48138399339230742</c:v>
                </c:pt>
                <c:pt idx="24">
                  <c:v>0.45431974009618498</c:v>
                </c:pt>
                <c:pt idx="25">
                  <c:v>0.43953281376867936</c:v>
                </c:pt>
              </c:numCache>
            </c:numRef>
          </c:val>
          <c:extLst>
            <c:ext xmlns:c16="http://schemas.microsoft.com/office/drawing/2014/chart" uri="{C3380CC4-5D6E-409C-BE32-E72D297353CC}">
              <c16:uniqueId val="{00000003-8866-CF40-8A3E-E1750391903B}"/>
            </c:ext>
          </c:extLst>
        </c:ser>
        <c:ser>
          <c:idx val="5"/>
          <c:order val="4"/>
          <c:tx>
            <c:strRef>
              <c:f>MAIN!$L$1</c:f>
              <c:strCache>
                <c:ptCount val="1"/>
                <c:pt idx="0">
                  <c:v>LNG</c:v>
                </c:pt>
              </c:strCache>
            </c:strRef>
          </c:tx>
          <c:spPr>
            <a:solidFill>
              <a:schemeClr val="accent6"/>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MAIN!$L$2:$L$27</c:f>
              <c:numCache>
                <c:formatCode>0</c:formatCode>
                <c:ptCount val="26"/>
                <c:pt idx="0">
                  <c:v>202.51921531880922</c:v>
                </c:pt>
                <c:pt idx="1">
                  <c:v>205.29775095510291</c:v>
                </c:pt>
                <c:pt idx="2">
                  <c:v>207.40305973087385</c:v>
                </c:pt>
                <c:pt idx="3">
                  <c:v>208.43098689191649</c:v>
                </c:pt>
                <c:pt idx="4">
                  <c:v>207.79749083318754</c:v>
                </c:pt>
                <c:pt idx="5">
                  <c:v>204.70910314422522</c:v>
                </c:pt>
                <c:pt idx="6">
                  <c:v>198.19318345772399</c:v>
                </c:pt>
                <c:pt idx="7">
                  <c:v>187.2608631459106</c:v>
                </c:pt>
                <c:pt idx="8">
                  <c:v>171.26728711004296</c:v>
                </c:pt>
                <c:pt idx="9">
                  <c:v>150.4153352045513</c:v>
                </c:pt>
                <c:pt idx="10">
                  <c:v>126.11314735818333</c:v>
                </c:pt>
                <c:pt idx="11">
                  <c:v>100.7804319351381</c:v>
                </c:pt>
                <c:pt idx="12">
                  <c:v>77.037714021306812</c:v>
                </c:pt>
                <c:pt idx="13">
                  <c:v>56.792636969438973</c:v>
                </c:pt>
                <c:pt idx="14">
                  <c:v>40.826344554223894</c:v>
                </c:pt>
                <c:pt idx="15">
                  <c:v>28.972343150468035</c:v>
                </c:pt>
                <c:pt idx="16">
                  <c:v>20.553904046195981</c:v>
                </c:pt>
                <c:pt idx="17">
                  <c:v>14.762079805938814</c:v>
                </c:pt>
                <c:pt idx="18">
                  <c:v>10.866540565134919</c:v>
                </c:pt>
                <c:pt idx="19">
                  <c:v>8.2901935551802453</c:v>
                </c:pt>
                <c:pt idx="20">
                  <c:v>6.6099404693306312</c:v>
                </c:pt>
                <c:pt idx="21">
                  <c:v>5.529204028330299</c:v>
                </c:pt>
                <c:pt idx="22">
                  <c:v>4.8457742396690247</c:v>
                </c:pt>
                <c:pt idx="23">
                  <c:v>4.4241534472298527</c:v>
                </c:pt>
                <c:pt idx="24">
                  <c:v>4.1745370456609203</c:v>
                </c:pt>
                <c:pt idx="25">
                  <c:v>4.0378188961497559</c:v>
                </c:pt>
              </c:numCache>
            </c:numRef>
          </c:val>
          <c:extLst>
            <c:ext xmlns:c16="http://schemas.microsoft.com/office/drawing/2014/chart" uri="{C3380CC4-5D6E-409C-BE32-E72D297353CC}">
              <c16:uniqueId val="{00000004-8866-CF40-8A3E-E1750391903B}"/>
            </c:ext>
          </c:extLst>
        </c:ser>
        <c:ser>
          <c:idx val="6"/>
          <c:order val="5"/>
          <c:tx>
            <c:strRef>
              <c:f>MAIN!$M$1</c:f>
              <c:strCache>
                <c:ptCount val="1"/>
                <c:pt idx="0">
                  <c:v>Hydrogen (Combustion)</c:v>
                </c:pt>
              </c:strCache>
            </c:strRef>
          </c:tx>
          <c:spPr>
            <a:solidFill>
              <a:schemeClr val="tx2">
                <a:lumMod val="50000"/>
                <a:lumOff val="5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MAIN!$M$2:$M$27</c:f>
              <c:numCache>
                <c:formatCode>0</c:formatCode>
                <c:ptCount val="26"/>
                <c:pt idx="0">
                  <c:v>0</c:v>
                </c:pt>
                <c:pt idx="1">
                  <c:v>0.91768432117752352</c:v>
                </c:pt>
                <c:pt idx="2">
                  <c:v>2.3774288188702211</c:v>
                </c:pt>
                <c:pt idx="3">
                  <c:v>4.669848508193672</c:v>
                </c:pt>
                <c:pt idx="4">
                  <c:v>8.2135825962501219</c:v>
                </c:pt>
                <c:pt idx="5">
                  <c:v>13.575636870311742</c:v>
                </c:pt>
                <c:pt idx="6">
                  <c:v>21.448571415114543</c:v>
                </c:pt>
                <c:pt idx="7">
                  <c:v>32.532648112743928</c:v>
                </c:pt>
                <c:pt idx="8">
                  <c:v>47.277585594994051</c:v>
                </c:pt>
                <c:pt idx="9">
                  <c:v>65.523846549083132</c:v>
                </c:pt>
                <c:pt idx="10">
                  <c:v>86.25148497743875</c:v>
                </c:pt>
                <c:pt idx="11">
                  <c:v>107.72451933579507</c:v>
                </c:pt>
                <c:pt idx="12">
                  <c:v>128.07380469937877</c:v>
                </c:pt>
                <c:pt idx="13">
                  <c:v>145.94818251307771</c:v>
                </c:pt>
                <c:pt idx="14">
                  <c:v>160.80471603325967</c:v>
                </c:pt>
                <c:pt idx="15">
                  <c:v>172.77603325125096</c:v>
                </c:pt>
                <c:pt idx="16">
                  <c:v>182.35560036664404</c:v>
                </c:pt>
                <c:pt idx="17">
                  <c:v>190.12768962596317</c:v>
                </c:pt>
                <c:pt idx="18">
                  <c:v>196.61776457141082</c:v>
                </c:pt>
                <c:pt idx="19">
                  <c:v>202.24024525975588</c:v>
                </c:pt>
                <c:pt idx="20">
                  <c:v>207.29875789661358</c:v>
                </c:pt>
                <c:pt idx="21">
                  <c:v>212.00624549695581</c:v>
                </c:pt>
                <c:pt idx="22">
                  <c:v>216.50819734384447</c:v>
                </c:pt>
                <c:pt idx="23">
                  <c:v>220.90252635562825</c:v>
                </c:pt>
                <c:pt idx="24">
                  <c:v>225.25463009573707</c:v>
                </c:pt>
                <c:pt idx="25">
                  <c:v>229.60811009749796</c:v>
                </c:pt>
              </c:numCache>
            </c:numRef>
          </c:val>
          <c:extLst>
            <c:ext xmlns:c16="http://schemas.microsoft.com/office/drawing/2014/chart" uri="{C3380CC4-5D6E-409C-BE32-E72D297353CC}">
              <c16:uniqueId val="{00000005-8866-CF40-8A3E-E1750391903B}"/>
            </c:ext>
          </c:extLst>
        </c:ser>
        <c:ser>
          <c:idx val="7"/>
          <c:order val="6"/>
          <c:tx>
            <c:strRef>
              <c:f>MAIN!$N$1</c:f>
              <c:strCache>
                <c:ptCount val="1"/>
                <c:pt idx="0">
                  <c:v>Hydrogen (Fuel Cells)</c:v>
                </c:pt>
              </c:strCache>
            </c:strRef>
          </c:tx>
          <c:spPr>
            <a:solidFill>
              <a:schemeClr val="accent1">
                <a:lumMod val="20000"/>
                <a:lumOff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MAIN!$N$2:$N$27</c:f>
              <c:numCache>
                <c:formatCode>0</c:formatCode>
                <c:ptCount val="26"/>
                <c:pt idx="0">
                  <c:v>0</c:v>
                </c:pt>
                <c:pt idx="1">
                  <c:v>5.4420463870551355E-2</c:v>
                </c:pt>
                <c:pt idx="2">
                  <c:v>0.14098359790909773</c:v>
                </c:pt>
                <c:pt idx="3">
                  <c:v>0.27692102300518479</c:v>
                </c:pt>
                <c:pt idx="4">
                  <c:v>0.48705464718904118</c:v>
                </c:pt>
                <c:pt idx="5">
                  <c:v>0.80500205880634124</c:v>
                </c:pt>
                <c:pt idx="6">
                  <c:v>1.2718227302091947</c:v>
                </c:pt>
                <c:pt idx="7">
                  <c:v>1.9290287735645237</c:v>
                </c:pt>
                <c:pt idx="8">
                  <c:v>2.8032719592367665</c:v>
                </c:pt>
                <c:pt idx="9">
                  <c:v>3.8850756923268479</c:v>
                </c:pt>
                <c:pt idx="10">
                  <c:v>5.1139475564253285</c:v>
                </c:pt>
                <c:pt idx="11">
                  <c:v>6.3869454207997904</c:v>
                </c:pt>
                <c:pt idx="12">
                  <c:v>7.5932411755613582</c:v>
                </c:pt>
                <c:pt idx="13">
                  <c:v>8.6527277469396235</c:v>
                </c:pt>
                <c:pt idx="14">
                  <c:v>9.5332229228395331</c:v>
                </c:pt>
                <c:pt idx="15">
                  <c:v>10.242599025036421</c:v>
                </c:pt>
                <c:pt idx="16">
                  <c:v>10.810119707883494</c:v>
                </c:pt>
                <c:pt idx="17">
                  <c:v>11.270429012759216</c:v>
                </c:pt>
                <c:pt idx="18">
                  <c:v>11.654681270048613</c:v>
                </c:pt>
                <c:pt idx="19">
                  <c:v>11.987445002493402</c:v>
                </c:pt>
                <c:pt idx="20">
                  <c:v>12.28671850354695</c:v>
                </c:pt>
                <c:pt idx="21">
                  <c:v>12.56512273199494</c:v>
                </c:pt>
                <c:pt idx="22">
                  <c:v>12.83127890774005</c:v>
                </c:pt>
                <c:pt idx="23">
                  <c:v>13.090987215525782</c:v>
                </c:pt>
                <c:pt idx="24">
                  <c:v>13.3481198571133</c:v>
                </c:pt>
                <c:pt idx="25">
                  <c:v>13.605256634314763</c:v>
                </c:pt>
              </c:numCache>
            </c:numRef>
          </c:val>
          <c:extLst>
            <c:ext xmlns:c16="http://schemas.microsoft.com/office/drawing/2014/chart" uri="{C3380CC4-5D6E-409C-BE32-E72D297353CC}">
              <c16:uniqueId val="{00000006-8866-CF40-8A3E-E1750391903B}"/>
            </c:ext>
          </c:extLst>
        </c:ser>
        <c:ser>
          <c:idx val="8"/>
          <c:order val="7"/>
          <c:tx>
            <c:strRef>
              <c:f>MAIN!$O$1</c:f>
              <c:strCache>
                <c:ptCount val="1"/>
                <c:pt idx="0">
                  <c:v>Ammonia</c:v>
                </c:pt>
              </c:strCache>
            </c:strRef>
          </c:tx>
          <c:spPr>
            <a:solidFill>
              <a:schemeClr val="accent3">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MAIN!$O$2:$O$27</c:f>
              <c:numCache>
                <c:formatCode>0</c:formatCode>
                <c:ptCount val="26"/>
                <c:pt idx="0">
                  <c:v>0</c:v>
                </c:pt>
                <c:pt idx="1">
                  <c:v>1.7588069229277226</c:v>
                </c:pt>
                <c:pt idx="2">
                  <c:v>4.5562758885965744</c:v>
                </c:pt>
                <c:pt idx="3">
                  <c:v>8.949171888665667</c:v>
                </c:pt>
                <c:pt idx="4">
                  <c:v>15.739472240282344</c:v>
                </c:pt>
                <c:pt idx="5">
                  <c:v>26.01328041512939</c:v>
                </c:pt>
                <c:pt idx="6">
                  <c:v>41.097038543503913</c:v>
                </c:pt>
                <c:pt idx="7">
                  <c:v>62.331657182863275</c:v>
                </c:pt>
                <c:pt idx="8">
                  <c:v>90.577740748756241</c:v>
                </c:pt>
                <c:pt idx="9">
                  <c:v>125.52849787374247</c:v>
                </c:pt>
                <c:pt idx="10">
                  <c:v>165.22892539127756</c:v>
                </c:pt>
                <c:pt idx="11">
                  <c:v>206.35281150613204</c:v>
                </c:pt>
                <c:pt idx="12">
                  <c:v>245.3195866262964</c:v>
                </c:pt>
                <c:pt idx="13">
                  <c:v>279.54159066890236</c:v>
                </c:pt>
                <c:pt idx="14">
                  <c:v>307.97968674030818</c:v>
                </c:pt>
                <c:pt idx="15">
                  <c:v>330.88878302420687</c:v>
                </c:pt>
                <c:pt idx="16">
                  <c:v>349.21476126613402</c:v>
                </c:pt>
                <c:pt idx="17">
                  <c:v>364.07718836857345</c:v>
                </c:pt>
                <c:pt idx="18">
                  <c:v>376.48277801166455</c:v>
                </c:pt>
                <c:pt idx="19">
                  <c:v>387.22540411765249</c:v>
                </c:pt>
                <c:pt idx="20">
                  <c:v>396.88663623503504</c:v>
                </c:pt>
                <c:pt idx="21">
                  <c:v>405.87429971187646</c:v>
                </c:pt>
                <c:pt idx="22">
                  <c:v>414.46699415812782</c:v>
                </c:pt>
                <c:pt idx="23">
                  <c:v>422.85218042572291</c:v>
                </c:pt>
                <c:pt idx="24">
                  <c:v>431.15503557575829</c:v>
                </c:pt>
                <c:pt idx="25">
                  <c:v>439.45898791019113</c:v>
                </c:pt>
              </c:numCache>
            </c:numRef>
          </c:val>
          <c:extLst>
            <c:ext xmlns:c16="http://schemas.microsoft.com/office/drawing/2014/chart" uri="{C3380CC4-5D6E-409C-BE32-E72D297353CC}">
              <c16:uniqueId val="{00000007-8866-CF40-8A3E-E1750391903B}"/>
            </c:ext>
          </c:extLst>
        </c:ser>
        <c:ser>
          <c:idx val="9"/>
          <c:order val="8"/>
          <c:tx>
            <c:strRef>
              <c:f>MAIN!$P$1</c:f>
              <c:strCache>
                <c:ptCount val="1"/>
                <c:pt idx="0">
                  <c:v>Methanol</c:v>
                </c:pt>
              </c:strCache>
            </c:strRef>
          </c:tx>
          <c:spPr>
            <a:solidFill>
              <a:schemeClr val="accent2">
                <a:lumMod val="60000"/>
                <a:lumOff val="4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MAIN!$P$2:$P$27</c:f>
              <c:numCache>
                <c:formatCode>0</c:formatCode>
                <c:ptCount val="26"/>
                <c:pt idx="0">
                  <c:v>0</c:v>
                </c:pt>
                <c:pt idx="1">
                  <c:v>1.5991443360263931</c:v>
                </c:pt>
                <c:pt idx="2">
                  <c:v>4.1430585049144355</c:v>
                </c:pt>
                <c:pt idx="3">
                  <c:v>8.1383354149974423</c:v>
                </c:pt>
                <c:pt idx="4">
                  <c:v>14.314781911370851</c:v>
                </c:pt>
                <c:pt idx="5">
                  <c:v>23.660924193021302</c:v>
                </c:pt>
                <c:pt idx="6">
                  <c:v>37.38430600960826</c:v>
                </c:pt>
                <c:pt idx="7">
                  <c:v>56.706116950996645</c:v>
                </c:pt>
                <c:pt idx="8">
                  <c:v>82.411043292212852</c:v>
                </c:pt>
                <c:pt idx="9">
                  <c:v>114.22186027184051</c:v>
                </c:pt>
                <c:pt idx="10">
                  <c:v>150.36136014876902</c:v>
                </c:pt>
                <c:pt idx="11">
                  <c:v>187.80370406185409</c:v>
                </c:pt>
                <c:pt idx="12">
                  <c:v>223.29033910708731</c:v>
                </c:pt>
                <c:pt idx="13">
                  <c:v>254.46523695789989</c:v>
                </c:pt>
                <c:pt idx="14">
                  <c:v>280.3811538768141</c:v>
                </c:pt>
                <c:pt idx="15">
                  <c:v>301.26864103661273</c:v>
                </c:pt>
                <c:pt idx="16">
                  <c:v>317.98750655949112</c:v>
                </c:pt>
                <c:pt idx="17">
                  <c:v>331.55606696566224</c:v>
                </c:pt>
                <c:pt idx="18">
                  <c:v>342.89026760367631</c:v>
                </c:pt>
                <c:pt idx="19">
                  <c:v>352.71256194410932</c:v>
                </c:pt>
                <c:pt idx="20">
                  <c:v>361.5523027417683</c:v>
                </c:pt>
                <c:pt idx="21">
                  <c:v>369.78077404760108</c:v>
                </c:pt>
                <c:pt idx="22">
                  <c:v>377.65167275427268</c:v>
                </c:pt>
                <c:pt idx="23">
                  <c:v>385.33575414293659</c:v>
                </c:pt>
                <c:pt idx="24">
                  <c:v>392.94708530365261</c:v>
                </c:pt>
                <c:pt idx="25">
                  <c:v>400.56173179670668</c:v>
                </c:pt>
              </c:numCache>
            </c:numRef>
          </c:val>
          <c:extLst>
            <c:ext xmlns:c16="http://schemas.microsoft.com/office/drawing/2014/chart" uri="{C3380CC4-5D6E-409C-BE32-E72D297353CC}">
              <c16:uniqueId val="{00000008-8866-CF40-8A3E-E1750391903B}"/>
            </c:ext>
          </c:extLst>
        </c:ser>
        <c:ser>
          <c:idx val="10"/>
          <c:order val="9"/>
          <c:tx>
            <c:strRef>
              <c:f>MAIN!$Q$1</c:f>
              <c:strCache>
                <c:ptCount val="1"/>
                <c:pt idx="0">
                  <c:v>bio-LNG</c:v>
                </c:pt>
              </c:strCache>
            </c:strRef>
          </c:tx>
          <c:spPr>
            <a:solidFill>
              <a:schemeClr val="accent5">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MAIN!$Q$2:$Q$27</c:f>
              <c:numCache>
                <c:formatCode>0</c:formatCode>
                <c:ptCount val="26"/>
                <c:pt idx="0">
                  <c:v>0</c:v>
                </c:pt>
                <c:pt idx="1">
                  <c:v>4.1408169306949495E-2</c:v>
                </c:pt>
                <c:pt idx="2">
                  <c:v>0.10716313623603888</c:v>
                </c:pt>
                <c:pt idx="3">
                  <c:v>0.21027337987670741</c:v>
                </c:pt>
                <c:pt idx="4">
                  <c:v>0.36945053800887562</c:v>
                </c:pt>
                <c:pt idx="5">
                  <c:v>0.60999284796791287</c:v>
                </c:pt>
                <c:pt idx="6">
                  <c:v>0.96272570610318464</c:v>
                </c:pt>
                <c:pt idx="7">
                  <c:v>1.4586873535328562</c:v>
                </c:pt>
                <c:pt idx="8">
                  <c:v>2.1175601912747473</c:v>
                </c:pt>
                <c:pt idx="9">
                  <c:v>2.9316811068245014</c:v>
                </c:pt>
                <c:pt idx="10">
                  <c:v>3.8549621789155974</c:v>
                </c:pt>
                <c:pt idx="11">
                  <c:v>4.8095424374848319</c:v>
                </c:pt>
                <c:pt idx="12">
                  <c:v>5.7119546843238185</c:v>
                </c:pt>
                <c:pt idx="13">
                  <c:v>6.5021667159003993</c:v>
                </c:pt>
                <c:pt idx="14">
                  <c:v>7.1563737126536848</c:v>
                </c:pt>
                <c:pt idx="15">
                  <c:v>7.6809074871225285</c:v>
                </c:pt>
                <c:pt idx="16">
                  <c:v>8.0980986136388218</c:v>
                </c:pt>
                <c:pt idx="17">
                  <c:v>8.4342115714666104</c:v>
                </c:pt>
                <c:pt idx="18">
                  <c:v>8.7127933328889018</c:v>
                </c:pt>
                <c:pt idx="19">
                  <c:v>8.9523753225864464</c:v>
                </c:pt>
                <c:pt idx="20">
                  <c:v>9.1665110226693791</c:v>
                </c:pt>
                <c:pt idx="21">
                  <c:v>9.3646907280120661</c:v>
                </c:pt>
                <c:pt idx="22">
                  <c:v>9.5533881284713615</c:v>
                </c:pt>
                <c:pt idx="23">
                  <c:v>9.7369524867672332</c:v>
                </c:pt>
                <c:pt idx="24">
                  <c:v>9.9182830720589159</c:v>
                </c:pt>
                <c:pt idx="25">
                  <c:v>10.099308337493451</c:v>
                </c:pt>
              </c:numCache>
            </c:numRef>
          </c:val>
          <c:extLst>
            <c:ext xmlns:c16="http://schemas.microsoft.com/office/drawing/2014/chart" uri="{C3380CC4-5D6E-409C-BE32-E72D297353CC}">
              <c16:uniqueId val="{00000009-8866-CF40-8A3E-E1750391903B}"/>
            </c:ext>
          </c:extLst>
        </c:ser>
        <c:ser>
          <c:idx val="11"/>
          <c:order val="10"/>
          <c:tx>
            <c:strRef>
              <c:f>MAIN!$R$1</c:f>
              <c:strCache>
                <c:ptCount val="1"/>
                <c:pt idx="0">
                  <c:v>bio-Ethanol</c:v>
                </c:pt>
              </c:strCache>
            </c:strRef>
          </c:tx>
          <c:spPr>
            <a:solidFill>
              <a:schemeClr val="accent6">
                <a:lumMod val="20000"/>
                <a:lumOff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MAIN!$R$2:$R$27</c:f>
              <c:numCache>
                <c:formatCode>0</c:formatCode>
                <c:ptCount val="26"/>
                <c:pt idx="0">
                  <c:v>0</c:v>
                </c:pt>
                <c:pt idx="1">
                  <c:v>0.27757831271201189</c:v>
                </c:pt>
                <c:pt idx="2">
                  <c:v>0.71913032468172111</c:v>
                </c:pt>
                <c:pt idx="3">
                  <c:v>1.4125725061838765</c:v>
                </c:pt>
                <c:pt idx="4">
                  <c:v>2.4845541654616716</c:v>
                </c:pt>
                <c:pt idx="5">
                  <c:v>4.1066144612421169</c:v>
                </c:pt>
                <c:pt idx="6">
                  <c:v>6.4882855452727517</c:v>
                </c:pt>
                <c:pt idx="7">
                  <c:v>9.8414442586875719</c:v>
                </c:pt>
                <c:pt idx="8">
                  <c:v>14.302188970248382</c:v>
                </c:pt>
                <c:pt idx="9">
                  <c:v>19.822314403658218</c:v>
                </c:pt>
                <c:pt idx="10">
                  <c:v>26.093314656839613</c:v>
                </c:pt>
                <c:pt idx="11">
                  <c:v>32.590037545074239</c:v>
                </c:pt>
                <c:pt idx="12">
                  <c:v>38.747006223648128</c:v>
                </c:pt>
                <c:pt idx="13">
                  <c:v>44.155416624111517</c:v>
                </c:pt>
                <c:pt idx="14">
                  <c:v>48.650961813460142</c:v>
                </c:pt>
                <c:pt idx="15">
                  <c:v>52.273717872003445</c:v>
                </c:pt>
                <c:pt idx="16">
                  <c:v>55.172938625982788</c:v>
                </c:pt>
                <c:pt idx="17">
                  <c:v>57.525363134541024</c:v>
                </c:pt>
                <c:pt idx="18">
                  <c:v>59.489949166397707</c:v>
                </c:pt>
                <c:pt idx="19">
                  <c:v>61.192066645343317</c:v>
                </c:pt>
                <c:pt idx="20">
                  <c:v>62.723570195814894</c:v>
                </c:pt>
                <c:pt idx="21">
                  <c:v>64.148881373335826</c:v>
                </c:pt>
                <c:pt idx="22">
                  <c:v>65.512015267263493</c:v>
                </c:pt>
                <c:pt idx="23">
                  <c:v>66.842593520002097</c:v>
                </c:pt>
                <c:pt idx="24">
                  <c:v>68.160400545547105</c:v>
                </c:pt>
                <c:pt idx="25">
                  <c:v>69.478626405504571</c:v>
                </c:pt>
              </c:numCache>
            </c:numRef>
          </c:val>
          <c:extLst>
            <c:ext xmlns:c16="http://schemas.microsoft.com/office/drawing/2014/chart" uri="{C3380CC4-5D6E-409C-BE32-E72D297353CC}">
              <c16:uniqueId val="{0000000A-8866-CF40-8A3E-E1750391903B}"/>
            </c:ext>
          </c:extLst>
        </c:ser>
        <c:ser>
          <c:idx val="12"/>
          <c:order val="11"/>
          <c:tx>
            <c:strRef>
              <c:f>MAIN!$S$1</c:f>
              <c:strCache>
                <c:ptCount val="1"/>
                <c:pt idx="0">
                  <c:v>HVO</c:v>
                </c:pt>
              </c:strCache>
            </c:strRef>
          </c:tx>
          <c:spPr>
            <a:solidFill>
              <a:schemeClr val="accent1"/>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MAIN!$S$2:$S$27</c:f>
              <c:numCache>
                <c:formatCode>0</c:formatCode>
                <c:ptCount val="26"/>
                <c:pt idx="0">
                  <c:v>0</c:v>
                </c:pt>
                <c:pt idx="1">
                  <c:v>7.9269727500154846E-2</c:v>
                </c:pt>
                <c:pt idx="2">
                  <c:v>0.20515722861992042</c:v>
                </c:pt>
                <c:pt idx="3">
                  <c:v>0.40257413903973926</c:v>
                </c:pt>
                <c:pt idx="4">
                  <c:v>0.70735615889547199</c:v>
                </c:pt>
                <c:pt idx="5">
                  <c:v>1.1679571832450251</c:v>
                </c:pt>
                <c:pt idx="6">
                  <c:v>1.8434237112549912</c:v>
                </c:pt>
                <c:pt idx="7">
                  <c:v>2.7932211027119389</c:v>
                </c:pt>
                <c:pt idx="8">
                  <c:v>4.0550799771744428</c:v>
                </c:pt>
                <c:pt idx="9">
                  <c:v>5.6143697898525691</c:v>
                </c:pt>
                <c:pt idx="10">
                  <c:v>7.3828677563405813</c:v>
                </c:pt>
                <c:pt idx="11">
                  <c:v>9.2114810171792048</c:v>
                </c:pt>
                <c:pt idx="12">
                  <c:v>10.940350374782422</c:v>
                </c:pt>
                <c:pt idx="13">
                  <c:v>12.454474113031242</c:v>
                </c:pt>
                <c:pt idx="14">
                  <c:v>13.708222798322625</c:v>
                </c:pt>
                <c:pt idx="15">
                  <c:v>14.713688341067163</c:v>
                </c:pt>
                <c:pt idx="16">
                  <c:v>15.513613822586684</c:v>
                </c:pt>
                <c:pt idx="17">
                  <c:v>16.158287026878774</c:v>
                </c:pt>
                <c:pt idx="18">
                  <c:v>16.692798892169662</c:v>
                </c:pt>
                <c:pt idx="19">
                  <c:v>17.152639272967029</c:v>
                </c:pt>
                <c:pt idx="20">
                  <c:v>17.563766699489229</c:v>
                </c:pt>
                <c:pt idx="21">
                  <c:v>17.944358919078596</c:v>
                </c:pt>
                <c:pt idx="22">
                  <c:v>18.306816553667598</c:v>
                </c:pt>
                <c:pt idx="23">
                  <c:v>18.659471440182408</c:v>
                </c:pt>
                <c:pt idx="24">
                  <c:v>19.007878167912697</c:v>
                </c:pt>
                <c:pt idx="25">
                  <c:v>19.35573177267397</c:v>
                </c:pt>
              </c:numCache>
            </c:numRef>
          </c:val>
          <c:extLst>
            <c:ext xmlns:c16="http://schemas.microsoft.com/office/drawing/2014/chart" uri="{C3380CC4-5D6E-409C-BE32-E72D297353CC}">
              <c16:uniqueId val="{0000000B-8866-CF40-8A3E-E1750391903B}"/>
            </c:ext>
          </c:extLst>
        </c:ser>
        <c:ser>
          <c:idx val="13"/>
          <c:order val="12"/>
          <c:tx>
            <c:strRef>
              <c:f>MAIN!$T$1</c:f>
              <c:strCache>
                <c:ptCount val="1"/>
                <c:pt idx="0">
                  <c:v>Synthetic Diesel</c:v>
                </c:pt>
              </c:strCache>
            </c:strRef>
          </c:tx>
          <c:spPr>
            <a:solidFill>
              <a:srgbClr val="FF4D59"/>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MAIN!$T$2:$T$27</c:f>
              <c:numCache>
                <c:formatCode>0</c:formatCode>
                <c:ptCount val="26"/>
                <c:pt idx="0">
                  <c:v>0</c:v>
                </c:pt>
                <c:pt idx="1">
                  <c:v>0.86862643976479215</c:v>
                </c:pt>
                <c:pt idx="2">
                  <c:v>2.2509112142972123</c:v>
                </c:pt>
                <c:pt idx="3">
                  <c:v>4.4224708497908214</c:v>
                </c:pt>
                <c:pt idx="4">
                  <c:v>7.7804793560311847</c:v>
                </c:pt>
                <c:pt idx="5">
                  <c:v>12.863099531082094</c:v>
                </c:pt>
                <c:pt idx="6">
                  <c:v>20.328043925518315</c:v>
                </c:pt>
                <c:pt idx="7">
                  <c:v>30.841003799309384</c:v>
                </c:pt>
                <c:pt idx="8">
                  <c:v>44.830777852298937</c:v>
                </c:pt>
                <c:pt idx="9">
                  <c:v>62.148728539812403</c:v>
                </c:pt>
                <c:pt idx="10">
                  <c:v>81.829757500544133</c:v>
                </c:pt>
                <c:pt idx="11">
                  <c:v>102.22825938190796</c:v>
                </c:pt>
                <c:pt idx="12">
                  <c:v>121.57052354400179</c:v>
                </c:pt>
                <c:pt idx="13">
                  <c:v>138.57282013821228</c:v>
                </c:pt>
                <c:pt idx="14">
                  <c:v>152.71767631031386</c:v>
                </c:pt>
                <c:pt idx="15">
                  <c:v>164.12884671286031</c:v>
                </c:pt>
                <c:pt idx="16">
                  <c:v>173.2730852544573</c:v>
                </c:pt>
                <c:pt idx="17">
                  <c:v>180.70393423910301</c:v>
                </c:pt>
                <c:pt idx="18">
                  <c:v>186.91959724934256</c:v>
                </c:pt>
                <c:pt idx="19">
                  <c:v>192.31319493514499</c:v>
                </c:pt>
                <c:pt idx="20">
                  <c:v>197.17286656129414</c:v>
                </c:pt>
                <c:pt idx="21">
                  <c:v>201.70076833649489</c:v>
                </c:pt>
                <c:pt idx="22">
                  <c:v>206.0350693707266</c:v>
                </c:pt>
                <c:pt idx="23">
                  <c:v>210.26879082198596</c:v>
                </c:pt>
                <c:pt idx="24">
                  <c:v>214.46408826005077</c:v>
                </c:pt>
                <c:pt idx="25">
                  <c:v>218.66242107555576</c:v>
                </c:pt>
              </c:numCache>
            </c:numRef>
          </c:val>
          <c:extLst>
            <c:ext xmlns:c16="http://schemas.microsoft.com/office/drawing/2014/chart" uri="{C3380CC4-5D6E-409C-BE32-E72D297353CC}">
              <c16:uniqueId val="{0000000C-8866-CF40-8A3E-E1750391903B}"/>
            </c:ext>
          </c:extLst>
        </c:ser>
        <c:ser>
          <c:idx val="14"/>
          <c:order val="13"/>
          <c:tx>
            <c:strRef>
              <c:f>MAIN!$U$1</c:f>
              <c:strCache>
                <c:ptCount val="1"/>
                <c:pt idx="0">
                  <c:v>Electricity (Battery)</c:v>
                </c:pt>
              </c:strCache>
            </c:strRef>
          </c:tx>
          <c:spPr>
            <a:solidFill>
              <a:srgbClr val="FFE915"/>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MAIN!$U$2:$U$27</c:f>
              <c:numCache>
                <c:formatCode>0</c:formatCode>
                <c:ptCount val="26"/>
                <c:pt idx="0">
                  <c:v>0</c:v>
                </c:pt>
                <c:pt idx="1">
                  <c:v>2.0934280782060333E-3</c:v>
                </c:pt>
                <c:pt idx="2">
                  <c:v>5.4312861742014046E-3</c:v>
                </c:pt>
                <c:pt idx="3">
                  <c:v>1.0683887102363279E-2</c:v>
                </c:pt>
                <c:pt idx="4">
                  <c:v>1.8818767717234612E-2</c:v>
                </c:pt>
                <c:pt idx="5">
                  <c:v>3.1149519799890227E-2</c:v>
                </c:pt>
                <c:pt idx="6">
                  <c:v>4.9285873119394787E-2</c:v>
                </c:pt>
                <c:pt idx="7">
                  <c:v>7.486461626917057E-2</c:v>
                </c:pt>
                <c:pt idx="8">
                  <c:v>0.10895459680620415</c:v>
                </c:pt>
                <c:pt idx="9">
                  <c:v>0.15122462814577731</c:v>
                </c:pt>
                <c:pt idx="10">
                  <c:v>0.19935273564406286</c:v>
                </c:pt>
                <c:pt idx="11">
                  <c:v>0.24934581445138784</c:v>
                </c:pt>
                <c:pt idx="12">
                  <c:v>0.2968786488604569</c:v>
                </c:pt>
                <c:pt idx="13">
                  <c:v>0.33880322473299818</c:v>
                </c:pt>
                <c:pt idx="14">
                  <c:v>0.37383218625598141</c:v>
                </c:pt>
                <c:pt idx="15">
                  <c:v>0.40224362382955287</c:v>
                </c:pt>
                <c:pt idx="16">
                  <c:v>0.42515868518241517</c:v>
                </c:pt>
                <c:pt idx="17">
                  <c:v>0.44391717315214629</c:v>
                </c:pt>
                <c:pt idx="18">
                  <c:v>0.45972924337576815</c:v>
                </c:pt>
                <c:pt idx="19">
                  <c:v>0.47355210007876275</c:v>
                </c:pt>
                <c:pt idx="20">
                  <c:v>0.48608870975172536</c:v>
                </c:pt>
                <c:pt idx="21">
                  <c:v>0.49783316053179638</c:v>
                </c:pt>
                <c:pt idx="22">
                  <c:v>0.50912376301512241</c:v>
                </c:pt>
                <c:pt idx="23">
                  <c:v>0.52018872651934822</c:v>
                </c:pt>
                <c:pt idx="24">
                  <c:v>0.53118087821367665</c:v>
                </c:pt>
                <c:pt idx="25">
                  <c:v>0.54220243250944489</c:v>
                </c:pt>
              </c:numCache>
            </c:numRef>
          </c:val>
          <c:extLst>
            <c:ext xmlns:c16="http://schemas.microsoft.com/office/drawing/2014/chart" uri="{C3380CC4-5D6E-409C-BE32-E72D297353CC}">
              <c16:uniqueId val="{0000000D-8866-CF40-8A3E-E1750391903B}"/>
            </c:ext>
          </c:extLst>
        </c:ser>
        <c:dLbls>
          <c:showLegendKey val="0"/>
          <c:showVal val="0"/>
          <c:showCatName val="0"/>
          <c:showSerName val="0"/>
          <c:showPercent val="0"/>
          <c:showBubbleSize val="0"/>
        </c:dLbls>
        <c:gapWidth val="150"/>
        <c:overlap val="100"/>
        <c:axId val="1933465936"/>
        <c:axId val="1933425328"/>
      </c:barChart>
      <c:catAx>
        <c:axId val="193346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33425328"/>
        <c:crosses val="autoZero"/>
        <c:auto val="1"/>
        <c:lblAlgn val="ctr"/>
        <c:lblOffset val="100"/>
        <c:noMultiLvlLbl val="0"/>
      </c:catAx>
      <c:valAx>
        <c:axId val="193342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3346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MAIN!$AF$1</c:f>
              <c:strCache>
                <c:ptCount val="1"/>
                <c:pt idx="0">
                  <c:v>Passenger Vessel</c:v>
                </c:pt>
              </c:strCache>
            </c:strRef>
          </c:tx>
          <c:spPr>
            <a:solidFill>
              <a:schemeClr val="accent1"/>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MAIN!$AF$2:$AF$27</c:f>
              <c:numCache>
                <c:formatCode>General</c:formatCode>
                <c:ptCount val="26"/>
                <c:pt idx="0">
                  <c:v>130.67116473394779</c:v>
                </c:pt>
                <c:pt idx="1">
                  <c:v>133.15947765478788</c:v>
                </c:pt>
                <c:pt idx="2">
                  <c:v>135.6983178096049</c:v>
                </c:pt>
                <c:pt idx="3">
                  <c:v>138.29073986733326</c:v>
                </c:pt>
                <c:pt idx="4">
                  <c:v>140.94075833460158</c:v>
                </c:pt>
                <c:pt idx="5">
                  <c:v>143.65349869935469</c:v>
                </c:pt>
                <c:pt idx="6">
                  <c:v>146.43503363354287</c:v>
                </c:pt>
                <c:pt idx="7">
                  <c:v>149.29152394881046</c:v>
                </c:pt>
                <c:pt idx="8">
                  <c:v>152.22733041890197</c:v>
                </c:pt>
                <c:pt idx="9">
                  <c:v>155.24238537808705</c:v>
                </c:pt>
                <c:pt idx="10">
                  <c:v>158.33034464092134</c:v>
                </c:pt>
                <c:pt idx="11">
                  <c:v>161.47963120204196</c:v>
                </c:pt>
                <c:pt idx="12">
                  <c:v>164.67769467579308</c:v>
                </c:pt>
                <c:pt idx="13">
                  <c:v>167.9157827237909</c:v>
                </c:pt>
                <c:pt idx="14">
                  <c:v>171.19107852470415</c:v>
                </c:pt>
                <c:pt idx="15">
                  <c:v>174.5057412612386</c:v>
                </c:pt>
                <c:pt idx="16">
                  <c:v>177.86460757904527</c:v>
                </c:pt>
                <c:pt idx="17">
                  <c:v>181.27321505745917</c:v>
                </c:pt>
                <c:pt idx="18">
                  <c:v>184.73670503603361</c:v>
                </c:pt>
                <c:pt idx="19">
                  <c:v>188.25943824031611</c:v>
                </c:pt>
                <c:pt idx="20">
                  <c:v>191.84499531592093</c:v>
                </c:pt>
                <c:pt idx="21">
                  <c:v>195.49632348148711</c:v>
                </c:pt>
                <c:pt idx="22">
                  <c:v>199.21590653713926</c:v>
                </c:pt>
                <c:pt idx="23">
                  <c:v>203.00591065460347</c:v>
                </c:pt>
                <c:pt idx="24">
                  <c:v>206.8682950861149</c:v>
                </c:pt>
                <c:pt idx="25">
                  <c:v>210.80489118023957</c:v>
                </c:pt>
              </c:numCache>
            </c:numRef>
          </c:val>
          <c:extLst>
            <c:ext xmlns:c16="http://schemas.microsoft.com/office/drawing/2014/chart" uri="{C3380CC4-5D6E-409C-BE32-E72D297353CC}">
              <c16:uniqueId val="{00000000-E770-A748-82BB-206CFE5C5ED8}"/>
            </c:ext>
          </c:extLst>
        </c:ser>
        <c:ser>
          <c:idx val="1"/>
          <c:order val="1"/>
          <c:tx>
            <c:strRef>
              <c:f>MAIN!$AG$1</c:f>
              <c:strCache>
                <c:ptCount val="1"/>
                <c:pt idx="0">
                  <c:v>General Cargo</c:v>
                </c:pt>
              </c:strCache>
            </c:strRef>
          </c:tx>
          <c:spPr>
            <a:solidFill>
              <a:schemeClr val="accent2"/>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MAIN!$AG$2:$AG$27</c:f>
              <c:numCache>
                <c:formatCode>General</c:formatCode>
                <c:ptCount val="26"/>
                <c:pt idx="0">
                  <c:v>2.4794096439495958</c:v>
                </c:pt>
                <c:pt idx="1">
                  <c:v>2.5240185973316107</c:v>
                </c:pt>
                <c:pt idx="2">
                  <c:v>2.5701218411807343</c:v>
                </c:pt>
                <c:pt idx="3">
                  <c:v>2.6181408494091398</c:v>
                </c:pt>
                <c:pt idx="4">
                  <c:v>2.6686757532957688</c:v>
                </c:pt>
                <c:pt idx="5">
                  <c:v>2.7225329594071752</c:v>
                </c:pt>
                <c:pt idx="6">
                  <c:v>2.7806920496475418</c:v>
                </c:pt>
                <c:pt idx="7">
                  <c:v>2.8441397104691166</c:v>
                </c:pt>
                <c:pt idx="8">
                  <c:v>2.9135082041895011</c:v>
                </c:pt>
                <c:pt idx="9">
                  <c:v>2.9885756781448887</c:v>
                </c:pt>
                <c:pt idx="10">
                  <c:v>3.0679199298232795</c:v>
                </c:pt>
                <c:pt idx="11">
                  <c:v>3.1491262919062284</c:v>
                </c:pt>
                <c:pt idx="12">
                  <c:v>3.2296053898661312</c:v>
                </c:pt>
                <c:pt idx="13">
                  <c:v>3.3075007284801918</c:v>
                </c:pt>
                <c:pt idx="14">
                  <c:v>3.3820884796459092</c:v>
                </c:pt>
                <c:pt idx="15">
                  <c:v>3.4535871457407685</c:v>
                </c:pt>
                <c:pt idx="16">
                  <c:v>3.5227157392650348</c:v>
                </c:pt>
                <c:pt idx="17">
                  <c:v>3.5903167469266664</c:v>
                </c:pt>
                <c:pt idx="18">
                  <c:v>3.6571482712948131</c:v>
                </c:pt>
                <c:pt idx="19">
                  <c:v>3.7238122212641405</c:v>
                </c:pt>
                <c:pt idx="20">
                  <c:v>3.7907554946216204</c:v>
                </c:pt>
                <c:pt idx="21">
                  <c:v>3.8582985727301495</c:v>
                </c:pt>
                <c:pt idx="22">
                  <c:v>3.9266682349556983</c:v>
                </c:pt>
                <c:pt idx="23">
                  <c:v>3.9960254477331629</c:v>
                </c:pt>
                <c:pt idx="24">
                  <c:v>4.0664864488274617</c:v>
                </c:pt>
                <c:pt idx="25">
                  <c:v>4.1381377295987427</c:v>
                </c:pt>
              </c:numCache>
            </c:numRef>
          </c:val>
          <c:extLst>
            <c:ext xmlns:c16="http://schemas.microsoft.com/office/drawing/2014/chart" uri="{C3380CC4-5D6E-409C-BE32-E72D297353CC}">
              <c16:uniqueId val="{00000001-E770-A748-82BB-206CFE5C5ED8}"/>
            </c:ext>
          </c:extLst>
        </c:ser>
        <c:ser>
          <c:idx val="2"/>
          <c:order val="2"/>
          <c:tx>
            <c:strRef>
              <c:f>MAIN!$AH$1</c:f>
              <c:strCache>
                <c:ptCount val="1"/>
                <c:pt idx="0">
                  <c:v>Special Craft</c:v>
                </c:pt>
              </c:strCache>
            </c:strRef>
          </c:tx>
          <c:spPr>
            <a:solidFill>
              <a:schemeClr val="accent3"/>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MAIN!$AH$2:$AH$27</c:f>
              <c:numCache>
                <c:formatCode>General</c:formatCode>
                <c:ptCount val="26"/>
                <c:pt idx="0">
                  <c:v>10.60403427028317</c:v>
                </c:pt>
                <c:pt idx="1">
                  <c:v>10.820073549535543</c:v>
                </c:pt>
                <c:pt idx="2">
                  <c:v>11.042624599208882</c:v>
                </c:pt>
                <c:pt idx="3">
                  <c:v>11.273012157829045</c:v>
                </c:pt>
                <c:pt idx="4">
                  <c:v>11.513111415589982</c:v>
                </c:pt>
                <c:pt idx="5">
                  <c:v>11.765438156035374</c:v>
                </c:pt>
                <c:pt idx="6">
                  <c:v>12.033056704157369</c:v>
                </c:pt>
                <c:pt idx="7">
                  <c:v>12.319083511095132</c:v>
                </c:pt>
                <c:pt idx="8">
                  <c:v>12.625589401400228</c:v>
                </c:pt>
                <c:pt idx="9">
                  <c:v>12.952064373386566</c:v>
                </c:pt>
                <c:pt idx="10">
                  <c:v>13.294327681237903</c:v>
                </c:pt>
                <c:pt idx="11">
                  <c:v>13.645117666927737</c:v>
                </c:pt>
                <c:pt idx="12">
                  <c:v>13.996562358945146</c:v>
                </c:pt>
                <c:pt idx="13">
                  <c:v>14.342964269636617</c:v>
                </c:pt>
                <c:pt idx="14">
                  <c:v>14.682061453359388</c:v>
                </c:pt>
                <c:pt idx="15">
                  <c:v>15.01448287845923</c:v>
                </c:pt>
                <c:pt idx="16">
                  <c:v>15.342415640024017</c:v>
                </c:pt>
                <c:pt idx="17">
                  <c:v>15.668452962846716</c:v>
                </c:pt>
                <c:pt idx="18">
                  <c:v>15.994951621317567</c:v>
                </c:pt>
                <c:pt idx="19">
                  <c:v>16.32380449120685</c:v>
                </c:pt>
                <c:pt idx="20">
                  <c:v>16.656438230397391</c:v>
                </c:pt>
                <c:pt idx="21">
                  <c:v>16.99389702364229</c:v>
                </c:pt>
                <c:pt idx="22">
                  <c:v>17.33694061130679</c:v>
                </c:pt>
                <c:pt idx="23">
                  <c:v>17.686128620239067</c:v>
                </c:pt>
                <c:pt idx="24">
                  <c:v>18.041884679044475</c:v>
                </c:pt>
                <c:pt idx="25">
                  <c:v>18.404542176492207</c:v>
                </c:pt>
              </c:numCache>
            </c:numRef>
          </c:val>
          <c:extLst>
            <c:ext xmlns:c16="http://schemas.microsoft.com/office/drawing/2014/chart" uri="{C3380CC4-5D6E-409C-BE32-E72D297353CC}">
              <c16:uniqueId val="{00000002-E770-A748-82BB-206CFE5C5ED8}"/>
            </c:ext>
          </c:extLst>
        </c:ser>
        <c:ser>
          <c:idx val="3"/>
          <c:order val="3"/>
          <c:tx>
            <c:strRef>
              <c:f>MAIN!$AI$1</c:f>
              <c:strCache>
                <c:ptCount val="1"/>
                <c:pt idx="0">
                  <c:v>Supply Vessel</c:v>
                </c:pt>
              </c:strCache>
            </c:strRef>
          </c:tx>
          <c:spPr>
            <a:solidFill>
              <a:schemeClr val="accent4"/>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MAIN!$AI$2:$AI$27</c:f>
              <c:numCache>
                <c:formatCode>General</c:formatCode>
                <c:ptCount val="26"/>
                <c:pt idx="0">
                  <c:v>0.78928445057578944</c:v>
                </c:pt>
                <c:pt idx="1">
                  <c:v>0.80544713470660978</c:v>
                </c:pt>
                <c:pt idx="2">
                  <c:v>0.8221434569565329</c:v>
                </c:pt>
                <c:pt idx="3">
                  <c:v>0.83949838834766466</c:v>
                </c:pt>
                <c:pt idx="4">
                  <c:v>0.85768956300052268</c:v>
                </c:pt>
                <c:pt idx="5">
                  <c:v>0.87695590841647375</c:v>
                </c:pt>
                <c:pt idx="6">
                  <c:v>0.89758883029192416</c:v>
                </c:pt>
                <c:pt idx="7">
                  <c:v>0.91988467858854972</c:v>
                </c:pt>
                <c:pt idx="8">
                  <c:v>0.94403963413865877</c:v>
                </c:pt>
                <c:pt idx="9">
                  <c:v>0.97000270868327942</c:v>
                </c:pt>
                <c:pt idx="10">
                  <c:v>0.99737138166283246</c:v>
                </c:pt>
                <c:pt idx="11">
                  <c:v>1.0254480769426615</c:v>
                </c:pt>
                <c:pt idx="12">
                  <c:v>1.0534767273170804</c:v>
                </c:pt>
                <c:pt idx="13">
                  <c:v>1.0809094242503523</c:v>
                </c:pt>
                <c:pt idx="14">
                  <c:v>1.1075271660422981</c:v>
                </c:pt>
                <c:pt idx="15">
                  <c:v>1.1333877073395418</c:v>
                </c:pt>
                <c:pt idx="16">
                  <c:v>1.1586979405599978</c:v>
                </c:pt>
                <c:pt idx="17">
                  <c:v>1.18370358838802</c:v>
                </c:pt>
                <c:pt idx="18">
                  <c:v>1.2086276741110615</c:v>
                </c:pt>
                <c:pt idx="19">
                  <c:v>1.2336487417858648</c:v>
                </c:pt>
                <c:pt idx="20">
                  <c:v>1.258900633010765</c:v>
                </c:pt>
                <c:pt idx="21">
                  <c:v>1.284480504513978</c:v>
                </c:pt>
                <c:pt idx="22">
                  <c:v>1.3104582134514524</c:v>
                </c:pt>
                <c:pt idx="23">
                  <c:v>1.3368843910858508</c:v>
                </c:pt>
                <c:pt idx="24">
                  <c:v>1.3637965807583781</c:v>
                </c:pt>
                <c:pt idx="25">
                  <c:v>1.3912236181301196</c:v>
                </c:pt>
              </c:numCache>
            </c:numRef>
          </c:val>
          <c:extLst>
            <c:ext xmlns:c16="http://schemas.microsoft.com/office/drawing/2014/chart" uri="{C3380CC4-5D6E-409C-BE32-E72D297353CC}">
              <c16:uniqueId val="{00000003-E770-A748-82BB-206CFE5C5ED8}"/>
            </c:ext>
          </c:extLst>
        </c:ser>
        <c:ser>
          <c:idx val="4"/>
          <c:order val="4"/>
          <c:tx>
            <c:strRef>
              <c:f>MAIN!$AJ$1</c:f>
              <c:strCache>
                <c:ptCount val="1"/>
                <c:pt idx="0">
                  <c:v>Passenger/Cargo Ship</c:v>
                </c:pt>
              </c:strCache>
            </c:strRef>
          </c:tx>
          <c:spPr>
            <a:solidFill>
              <a:schemeClr val="accent5"/>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MAIN!$AJ$2:$AJ$27</c:f>
              <c:numCache>
                <c:formatCode>General</c:formatCode>
                <c:ptCount val="26"/>
                <c:pt idx="0">
                  <c:v>4.8756260059855672</c:v>
                </c:pt>
                <c:pt idx="1">
                  <c:v>4.9630813300883787</c:v>
                </c:pt>
                <c:pt idx="2">
                  <c:v>5.0533188201527643</c:v>
                </c:pt>
                <c:pt idx="3">
                  <c:v>5.1470837838103334</c:v>
                </c:pt>
                <c:pt idx="4">
                  <c:v>5.2454362416568161</c:v>
                </c:pt>
                <c:pt idx="5">
                  <c:v>5.349799565823667</c:v>
                </c:pt>
                <c:pt idx="6">
                  <c:v>5.4619021909885932</c:v>
                </c:pt>
                <c:pt idx="7">
                  <c:v>5.5834851563440644</c:v>
                </c:pt>
                <c:pt idx="8">
                  <c:v>5.7156654353607648</c:v>
                </c:pt>
                <c:pt idx="9">
                  <c:v>5.8580559542980346</c:v>
                </c:pt>
                <c:pt idx="10">
                  <c:v>6.0081558551650556</c:v>
                </c:pt>
                <c:pt idx="11">
                  <c:v>6.1617165945031811</c:v>
                </c:pt>
                <c:pt idx="12">
                  <c:v>6.3141820614894888</c:v>
                </c:pt>
                <c:pt idx="13">
                  <c:v>6.4622868897102705</c:v>
                </c:pt>
                <c:pt idx="14">
                  <c:v>6.6047605072740412</c:v>
                </c:pt>
                <c:pt idx="15">
                  <c:v>6.7419919450471975</c:v>
                </c:pt>
                <c:pt idx="16">
                  <c:v>6.8752517681120153</c:v>
                </c:pt>
                <c:pt idx="17">
                  <c:v>7.006028096194683</c:v>
                </c:pt>
                <c:pt idx="18">
                  <c:v>7.1356605551436543</c:v>
                </c:pt>
                <c:pt idx="19">
                  <c:v>7.2652138178837378</c:v>
                </c:pt>
                <c:pt idx="20">
                  <c:v>7.3954796884928475</c:v>
                </c:pt>
                <c:pt idx="21">
                  <c:v>7.5270274605253809</c:v>
                </c:pt>
                <c:pt idx="22">
                  <c:v>7.6602615304261192</c:v>
                </c:pt>
                <c:pt idx="23">
                  <c:v>7.7954705132131981</c:v>
                </c:pt>
                <c:pt idx="24">
                  <c:v>7.9328643745243426</c:v>
                </c:pt>
                <c:pt idx="25">
                  <c:v>8.0726008167156511</c:v>
                </c:pt>
              </c:numCache>
            </c:numRef>
          </c:val>
          <c:extLst>
            <c:ext xmlns:c16="http://schemas.microsoft.com/office/drawing/2014/chart" uri="{C3380CC4-5D6E-409C-BE32-E72D297353CC}">
              <c16:uniqueId val="{00000004-E770-A748-82BB-206CFE5C5ED8}"/>
            </c:ext>
          </c:extLst>
        </c:ser>
        <c:ser>
          <c:idx val="5"/>
          <c:order val="5"/>
          <c:tx>
            <c:strRef>
              <c:f>MAIN!$AK$1</c:f>
              <c:strCache>
                <c:ptCount val="1"/>
                <c:pt idx="0">
                  <c:v>Container Ship</c:v>
                </c:pt>
              </c:strCache>
            </c:strRef>
          </c:tx>
          <c:spPr>
            <a:solidFill>
              <a:schemeClr val="accent6"/>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MAIN!$AK$2:$AK$27</c:f>
              <c:numCache>
                <c:formatCode>General</c:formatCode>
                <c:ptCount val="26"/>
                <c:pt idx="0">
                  <c:v>125.995648383874</c:v>
                </c:pt>
                <c:pt idx="1">
                  <c:v>128.2385747815612</c:v>
                </c:pt>
                <c:pt idx="2">
                  <c:v>130.54334986816764</c:v>
                </c:pt>
                <c:pt idx="3">
                  <c:v>132.92386526220957</c:v>
                </c:pt>
                <c:pt idx="4">
                  <c:v>135.3997916920828</c:v>
                </c:pt>
                <c:pt idx="5">
                  <c:v>137.9974713166059</c:v>
                </c:pt>
                <c:pt idx="6">
                  <c:v>140.74884865371766</c:v>
                </c:pt>
                <c:pt idx="7">
                  <c:v>143.68610610580822</c:v>
                </c:pt>
                <c:pt idx="8">
                  <c:v>146.82998554176328</c:v>
                </c:pt>
                <c:pt idx="9">
                  <c:v>150.17364677848227</c:v>
                </c:pt>
                <c:pt idx="10">
                  <c:v>153.67148319875514</c:v>
                </c:pt>
                <c:pt idx="11">
                  <c:v>157.24583728427646</c:v>
                </c:pt>
                <c:pt idx="12">
                  <c:v>160.81341705996118</c:v>
                </c:pt>
                <c:pt idx="13">
                  <c:v>164.31461430881834</c:v>
                </c:pt>
                <c:pt idx="14">
                  <c:v>167.72641919594628</c:v>
                </c:pt>
                <c:pt idx="15">
                  <c:v>171.05627190575942</c:v>
                </c:pt>
                <c:pt idx="16">
                  <c:v>174.32779051586206</c:v>
                </c:pt>
                <c:pt idx="17">
                  <c:v>177.56859162220249</c:v>
                </c:pt>
                <c:pt idx="18">
                  <c:v>180.80357596125106</c:v>
                </c:pt>
                <c:pt idx="19">
                  <c:v>184.05260886028555</c:v>
                </c:pt>
                <c:pt idx="20">
                  <c:v>187.3305585744466</c:v>
                </c:pt>
                <c:pt idx="21">
                  <c:v>190.64822012557545</c:v>
                </c:pt>
                <c:pt idx="22">
                  <c:v>194.01337222194027</c:v>
                </c:pt>
                <c:pt idx="23">
                  <c:v>197.43167830251127</c:v>
                </c:pt>
                <c:pt idx="24">
                  <c:v>200.90736776350974</c:v>
                </c:pt>
                <c:pt idx="25">
                  <c:v>204.44372007064914</c:v>
                </c:pt>
              </c:numCache>
            </c:numRef>
          </c:val>
          <c:extLst>
            <c:ext xmlns:c16="http://schemas.microsoft.com/office/drawing/2014/chart" uri="{C3380CC4-5D6E-409C-BE32-E72D297353CC}">
              <c16:uniqueId val="{00000005-E770-A748-82BB-206CFE5C5ED8}"/>
            </c:ext>
          </c:extLst>
        </c:ser>
        <c:ser>
          <c:idx val="6"/>
          <c:order val="6"/>
          <c:tx>
            <c:strRef>
              <c:f>MAIN!$AL$1</c:f>
              <c:strCache>
                <c:ptCount val="1"/>
                <c:pt idx="0">
                  <c:v>Ro-Ro/Vehicles Carrier</c:v>
                </c:pt>
              </c:strCache>
            </c:strRef>
          </c:tx>
          <c:spPr>
            <a:solidFill>
              <a:schemeClr val="accent1">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MAIN!$AL$2:$AL$27</c:f>
              <c:numCache>
                <c:formatCode>General</c:formatCode>
                <c:ptCount val="26"/>
                <c:pt idx="0">
                  <c:v>110.7481850914975</c:v>
                </c:pt>
                <c:pt idx="1">
                  <c:v>112.73926709337651</c:v>
                </c:pt>
                <c:pt idx="2">
                  <c:v>114.79622859660741</c:v>
                </c:pt>
                <c:pt idx="3">
                  <c:v>116.93743282870345</c:v>
                </c:pt>
                <c:pt idx="4">
                  <c:v>119.18902022761426</c:v>
                </c:pt>
                <c:pt idx="5">
                  <c:v>121.58611062479153</c:v>
                </c:pt>
                <c:pt idx="6">
                  <c:v>124.17136245715997</c:v>
                </c:pt>
                <c:pt idx="7">
                  <c:v>126.9877439290465</c:v>
                </c:pt>
                <c:pt idx="8">
                  <c:v>130.06279614286854</c:v>
                </c:pt>
                <c:pt idx="9">
                  <c:v>133.38688220808751</c:v>
                </c:pt>
                <c:pt idx="10">
                  <c:v>136.89811609173597</c:v>
                </c:pt>
                <c:pt idx="11">
                  <c:v>140.49141159679078</c:v>
                </c:pt>
                <c:pt idx="12">
                  <c:v>144.05407830952277</c:v>
                </c:pt>
                <c:pt idx="13">
                  <c:v>147.50532768407513</c:v>
                </c:pt>
                <c:pt idx="14">
                  <c:v>150.81367530167367</c:v>
                </c:pt>
                <c:pt idx="15">
                  <c:v>153.98865576998449</c:v>
                </c:pt>
                <c:pt idx="16">
                  <c:v>157.06159085910735</c:v>
                </c:pt>
                <c:pt idx="17">
                  <c:v>160.06917762102137</c:v>
                </c:pt>
                <c:pt idx="18">
                  <c:v>163.04444059122929</c:v>
                </c:pt>
                <c:pt idx="19">
                  <c:v>166.01360602033446</c:v>
                </c:pt>
                <c:pt idx="20">
                  <c:v>168.99615335803091</c:v>
                </c:pt>
                <c:pt idx="21">
                  <c:v>172.00605995128259</c:v>
                </c:pt>
                <c:pt idx="22">
                  <c:v>175.05322506961593</c:v>
                </c:pt>
                <c:pt idx="23">
                  <c:v>178.14468388861746</c:v>
                </c:pt>
                <c:pt idx="24">
                  <c:v>181.28552526902683</c:v>
                </c:pt>
                <c:pt idx="25">
                  <c:v>184.4795439238153</c:v>
                </c:pt>
              </c:numCache>
            </c:numRef>
          </c:val>
          <c:extLst>
            <c:ext xmlns:c16="http://schemas.microsoft.com/office/drawing/2014/chart" uri="{C3380CC4-5D6E-409C-BE32-E72D297353CC}">
              <c16:uniqueId val="{00000006-E770-A748-82BB-206CFE5C5ED8}"/>
            </c:ext>
          </c:extLst>
        </c:ser>
        <c:ser>
          <c:idx val="7"/>
          <c:order val="7"/>
          <c:tx>
            <c:strRef>
              <c:f>MAIN!$AM$1</c:f>
              <c:strCache>
                <c:ptCount val="1"/>
                <c:pt idx="0">
                  <c:v>LNG Tanker</c:v>
                </c:pt>
              </c:strCache>
            </c:strRef>
          </c:tx>
          <c:spPr>
            <a:solidFill>
              <a:schemeClr val="accent2">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MAIN!$AM$2:$AM$27</c:f>
              <c:numCache>
                <c:formatCode>General</c:formatCode>
                <c:ptCount val="26"/>
                <c:pt idx="0">
                  <c:v>198.59706183540879</c:v>
                </c:pt>
                <c:pt idx="1">
                  <c:v>202.83089295980696</c:v>
                </c:pt>
                <c:pt idx="2">
                  <c:v>207.298287596531</c:v>
                </c:pt>
                <c:pt idx="3">
                  <c:v>212.08417383806989</c:v>
                </c:pt>
                <c:pt idx="4">
                  <c:v>217.31044577134401</c:v>
                </c:pt>
                <c:pt idx="5">
                  <c:v>223.14203114720442</c:v>
                </c:pt>
                <c:pt idx="6">
                  <c:v>229.78069053161306</c:v>
                </c:pt>
                <c:pt idx="7">
                  <c:v>237.43158753496925</c:v>
                </c:pt>
                <c:pt idx="8">
                  <c:v>246.22936634202628</c:v>
                </c:pt>
                <c:pt idx="9">
                  <c:v>256.13477255241253</c:v>
                </c:pt>
                <c:pt idx="10">
                  <c:v>266.86125824742692</c:v>
                </c:pt>
                <c:pt idx="11">
                  <c:v>277.91469751849388</c:v>
                </c:pt>
                <c:pt idx="12">
                  <c:v>288.75974847825648</c:v>
                </c:pt>
                <c:pt idx="13">
                  <c:v>299.00737265992808</c:v>
                </c:pt>
                <c:pt idx="14">
                  <c:v>308.49974930553338</c:v>
                </c:pt>
                <c:pt idx="15">
                  <c:v>317.27359888146407</c:v>
                </c:pt>
                <c:pt idx="16">
                  <c:v>325.47043374174206</c:v>
                </c:pt>
                <c:pt idx="17">
                  <c:v>333.2589827610642</c:v>
                </c:pt>
                <c:pt idx="18">
                  <c:v>340.79191890277741</c:v>
                </c:pt>
                <c:pt idx="19">
                  <c:v>348.19054078301355</c:v>
                </c:pt>
                <c:pt idx="20">
                  <c:v>355.54461386897935</c:v>
                </c:pt>
                <c:pt idx="21">
                  <c:v>362.91800699798091</c:v>
                </c:pt>
                <c:pt idx="22">
                  <c:v>370.35529071268206</c:v>
                </c:pt>
                <c:pt idx="23">
                  <c:v>377.88741317696929</c:v>
                </c:pt>
                <c:pt idx="24">
                  <c:v>385.53601478170486</c:v>
                </c:pt>
                <c:pt idx="25">
                  <c:v>393.31650660070801</c:v>
                </c:pt>
              </c:numCache>
            </c:numRef>
          </c:val>
          <c:extLst>
            <c:ext xmlns:c16="http://schemas.microsoft.com/office/drawing/2014/chart" uri="{C3380CC4-5D6E-409C-BE32-E72D297353CC}">
              <c16:uniqueId val="{00000007-E770-A748-82BB-206CFE5C5ED8}"/>
            </c:ext>
          </c:extLst>
        </c:ser>
        <c:ser>
          <c:idx val="8"/>
          <c:order val="8"/>
          <c:tx>
            <c:strRef>
              <c:f>MAIN!$AN$1</c:f>
              <c:strCache>
                <c:ptCount val="1"/>
                <c:pt idx="0">
                  <c:v>Other Special Craft</c:v>
                </c:pt>
              </c:strCache>
            </c:strRef>
          </c:tx>
          <c:spPr>
            <a:solidFill>
              <a:schemeClr val="accent3">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MAIN!$AN$2:$AN$27</c:f>
              <c:numCache>
                <c:formatCode>General</c:formatCode>
                <c:ptCount val="26"/>
                <c:pt idx="0">
                  <c:v>60.877048192666209</c:v>
                </c:pt>
                <c:pt idx="1">
                  <c:v>61.969015044425554</c:v>
                </c:pt>
                <c:pt idx="2">
                  <c:v>63.095720010042434</c:v>
                </c:pt>
                <c:pt idx="3">
                  <c:v>64.266468997835545</c:v>
                </c:pt>
                <c:pt idx="4">
                  <c:v>65.494497421024107</c:v>
                </c:pt>
                <c:pt idx="5">
                  <c:v>66.797577498752091</c:v>
                </c:pt>
                <c:pt idx="6">
                  <c:v>68.197290459982426</c:v>
                </c:pt>
                <c:pt idx="7">
                  <c:v>69.715374913602474</c:v>
                </c:pt>
                <c:pt idx="8">
                  <c:v>71.365777386216465</c:v>
                </c:pt>
                <c:pt idx="9">
                  <c:v>73.143664876536945</c:v>
                </c:pt>
                <c:pt idx="10">
                  <c:v>75.01781168098384</c:v>
                </c:pt>
                <c:pt idx="11">
                  <c:v>76.935170501720307</c:v>
                </c:pt>
                <c:pt idx="12">
                  <c:v>78.838853755942068</c:v>
                </c:pt>
                <c:pt idx="13">
                  <c:v>80.688090090741838</c:v>
                </c:pt>
                <c:pt idx="14">
                  <c:v>82.467015150204006</c:v>
                </c:pt>
                <c:pt idx="15">
                  <c:v>84.180486372280754</c:v>
                </c:pt>
                <c:pt idx="16">
                  <c:v>85.844368027867887</c:v>
                </c:pt>
                <c:pt idx="17">
                  <c:v>87.477240774336735</c:v>
                </c:pt>
                <c:pt idx="18">
                  <c:v>89.095831175052894</c:v>
                </c:pt>
                <c:pt idx="19">
                  <c:v>90.713432732199152</c:v>
                </c:pt>
                <c:pt idx="20">
                  <c:v>92.339931908550028</c:v>
                </c:pt>
                <c:pt idx="21">
                  <c:v>93.982436901310138</c:v>
                </c:pt>
                <c:pt idx="22">
                  <c:v>95.645997002986348</c:v>
                </c:pt>
                <c:pt idx="23">
                  <c:v>97.334215859622475</c:v>
                </c:pt>
                <c:pt idx="24">
                  <c:v>99.049715101391001</c:v>
                </c:pt>
                <c:pt idx="25">
                  <c:v>100.79446379932408</c:v>
                </c:pt>
              </c:numCache>
            </c:numRef>
          </c:val>
          <c:extLst>
            <c:ext xmlns:c16="http://schemas.microsoft.com/office/drawing/2014/chart" uri="{C3380CC4-5D6E-409C-BE32-E72D297353CC}">
              <c16:uniqueId val="{00000008-E770-A748-82BB-206CFE5C5ED8}"/>
            </c:ext>
          </c:extLst>
        </c:ser>
        <c:ser>
          <c:idx val="9"/>
          <c:order val="9"/>
          <c:tx>
            <c:strRef>
              <c:f>MAIN!$AO$1</c:f>
              <c:strCache>
                <c:ptCount val="1"/>
                <c:pt idx="0">
                  <c:v>Oil/Chemical Tanker</c:v>
                </c:pt>
              </c:strCache>
            </c:strRef>
          </c:tx>
          <c:spPr>
            <a:solidFill>
              <a:schemeClr val="accent4">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MAIN!$AO$2:$AO$27</c:f>
              <c:numCache>
                <c:formatCode>General</c:formatCode>
                <c:ptCount val="26"/>
                <c:pt idx="0">
                  <c:v>4.4448390512876657</c:v>
                </c:pt>
                <c:pt idx="1">
                  <c:v>4.5340992304392449</c:v>
                </c:pt>
                <c:pt idx="2">
                  <c:v>4.6253185693567254</c:v>
                </c:pt>
                <c:pt idx="3">
                  <c:v>4.7186374047695461</c:v>
                </c:pt>
                <c:pt idx="4">
                  <c:v>4.8142428113108489</c:v>
                </c:pt>
                <c:pt idx="5">
                  <c:v>4.9123761577136138</c:v>
                </c:pt>
                <c:pt idx="6">
                  <c:v>5.0133254222219366</c:v>
                </c:pt>
                <c:pt idx="7">
                  <c:v>5.1173836821689669</c:v>
                </c:pt>
                <c:pt idx="8">
                  <c:v>5.2247573003626062</c:v>
                </c:pt>
                <c:pt idx="9">
                  <c:v>5.3354375181199654</c:v>
                </c:pt>
                <c:pt idx="10">
                  <c:v>5.4491092973558528</c:v>
                </c:pt>
                <c:pt idx="11">
                  <c:v>5.5652006779879564</c:v>
                </c:pt>
                <c:pt idx="12">
                  <c:v>5.6830894662227163</c:v>
                </c:pt>
                <c:pt idx="13">
                  <c:v>5.8023362064791089</c:v>
                </c:pt>
                <c:pt idx="14">
                  <c:v>5.9227896889789724</c:v>
                </c:pt>
                <c:pt idx="15">
                  <c:v>6.0445414074571362</c:v>
                </c:pt>
                <c:pt idx="16">
                  <c:v>6.1678140856071355</c:v>
                </c:pt>
                <c:pt idx="17">
                  <c:v>6.2928653272516044</c:v>
                </c:pt>
                <c:pt idx="18">
                  <c:v>6.4199338806721071</c:v>
                </c:pt>
                <c:pt idx="19">
                  <c:v>6.5492206299350357</c:v>
                </c:pt>
                <c:pt idx="20">
                  <c:v>6.6808884190153677</c:v>
                </c:pt>
                <c:pt idx="21">
                  <c:v>6.8150690756102756</c:v>
                </c:pt>
                <c:pt idx="22">
                  <c:v>6.9518716300798973</c:v>
                </c:pt>
                <c:pt idx="23">
                  <c:v>7.0913893887784516</c:v>
                </c:pt>
                <c:pt idx="24">
                  <c:v>7.2337053165664686</c:v>
                </c:pt>
                <c:pt idx="25">
                  <c:v>7.3788958840064369</c:v>
                </c:pt>
              </c:numCache>
            </c:numRef>
          </c:val>
          <c:extLst>
            <c:ext xmlns:c16="http://schemas.microsoft.com/office/drawing/2014/chart" uri="{C3380CC4-5D6E-409C-BE32-E72D297353CC}">
              <c16:uniqueId val="{00000009-E770-A748-82BB-206CFE5C5ED8}"/>
            </c:ext>
          </c:extLst>
        </c:ser>
        <c:ser>
          <c:idx val="10"/>
          <c:order val="10"/>
          <c:tx>
            <c:strRef>
              <c:f>MAIN!$AP$1</c:f>
              <c:strCache>
                <c:ptCount val="1"/>
                <c:pt idx="0">
                  <c:v>Reefer</c:v>
                </c:pt>
              </c:strCache>
            </c:strRef>
          </c:tx>
          <c:spPr>
            <a:solidFill>
              <a:schemeClr val="accent5">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MAIN!$AP$2:$AP$27</c:f>
              <c:numCache>
                <c:formatCode>General</c:formatCode>
                <c:ptCount val="26"/>
                <c:pt idx="0">
                  <c:v>5.6627290395888474</c:v>
                </c:pt>
                <c:pt idx="1">
                  <c:v>5.7700598766512163</c:v>
                </c:pt>
                <c:pt idx="2">
                  <c:v>5.880845733550216</c:v>
                </c:pt>
                <c:pt idx="3">
                  <c:v>5.9959650660967734</c:v>
                </c:pt>
                <c:pt idx="4">
                  <c:v>6.1166668242767228</c:v>
                </c:pt>
                <c:pt idx="5">
                  <c:v>6.244629087600531</c:v>
                </c:pt>
                <c:pt idx="6">
                  <c:v>6.3818931165181585</c:v>
                </c:pt>
                <c:pt idx="7">
                  <c:v>6.5305231181035222</c:v>
                </c:pt>
                <c:pt idx="8">
                  <c:v>6.6918609521183594</c:v>
                </c:pt>
                <c:pt idx="9">
                  <c:v>6.8654911684412241</c:v>
                </c:pt>
                <c:pt idx="10">
                  <c:v>7.0485168089452603</c:v>
                </c:pt>
                <c:pt idx="11">
                  <c:v>7.2359767818197724</c:v>
                </c:pt>
                <c:pt idx="12">
                  <c:v>7.4225283176712207</c:v>
                </c:pt>
                <c:pt idx="13">
                  <c:v>7.6043258079281149</c:v>
                </c:pt>
                <c:pt idx="14">
                  <c:v>7.7798577128791324</c:v>
                </c:pt>
                <c:pt idx="15">
                  <c:v>7.9495631833590208</c:v>
                </c:pt>
                <c:pt idx="16">
                  <c:v>8.1149236100011386</c:v>
                </c:pt>
                <c:pt idx="17">
                  <c:v>8.2776834231851062</c:v>
                </c:pt>
                <c:pt idx="18">
                  <c:v>8.4394184989356837</c:v>
                </c:pt>
                <c:pt idx="19">
                  <c:v>8.6013855800493513</c:v>
                </c:pt>
                <c:pt idx="20">
                  <c:v>8.7645231156896415</c:v>
                </c:pt>
                <c:pt idx="21">
                  <c:v>8.929509375961814</c:v>
                </c:pt>
                <c:pt idx="22">
                  <c:v>9.0968295389193674</c:v>
                </c:pt>
                <c:pt idx="23">
                  <c:v>9.2668330877561687</c:v>
                </c:pt>
                <c:pt idx="24">
                  <c:v>9.439777300453521</c:v>
                </c:pt>
                <c:pt idx="25">
                  <c:v>9.6158582063450559</c:v>
                </c:pt>
              </c:numCache>
            </c:numRef>
          </c:val>
          <c:extLst>
            <c:ext xmlns:c16="http://schemas.microsoft.com/office/drawing/2014/chart" uri="{C3380CC4-5D6E-409C-BE32-E72D297353CC}">
              <c16:uniqueId val="{0000000A-E770-A748-82BB-206CFE5C5ED8}"/>
            </c:ext>
          </c:extLst>
        </c:ser>
        <c:ser>
          <c:idx val="11"/>
          <c:order val="11"/>
          <c:tx>
            <c:strRef>
              <c:f>MAIN!$AQ$1</c:f>
              <c:strCache>
                <c:ptCount val="1"/>
                <c:pt idx="0">
                  <c:v>Bulk Carrier</c:v>
                </c:pt>
              </c:strCache>
            </c:strRef>
          </c:tx>
          <c:spPr>
            <a:solidFill>
              <a:schemeClr val="accent6">
                <a:lumMod val="6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MAIN!$AQ$2:$AQ$27</c:f>
              <c:numCache>
                <c:formatCode>General</c:formatCode>
                <c:ptCount val="26"/>
                <c:pt idx="0">
                  <c:v>1.739706950317417</c:v>
                </c:pt>
                <c:pt idx="1">
                  <c:v>1.7726811932867301</c:v>
                </c:pt>
                <c:pt idx="2">
                  <c:v>1.8067168894849106</c:v>
                </c:pt>
                <c:pt idx="3">
                  <c:v>1.8420839186235127</c:v>
                </c:pt>
                <c:pt idx="4">
                  <c:v>1.87916598385269</c:v>
                </c:pt>
                <c:pt idx="5">
                  <c:v>1.918478625747867</c:v>
                </c:pt>
                <c:pt idx="6">
                  <c:v>1.960648961546577</c:v>
                </c:pt>
                <c:pt idx="7">
                  <c:v>2.0063111581616777</c:v>
                </c:pt>
                <c:pt idx="8">
                  <c:v>2.0558774625393896</c:v>
                </c:pt>
                <c:pt idx="9">
                  <c:v>2.109220239848745</c:v>
                </c:pt>
                <c:pt idx="10">
                  <c:v>2.1654494849079935</c:v>
                </c:pt>
                <c:pt idx="11">
                  <c:v>2.2230410481694745</c:v>
                </c:pt>
                <c:pt idx="12">
                  <c:v>2.2803535208737511</c:v>
                </c:pt>
                <c:pt idx="13">
                  <c:v>2.3362054528908169</c:v>
                </c:pt>
                <c:pt idx="14">
                  <c:v>2.3901324681004152</c:v>
                </c:pt>
                <c:pt idx="15">
                  <c:v>2.4422694826806115</c:v>
                </c:pt>
                <c:pt idx="16">
                  <c:v>2.4930716103341788</c:v>
                </c:pt>
                <c:pt idx="17">
                  <c:v>2.5430747759896315</c:v>
                </c:pt>
                <c:pt idx="18">
                  <c:v>2.5927631212073337</c:v>
                </c:pt>
                <c:pt idx="19">
                  <c:v>2.6425227432493106</c:v>
                </c:pt>
                <c:pt idx="20">
                  <c:v>2.692641953020237</c:v>
                </c:pt>
                <c:pt idx="21">
                  <c:v>2.7433291290612813</c:v>
                </c:pt>
                <c:pt idx="22">
                  <c:v>2.7947333280597619</c:v>
                </c:pt>
                <c:pt idx="23">
                  <c:v>2.8469619184483079</c:v>
                </c:pt>
                <c:pt idx="24">
                  <c:v>2.9000939413198461</c:v>
                </c:pt>
                <c:pt idx="25">
                  <c:v>2.9541896209216967</c:v>
                </c:pt>
              </c:numCache>
            </c:numRef>
          </c:val>
          <c:extLst>
            <c:ext xmlns:c16="http://schemas.microsoft.com/office/drawing/2014/chart" uri="{C3380CC4-5D6E-409C-BE32-E72D297353CC}">
              <c16:uniqueId val="{0000000B-E770-A748-82BB-206CFE5C5ED8}"/>
            </c:ext>
          </c:extLst>
        </c:ser>
        <c:ser>
          <c:idx val="12"/>
          <c:order val="12"/>
          <c:tx>
            <c:strRef>
              <c:f>MAIN!$AR$1</c:f>
              <c:strCache>
                <c:ptCount val="1"/>
                <c:pt idx="0">
                  <c:v>LPG Tanker</c:v>
                </c:pt>
              </c:strCache>
            </c:strRef>
          </c:tx>
          <c:spPr>
            <a:solidFill>
              <a:schemeClr val="accent1">
                <a:lumMod val="80000"/>
                <a:lumOff val="2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MAIN!$AR$2:$AR$27</c:f>
              <c:numCache>
                <c:formatCode>General</c:formatCode>
                <c:ptCount val="26"/>
                <c:pt idx="0">
                  <c:v>5.0618200188849336</c:v>
                </c:pt>
                <c:pt idx="1">
                  <c:v>5.1577612825208536</c:v>
                </c:pt>
                <c:pt idx="2">
                  <c:v>5.2567909313598165</c:v>
                </c:pt>
                <c:pt idx="3">
                  <c:v>5.3596942025513243</c:v>
                </c:pt>
                <c:pt idx="4">
                  <c:v>5.4675875118724129</c:v>
                </c:pt>
                <c:pt idx="5">
                  <c:v>5.5819708668989332</c:v>
                </c:pt>
                <c:pt idx="6">
                  <c:v>5.7046689166538433</c:v>
                </c:pt>
                <c:pt idx="7">
                  <c:v>5.8375268217684972</c:v>
                </c:pt>
                <c:pt idx="8">
                  <c:v>5.9817440485350364</c:v>
                </c:pt>
                <c:pt idx="9">
                  <c:v>6.1369492329473569</c:v>
                </c:pt>
                <c:pt idx="10">
                  <c:v>6.3005528319533655</c:v>
                </c:pt>
                <c:pt idx="11">
                  <c:v>6.4681202074717818</c:v>
                </c:pt>
                <c:pt idx="12">
                  <c:v>6.634875546130039</c:v>
                </c:pt>
                <c:pt idx="13">
                  <c:v>6.7973813219021046</c:v>
                </c:pt>
                <c:pt idx="14">
                  <c:v>6.9542863943896602</c:v>
                </c:pt>
                <c:pt idx="15">
                  <c:v>7.105983313275213</c:v>
                </c:pt>
                <c:pt idx="16">
                  <c:v>7.2537962691939404</c:v>
                </c:pt>
                <c:pt idx="17">
                  <c:v>7.3992845796684215</c:v>
                </c:pt>
                <c:pt idx="18">
                  <c:v>7.5438568942656241</c:v>
                </c:pt>
                <c:pt idx="19">
                  <c:v>7.6886365946273836</c:v>
                </c:pt>
                <c:pt idx="20">
                  <c:v>7.8344625449708492</c:v>
                </c:pt>
                <c:pt idx="21">
                  <c:v>7.9819410397475075</c:v>
                </c:pt>
                <c:pt idx="22">
                  <c:v>8.1315057716109855</c:v>
                </c:pt>
                <c:pt idx="23">
                  <c:v>8.2834691378196723</c:v>
                </c:pt>
                <c:pt idx="24">
                  <c:v>8.4380611149144009</c:v>
                </c:pt>
                <c:pt idx="25">
                  <c:v>8.5954569302808146</c:v>
                </c:pt>
              </c:numCache>
            </c:numRef>
          </c:val>
          <c:extLst>
            <c:ext xmlns:c16="http://schemas.microsoft.com/office/drawing/2014/chart" uri="{C3380CC4-5D6E-409C-BE32-E72D297353CC}">
              <c16:uniqueId val="{0000000C-E770-A748-82BB-206CFE5C5ED8}"/>
            </c:ext>
          </c:extLst>
        </c:ser>
        <c:ser>
          <c:idx val="13"/>
          <c:order val="13"/>
          <c:tx>
            <c:strRef>
              <c:f>MAIN!$AS$1</c:f>
              <c:strCache>
                <c:ptCount val="1"/>
                <c:pt idx="0">
                  <c:v>Ro-Ro/Passenger Vessel</c:v>
                </c:pt>
              </c:strCache>
            </c:strRef>
          </c:tx>
          <c:spPr>
            <a:solidFill>
              <a:schemeClr val="accent2">
                <a:lumMod val="80000"/>
                <a:lumOff val="2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MAIN!$AS$2:$AS$27</c:f>
              <c:numCache>
                <c:formatCode>General</c:formatCode>
                <c:ptCount val="26"/>
                <c:pt idx="0">
                  <c:v>3.9221534834004288</c:v>
                </c:pt>
                <c:pt idx="1">
                  <c:v>3.9997874472847839</c:v>
                </c:pt>
                <c:pt idx="2">
                  <c:v>4.0817596518111312</c:v>
                </c:pt>
                <c:pt idx="3">
                  <c:v>4.1697212254952438</c:v>
                </c:pt>
                <c:pt idx="4">
                  <c:v>4.2660391223049308</c:v>
                </c:pt>
                <c:pt idx="5">
                  <c:v>4.373909597914178</c:v>
                </c:pt>
                <c:pt idx="6">
                  <c:v>4.4972305121659115</c:v>
                </c:pt>
                <c:pt idx="7">
                  <c:v>4.6399426596931335</c:v>
                </c:pt>
                <c:pt idx="8">
                  <c:v>4.804586971957316</c:v>
                </c:pt>
                <c:pt idx="9">
                  <c:v>4.9903009686932549</c:v>
                </c:pt>
                <c:pt idx="10">
                  <c:v>5.1914167985143038</c:v>
                </c:pt>
                <c:pt idx="11">
                  <c:v>5.3982691763862336</c:v>
                </c:pt>
                <c:pt idx="12">
                  <c:v>5.6004523117362588</c:v>
                </c:pt>
                <c:pt idx="13">
                  <c:v>5.7904570006788356</c:v>
                </c:pt>
                <c:pt idx="14">
                  <c:v>5.965290712570968</c:v>
                </c:pt>
                <c:pt idx="15">
                  <c:v>6.1257354030095321</c:v>
                </c:pt>
                <c:pt idx="16">
                  <c:v>6.2745888731142934</c:v>
                </c:pt>
                <c:pt idx="17">
                  <c:v>6.4151563370870281</c:v>
                </c:pt>
                <c:pt idx="18">
                  <c:v>6.5504148978982597</c:v>
                </c:pt>
                <c:pt idx="19">
                  <c:v>6.6827220223719648</c:v>
                </c:pt>
                <c:pt idx="20">
                  <c:v>6.8138171376081269</c:v>
                </c:pt>
                <c:pt idx="21">
                  <c:v>6.9449341023807847</c:v>
                </c:pt>
                <c:pt idx="22">
                  <c:v>7.0769310476746385</c:v>
                </c:pt>
                <c:pt idx="23">
                  <c:v>7.2104014592707566</c:v>
                </c:pt>
                <c:pt idx="24">
                  <c:v>7.3457583374973918</c:v>
                </c:pt>
                <c:pt idx="25">
                  <c:v>7.4832940948265234</c:v>
                </c:pt>
              </c:numCache>
            </c:numRef>
          </c:val>
          <c:extLst>
            <c:ext xmlns:c16="http://schemas.microsoft.com/office/drawing/2014/chart" uri="{C3380CC4-5D6E-409C-BE32-E72D297353CC}">
              <c16:uniqueId val="{0000000D-E770-A748-82BB-206CFE5C5ED8}"/>
            </c:ext>
          </c:extLst>
        </c:ser>
        <c:ser>
          <c:idx val="14"/>
          <c:order val="14"/>
          <c:tx>
            <c:strRef>
              <c:f>MAIN!$AT$1</c:f>
              <c:strCache>
                <c:ptCount val="1"/>
                <c:pt idx="0">
                  <c:v>Crude Oil Tanker</c:v>
                </c:pt>
              </c:strCache>
            </c:strRef>
          </c:tx>
          <c:spPr>
            <a:solidFill>
              <a:schemeClr val="accent3">
                <a:lumMod val="80000"/>
                <a:lumOff val="2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MAIN!$AT$2:$AT$27</c:f>
              <c:numCache>
                <c:formatCode>General</c:formatCode>
                <c:ptCount val="26"/>
                <c:pt idx="0">
                  <c:v>54.087614848118321</c:v>
                </c:pt>
                <c:pt idx="1">
                  <c:v>55.057797934491852</c:v>
                </c:pt>
                <c:pt idx="2">
                  <c:v>56.058844897788802</c:v>
                </c:pt>
                <c:pt idx="3">
                  <c:v>57.099023786475556</c:v>
                </c:pt>
                <c:pt idx="4">
                  <c:v>58.190093908104188</c:v>
                </c:pt>
                <c:pt idx="5">
                  <c:v>59.347845399887234</c:v>
                </c:pt>
                <c:pt idx="6">
                  <c:v>60.591452601493728</c:v>
                </c:pt>
                <c:pt idx="7">
                  <c:v>61.940229680409487</c:v>
                </c:pt>
                <c:pt idx="8">
                  <c:v>63.406567749243138</c:v>
                </c:pt>
                <c:pt idx="9">
                  <c:v>64.986172816745835</c:v>
                </c:pt>
                <c:pt idx="10">
                  <c:v>66.651301687760409</c:v>
                </c:pt>
                <c:pt idx="11">
                  <c:v>68.354823269382223</c:v>
                </c:pt>
                <c:pt idx="12">
                  <c:v>70.046194479124324</c:v>
                </c:pt>
                <c:pt idx="13">
                  <c:v>71.689191069945309</c:v>
                </c:pt>
                <c:pt idx="14">
                  <c:v>73.269717989636632</c:v>
                </c:pt>
                <c:pt idx="15">
                  <c:v>74.792090940764496</c:v>
                </c:pt>
                <c:pt idx="16">
                  <c:v>76.270404899999619</c:v>
                </c:pt>
                <c:pt idx="17">
                  <c:v>77.72116828010769</c:v>
                </c:pt>
                <c:pt idx="18">
                  <c:v>79.159242181354173</c:v>
                </c:pt>
                <c:pt idx="19">
                  <c:v>80.596437521767939</c:v>
                </c:pt>
                <c:pt idx="20">
                  <c:v>82.04153815678599</c:v>
                </c:pt>
                <c:pt idx="21">
                  <c:v>83.500859527844582</c:v>
                </c:pt>
                <c:pt idx="22">
                  <c:v>84.978887795105351</c:v>
                </c:pt>
                <c:pt idx="23">
                  <c:v>86.478824700851476</c:v>
                </c:pt>
                <c:pt idx="24">
                  <c:v>88.002999492759258</c:v>
                </c:pt>
                <c:pt idx="25">
                  <c:v>89.553161637314901</c:v>
                </c:pt>
              </c:numCache>
            </c:numRef>
          </c:val>
          <c:extLst>
            <c:ext xmlns:c16="http://schemas.microsoft.com/office/drawing/2014/chart" uri="{C3380CC4-5D6E-409C-BE32-E72D297353CC}">
              <c16:uniqueId val="{0000000E-E770-A748-82BB-206CFE5C5ED8}"/>
            </c:ext>
          </c:extLst>
        </c:ser>
        <c:ser>
          <c:idx val="15"/>
          <c:order val="15"/>
          <c:tx>
            <c:strRef>
              <c:f>MAIN!$AU$1</c:f>
              <c:strCache>
                <c:ptCount val="1"/>
                <c:pt idx="0">
                  <c:v>Oil Products Tanker</c:v>
                </c:pt>
              </c:strCache>
            </c:strRef>
          </c:tx>
          <c:spPr>
            <a:solidFill>
              <a:schemeClr val="accent4">
                <a:lumMod val="80000"/>
                <a:lumOff val="2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MAIN!$AU$2:$AU$27</c:f>
              <c:numCache>
                <c:formatCode>General</c:formatCode>
                <c:ptCount val="26"/>
                <c:pt idx="0">
                  <c:v>21.54349318047257</c:v>
                </c:pt>
                <c:pt idx="1">
                  <c:v>21.951826537082447</c:v>
                </c:pt>
                <c:pt idx="2">
                  <c:v>22.373304297347968</c:v>
                </c:pt>
                <c:pt idx="3">
                  <c:v>22.811268490640426</c:v>
                </c:pt>
                <c:pt idx="4">
                  <c:v>23.270470667901861</c:v>
                </c:pt>
                <c:pt idx="5">
                  <c:v>23.757294976111115</c:v>
                </c:pt>
                <c:pt idx="6">
                  <c:v>24.279507261077836</c:v>
                </c:pt>
                <c:pt idx="7">
                  <c:v>24.844960667585948</c:v>
                </c:pt>
                <c:pt idx="8">
                  <c:v>25.458760215922311</c:v>
                </c:pt>
                <c:pt idx="9">
                  <c:v>26.119325352471243</c:v>
                </c:pt>
                <c:pt idx="10">
                  <c:v>26.8156347839281</c:v>
                </c:pt>
                <c:pt idx="11">
                  <c:v>27.528814351412201</c:v>
                </c:pt>
                <c:pt idx="12">
                  <c:v>28.238537827906523</c:v>
                </c:pt>
                <c:pt idx="13">
                  <c:v>28.930174839706886</c:v>
                </c:pt>
                <c:pt idx="14">
                  <c:v>29.597974829928958</c:v>
                </c:pt>
                <c:pt idx="15">
                  <c:v>30.243608520047701</c:v>
                </c:pt>
                <c:pt idx="16">
                  <c:v>30.872711766694167</c:v>
                </c:pt>
                <c:pt idx="17">
                  <c:v>31.491921144517107</c:v>
                </c:pt>
                <c:pt idx="18">
                  <c:v>32.10723197382157</c:v>
                </c:pt>
                <c:pt idx="19">
                  <c:v>32.723425452802978</c:v>
                </c:pt>
                <c:pt idx="20">
                  <c:v>33.344071851734476</c:v>
                </c:pt>
                <c:pt idx="21">
                  <c:v>33.971751606177278</c:v>
                </c:pt>
                <c:pt idx="22">
                  <c:v>34.608310545238467</c:v>
                </c:pt>
                <c:pt idx="23">
                  <c:v>35.255078255545101</c:v>
                </c:pt>
                <c:pt idx="24">
                  <c:v>35.91303353484593</c:v>
                </c:pt>
                <c:pt idx="25">
                  <c:v>36.582922164297486</c:v>
                </c:pt>
              </c:numCache>
            </c:numRef>
          </c:val>
          <c:extLst>
            <c:ext xmlns:c16="http://schemas.microsoft.com/office/drawing/2014/chart" uri="{C3380CC4-5D6E-409C-BE32-E72D297353CC}">
              <c16:uniqueId val="{0000000F-E770-A748-82BB-206CFE5C5ED8}"/>
            </c:ext>
          </c:extLst>
        </c:ser>
        <c:ser>
          <c:idx val="16"/>
          <c:order val="16"/>
          <c:tx>
            <c:strRef>
              <c:f>MAIN!$AV$1</c:f>
              <c:strCache>
                <c:ptCount val="1"/>
                <c:pt idx="0">
                  <c:v>Heavy Load Carrier</c:v>
                </c:pt>
              </c:strCache>
            </c:strRef>
          </c:tx>
          <c:spPr>
            <a:solidFill>
              <a:schemeClr val="accent5">
                <a:lumMod val="80000"/>
                <a:lumOff val="2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MAIN!$AV$2:$AV$27</c:f>
              <c:numCache>
                <c:formatCode>General</c:formatCode>
                <c:ptCount val="26"/>
                <c:pt idx="0">
                  <c:v>36.664777637605233</c:v>
                </c:pt>
                <c:pt idx="1">
                  <c:v>37.359718406806429</c:v>
                </c:pt>
                <c:pt idx="2">
                  <c:v>38.077029579598879</c:v>
                </c:pt>
                <c:pt idx="3">
                  <c:v>38.822398941279566</c:v>
                </c:pt>
                <c:pt idx="4">
                  <c:v>39.60391313579543</c:v>
                </c:pt>
                <c:pt idx="5">
                  <c:v>40.432437315209945</c:v>
                </c:pt>
                <c:pt idx="6">
                  <c:v>41.321188138836149</c:v>
                </c:pt>
                <c:pt idx="7">
                  <c:v>42.283530839732876</c:v>
                </c:pt>
                <c:pt idx="8">
                  <c:v>43.328153629792496</c:v>
                </c:pt>
                <c:pt idx="9">
                  <c:v>44.452366571669252</c:v>
                </c:pt>
                <c:pt idx="10">
                  <c:v>45.637412574073068</c:v>
                </c:pt>
                <c:pt idx="11">
                  <c:v>46.851169787837719</c:v>
                </c:pt>
                <c:pt idx="12">
                  <c:v>48.059045095331442</c:v>
                </c:pt>
                <c:pt idx="13">
                  <c:v>49.236139126980127</c:v>
                </c:pt>
                <c:pt idx="14">
                  <c:v>50.372665034954998</c:v>
                </c:pt>
                <c:pt idx="15">
                  <c:v>51.471466212890569</c:v>
                </c:pt>
                <c:pt idx="16">
                  <c:v>52.542134300751812</c:v>
                </c:pt>
                <c:pt idx="17">
                  <c:v>53.59596405615919</c:v>
                </c:pt>
                <c:pt idx="18">
                  <c:v>54.643158888745916</c:v>
                </c:pt>
                <c:pt idx="19">
                  <c:v>55.691855898990944</c:v>
                </c:pt>
                <c:pt idx="20">
                  <c:v>56.748131314392502</c:v>
                </c:pt>
                <c:pt idx="21">
                  <c:v>57.816376767044147</c:v>
                </c:pt>
                <c:pt idx="22">
                  <c:v>58.899733665500321</c:v>
                </c:pt>
                <c:pt idx="23">
                  <c:v>60.000464827476883</c:v>
                </c:pt>
                <c:pt idx="24">
                  <c:v>61.120236064618673</c:v>
                </c:pt>
                <c:pt idx="25">
                  <c:v>62.260316618642484</c:v>
                </c:pt>
              </c:numCache>
            </c:numRef>
          </c:val>
          <c:extLst>
            <c:ext xmlns:c16="http://schemas.microsoft.com/office/drawing/2014/chart" uri="{C3380CC4-5D6E-409C-BE32-E72D297353CC}">
              <c16:uniqueId val="{00000010-E770-A748-82BB-206CFE5C5ED8}"/>
            </c:ext>
          </c:extLst>
        </c:ser>
        <c:ser>
          <c:idx val="17"/>
          <c:order val="17"/>
          <c:tx>
            <c:strRef>
              <c:f>MAIN!$AW$1</c:f>
              <c:strCache>
                <c:ptCount val="1"/>
                <c:pt idx="0">
                  <c:v>Landing Craft</c:v>
                </c:pt>
              </c:strCache>
            </c:strRef>
          </c:tx>
          <c:spPr>
            <a:solidFill>
              <a:schemeClr val="accent6">
                <a:lumMod val="80000"/>
                <a:lumOff val="2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MAIN!$AW$2:$AW$27</c:f>
              <c:numCache>
                <c:formatCode>General</c:formatCode>
                <c:ptCount val="26"/>
                <c:pt idx="0">
                  <c:v>9.1562724613921578</c:v>
                </c:pt>
                <c:pt idx="1">
                  <c:v>9.3298195940170459</c:v>
                </c:pt>
                <c:pt idx="2">
                  <c:v>9.5089532738283769</c:v>
                </c:pt>
                <c:pt idx="3">
                  <c:v>9.6950939079644609</c:v>
                </c:pt>
                <c:pt idx="4">
                  <c:v>9.8902609690649026</c:v>
                </c:pt>
                <c:pt idx="5">
                  <c:v>10.097167804899357</c:v>
                </c:pt>
                <c:pt idx="6">
                  <c:v>10.319115003702542</c:v>
                </c:pt>
                <c:pt idx="7">
                  <c:v>10.559440256939727</c:v>
                </c:pt>
                <c:pt idx="8">
                  <c:v>10.820313266445048</c:v>
                </c:pt>
                <c:pt idx="9">
                  <c:v>11.101062275812804</c:v>
                </c:pt>
                <c:pt idx="10">
                  <c:v>11.397003088124293</c:v>
                </c:pt>
                <c:pt idx="11">
                  <c:v>11.700113933662621</c:v>
                </c:pt>
                <c:pt idx="12">
                  <c:v>12.001755894350719</c:v>
                </c:pt>
                <c:pt idx="13">
                  <c:v>12.295710865876297</c:v>
                </c:pt>
                <c:pt idx="14">
                  <c:v>12.579534784725752</c:v>
                </c:pt>
                <c:pt idx="15">
                  <c:v>12.853937729849786</c:v>
                </c:pt>
                <c:pt idx="16">
                  <c:v>13.121315015621747</c:v>
                </c:pt>
                <c:pt idx="17">
                  <c:v>13.384487274943877</c:v>
                </c:pt>
                <c:pt idx="18">
                  <c:v>13.646002599054061</c:v>
                </c:pt>
                <c:pt idx="19">
                  <c:v>13.907893061070734</c:v>
                </c:pt>
                <c:pt idx="20">
                  <c:v>14.171676073565182</c:v>
                </c:pt>
                <c:pt idx="21">
                  <c:v>14.438448356130172</c:v>
                </c:pt>
                <c:pt idx="22">
                  <c:v>14.708994410799802</c:v>
                </c:pt>
                <c:pt idx="23">
                  <c:v>14.983879329656233</c:v>
                </c:pt>
                <c:pt idx="24">
                  <c:v>15.263519114821181</c:v>
                </c:pt>
                <c:pt idx="25">
                  <c:v>15.548230733251136</c:v>
                </c:pt>
              </c:numCache>
            </c:numRef>
          </c:val>
          <c:extLst>
            <c:ext xmlns:c16="http://schemas.microsoft.com/office/drawing/2014/chart" uri="{C3380CC4-5D6E-409C-BE32-E72D297353CC}">
              <c16:uniqueId val="{00000011-E770-A748-82BB-206CFE5C5ED8}"/>
            </c:ext>
          </c:extLst>
        </c:ser>
        <c:ser>
          <c:idx val="18"/>
          <c:order val="18"/>
          <c:tx>
            <c:strRef>
              <c:f>MAIN!$AX$1</c:f>
              <c:strCache>
                <c:ptCount val="1"/>
                <c:pt idx="0">
                  <c:v>High Speed Craft</c:v>
                </c:pt>
              </c:strCache>
            </c:strRef>
          </c:tx>
          <c:spPr>
            <a:solidFill>
              <a:schemeClr val="accent1">
                <a:lumMod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MAIN!$AX$2:$AX$27</c:f>
              <c:numCache>
                <c:formatCode>General</c:formatCode>
                <c:ptCount val="26"/>
                <c:pt idx="0">
                  <c:v>23.940914614338261</c:v>
                </c:pt>
                <c:pt idx="1">
                  <c:v>24.370348792502103</c:v>
                </c:pt>
                <c:pt idx="2">
                  <c:v>24.813444313362698</c:v>
                </c:pt>
                <c:pt idx="3">
                  <c:v>25.27386088058638</c:v>
                </c:pt>
                <c:pt idx="4">
                  <c:v>25.756803541184681</c:v>
                </c:pt>
                <c:pt idx="5">
                  <c:v>26.269261516771767</c:v>
                </c:pt>
                <c:pt idx="6">
                  <c:v>26.819721985606307</c:v>
                </c:pt>
                <c:pt idx="7">
                  <c:v>27.416734018227338</c:v>
                </c:pt>
                <c:pt idx="8">
                  <c:v>28.065782318846225</c:v>
                </c:pt>
                <c:pt idx="9">
                  <c:v>28.764966229093542</c:v>
                </c:pt>
                <c:pt idx="10">
                  <c:v>29.502005720200195</c:v>
                </c:pt>
                <c:pt idx="11">
                  <c:v>30.256039057477384</c:v>
                </c:pt>
                <c:pt idx="12">
                  <c:v>31.004694250117936</c:v>
                </c:pt>
                <c:pt idx="13">
                  <c:v>31.731937283536009</c:v>
                </c:pt>
                <c:pt idx="14">
                  <c:v>32.431529235154663</c:v>
                </c:pt>
                <c:pt idx="15">
                  <c:v>33.105380373469323</c:v>
                </c:pt>
                <c:pt idx="16">
                  <c:v>33.759729587621514</c:v>
                </c:pt>
                <c:pt idx="17">
                  <c:v>34.401884031042769</c:v>
                </c:pt>
                <c:pt idx="18">
                  <c:v>35.038421703771142</c:v>
                </c:pt>
                <c:pt idx="19">
                  <c:v>35.674570497272029</c:v>
                </c:pt>
                <c:pt idx="20">
                  <c:v>36.314218427934982</c:v>
                </c:pt>
                <c:pt idx="21">
                  <c:v>36.960160912873512</c:v>
                </c:pt>
                <c:pt idx="22">
                  <c:v>37.614383670586783</c:v>
                </c:pt>
                <c:pt idx="23">
                  <c:v>38.278303894989364</c:v>
                </c:pt>
                <c:pt idx="24">
                  <c:v>38.952952585874641</c:v>
                </c:pt>
                <c:pt idx="25">
                  <c:v>39.639104113269582</c:v>
                </c:pt>
              </c:numCache>
            </c:numRef>
          </c:val>
          <c:extLst>
            <c:ext xmlns:c16="http://schemas.microsoft.com/office/drawing/2014/chart" uri="{C3380CC4-5D6E-409C-BE32-E72D297353CC}">
              <c16:uniqueId val="{00000012-E770-A748-82BB-206CFE5C5ED8}"/>
            </c:ext>
          </c:extLst>
        </c:ser>
        <c:ser>
          <c:idx val="19"/>
          <c:order val="19"/>
          <c:tx>
            <c:strRef>
              <c:f>MAIN!$AY$1</c:f>
              <c:strCache>
                <c:ptCount val="1"/>
                <c:pt idx="0">
                  <c:v>Other Cargo</c:v>
                </c:pt>
              </c:strCache>
            </c:strRef>
          </c:tx>
          <c:spPr>
            <a:solidFill>
              <a:schemeClr val="accent2">
                <a:lumMod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MAIN!$AY$2:$AY$27</c:f>
              <c:numCache>
                <c:formatCode>General</c:formatCode>
                <c:ptCount val="26"/>
                <c:pt idx="0">
                  <c:v>1.5071681239534449</c:v>
                </c:pt>
                <c:pt idx="1">
                  <c:v>1.5380313726868136</c:v>
                </c:pt>
                <c:pt idx="2">
                  <c:v>1.569913623330395</c:v>
                </c:pt>
                <c:pt idx="3">
                  <c:v>1.6030535127163208</c:v>
                </c:pt>
                <c:pt idx="4">
                  <c:v>1.6377902398291586</c:v>
                </c:pt>
                <c:pt idx="5">
                  <c:v>1.6745800456524136</c:v>
                </c:pt>
                <c:pt idx="6">
                  <c:v>1.7139793802421361</c:v>
                </c:pt>
                <c:pt idx="7">
                  <c:v>1.7565541349134863</c:v>
                </c:pt>
                <c:pt idx="8">
                  <c:v>1.8026789242895838</c:v>
                </c:pt>
                <c:pt idx="9">
                  <c:v>1.8522563843864259</c:v>
                </c:pt>
                <c:pt idx="10">
                  <c:v>1.9045178871685935</c:v>
                </c:pt>
                <c:pt idx="11">
                  <c:v>1.9581313849650375</c:v>
                </c:pt>
                <c:pt idx="12">
                  <c:v>2.0116531392209867</c:v>
                </c:pt>
                <c:pt idx="13">
                  <c:v>2.0640368981329242</c:v>
                </c:pt>
                <c:pt idx="14">
                  <c:v>2.1148644697785812</c:v>
                </c:pt>
                <c:pt idx="15">
                  <c:v>2.1642461388117837</c:v>
                </c:pt>
                <c:pt idx="16">
                  <c:v>2.2125769740282522</c:v>
                </c:pt>
                <c:pt idx="17">
                  <c:v>2.2603261920670814</c:v>
                </c:pt>
                <c:pt idx="18">
                  <c:v>2.3079196642215725</c:v>
                </c:pt>
                <c:pt idx="19">
                  <c:v>2.3556983270334841</c:v>
                </c:pt>
                <c:pt idx="20">
                  <c:v>2.4039177560314142</c:v>
                </c:pt>
                <c:pt idx="21">
                  <c:v>2.4527634756149466</c:v>
                </c:pt>
                <c:pt idx="22">
                  <c:v>2.5023688806312747</c:v>
                </c:pt>
                <c:pt idx="23">
                  <c:v>2.5528306533666196</c:v>
                </c:pt>
                <c:pt idx="24">
                  <c:v>2.60422048423258</c:v>
                </c:pt>
                <c:pt idx="25">
                  <c:v>2.6565934360004921</c:v>
                </c:pt>
              </c:numCache>
            </c:numRef>
          </c:val>
          <c:extLst>
            <c:ext xmlns:c16="http://schemas.microsoft.com/office/drawing/2014/chart" uri="{C3380CC4-5D6E-409C-BE32-E72D297353CC}">
              <c16:uniqueId val="{00000013-E770-A748-82BB-206CFE5C5ED8}"/>
            </c:ext>
          </c:extLst>
        </c:ser>
        <c:ser>
          <c:idx val="20"/>
          <c:order val="20"/>
          <c:tx>
            <c:strRef>
              <c:f>MAIN!$AZ$1</c:f>
              <c:strCache>
                <c:ptCount val="1"/>
                <c:pt idx="0">
                  <c:v>Special Cargo</c:v>
                </c:pt>
              </c:strCache>
            </c:strRef>
          </c:tx>
          <c:spPr>
            <a:solidFill>
              <a:schemeClr val="accent3">
                <a:lumMod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MAIN!$AZ$2:$AZ$27</c:f>
              <c:numCache>
                <c:formatCode>General</c:formatCode>
                <c:ptCount val="26"/>
                <c:pt idx="0">
                  <c:v>0.1375060242206462</c:v>
                </c:pt>
                <c:pt idx="1">
                  <c:v>0.14018181789986092</c:v>
                </c:pt>
                <c:pt idx="2">
                  <c:v>0.14294471121194019</c:v>
                </c:pt>
                <c:pt idx="3">
                  <c:v>0.14581613585998834</c:v>
                </c:pt>
                <c:pt idx="4">
                  <c:v>0.14882657504555633</c:v>
                </c:pt>
                <c:pt idx="5">
                  <c:v>0.15201701363735171</c:v>
                </c:pt>
                <c:pt idx="6">
                  <c:v>0.15543735824189742</c:v>
                </c:pt>
                <c:pt idx="7">
                  <c:v>0.15913816822108096</c:v>
                </c:pt>
                <c:pt idx="8">
                  <c:v>0.16315248530980142</c:v>
                </c:pt>
                <c:pt idx="9">
                  <c:v>0.16747054145375145</c:v>
                </c:pt>
                <c:pt idx="10">
                  <c:v>0.17202197415766882</c:v>
                </c:pt>
                <c:pt idx="11">
                  <c:v>0.17668586385991317</c:v>
                </c:pt>
                <c:pt idx="12">
                  <c:v>0.18133171017616584</c:v>
                </c:pt>
                <c:pt idx="13">
                  <c:v>0.18586533399360206</c:v>
                </c:pt>
                <c:pt idx="14">
                  <c:v>0.19024943801361144</c:v>
                </c:pt>
                <c:pt idx="15">
                  <c:v>0.19449437093988498</c:v>
                </c:pt>
                <c:pt idx="16">
                  <c:v>0.19863600873552995</c:v>
                </c:pt>
                <c:pt idx="17">
                  <c:v>0.2027167339472456</c:v>
                </c:pt>
                <c:pt idx="18">
                  <c:v>0.20677487534560385</c:v>
                </c:pt>
                <c:pt idx="19">
                  <c:v>0.21084100542421785</c:v>
                </c:pt>
                <c:pt idx="20">
                  <c:v>0.21493794108897984</c:v>
                </c:pt>
                <c:pt idx="21">
                  <c:v>0.21908215012137949</c:v>
                </c:pt>
                <c:pt idx="22">
                  <c:v>0.22328538229555958</c:v>
                </c:pt>
                <c:pt idx="23">
                  <c:v>0.22755606743316009</c:v>
                </c:pt>
                <c:pt idx="24">
                  <c:v>0.23190037587914553</c:v>
                </c:pt>
                <c:pt idx="25">
                  <c:v>0.23632297399151159</c:v>
                </c:pt>
              </c:numCache>
            </c:numRef>
          </c:val>
          <c:extLst>
            <c:ext xmlns:c16="http://schemas.microsoft.com/office/drawing/2014/chart" uri="{C3380CC4-5D6E-409C-BE32-E72D297353CC}">
              <c16:uniqueId val="{00000014-E770-A748-82BB-206CFE5C5ED8}"/>
            </c:ext>
          </c:extLst>
        </c:ser>
        <c:ser>
          <c:idx val="21"/>
          <c:order val="21"/>
          <c:tx>
            <c:strRef>
              <c:f>MAIN!$BA$1</c:f>
              <c:strCache>
                <c:ptCount val="1"/>
                <c:pt idx="0">
                  <c:v>Other Passenger</c:v>
                </c:pt>
              </c:strCache>
            </c:strRef>
          </c:tx>
          <c:spPr>
            <a:solidFill>
              <a:schemeClr val="accent4">
                <a:lumMod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MAIN!$BA$2:$BA$27</c:f>
              <c:numCache>
                <c:formatCode>General</c:formatCode>
                <c:ptCount val="26"/>
                <c:pt idx="0">
                  <c:v>0.44863749785702489</c:v>
                </c:pt>
                <c:pt idx="1">
                  <c:v>0.45668482095596485</c:v>
                </c:pt>
                <c:pt idx="2">
                  <c:v>0.46498814891952966</c:v>
                </c:pt>
                <c:pt idx="3">
                  <c:v>0.47361606226447117</c:v>
                </c:pt>
                <c:pt idx="4">
                  <c:v>0.48266610025798534</c:v>
                </c:pt>
                <c:pt idx="5">
                  <c:v>0.49226923646342396</c:v>
                </c:pt>
                <c:pt idx="6">
                  <c:v>0.5025845151979812</c:v>
                </c:pt>
                <c:pt idx="7">
                  <c:v>0.51377214060078102</c:v>
                </c:pt>
                <c:pt idx="8">
                  <c:v>0.52593489253690051</c:v>
                </c:pt>
                <c:pt idx="9">
                  <c:v>0.539037153878553</c:v>
                </c:pt>
                <c:pt idx="10">
                  <c:v>0.55284880470470288</c:v>
                </c:pt>
                <c:pt idx="11">
                  <c:v>0.56697890938893303</c:v>
                </c:pt>
                <c:pt idx="12">
                  <c:v>0.5810082310666761</c:v>
                </c:pt>
                <c:pt idx="13">
                  <c:v>0.59463630251266963</c:v>
                </c:pt>
                <c:pt idx="14">
                  <c:v>0.60774621028984099</c:v>
                </c:pt>
                <c:pt idx="15">
                  <c:v>0.62037375161361896</c:v>
                </c:pt>
                <c:pt idx="16">
                  <c:v>0.63263583929451861</c:v>
                </c:pt>
                <c:pt idx="17">
                  <c:v>0.64466940473573786</c:v>
                </c:pt>
                <c:pt idx="18">
                  <c:v>0.65659771547009738</c:v>
                </c:pt>
                <c:pt idx="19">
                  <c:v>0.66851873885531399</c:v>
                </c:pt>
                <c:pt idx="20">
                  <c:v>0.68050533384321743</c:v>
                </c:pt>
                <c:pt idx="21">
                  <c:v>0.69260988477080887</c:v>
                </c:pt>
                <c:pt idx="22">
                  <c:v>0.70486960273855204</c:v>
                </c:pt>
                <c:pt idx="23">
                  <c:v>0.71731104505814736</c:v>
                </c:pt>
                <c:pt idx="24">
                  <c:v>0.72995353200933555</c:v>
                </c:pt>
                <c:pt idx="25">
                  <c:v>0.74281157479341908</c:v>
                </c:pt>
              </c:numCache>
            </c:numRef>
          </c:val>
          <c:extLst>
            <c:ext xmlns:c16="http://schemas.microsoft.com/office/drawing/2014/chart" uri="{C3380CC4-5D6E-409C-BE32-E72D297353CC}">
              <c16:uniqueId val="{00000015-E770-A748-82BB-206CFE5C5ED8}"/>
            </c:ext>
          </c:extLst>
        </c:ser>
        <c:ser>
          <c:idx val="22"/>
          <c:order val="22"/>
          <c:tx>
            <c:strRef>
              <c:f>MAIN!$BB$1</c:f>
              <c:strCache>
                <c:ptCount val="1"/>
                <c:pt idx="0">
                  <c:v>Special Passenger Vessel</c:v>
                </c:pt>
              </c:strCache>
            </c:strRef>
          </c:tx>
          <c:spPr>
            <a:solidFill>
              <a:schemeClr val="accent5">
                <a:lumMod val="80000"/>
              </a:schemeClr>
            </a:solidFill>
            <a:ln>
              <a:noFill/>
            </a:ln>
            <a:effectLst/>
          </c:spPr>
          <c:invertIfNegative val="0"/>
          <c:cat>
            <c:numRef>
              <c:f>MAIN!$G$2:$G$27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MAIN!$BB$2:$BB$27</c:f>
              <c:numCache>
                <c:formatCode>General</c:formatCode>
                <c:ptCount val="26"/>
                <c:pt idx="0">
                  <c:v>4.4417023405944747</c:v>
                </c:pt>
                <c:pt idx="1">
                  <c:v>4.5370613886881044</c:v>
                </c:pt>
                <c:pt idx="2">
                  <c:v>4.6356229018218187</c:v>
                </c:pt>
                <c:pt idx="3">
                  <c:v>4.7381000373555073</c:v>
                </c:pt>
                <c:pt idx="4">
                  <c:v>4.8455061022337613</c:v>
                </c:pt>
                <c:pt idx="5">
                  <c:v>4.9592048194762235</c:v>
                </c:pt>
                <c:pt idx="6">
                  <c:v>5.0808621333313226</c:v>
                </c:pt>
                <c:pt idx="7">
                  <c:v>5.2121783348113677</c:v>
                </c:pt>
                <c:pt idx="8">
                  <c:v>5.3542920222398882</c:v>
                </c:pt>
                <c:pt idx="9">
                  <c:v>5.5069427389024748</c:v>
                </c:pt>
                <c:pt idx="10">
                  <c:v>5.6678709838187107</c:v>
                </c:pt>
                <c:pt idx="11">
                  <c:v>5.8331296532735744</c:v>
                </c:pt>
                <c:pt idx="12">
                  <c:v>5.9984227979852998</c:v>
                </c:pt>
                <c:pt idx="13">
                  <c:v>6.1606237809603517</c:v>
                </c:pt>
                <c:pt idx="14">
                  <c:v>6.3184699747302453</c:v>
                </c:pt>
                <c:pt idx="15">
                  <c:v>6.4722741205852854</c:v>
                </c:pt>
                <c:pt idx="16">
                  <c:v>6.6232025387442244</c:v>
                </c:pt>
                <c:pt idx="17">
                  <c:v>6.7726481159015863</c:v>
                </c:pt>
                <c:pt idx="18">
                  <c:v>6.9218789733414869</c:v>
                </c:pt>
                <c:pt idx="19">
                  <c:v>7.0719129636556435</c:v>
                </c:pt>
                <c:pt idx="20">
                  <c:v>7.2235151444895322</c:v>
                </c:pt>
                <c:pt idx="21">
                  <c:v>7.3772425823202008</c:v>
                </c:pt>
                <c:pt idx="22">
                  <c:v>7.5334972889516783</c:v>
                </c:pt>
                <c:pt idx="23">
                  <c:v>7.6925719234419354</c:v>
                </c:pt>
                <c:pt idx="24">
                  <c:v>7.8546846127935721</c:v>
                </c:pt>
                <c:pt idx="25">
                  <c:v>8.0200038420699364</c:v>
                </c:pt>
              </c:numCache>
            </c:numRef>
          </c:val>
          <c:extLst>
            <c:ext xmlns:c16="http://schemas.microsoft.com/office/drawing/2014/chart" uri="{C3380CC4-5D6E-409C-BE32-E72D297353CC}">
              <c16:uniqueId val="{00000016-E770-A748-82BB-206CFE5C5ED8}"/>
            </c:ext>
          </c:extLst>
        </c:ser>
        <c:dLbls>
          <c:showLegendKey val="0"/>
          <c:showVal val="0"/>
          <c:showCatName val="0"/>
          <c:showSerName val="0"/>
          <c:showPercent val="0"/>
          <c:showBubbleSize val="0"/>
        </c:dLbls>
        <c:gapWidth val="150"/>
        <c:overlap val="100"/>
        <c:axId val="2012454592"/>
        <c:axId val="342683424"/>
      </c:barChart>
      <c:catAx>
        <c:axId val="201245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83424"/>
        <c:crosses val="autoZero"/>
        <c:auto val="1"/>
        <c:lblAlgn val="ctr"/>
        <c:lblOffset val="100"/>
        <c:noMultiLvlLbl val="0"/>
      </c:catAx>
      <c:valAx>
        <c:axId val="34268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5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MAIN!$AA$1</c:f>
              <c:strCache>
                <c:ptCount val="1"/>
                <c:pt idx="0">
                  <c:v>Solar</c:v>
                </c:pt>
              </c:strCache>
            </c:strRef>
          </c:tx>
          <c:spPr>
            <a:solidFill>
              <a:schemeClr val="accent1"/>
            </a:solidFill>
            <a:ln>
              <a:noFill/>
            </a:ln>
            <a:effectLst/>
          </c:spPr>
          <c:invertIfNegative val="0"/>
          <c:val>
            <c:numRef>
              <c:f>MAIN!$AA$2:$AA$27</c:f>
              <c:numCache>
                <c:formatCode>General</c:formatCode>
                <c:ptCount val="26"/>
                <c:pt idx="1">
                  <c:v>0.41556398207862355</c:v>
                </c:pt>
                <c:pt idx="2">
                  <c:v>1.0766314415405567</c:v>
                </c:pt>
                <c:pt idx="3">
                  <c:v>2.1148390097222638</c:v>
                </c:pt>
                <c:pt idx="4">
                  <c:v>3.7198220242935101</c:v>
                </c:pt>
                <c:pt idx="5">
                  <c:v>6.1484376814498809</c:v>
                </c:pt>
                <c:pt idx="6">
                  <c:v>9.7144445361033256</c:v>
                </c:pt>
                <c:pt idx="7">
                  <c:v>14.735132855591232</c:v>
                </c:pt>
                <c:pt idx="8">
                  <c:v>21.414353043520617</c:v>
                </c:pt>
                <c:pt idx="9">
                  <c:v>29.680011339343281</c:v>
                </c:pt>
                <c:pt idx="10">
                  <c:v>39.070254441854011</c:v>
                </c:pt>
                <c:pt idx="11">
                  <c:v>48.798802654925034</c:v>
                </c:pt>
                <c:pt idx="12">
                  <c:v>58.01894238175128</c:v>
                </c:pt>
                <c:pt idx="13">
                  <c:v>66.118505187112902</c:v>
                </c:pt>
                <c:pt idx="14">
                  <c:v>72.851397958120955</c:v>
                </c:pt>
                <c:pt idx="15">
                  <c:v>78.277564681706991</c:v>
                </c:pt>
                <c:pt idx="16">
                  <c:v>82.620444490079763</c:v>
                </c:pt>
                <c:pt idx="17">
                  <c:v>86.144650719612457</c:v>
                </c:pt>
                <c:pt idx="18">
                  <c:v>89.088186539018167</c:v>
                </c:pt>
                <c:pt idx="19">
                  <c:v>91.638771578943619</c:v>
                </c:pt>
                <c:pt idx="20">
                  <c:v>93.933946351595836</c:v>
                </c:pt>
                <c:pt idx="21">
                  <c:v>96.070176798353771</c:v>
                </c:pt>
                <c:pt idx="22">
                  <c:v>98.113374073138871</c:v>
                </c:pt>
                <c:pt idx="23">
                  <c:v>100.10789739051135</c:v>
                </c:pt>
                <c:pt idx="24">
                  <c:v>102.08337596364741</c:v>
                </c:pt>
                <c:pt idx="25">
                  <c:v>104.05956463329099</c:v>
                </c:pt>
              </c:numCache>
            </c:numRef>
          </c:val>
          <c:extLst>
            <c:ext xmlns:c16="http://schemas.microsoft.com/office/drawing/2014/chart" uri="{C3380CC4-5D6E-409C-BE32-E72D297353CC}">
              <c16:uniqueId val="{00000000-FCB7-6D42-85C4-75C274E16B2C}"/>
            </c:ext>
          </c:extLst>
        </c:ser>
        <c:ser>
          <c:idx val="1"/>
          <c:order val="1"/>
          <c:tx>
            <c:strRef>
              <c:f>MAIN!$AB$1</c:f>
              <c:strCache>
                <c:ptCount val="1"/>
                <c:pt idx="0">
                  <c:v>Wind</c:v>
                </c:pt>
              </c:strCache>
            </c:strRef>
          </c:tx>
          <c:spPr>
            <a:solidFill>
              <a:schemeClr val="accent2"/>
            </a:solidFill>
            <a:ln>
              <a:noFill/>
            </a:ln>
            <a:effectLst/>
          </c:spPr>
          <c:invertIfNegative val="0"/>
          <c:val>
            <c:numRef>
              <c:f>MAIN!$AB$2:$AB$27</c:f>
              <c:numCache>
                <c:formatCode>General</c:formatCode>
                <c:ptCount val="26"/>
                <c:pt idx="1">
                  <c:v>0.15450455743948821</c:v>
                </c:pt>
                <c:pt idx="2">
                  <c:v>0.40028604877789919</c:v>
                </c:pt>
                <c:pt idx="3">
                  <c:v>0.78628629848648268</c:v>
                </c:pt>
                <c:pt idx="4">
                  <c:v>1.3830107526219459</c:v>
                </c:pt>
                <c:pt idx="5">
                  <c:v>2.2859575995134165</c:v>
                </c:pt>
                <c:pt idx="6">
                  <c:v>3.611780660858928</c:v>
                </c:pt>
                <c:pt idx="7">
                  <c:v>5.4784468309249448</c:v>
                </c:pt>
                <c:pt idx="8">
                  <c:v>7.961746644385868</c:v>
                </c:pt>
                <c:pt idx="9">
                  <c:v>11.034876010781474</c:v>
                </c:pt>
                <c:pt idx="10">
                  <c:v>14.526120241202129</c:v>
                </c:pt>
                <c:pt idx="11">
                  <c:v>18.143144576831101</c:v>
                </c:pt>
                <c:pt idx="12">
                  <c:v>21.57114524449727</c:v>
                </c:pt>
                <c:pt idx="13">
                  <c:v>24.582521159311202</c:v>
                </c:pt>
                <c:pt idx="14">
                  <c:v>27.085776163916762</c:v>
                </c:pt>
                <c:pt idx="15">
                  <c:v>29.103197125250031</c:v>
                </c:pt>
                <c:pt idx="16">
                  <c:v>30.717857566824524</c:v>
                </c:pt>
                <c:pt idx="17">
                  <c:v>32.028139370112321</c:v>
                </c:pt>
                <c:pt idx="18">
                  <c:v>33.122530892711879</c:v>
                </c:pt>
                <c:pt idx="19">
                  <c:v>34.070825330632879</c:v>
                </c:pt>
                <c:pt idx="20">
                  <c:v>34.924159540977932</c:v>
                </c:pt>
                <c:pt idx="21">
                  <c:v>35.718399066054602</c:v>
                </c:pt>
                <c:pt idx="22">
                  <c:v>36.478049334884957</c:v>
                </c:pt>
                <c:pt idx="23">
                  <c:v>37.219602875959339</c:v>
                </c:pt>
                <c:pt idx="24">
                  <c:v>37.954075678791973</c:v>
                </c:pt>
                <c:pt idx="25">
                  <c:v>38.688812491864589</c:v>
                </c:pt>
              </c:numCache>
            </c:numRef>
          </c:val>
          <c:extLst>
            <c:ext xmlns:c16="http://schemas.microsoft.com/office/drawing/2014/chart" uri="{C3380CC4-5D6E-409C-BE32-E72D297353CC}">
              <c16:uniqueId val="{00000001-FCB7-6D42-85C4-75C274E16B2C}"/>
            </c:ext>
          </c:extLst>
        </c:ser>
        <c:ser>
          <c:idx val="2"/>
          <c:order val="2"/>
          <c:tx>
            <c:strRef>
              <c:f>MAIN!$AC$1</c:f>
              <c:strCache>
                <c:ptCount val="1"/>
                <c:pt idx="0">
                  <c:v>Hydro</c:v>
                </c:pt>
              </c:strCache>
            </c:strRef>
          </c:tx>
          <c:spPr>
            <a:solidFill>
              <a:schemeClr val="accent3"/>
            </a:solidFill>
            <a:ln>
              <a:noFill/>
            </a:ln>
            <a:effectLst/>
          </c:spPr>
          <c:invertIfNegative val="0"/>
          <c:val>
            <c:numRef>
              <c:f>MAIN!$AC$2:$AC$27</c:f>
              <c:numCache>
                <c:formatCode>General</c:formatCode>
                <c:ptCount val="26"/>
                <c:pt idx="1">
                  <c:v>5.5793312408704082E-2</c:v>
                </c:pt>
                <c:pt idx="2">
                  <c:v>0.1445477398364636</c:v>
                </c:pt>
                <c:pt idx="3">
                  <c:v>0.28393671889789646</c:v>
                </c:pt>
                <c:pt idx="4">
                  <c:v>0.49942054955792492</c:v>
                </c:pt>
                <c:pt idx="5">
                  <c:v>0.82548468871317826</c:v>
                </c:pt>
                <c:pt idx="6">
                  <c:v>1.3042541275323907</c:v>
                </c:pt>
                <c:pt idx="7">
                  <c:v>1.9783280222784521</c:v>
                </c:pt>
                <c:pt idx="8">
                  <c:v>2.8750751771393412</c:v>
                </c:pt>
                <c:pt idx="9">
                  <c:v>3.984816337226643</c:v>
                </c:pt>
                <c:pt idx="10">
                  <c:v>5.2455434204341014</c:v>
                </c:pt>
                <c:pt idx="11">
                  <c:v>6.551691097189007</c:v>
                </c:pt>
                <c:pt idx="12">
                  <c:v>7.7895802271795676</c:v>
                </c:pt>
                <c:pt idx="13">
                  <c:v>8.877021529751266</c:v>
                </c:pt>
                <c:pt idx="14">
                  <c:v>9.7809747258588313</c:v>
                </c:pt>
                <c:pt idx="15">
                  <c:v>10.509487850784732</c:v>
                </c:pt>
                <c:pt idx="16">
                  <c:v>11.092559676908856</c:v>
                </c:pt>
                <c:pt idx="17">
                  <c:v>11.565716994762781</c:v>
                </c:pt>
                <c:pt idx="18">
                  <c:v>11.960913933479288</c:v>
                </c:pt>
                <c:pt idx="19">
                  <c:v>12.303353591617428</c:v>
                </c:pt>
                <c:pt idx="20">
                  <c:v>12.611502056464253</c:v>
                </c:pt>
                <c:pt idx="21">
                  <c:v>12.89831077385305</c:v>
                </c:pt>
                <c:pt idx="22">
                  <c:v>13.172628926486235</c:v>
                </c:pt>
                <c:pt idx="23">
                  <c:v>13.440412149651983</c:v>
                </c:pt>
                <c:pt idx="24">
                  <c:v>13.705638439563769</c:v>
                </c:pt>
                <c:pt idx="25">
                  <c:v>13.970960066506656</c:v>
                </c:pt>
              </c:numCache>
            </c:numRef>
          </c:val>
          <c:extLst>
            <c:ext xmlns:c16="http://schemas.microsoft.com/office/drawing/2014/chart" uri="{C3380CC4-5D6E-409C-BE32-E72D297353CC}">
              <c16:uniqueId val="{00000002-FCB7-6D42-85C4-75C274E16B2C}"/>
            </c:ext>
          </c:extLst>
        </c:ser>
        <c:ser>
          <c:idx val="3"/>
          <c:order val="3"/>
          <c:tx>
            <c:strRef>
              <c:f>MAIN!$AD$1</c:f>
              <c:strCache>
                <c:ptCount val="1"/>
                <c:pt idx="0">
                  <c:v>Geothermal</c:v>
                </c:pt>
              </c:strCache>
            </c:strRef>
          </c:tx>
          <c:spPr>
            <a:solidFill>
              <a:schemeClr val="accent4"/>
            </a:solidFill>
            <a:ln>
              <a:noFill/>
            </a:ln>
            <a:effectLst/>
          </c:spPr>
          <c:invertIfNegative val="0"/>
          <c:val>
            <c:numRef>
              <c:f>MAIN!$AD$2:$AD$27</c:f>
              <c:numCache>
                <c:formatCode>General</c:formatCode>
                <c:ptCount val="26"/>
                <c:pt idx="1">
                  <c:v>1.6374124293858806E-2</c:v>
                </c:pt>
                <c:pt idx="2">
                  <c:v>4.2421619299831709E-2</c:v>
                </c:pt>
                <c:pt idx="3">
                  <c:v>8.3329254459165281E-2</c:v>
                </c:pt>
                <c:pt idx="4">
                  <c:v>0.14656907432678232</c:v>
                </c:pt>
                <c:pt idx="5">
                  <c:v>0.24226181081799797</c:v>
                </c:pt>
                <c:pt idx="6">
                  <c:v>0.38277023308015812</c:v>
                </c:pt>
                <c:pt idx="7">
                  <c:v>0.58059626740780657</c:v>
                </c:pt>
                <c:pt idx="8">
                  <c:v>0.84377206285611095</c:v>
                </c:pt>
                <c:pt idx="9">
                  <c:v>1.1694569685339062</c:v>
                </c:pt>
                <c:pt idx="10">
                  <c:v>1.5394529603447908</c:v>
                </c:pt>
                <c:pt idx="11">
                  <c:v>1.9227789089576437</c:v>
                </c:pt>
                <c:pt idx="12">
                  <c:v>2.2860724579766125</c:v>
                </c:pt>
                <c:pt idx="13">
                  <c:v>2.6052128402530892</c:v>
                </c:pt>
                <c:pt idx="14">
                  <c:v>2.8705034521542223</c:v>
                </c:pt>
                <c:pt idx="15">
                  <c:v>3.0843062170781277</c:v>
                </c:pt>
                <c:pt idx="16">
                  <c:v>3.2554251225710775</c:v>
                </c:pt>
                <c:pt idx="17">
                  <c:v>3.3942865093325554</c:v>
                </c:pt>
                <c:pt idx="18">
                  <c:v>3.5102682196080517</c:v>
                </c:pt>
                <c:pt idx="19">
                  <c:v>3.6107668149312016</c:v>
                </c:pt>
                <c:pt idx="20">
                  <c:v>3.7012016904840745</c:v>
                </c:pt>
                <c:pt idx="21">
                  <c:v>3.7853738140655686</c:v>
                </c:pt>
                <c:pt idx="22">
                  <c:v>3.8658802284253078</c:v>
                </c:pt>
                <c:pt idx="23">
                  <c:v>3.9444687830500387</c:v>
                </c:pt>
                <c:pt idx="24">
                  <c:v>4.0223069333502366</c:v>
                </c:pt>
                <c:pt idx="25">
                  <c:v>4.100173062996519</c:v>
                </c:pt>
              </c:numCache>
            </c:numRef>
          </c:val>
          <c:extLst>
            <c:ext xmlns:c16="http://schemas.microsoft.com/office/drawing/2014/chart" uri="{C3380CC4-5D6E-409C-BE32-E72D297353CC}">
              <c16:uniqueId val="{00000003-FCB7-6D42-85C4-75C274E16B2C}"/>
            </c:ext>
          </c:extLst>
        </c:ser>
        <c:ser>
          <c:idx val="4"/>
          <c:order val="4"/>
          <c:tx>
            <c:strRef>
              <c:f>MAIN!$AE$1</c:f>
              <c:strCache>
                <c:ptCount val="1"/>
                <c:pt idx="0">
                  <c:v>Biomass</c:v>
                </c:pt>
              </c:strCache>
            </c:strRef>
          </c:tx>
          <c:spPr>
            <a:solidFill>
              <a:schemeClr val="accent5"/>
            </a:solidFill>
            <a:ln>
              <a:noFill/>
            </a:ln>
            <a:effectLst/>
          </c:spPr>
          <c:invertIfNegative val="0"/>
          <c:val>
            <c:numRef>
              <c:f>MAIN!$AE$2:$AE$27</c:f>
              <c:numCache>
                <c:formatCode>General</c:formatCode>
                <c:ptCount val="26"/>
                <c:pt idx="1">
                  <c:v>9.0748158737048806E-2</c:v>
                </c:pt>
                <c:pt idx="2">
                  <c:v>0.23510776961352514</c:v>
                </c:pt>
                <c:pt idx="3">
                  <c:v>0.46182478374959074</c:v>
                </c:pt>
                <c:pt idx="4">
                  <c:v>0.81231053241349238</c:v>
                </c:pt>
                <c:pt idx="5">
                  <c:v>1.3426558189913143</c:v>
                </c:pt>
                <c:pt idx="6">
                  <c:v>2.1213771953840093</c:v>
                </c:pt>
                <c:pt idx="7">
                  <c:v>3.217762445874591</c:v>
                </c:pt>
                <c:pt idx="8">
                  <c:v>4.6763270953471219</c:v>
                </c:pt>
                <c:pt idx="9">
                  <c:v>6.4813277774168299</c:v>
                </c:pt>
                <c:pt idx="10">
                  <c:v>8.5319079729952261</c:v>
                </c:pt>
                <c:pt idx="11">
                  <c:v>10.656365037596581</c:v>
                </c:pt>
                <c:pt idx="12">
                  <c:v>12.669799164689662</c:v>
                </c:pt>
                <c:pt idx="13">
                  <c:v>14.438528994173749</c:v>
                </c:pt>
                <c:pt idx="14">
                  <c:v>15.908814313143884</c:v>
                </c:pt>
                <c:pt idx="15">
                  <c:v>17.093745299469145</c:v>
                </c:pt>
                <c:pt idx="16">
                  <c:v>18.042115137140911</c:v>
                </c:pt>
                <c:pt idx="17">
                  <c:v>18.811708364975612</c:v>
                </c:pt>
                <c:pt idx="18">
                  <c:v>19.454498566502458</c:v>
                </c:pt>
                <c:pt idx="19">
                  <c:v>20.011478733353652</c:v>
                </c:pt>
                <c:pt idx="20">
                  <c:v>20.512684067743063</c:v>
                </c:pt>
                <c:pt idx="21">
                  <c:v>20.979180174339302</c:v>
                </c:pt>
                <c:pt idx="22">
                  <c:v>21.425360302116168</c:v>
                </c:pt>
                <c:pt idx="23">
                  <c:v>21.860911327747207</c:v>
                </c:pt>
                <c:pt idx="24">
                  <c:v>22.292303486037458</c:v>
                </c:pt>
                <c:pt idx="25">
                  <c:v>22.723850710583118</c:v>
                </c:pt>
              </c:numCache>
            </c:numRef>
          </c:val>
          <c:extLst>
            <c:ext xmlns:c16="http://schemas.microsoft.com/office/drawing/2014/chart" uri="{C3380CC4-5D6E-409C-BE32-E72D297353CC}">
              <c16:uniqueId val="{00000004-FCB7-6D42-85C4-75C274E16B2C}"/>
            </c:ext>
          </c:extLst>
        </c:ser>
        <c:dLbls>
          <c:showLegendKey val="0"/>
          <c:showVal val="0"/>
          <c:showCatName val="0"/>
          <c:showSerName val="0"/>
          <c:showPercent val="0"/>
          <c:showBubbleSize val="0"/>
        </c:dLbls>
        <c:gapWidth val="150"/>
        <c:overlap val="100"/>
        <c:axId val="1248411711"/>
        <c:axId val="1745577888"/>
      </c:barChart>
      <c:catAx>
        <c:axId val="12484117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577888"/>
        <c:crosses val="autoZero"/>
        <c:auto val="1"/>
        <c:lblAlgn val="ctr"/>
        <c:lblOffset val="100"/>
        <c:noMultiLvlLbl val="0"/>
      </c:catAx>
      <c:valAx>
        <c:axId val="174557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411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9F-9E45-80AD-72F89DDCD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9F-9E45-80AD-72F89DDCD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9F-9E45-80AD-72F89DDCD5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9F-9E45-80AD-72F89DDCD5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9F-9E45-80AD-72F89DDCD546}"/>
              </c:ext>
            </c:extLst>
          </c:dPt>
          <c:cat>
            <c:strRef>
              <c:f>MAIN!$H$1:$L$1</c:f>
              <c:strCache>
                <c:ptCount val="5"/>
                <c:pt idx="0">
                  <c:v>HFO</c:v>
                </c:pt>
                <c:pt idx="1">
                  <c:v>LFO</c:v>
                </c:pt>
                <c:pt idx="2">
                  <c:v>MDO</c:v>
                </c:pt>
                <c:pt idx="3">
                  <c:v>MGO</c:v>
                </c:pt>
                <c:pt idx="4">
                  <c:v>LNG</c:v>
                </c:pt>
              </c:strCache>
            </c:strRef>
          </c:cat>
          <c:val>
            <c:numRef>
              <c:f>MAIN!$H$2:$L$2</c:f>
              <c:numCache>
                <c:formatCode>0</c:formatCode>
                <c:ptCount val="5"/>
                <c:pt idx="0">
                  <c:v>380.37772809810554</c:v>
                </c:pt>
                <c:pt idx="1">
                  <c:v>213.57532020238992</c:v>
                </c:pt>
                <c:pt idx="3">
                  <c:v>21.924534260915191</c:v>
                </c:pt>
                <c:pt idx="4">
                  <c:v>202.51921531880922</c:v>
                </c:pt>
              </c:numCache>
            </c:numRef>
          </c:val>
          <c:extLst>
            <c:ext xmlns:c16="http://schemas.microsoft.com/office/drawing/2014/chart" uri="{C3380CC4-5D6E-409C-BE32-E72D297353CC}">
              <c16:uniqueId val="{00000000-DCA3-7C4A-B44B-7D22ABDE93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v>Surplus</c:v>
          </c:tx>
          <c:spPr>
            <a:solidFill>
              <a:schemeClr val="accent6">
                <a:alpha val="21640"/>
              </a:schemeClr>
            </a:solidFill>
            <a:ln w="25400">
              <a:noFill/>
            </a:ln>
            <a:effectLst/>
          </c:spPr>
          <c:cat>
            <c:numRef>
              <c:f>MAIN!$CV$30:$CV$74</c:f>
              <c:numCache>
                <c:formatCode>General</c:formatCode>
                <c:ptCount val="45"/>
                <c:pt idx="0">
                  <c:v>2028</c:v>
                </c:pt>
                <c:pt idx="1">
                  <c:v>2029</c:v>
                </c:pt>
                <c:pt idx="2">
                  <c:v>2029</c:v>
                </c:pt>
                <c:pt idx="3">
                  <c:v>2030</c:v>
                </c:pt>
                <c:pt idx="4">
                  <c:v>2030</c:v>
                </c:pt>
                <c:pt idx="5">
                  <c:v>2031</c:v>
                </c:pt>
                <c:pt idx="6">
                  <c:v>2031</c:v>
                </c:pt>
                <c:pt idx="7">
                  <c:v>2032</c:v>
                </c:pt>
                <c:pt idx="8">
                  <c:v>2032</c:v>
                </c:pt>
                <c:pt idx="9">
                  <c:v>2033</c:v>
                </c:pt>
                <c:pt idx="10">
                  <c:v>2033</c:v>
                </c:pt>
                <c:pt idx="11">
                  <c:v>2034</c:v>
                </c:pt>
                <c:pt idx="12">
                  <c:v>2034</c:v>
                </c:pt>
                <c:pt idx="13">
                  <c:v>2035</c:v>
                </c:pt>
                <c:pt idx="14">
                  <c:v>2035</c:v>
                </c:pt>
                <c:pt idx="15">
                  <c:v>2036</c:v>
                </c:pt>
                <c:pt idx="16">
                  <c:v>2036</c:v>
                </c:pt>
                <c:pt idx="17">
                  <c:v>2037</c:v>
                </c:pt>
                <c:pt idx="18">
                  <c:v>2037</c:v>
                </c:pt>
                <c:pt idx="19">
                  <c:v>2038</c:v>
                </c:pt>
                <c:pt idx="20">
                  <c:v>2038</c:v>
                </c:pt>
                <c:pt idx="21">
                  <c:v>2039</c:v>
                </c:pt>
                <c:pt idx="22">
                  <c:v>2039</c:v>
                </c:pt>
                <c:pt idx="23">
                  <c:v>2040</c:v>
                </c:pt>
                <c:pt idx="24">
                  <c:v>2040</c:v>
                </c:pt>
                <c:pt idx="25">
                  <c:v>2041</c:v>
                </c:pt>
                <c:pt idx="26">
                  <c:v>2041</c:v>
                </c:pt>
                <c:pt idx="27">
                  <c:v>2042</c:v>
                </c:pt>
                <c:pt idx="28">
                  <c:v>2042</c:v>
                </c:pt>
                <c:pt idx="29">
                  <c:v>2043</c:v>
                </c:pt>
                <c:pt idx="30">
                  <c:v>2043</c:v>
                </c:pt>
                <c:pt idx="31">
                  <c:v>2044</c:v>
                </c:pt>
                <c:pt idx="32">
                  <c:v>2044</c:v>
                </c:pt>
                <c:pt idx="33">
                  <c:v>2045</c:v>
                </c:pt>
                <c:pt idx="34">
                  <c:v>2045</c:v>
                </c:pt>
                <c:pt idx="35">
                  <c:v>2046</c:v>
                </c:pt>
                <c:pt idx="36">
                  <c:v>2046</c:v>
                </c:pt>
                <c:pt idx="37">
                  <c:v>2047</c:v>
                </c:pt>
                <c:pt idx="38">
                  <c:v>2047</c:v>
                </c:pt>
                <c:pt idx="39">
                  <c:v>2048</c:v>
                </c:pt>
                <c:pt idx="40">
                  <c:v>2048</c:v>
                </c:pt>
                <c:pt idx="41">
                  <c:v>2049</c:v>
                </c:pt>
                <c:pt idx="42">
                  <c:v>2049</c:v>
                </c:pt>
                <c:pt idx="43">
                  <c:v>2050</c:v>
                </c:pt>
                <c:pt idx="44">
                  <c:v>2050</c:v>
                </c:pt>
              </c:numCache>
            </c:numRef>
          </c:cat>
          <c:val>
            <c:numRef>
              <c:f>MAIN!$CY$30:$CY$74</c:f>
              <c:numCache>
                <c:formatCode>General</c:formatCode>
                <c:ptCount val="45"/>
                <c:pt idx="0">
                  <c:v>77.438999999999993</c:v>
                </c:pt>
                <c:pt idx="1">
                  <c:v>77.438999999999993</c:v>
                </c:pt>
                <c:pt idx="2">
                  <c:v>75.573000000000008</c:v>
                </c:pt>
                <c:pt idx="3">
                  <c:v>75.573000000000008</c:v>
                </c:pt>
                <c:pt idx="4">
                  <c:v>73.707000000000008</c:v>
                </c:pt>
                <c:pt idx="5">
                  <c:v>73.707000000000008</c:v>
                </c:pt>
                <c:pt idx="6">
                  <c:v>69.974999999999994</c:v>
                </c:pt>
                <c:pt idx="7">
                  <c:v>69.974999999999994</c:v>
                </c:pt>
                <c:pt idx="8">
                  <c:v>65.309999999999988</c:v>
                </c:pt>
                <c:pt idx="9">
                  <c:v>65.309999999999988</c:v>
                </c:pt>
                <c:pt idx="10">
                  <c:v>61.577999999999989</c:v>
                </c:pt>
                <c:pt idx="11">
                  <c:v>61.577999999999989</c:v>
                </c:pt>
                <c:pt idx="12">
                  <c:v>56.912999999999997</c:v>
                </c:pt>
                <c:pt idx="13">
                  <c:v>56.912999999999997</c:v>
                </c:pt>
                <c:pt idx="14">
                  <c:v>53.181000000000004</c:v>
                </c:pt>
                <c:pt idx="15">
                  <c:v>53.181000000000004</c:v>
                </c:pt>
                <c:pt idx="16">
                  <c:v>46.65</c:v>
                </c:pt>
                <c:pt idx="17">
                  <c:v>46.65</c:v>
                </c:pt>
                <c:pt idx="18">
                  <c:v>40.118999999999993</c:v>
                </c:pt>
                <c:pt idx="19">
                  <c:v>40.118999999999993</c:v>
                </c:pt>
                <c:pt idx="20">
                  <c:v>33.588000000000001</c:v>
                </c:pt>
                <c:pt idx="21">
                  <c:v>33.588000000000001</c:v>
                </c:pt>
                <c:pt idx="22">
                  <c:v>27.056999999999992</c:v>
                </c:pt>
                <c:pt idx="23">
                  <c:v>27.056999999999992</c:v>
                </c:pt>
                <c:pt idx="24">
                  <c:v>20.525999999999996</c:v>
                </c:pt>
                <c:pt idx="25">
                  <c:v>20.525999999999996</c:v>
                </c:pt>
                <c:pt idx="26">
                  <c:v>18.473399999999994</c:v>
                </c:pt>
                <c:pt idx="27">
                  <c:v>18.473399999999994</c:v>
                </c:pt>
                <c:pt idx="28">
                  <c:v>16.420799999999993</c:v>
                </c:pt>
                <c:pt idx="29">
                  <c:v>16.420799999999993</c:v>
                </c:pt>
                <c:pt idx="30">
                  <c:v>14.368199999999991</c:v>
                </c:pt>
                <c:pt idx="31">
                  <c:v>14.368199999999991</c:v>
                </c:pt>
                <c:pt idx="32">
                  <c:v>12.315599999999989</c:v>
                </c:pt>
                <c:pt idx="33">
                  <c:v>12.315599999999989</c:v>
                </c:pt>
                <c:pt idx="34">
                  <c:v>10.262999999999987</c:v>
                </c:pt>
                <c:pt idx="35">
                  <c:v>10.262999999999987</c:v>
                </c:pt>
                <c:pt idx="36">
                  <c:v>8.2103999999999857</c:v>
                </c:pt>
                <c:pt idx="37">
                  <c:v>8.2103999999999857</c:v>
                </c:pt>
                <c:pt idx="38">
                  <c:v>6.1577999999999848</c:v>
                </c:pt>
                <c:pt idx="39">
                  <c:v>6.1577999999999848</c:v>
                </c:pt>
                <c:pt idx="40">
                  <c:v>4.1051999999999831</c:v>
                </c:pt>
                <c:pt idx="41">
                  <c:v>4.1051999999999831</c:v>
                </c:pt>
                <c:pt idx="42">
                  <c:v>2.0525999999999809</c:v>
                </c:pt>
                <c:pt idx="43">
                  <c:v>2.0525999999999809</c:v>
                </c:pt>
                <c:pt idx="44">
                  <c:v>0</c:v>
                </c:pt>
              </c:numCache>
            </c:numRef>
          </c:val>
          <c:extLst>
            <c:ext xmlns:c16="http://schemas.microsoft.com/office/drawing/2014/chart" uri="{C3380CC4-5D6E-409C-BE32-E72D297353CC}">
              <c16:uniqueId val="{00000000-39F7-1F4E-A858-3BA62AB3987E}"/>
            </c:ext>
          </c:extLst>
        </c:ser>
        <c:ser>
          <c:idx val="1"/>
          <c:order val="1"/>
          <c:tx>
            <c:v>Tier 1 (100 US$/tCO2-e)</c:v>
          </c:tx>
          <c:spPr>
            <a:solidFill>
              <a:srgbClr val="FFE915">
                <a:alpha val="40000"/>
              </a:srgbClr>
            </a:solidFill>
            <a:ln w="25400">
              <a:noFill/>
            </a:ln>
            <a:effectLst/>
          </c:spPr>
          <c:cat>
            <c:numRef>
              <c:f>MAIN!$CV$30:$CV$74</c:f>
              <c:numCache>
                <c:formatCode>General</c:formatCode>
                <c:ptCount val="45"/>
                <c:pt idx="0">
                  <c:v>2028</c:v>
                </c:pt>
                <c:pt idx="1">
                  <c:v>2029</c:v>
                </c:pt>
                <c:pt idx="2">
                  <c:v>2029</c:v>
                </c:pt>
                <c:pt idx="3">
                  <c:v>2030</c:v>
                </c:pt>
                <c:pt idx="4">
                  <c:v>2030</c:v>
                </c:pt>
                <c:pt idx="5">
                  <c:v>2031</c:v>
                </c:pt>
                <c:pt idx="6">
                  <c:v>2031</c:v>
                </c:pt>
                <c:pt idx="7">
                  <c:v>2032</c:v>
                </c:pt>
                <c:pt idx="8">
                  <c:v>2032</c:v>
                </c:pt>
                <c:pt idx="9">
                  <c:v>2033</c:v>
                </c:pt>
                <c:pt idx="10">
                  <c:v>2033</c:v>
                </c:pt>
                <c:pt idx="11">
                  <c:v>2034</c:v>
                </c:pt>
                <c:pt idx="12">
                  <c:v>2034</c:v>
                </c:pt>
                <c:pt idx="13">
                  <c:v>2035</c:v>
                </c:pt>
                <c:pt idx="14">
                  <c:v>2035</c:v>
                </c:pt>
                <c:pt idx="15">
                  <c:v>2036</c:v>
                </c:pt>
                <c:pt idx="16">
                  <c:v>2036</c:v>
                </c:pt>
                <c:pt idx="17">
                  <c:v>2037</c:v>
                </c:pt>
                <c:pt idx="18">
                  <c:v>2037</c:v>
                </c:pt>
                <c:pt idx="19">
                  <c:v>2038</c:v>
                </c:pt>
                <c:pt idx="20">
                  <c:v>2038</c:v>
                </c:pt>
                <c:pt idx="21">
                  <c:v>2039</c:v>
                </c:pt>
                <c:pt idx="22">
                  <c:v>2039</c:v>
                </c:pt>
                <c:pt idx="23">
                  <c:v>2040</c:v>
                </c:pt>
                <c:pt idx="24">
                  <c:v>2040</c:v>
                </c:pt>
                <c:pt idx="25">
                  <c:v>2041</c:v>
                </c:pt>
                <c:pt idx="26">
                  <c:v>2041</c:v>
                </c:pt>
                <c:pt idx="27">
                  <c:v>2042</c:v>
                </c:pt>
                <c:pt idx="28">
                  <c:v>2042</c:v>
                </c:pt>
                <c:pt idx="29">
                  <c:v>2043</c:v>
                </c:pt>
                <c:pt idx="30">
                  <c:v>2043</c:v>
                </c:pt>
                <c:pt idx="31">
                  <c:v>2044</c:v>
                </c:pt>
                <c:pt idx="32">
                  <c:v>2044</c:v>
                </c:pt>
                <c:pt idx="33">
                  <c:v>2045</c:v>
                </c:pt>
                <c:pt idx="34">
                  <c:v>2045</c:v>
                </c:pt>
                <c:pt idx="35">
                  <c:v>2046</c:v>
                </c:pt>
                <c:pt idx="36">
                  <c:v>2046</c:v>
                </c:pt>
                <c:pt idx="37">
                  <c:v>2047</c:v>
                </c:pt>
                <c:pt idx="38">
                  <c:v>2047</c:v>
                </c:pt>
                <c:pt idx="39">
                  <c:v>2048</c:v>
                </c:pt>
                <c:pt idx="40">
                  <c:v>2048</c:v>
                </c:pt>
                <c:pt idx="41">
                  <c:v>2049</c:v>
                </c:pt>
                <c:pt idx="42">
                  <c:v>2049</c:v>
                </c:pt>
                <c:pt idx="43">
                  <c:v>2050</c:v>
                </c:pt>
                <c:pt idx="44">
                  <c:v>2050</c:v>
                </c:pt>
              </c:numCache>
            </c:numRef>
          </c:cat>
          <c:val>
            <c:numRef>
              <c:f>MAIN!$CX$30:$CX$74</c:f>
              <c:numCache>
                <c:formatCode>General</c:formatCode>
                <c:ptCount val="45"/>
                <c:pt idx="0">
                  <c:v>12.129000000000005</c:v>
                </c:pt>
                <c:pt idx="1">
                  <c:v>12.129000000000005</c:v>
                </c:pt>
                <c:pt idx="2">
                  <c:v>12.128999999999991</c:v>
                </c:pt>
                <c:pt idx="3">
                  <c:v>12.128999999999991</c:v>
                </c:pt>
                <c:pt idx="4">
                  <c:v>12.128999999999991</c:v>
                </c:pt>
                <c:pt idx="5">
                  <c:v>12.128999999999991</c:v>
                </c:pt>
                <c:pt idx="6">
                  <c:v>12.129000000000005</c:v>
                </c:pt>
                <c:pt idx="7">
                  <c:v>12.129000000000005</c:v>
                </c:pt>
                <c:pt idx="8">
                  <c:v>12.129000000000005</c:v>
                </c:pt>
                <c:pt idx="9">
                  <c:v>12.129000000000005</c:v>
                </c:pt>
                <c:pt idx="10">
                  <c:v>12.129000000000019</c:v>
                </c:pt>
                <c:pt idx="11">
                  <c:v>12.129000000000019</c:v>
                </c:pt>
                <c:pt idx="12">
                  <c:v>12.129000000000005</c:v>
                </c:pt>
                <c:pt idx="13">
                  <c:v>12.129000000000005</c:v>
                </c:pt>
                <c:pt idx="14">
                  <c:v>12.128999999999984</c:v>
                </c:pt>
                <c:pt idx="15">
                  <c:v>12.128999999999984</c:v>
                </c:pt>
                <c:pt idx="16">
                  <c:v>12.128999999999998</c:v>
                </c:pt>
                <c:pt idx="17">
                  <c:v>12.128999999999998</c:v>
                </c:pt>
                <c:pt idx="18">
                  <c:v>12.129000000000012</c:v>
                </c:pt>
                <c:pt idx="19">
                  <c:v>12.129000000000012</c:v>
                </c:pt>
                <c:pt idx="20">
                  <c:v>12.128999999999998</c:v>
                </c:pt>
                <c:pt idx="21">
                  <c:v>12.128999999999998</c:v>
                </c:pt>
                <c:pt idx="22">
                  <c:v>12.129000000000001</c:v>
                </c:pt>
                <c:pt idx="23">
                  <c:v>12.129000000000001</c:v>
                </c:pt>
                <c:pt idx="24">
                  <c:v>12.128999999999998</c:v>
                </c:pt>
                <c:pt idx="25">
                  <c:v>12.128999999999998</c:v>
                </c:pt>
                <c:pt idx="26">
                  <c:v>12.129000000000001</c:v>
                </c:pt>
                <c:pt idx="27">
                  <c:v>12.129000000000001</c:v>
                </c:pt>
                <c:pt idx="28">
                  <c:v>12.129000000000001</c:v>
                </c:pt>
                <c:pt idx="29">
                  <c:v>12.129000000000001</c:v>
                </c:pt>
                <c:pt idx="30">
                  <c:v>12.129000000000001</c:v>
                </c:pt>
                <c:pt idx="31">
                  <c:v>12.129000000000001</c:v>
                </c:pt>
                <c:pt idx="32">
                  <c:v>12.129000000000001</c:v>
                </c:pt>
                <c:pt idx="33">
                  <c:v>12.129000000000001</c:v>
                </c:pt>
                <c:pt idx="34">
                  <c:v>12.129000000000001</c:v>
                </c:pt>
                <c:pt idx="35">
                  <c:v>12.129000000000001</c:v>
                </c:pt>
                <c:pt idx="36">
                  <c:v>12.129000000000001</c:v>
                </c:pt>
                <c:pt idx="37">
                  <c:v>12.129000000000001</c:v>
                </c:pt>
                <c:pt idx="38">
                  <c:v>12.129000000000001</c:v>
                </c:pt>
                <c:pt idx="39">
                  <c:v>12.129000000000001</c:v>
                </c:pt>
                <c:pt idx="40">
                  <c:v>12.129000000000001</c:v>
                </c:pt>
                <c:pt idx="41">
                  <c:v>12.129000000000001</c:v>
                </c:pt>
                <c:pt idx="42">
                  <c:v>12.129000000000001</c:v>
                </c:pt>
                <c:pt idx="43">
                  <c:v>12.129000000000001</c:v>
                </c:pt>
                <c:pt idx="44">
                  <c:v>12.129</c:v>
                </c:pt>
              </c:numCache>
            </c:numRef>
          </c:val>
          <c:extLst>
            <c:ext xmlns:c16="http://schemas.microsoft.com/office/drawing/2014/chart" uri="{C3380CC4-5D6E-409C-BE32-E72D297353CC}">
              <c16:uniqueId val="{00000001-39F7-1F4E-A858-3BA62AB3987E}"/>
            </c:ext>
          </c:extLst>
        </c:ser>
        <c:ser>
          <c:idx val="2"/>
          <c:order val="2"/>
          <c:tx>
            <c:v>Tier 2 (380 US$/tCO2-e)</c:v>
          </c:tx>
          <c:spPr>
            <a:solidFill>
              <a:srgbClr val="C00000">
                <a:alpha val="27000"/>
              </a:srgbClr>
            </a:solidFill>
            <a:ln w="25400">
              <a:noFill/>
            </a:ln>
            <a:effectLst/>
          </c:spPr>
          <c:cat>
            <c:numRef>
              <c:f>MAIN!$CV$30:$CV$74</c:f>
              <c:numCache>
                <c:formatCode>General</c:formatCode>
                <c:ptCount val="45"/>
                <c:pt idx="0">
                  <c:v>2028</c:v>
                </c:pt>
                <c:pt idx="1">
                  <c:v>2029</c:v>
                </c:pt>
                <c:pt idx="2">
                  <c:v>2029</c:v>
                </c:pt>
                <c:pt idx="3">
                  <c:v>2030</c:v>
                </c:pt>
                <c:pt idx="4">
                  <c:v>2030</c:v>
                </c:pt>
                <c:pt idx="5">
                  <c:v>2031</c:v>
                </c:pt>
                <c:pt idx="6">
                  <c:v>2031</c:v>
                </c:pt>
                <c:pt idx="7">
                  <c:v>2032</c:v>
                </c:pt>
                <c:pt idx="8">
                  <c:v>2032</c:v>
                </c:pt>
                <c:pt idx="9">
                  <c:v>2033</c:v>
                </c:pt>
                <c:pt idx="10">
                  <c:v>2033</c:v>
                </c:pt>
                <c:pt idx="11">
                  <c:v>2034</c:v>
                </c:pt>
                <c:pt idx="12">
                  <c:v>2034</c:v>
                </c:pt>
                <c:pt idx="13">
                  <c:v>2035</c:v>
                </c:pt>
                <c:pt idx="14">
                  <c:v>2035</c:v>
                </c:pt>
                <c:pt idx="15">
                  <c:v>2036</c:v>
                </c:pt>
                <c:pt idx="16">
                  <c:v>2036</c:v>
                </c:pt>
                <c:pt idx="17">
                  <c:v>2037</c:v>
                </c:pt>
                <c:pt idx="18">
                  <c:v>2037</c:v>
                </c:pt>
                <c:pt idx="19">
                  <c:v>2038</c:v>
                </c:pt>
                <c:pt idx="20">
                  <c:v>2038</c:v>
                </c:pt>
                <c:pt idx="21">
                  <c:v>2039</c:v>
                </c:pt>
                <c:pt idx="22">
                  <c:v>2039</c:v>
                </c:pt>
                <c:pt idx="23">
                  <c:v>2040</c:v>
                </c:pt>
                <c:pt idx="24">
                  <c:v>2040</c:v>
                </c:pt>
                <c:pt idx="25">
                  <c:v>2041</c:v>
                </c:pt>
                <c:pt idx="26">
                  <c:v>2041</c:v>
                </c:pt>
                <c:pt idx="27">
                  <c:v>2042</c:v>
                </c:pt>
                <c:pt idx="28">
                  <c:v>2042</c:v>
                </c:pt>
                <c:pt idx="29">
                  <c:v>2043</c:v>
                </c:pt>
                <c:pt idx="30">
                  <c:v>2043</c:v>
                </c:pt>
                <c:pt idx="31">
                  <c:v>2044</c:v>
                </c:pt>
                <c:pt idx="32">
                  <c:v>2044</c:v>
                </c:pt>
                <c:pt idx="33">
                  <c:v>2045</c:v>
                </c:pt>
                <c:pt idx="34">
                  <c:v>2045</c:v>
                </c:pt>
                <c:pt idx="35">
                  <c:v>2046</c:v>
                </c:pt>
                <c:pt idx="36">
                  <c:v>2046</c:v>
                </c:pt>
                <c:pt idx="37">
                  <c:v>2047</c:v>
                </c:pt>
                <c:pt idx="38">
                  <c:v>2047</c:v>
                </c:pt>
                <c:pt idx="39">
                  <c:v>2048</c:v>
                </c:pt>
                <c:pt idx="40">
                  <c:v>2048</c:v>
                </c:pt>
                <c:pt idx="41">
                  <c:v>2049</c:v>
                </c:pt>
                <c:pt idx="42">
                  <c:v>2049</c:v>
                </c:pt>
                <c:pt idx="43">
                  <c:v>2050</c:v>
                </c:pt>
                <c:pt idx="44">
                  <c:v>2050</c:v>
                </c:pt>
              </c:numCache>
            </c:numRef>
          </c:cat>
          <c:val>
            <c:numRef>
              <c:f>MAIN!$CZ$30:$CZ$74</c:f>
              <c:numCache>
                <c:formatCode>General</c:formatCode>
                <c:ptCount val="45"/>
                <c:pt idx="0">
                  <c:v>60.432000000000002</c:v>
                </c:pt>
                <c:pt idx="1">
                  <c:v>60.432000000000002</c:v>
                </c:pt>
                <c:pt idx="2">
                  <c:v>62.298000000000002</c:v>
                </c:pt>
                <c:pt idx="3">
                  <c:v>62.298000000000002</c:v>
                </c:pt>
                <c:pt idx="4">
                  <c:v>64.164000000000001</c:v>
                </c:pt>
                <c:pt idx="5">
                  <c:v>64.164000000000001</c:v>
                </c:pt>
                <c:pt idx="6">
                  <c:v>67.896000000000001</c:v>
                </c:pt>
                <c:pt idx="7">
                  <c:v>67.896000000000001</c:v>
                </c:pt>
                <c:pt idx="8">
                  <c:v>72.561000000000007</c:v>
                </c:pt>
                <c:pt idx="9">
                  <c:v>72.561000000000007</c:v>
                </c:pt>
                <c:pt idx="10">
                  <c:v>76.292999999999992</c:v>
                </c:pt>
                <c:pt idx="11">
                  <c:v>76.292999999999992</c:v>
                </c:pt>
                <c:pt idx="12">
                  <c:v>80.957999999999998</c:v>
                </c:pt>
                <c:pt idx="13">
                  <c:v>80.957999999999998</c:v>
                </c:pt>
                <c:pt idx="14">
                  <c:v>84.690000000000012</c:v>
                </c:pt>
                <c:pt idx="15">
                  <c:v>84.690000000000012</c:v>
                </c:pt>
                <c:pt idx="16">
                  <c:v>91.221000000000004</c:v>
                </c:pt>
                <c:pt idx="17">
                  <c:v>91.221000000000004</c:v>
                </c:pt>
                <c:pt idx="18">
                  <c:v>97.751999999999995</c:v>
                </c:pt>
                <c:pt idx="19">
                  <c:v>97.751999999999995</c:v>
                </c:pt>
                <c:pt idx="20">
                  <c:v>104.283</c:v>
                </c:pt>
                <c:pt idx="21">
                  <c:v>104.283</c:v>
                </c:pt>
                <c:pt idx="22">
                  <c:v>110.81400000000001</c:v>
                </c:pt>
                <c:pt idx="23">
                  <c:v>110.81400000000001</c:v>
                </c:pt>
                <c:pt idx="24">
                  <c:v>117.345</c:v>
                </c:pt>
                <c:pt idx="25">
                  <c:v>117.345</c:v>
                </c:pt>
                <c:pt idx="26">
                  <c:v>119.39760000000001</c:v>
                </c:pt>
                <c:pt idx="27">
                  <c:v>119.39760000000001</c:v>
                </c:pt>
                <c:pt idx="28">
                  <c:v>121.45020000000001</c:v>
                </c:pt>
                <c:pt idx="29">
                  <c:v>121.45020000000001</c:v>
                </c:pt>
                <c:pt idx="30">
                  <c:v>123.50280000000001</c:v>
                </c:pt>
                <c:pt idx="31">
                  <c:v>123.50280000000001</c:v>
                </c:pt>
                <c:pt idx="32">
                  <c:v>125.55540000000001</c:v>
                </c:pt>
                <c:pt idx="33">
                  <c:v>125.55540000000001</c:v>
                </c:pt>
                <c:pt idx="34">
                  <c:v>127.608</c:v>
                </c:pt>
                <c:pt idx="35">
                  <c:v>127.608</c:v>
                </c:pt>
                <c:pt idx="36">
                  <c:v>129.66060000000002</c:v>
                </c:pt>
                <c:pt idx="37">
                  <c:v>129.66060000000002</c:v>
                </c:pt>
                <c:pt idx="38">
                  <c:v>131.71320000000003</c:v>
                </c:pt>
                <c:pt idx="39">
                  <c:v>131.71320000000003</c:v>
                </c:pt>
                <c:pt idx="40">
                  <c:v>133.76580000000001</c:v>
                </c:pt>
                <c:pt idx="41">
                  <c:v>133.76580000000001</c:v>
                </c:pt>
                <c:pt idx="42">
                  <c:v>135.81840000000003</c:v>
                </c:pt>
                <c:pt idx="43">
                  <c:v>135.81840000000003</c:v>
                </c:pt>
                <c:pt idx="44">
                  <c:v>137.87100000000001</c:v>
                </c:pt>
              </c:numCache>
            </c:numRef>
          </c:val>
          <c:extLst>
            <c:ext xmlns:c16="http://schemas.microsoft.com/office/drawing/2014/chart" uri="{C3380CC4-5D6E-409C-BE32-E72D297353CC}">
              <c16:uniqueId val="{00000002-39F7-1F4E-A858-3BA62AB3987E}"/>
            </c:ext>
          </c:extLst>
        </c:ser>
        <c:dLbls>
          <c:showLegendKey val="0"/>
          <c:showVal val="0"/>
          <c:showCatName val="0"/>
          <c:showSerName val="0"/>
          <c:showPercent val="0"/>
          <c:showBubbleSize val="0"/>
        </c:dLbls>
        <c:axId val="961349632"/>
        <c:axId val="727552896"/>
      </c:areaChart>
      <c:lineChart>
        <c:grouping val="standard"/>
        <c:varyColors val="0"/>
        <c:ser>
          <c:idx val="3"/>
          <c:order val="3"/>
          <c:tx>
            <c:v>N-IMO2050</c:v>
          </c:tx>
          <c:spPr>
            <a:ln w="19050" cap="rnd">
              <a:solidFill>
                <a:schemeClr val="accent4"/>
              </a:solidFill>
              <a:round/>
            </a:ln>
            <a:effectLst/>
          </c:spPr>
          <c:marker>
            <c:symbol val="none"/>
          </c:marker>
          <c:cat>
            <c:numRef>
              <c:f>MAIN!$CV$30:$CV$74</c:f>
              <c:numCache>
                <c:formatCode>General</c:formatCode>
                <c:ptCount val="45"/>
                <c:pt idx="0">
                  <c:v>2028</c:v>
                </c:pt>
                <c:pt idx="1">
                  <c:v>2029</c:v>
                </c:pt>
                <c:pt idx="2">
                  <c:v>2029</c:v>
                </c:pt>
                <c:pt idx="3">
                  <c:v>2030</c:v>
                </c:pt>
                <c:pt idx="4">
                  <c:v>2030</c:v>
                </c:pt>
                <c:pt idx="5">
                  <c:v>2031</c:v>
                </c:pt>
                <c:pt idx="6">
                  <c:v>2031</c:v>
                </c:pt>
                <c:pt idx="7">
                  <c:v>2032</c:v>
                </c:pt>
                <c:pt idx="8">
                  <c:v>2032</c:v>
                </c:pt>
                <c:pt idx="9">
                  <c:v>2033</c:v>
                </c:pt>
                <c:pt idx="10">
                  <c:v>2033</c:v>
                </c:pt>
                <c:pt idx="11">
                  <c:v>2034</c:v>
                </c:pt>
                <c:pt idx="12">
                  <c:v>2034</c:v>
                </c:pt>
                <c:pt idx="13">
                  <c:v>2035</c:v>
                </c:pt>
                <c:pt idx="14">
                  <c:v>2035</c:v>
                </c:pt>
                <c:pt idx="15">
                  <c:v>2036</c:v>
                </c:pt>
                <c:pt idx="16">
                  <c:v>2036</c:v>
                </c:pt>
                <c:pt idx="17">
                  <c:v>2037</c:v>
                </c:pt>
                <c:pt idx="18">
                  <c:v>2037</c:v>
                </c:pt>
                <c:pt idx="19">
                  <c:v>2038</c:v>
                </c:pt>
                <c:pt idx="20">
                  <c:v>2038</c:v>
                </c:pt>
                <c:pt idx="21">
                  <c:v>2039</c:v>
                </c:pt>
                <c:pt idx="22">
                  <c:v>2039</c:v>
                </c:pt>
                <c:pt idx="23">
                  <c:v>2040</c:v>
                </c:pt>
                <c:pt idx="24">
                  <c:v>2040</c:v>
                </c:pt>
                <c:pt idx="25">
                  <c:v>2041</c:v>
                </c:pt>
                <c:pt idx="26">
                  <c:v>2041</c:v>
                </c:pt>
                <c:pt idx="27">
                  <c:v>2042</c:v>
                </c:pt>
                <c:pt idx="28">
                  <c:v>2042</c:v>
                </c:pt>
                <c:pt idx="29">
                  <c:v>2043</c:v>
                </c:pt>
                <c:pt idx="30">
                  <c:v>2043</c:v>
                </c:pt>
                <c:pt idx="31">
                  <c:v>2044</c:v>
                </c:pt>
                <c:pt idx="32">
                  <c:v>2044</c:v>
                </c:pt>
                <c:pt idx="33">
                  <c:v>2045</c:v>
                </c:pt>
                <c:pt idx="34">
                  <c:v>2045</c:v>
                </c:pt>
                <c:pt idx="35">
                  <c:v>2046</c:v>
                </c:pt>
                <c:pt idx="36">
                  <c:v>2046</c:v>
                </c:pt>
                <c:pt idx="37">
                  <c:v>2047</c:v>
                </c:pt>
                <c:pt idx="38">
                  <c:v>2047</c:v>
                </c:pt>
                <c:pt idx="39">
                  <c:v>2048</c:v>
                </c:pt>
                <c:pt idx="40">
                  <c:v>2048</c:v>
                </c:pt>
                <c:pt idx="41">
                  <c:v>2049</c:v>
                </c:pt>
                <c:pt idx="42">
                  <c:v>2049</c:v>
                </c:pt>
                <c:pt idx="43">
                  <c:v>2050</c:v>
                </c:pt>
                <c:pt idx="44">
                  <c:v>2050</c:v>
                </c:pt>
              </c:numCache>
            </c:numRef>
          </c:cat>
          <c:val>
            <c:numRef>
              <c:f>MAIN!$DA$31:$DA$74</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mooth val="0"/>
          <c:extLst>
            <c:ext xmlns:c16="http://schemas.microsoft.com/office/drawing/2014/chart" uri="{C3380CC4-5D6E-409C-BE32-E72D297353CC}">
              <c16:uniqueId val="{00000003-39F7-1F4E-A858-3BA62AB3987E}"/>
            </c:ext>
          </c:extLst>
        </c:ser>
        <c:ser>
          <c:idx val="4"/>
          <c:order val="4"/>
          <c:spPr>
            <a:ln w="19050" cap="rnd">
              <a:solidFill>
                <a:schemeClr val="accent5"/>
              </a:solidFill>
              <a:round/>
            </a:ln>
            <a:effectLst/>
          </c:spPr>
          <c:marker>
            <c:symbol val="none"/>
          </c:marker>
          <c:cat>
            <c:numRef>
              <c:f>MAIN!$CV$30:$CV$74</c:f>
              <c:numCache>
                <c:formatCode>General</c:formatCode>
                <c:ptCount val="45"/>
                <c:pt idx="0">
                  <c:v>2028</c:v>
                </c:pt>
                <c:pt idx="1">
                  <c:v>2029</c:v>
                </c:pt>
                <c:pt idx="2">
                  <c:v>2029</c:v>
                </c:pt>
                <c:pt idx="3">
                  <c:v>2030</c:v>
                </c:pt>
                <c:pt idx="4">
                  <c:v>2030</c:v>
                </c:pt>
                <c:pt idx="5">
                  <c:v>2031</c:v>
                </c:pt>
                <c:pt idx="6">
                  <c:v>2031</c:v>
                </c:pt>
                <c:pt idx="7">
                  <c:v>2032</c:v>
                </c:pt>
                <c:pt idx="8">
                  <c:v>2032</c:v>
                </c:pt>
                <c:pt idx="9">
                  <c:v>2033</c:v>
                </c:pt>
                <c:pt idx="10">
                  <c:v>2033</c:v>
                </c:pt>
                <c:pt idx="11">
                  <c:v>2034</c:v>
                </c:pt>
                <c:pt idx="12">
                  <c:v>2034</c:v>
                </c:pt>
                <c:pt idx="13">
                  <c:v>2035</c:v>
                </c:pt>
                <c:pt idx="14">
                  <c:v>2035</c:v>
                </c:pt>
                <c:pt idx="15">
                  <c:v>2036</c:v>
                </c:pt>
                <c:pt idx="16">
                  <c:v>2036</c:v>
                </c:pt>
                <c:pt idx="17">
                  <c:v>2037</c:v>
                </c:pt>
                <c:pt idx="18">
                  <c:v>2037</c:v>
                </c:pt>
                <c:pt idx="19">
                  <c:v>2038</c:v>
                </c:pt>
                <c:pt idx="20">
                  <c:v>2038</c:v>
                </c:pt>
                <c:pt idx="21">
                  <c:v>2039</c:v>
                </c:pt>
                <c:pt idx="22">
                  <c:v>2039</c:v>
                </c:pt>
                <c:pt idx="23">
                  <c:v>2040</c:v>
                </c:pt>
                <c:pt idx="24">
                  <c:v>2040</c:v>
                </c:pt>
                <c:pt idx="25">
                  <c:v>2041</c:v>
                </c:pt>
                <c:pt idx="26">
                  <c:v>2041</c:v>
                </c:pt>
                <c:pt idx="27">
                  <c:v>2042</c:v>
                </c:pt>
                <c:pt idx="28">
                  <c:v>2042</c:v>
                </c:pt>
                <c:pt idx="29">
                  <c:v>2043</c:v>
                </c:pt>
                <c:pt idx="30">
                  <c:v>2043</c:v>
                </c:pt>
                <c:pt idx="31">
                  <c:v>2044</c:v>
                </c:pt>
                <c:pt idx="32">
                  <c:v>2044</c:v>
                </c:pt>
                <c:pt idx="33">
                  <c:v>2045</c:v>
                </c:pt>
                <c:pt idx="34">
                  <c:v>2045</c:v>
                </c:pt>
                <c:pt idx="35">
                  <c:v>2046</c:v>
                </c:pt>
                <c:pt idx="36">
                  <c:v>2046</c:v>
                </c:pt>
                <c:pt idx="37">
                  <c:v>2047</c:v>
                </c:pt>
                <c:pt idx="38">
                  <c:v>2047</c:v>
                </c:pt>
                <c:pt idx="39">
                  <c:v>2048</c:v>
                </c:pt>
                <c:pt idx="40">
                  <c:v>2048</c:v>
                </c:pt>
                <c:pt idx="41">
                  <c:v>2049</c:v>
                </c:pt>
                <c:pt idx="42">
                  <c:v>2049</c:v>
                </c:pt>
                <c:pt idx="43">
                  <c:v>2050</c:v>
                </c:pt>
                <c:pt idx="44">
                  <c:v>2050</c:v>
                </c:pt>
              </c:numCache>
            </c:numRef>
          </c:cat>
          <c:val>
            <c:numRef>
              <c:f>MAIN!$DA$31:$DA$74</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mooth val="0"/>
          <c:extLst>
            <c:ext xmlns:c16="http://schemas.microsoft.com/office/drawing/2014/chart" uri="{C3380CC4-5D6E-409C-BE32-E72D297353CC}">
              <c16:uniqueId val="{00000004-39F7-1F4E-A858-3BA62AB3987E}"/>
            </c:ext>
          </c:extLst>
        </c:ser>
        <c:ser>
          <c:idx val="5"/>
          <c:order val="5"/>
          <c:tx>
            <c:v>E-SHCF</c:v>
          </c:tx>
          <c:spPr>
            <a:ln w="19050" cap="rnd">
              <a:solidFill>
                <a:schemeClr val="accent6"/>
              </a:solidFill>
              <a:round/>
            </a:ln>
            <a:effectLst/>
          </c:spPr>
          <c:marker>
            <c:symbol val="none"/>
          </c:marker>
          <c:cat>
            <c:numRef>
              <c:f>MAIN!$CV$30:$CV$74</c:f>
              <c:numCache>
                <c:formatCode>General</c:formatCode>
                <c:ptCount val="45"/>
                <c:pt idx="0">
                  <c:v>2028</c:v>
                </c:pt>
                <c:pt idx="1">
                  <c:v>2029</c:v>
                </c:pt>
                <c:pt idx="2">
                  <c:v>2029</c:v>
                </c:pt>
                <c:pt idx="3">
                  <c:v>2030</c:v>
                </c:pt>
                <c:pt idx="4">
                  <c:v>2030</c:v>
                </c:pt>
                <c:pt idx="5">
                  <c:v>2031</c:v>
                </c:pt>
                <c:pt idx="6">
                  <c:v>2031</c:v>
                </c:pt>
                <c:pt idx="7">
                  <c:v>2032</c:v>
                </c:pt>
                <c:pt idx="8">
                  <c:v>2032</c:v>
                </c:pt>
                <c:pt idx="9">
                  <c:v>2033</c:v>
                </c:pt>
                <c:pt idx="10">
                  <c:v>2033</c:v>
                </c:pt>
                <c:pt idx="11">
                  <c:v>2034</c:v>
                </c:pt>
                <c:pt idx="12">
                  <c:v>2034</c:v>
                </c:pt>
                <c:pt idx="13">
                  <c:v>2035</c:v>
                </c:pt>
                <c:pt idx="14">
                  <c:v>2035</c:v>
                </c:pt>
                <c:pt idx="15">
                  <c:v>2036</c:v>
                </c:pt>
                <c:pt idx="16">
                  <c:v>2036</c:v>
                </c:pt>
                <c:pt idx="17">
                  <c:v>2037</c:v>
                </c:pt>
                <c:pt idx="18">
                  <c:v>2037</c:v>
                </c:pt>
                <c:pt idx="19">
                  <c:v>2038</c:v>
                </c:pt>
                <c:pt idx="20">
                  <c:v>2038</c:v>
                </c:pt>
                <c:pt idx="21">
                  <c:v>2039</c:v>
                </c:pt>
                <c:pt idx="22">
                  <c:v>2039</c:v>
                </c:pt>
                <c:pt idx="23">
                  <c:v>2040</c:v>
                </c:pt>
                <c:pt idx="24">
                  <c:v>2040</c:v>
                </c:pt>
                <c:pt idx="25">
                  <c:v>2041</c:v>
                </c:pt>
                <c:pt idx="26">
                  <c:v>2041</c:v>
                </c:pt>
                <c:pt idx="27">
                  <c:v>2042</c:v>
                </c:pt>
                <c:pt idx="28">
                  <c:v>2042</c:v>
                </c:pt>
                <c:pt idx="29">
                  <c:v>2043</c:v>
                </c:pt>
                <c:pt idx="30">
                  <c:v>2043</c:v>
                </c:pt>
                <c:pt idx="31">
                  <c:v>2044</c:v>
                </c:pt>
                <c:pt idx="32">
                  <c:v>2044</c:v>
                </c:pt>
                <c:pt idx="33">
                  <c:v>2045</c:v>
                </c:pt>
                <c:pt idx="34">
                  <c:v>2045</c:v>
                </c:pt>
                <c:pt idx="35">
                  <c:v>2046</c:v>
                </c:pt>
                <c:pt idx="36">
                  <c:v>2046</c:v>
                </c:pt>
                <c:pt idx="37">
                  <c:v>2047</c:v>
                </c:pt>
                <c:pt idx="38">
                  <c:v>2047</c:v>
                </c:pt>
                <c:pt idx="39">
                  <c:v>2048</c:v>
                </c:pt>
                <c:pt idx="40">
                  <c:v>2048</c:v>
                </c:pt>
                <c:pt idx="41">
                  <c:v>2049</c:v>
                </c:pt>
                <c:pt idx="42">
                  <c:v>2049</c:v>
                </c:pt>
                <c:pt idx="43">
                  <c:v>2050</c:v>
                </c:pt>
                <c:pt idx="44">
                  <c:v>2050</c:v>
                </c:pt>
              </c:numCache>
            </c:numRef>
          </c:cat>
          <c:val>
            <c:numRef>
              <c:f>MAIN!$DC$31:$DC$74</c:f>
              <c:numCache>
                <c:formatCode>General</c:formatCode>
                <c:ptCount val="44"/>
              </c:numCache>
            </c:numRef>
          </c:val>
          <c:smooth val="0"/>
          <c:extLst>
            <c:ext xmlns:c16="http://schemas.microsoft.com/office/drawing/2014/chart" uri="{C3380CC4-5D6E-409C-BE32-E72D297353CC}">
              <c16:uniqueId val="{00000005-39F7-1F4E-A858-3BA62AB3987E}"/>
            </c:ext>
          </c:extLst>
        </c:ser>
        <c:dLbls>
          <c:showLegendKey val="0"/>
          <c:showVal val="0"/>
          <c:showCatName val="0"/>
          <c:showSerName val="0"/>
          <c:showPercent val="0"/>
          <c:showBubbleSize val="0"/>
        </c:dLbls>
        <c:marker val="1"/>
        <c:smooth val="0"/>
        <c:axId val="961349632"/>
        <c:axId val="727552896"/>
      </c:lineChart>
      <c:dateAx>
        <c:axId val="961349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52896"/>
        <c:crosses val="autoZero"/>
        <c:auto val="0"/>
        <c:lblOffset val="100"/>
        <c:baseTimeUnit val="days"/>
      </c:dateAx>
      <c:valAx>
        <c:axId val="727552896"/>
        <c:scaling>
          <c:orientation val="minMax"/>
          <c:max val="150"/>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Carbon Intensity</a:t>
                </a:r>
                <a:r>
                  <a:rPr lang="en-GB" baseline="0"/>
                  <a:t> (tCO2-e/TJ)</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3496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1"/>
          <c:order val="1"/>
          <c:tx>
            <c:v>Cost</c:v>
          </c:tx>
          <c:spPr>
            <a:solidFill>
              <a:srgbClr val="0070C0">
                <a:alpha val="36933"/>
              </a:srgbClr>
            </a:solidFill>
            <a:ln>
              <a:noFill/>
            </a:ln>
            <a:effectLst/>
          </c:spPr>
          <c:val>
            <c:numRef>
              <c:f>MAIN!$DM$5:$DM$27</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AF8C-8848-AC05-11AB206751C0}"/>
            </c:ext>
          </c:extLst>
        </c:ser>
        <c:dLbls>
          <c:showLegendKey val="0"/>
          <c:showVal val="0"/>
          <c:showCatName val="0"/>
          <c:showSerName val="0"/>
          <c:showPercent val="0"/>
          <c:showBubbleSize val="0"/>
        </c:dLbls>
        <c:axId val="324241743"/>
        <c:axId val="1067092319"/>
      </c:areaChart>
      <c:barChart>
        <c:barDir val="col"/>
        <c:grouping val="clustered"/>
        <c:varyColors val="0"/>
        <c:ser>
          <c:idx val="0"/>
          <c:order val="0"/>
          <c:tx>
            <c:strRef>
              <c:f>MAIN!$DE$1</c:f>
              <c:strCache>
                <c:ptCount val="1"/>
                <c:pt idx="0">
                  <c:v>RU</c:v>
                </c:pt>
              </c:strCache>
            </c:strRef>
          </c:tx>
          <c:spPr>
            <a:solidFill>
              <a:srgbClr val="C00000"/>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20-9AFF-394D-809B-BD647E638546}"/>
              </c:ext>
            </c:extLst>
          </c:dPt>
          <c:dPt>
            <c:idx val="5"/>
            <c:invertIfNegative val="0"/>
            <c:bubble3D val="0"/>
            <c:spPr>
              <a:solidFill>
                <a:srgbClr val="C00000"/>
              </a:solidFill>
              <a:ln>
                <a:noFill/>
              </a:ln>
              <a:effectLst/>
            </c:spPr>
            <c:extLst>
              <c:ext xmlns:c16="http://schemas.microsoft.com/office/drawing/2014/chart" uri="{C3380CC4-5D6E-409C-BE32-E72D297353CC}">
                <c16:uniqueId val="{00000021-9AFF-394D-809B-BD647E638546}"/>
              </c:ext>
            </c:extLst>
          </c:dPt>
          <c:dPt>
            <c:idx val="6"/>
            <c:invertIfNegative val="0"/>
            <c:bubble3D val="0"/>
            <c:spPr>
              <a:solidFill>
                <a:srgbClr val="C00000"/>
              </a:solidFill>
              <a:ln>
                <a:noFill/>
              </a:ln>
              <a:effectLst/>
            </c:spPr>
            <c:extLst>
              <c:ext xmlns:c16="http://schemas.microsoft.com/office/drawing/2014/chart" uri="{C3380CC4-5D6E-409C-BE32-E72D297353CC}">
                <c16:uniqueId val="{00000022-9AFF-394D-809B-BD647E638546}"/>
              </c:ext>
            </c:extLst>
          </c:dPt>
          <c:dPt>
            <c:idx val="7"/>
            <c:invertIfNegative val="0"/>
            <c:bubble3D val="0"/>
            <c:spPr>
              <a:solidFill>
                <a:srgbClr val="C00000"/>
              </a:solidFill>
              <a:ln>
                <a:noFill/>
              </a:ln>
              <a:effectLst/>
            </c:spPr>
            <c:extLst>
              <c:ext xmlns:c16="http://schemas.microsoft.com/office/drawing/2014/chart" uri="{C3380CC4-5D6E-409C-BE32-E72D297353CC}">
                <c16:uniqueId val="{00000002-AF8C-8848-AC05-11AB206751C0}"/>
              </c:ext>
            </c:extLst>
          </c:dPt>
          <c:dPt>
            <c:idx val="8"/>
            <c:invertIfNegative val="0"/>
            <c:bubble3D val="0"/>
            <c:spPr>
              <a:solidFill>
                <a:srgbClr val="C00000"/>
              </a:solidFill>
              <a:ln>
                <a:noFill/>
              </a:ln>
              <a:effectLst/>
            </c:spPr>
            <c:extLst>
              <c:ext xmlns:c16="http://schemas.microsoft.com/office/drawing/2014/chart" uri="{C3380CC4-5D6E-409C-BE32-E72D297353CC}">
                <c16:uniqueId val="{00000004-AF8C-8848-AC05-11AB206751C0}"/>
              </c:ext>
            </c:extLst>
          </c:dPt>
          <c:dPt>
            <c:idx val="9"/>
            <c:invertIfNegative val="0"/>
            <c:bubble3D val="0"/>
            <c:spPr>
              <a:solidFill>
                <a:srgbClr val="C00000"/>
              </a:solidFill>
              <a:ln>
                <a:noFill/>
              </a:ln>
              <a:effectLst/>
            </c:spPr>
            <c:extLst>
              <c:ext xmlns:c16="http://schemas.microsoft.com/office/drawing/2014/chart" uri="{C3380CC4-5D6E-409C-BE32-E72D297353CC}">
                <c16:uniqueId val="{00000006-AF8C-8848-AC05-11AB206751C0}"/>
              </c:ext>
            </c:extLst>
          </c:dPt>
          <c:dPt>
            <c:idx val="10"/>
            <c:invertIfNegative val="0"/>
            <c:bubble3D val="0"/>
            <c:spPr>
              <a:solidFill>
                <a:srgbClr val="C00000"/>
              </a:solidFill>
              <a:ln>
                <a:noFill/>
              </a:ln>
              <a:effectLst/>
            </c:spPr>
            <c:extLst>
              <c:ext xmlns:c16="http://schemas.microsoft.com/office/drawing/2014/chart" uri="{C3380CC4-5D6E-409C-BE32-E72D297353CC}">
                <c16:uniqueId val="{00000008-AF8C-8848-AC05-11AB206751C0}"/>
              </c:ext>
            </c:extLst>
          </c:dPt>
          <c:dPt>
            <c:idx val="11"/>
            <c:invertIfNegative val="0"/>
            <c:bubble3D val="0"/>
            <c:spPr>
              <a:solidFill>
                <a:srgbClr val="C00000"/>
              </a:solidFill>
              <a:ln>
                <a:noFill/>
              </a:ln>
              <a:effectLst/>
            </c:spPr>
            <c:extLst>
              <c:ext xmlns:c16="http://schemas.microsoft.com/office/drawing/2014/chart" uri="{C3380CC4-5D6E-409C-BE32-E72D297353CC}">
                <c16:uniqueId val="{0000000A-AF8C-8848-AC05-11AB206751C0}"/>
              </c:ext>
            </c:extLst>
          </c:dPt>
          <c:dPt>
            <c:idx val="12"/>
            <c:invertIfNegative val="0"/>
            <c:bubble3D val="0"/>
            <c:spPr>
              <a:solidFill>
                <a:srgbClr val="C00000"/>
              </a:solidFill>
              <a:ln>
                <a:noFill/>
              </a:ln>
              <a:effectLst/>
            </c:spPr>
            <c:extLst>
              <c:ext xmlns:c16="http://schemas.microsoft.com/office/drawing/2014/chart" uri="{C3380CC4-5D6E-409C-BE32-E72D297353CC}">
                <c16:uniqueId val="{0000000C-AF8C-8848-AC05-11AB206751C0}"/>
              </c:ext>
            </c:extLst>
          </c:dPt>
          <c:dPt>
            <c:idx val="13"/>
            <c:invertIfNegative val="0"/>
            <c:bubble3D val="0"/>
            <c:spPr>
              <a:solidFill>
                <a:srgbClr val="C00000"/>
              </a:solidFill>
              <a:ln>
                <a:noFill/>
              </a:ln>
              <a:effectLst/>
            </c:spPr>
            <c:extLst>
              <c:ext xmlns:c16="http://schemas.microsoft.com/office/drawing/2014/chart" uri="{C3380CC4-5D6E-409C-BE32-E72D297353CC}">
                <c16:uniqueId val="{0000000E-AF8C-8848-AC05-11AB206751C0}"/>
              </c:ext>
            </c:extLst>
          </c:dPt>
          <c:dPt>
            <c:idx val="14"/>
            <c:invertIfNegative val="0"/>
            <c:bubble3D val="0"/>
            <c:spPr>
              <a:solidFill>
                <a:srgbClr val="C00000"/>
              </a:solidFill>
              <a:ln>
                <a:noFill/>
              </a:ln>
              <a:effectLst/>
            </c:spPr>
            <c:extLst>
              <c:ext xmlns:c16="http://schemas.microsoft.com/office/drawing/2014/chart" uri="{C3380CC4-5D6E-409C-BE32-E72D297353CC}">
                <c16:uniqueId val="{00000010-AF8C-8848-AC05-11AB206751C0}"/>
              </c:ext>
            </c:extLst>
          </c:dPt>
          <c:dPt>
            <c:idx val="15"/>
            <c:invertIfNegative val="0"/>
            <c:bubble3D val="0"/>
            <c:spPr>
              <a:solidFill>
                <a:srgbClr val="C00000"/>
              </a:solidFill>
              <a:ln>
                <a:noFill/>
              </a:ln>
              <a:effectLst/>
            </c:spPr>
            <c:extLst>
              <c:ext xmlns:c16="http://schemas.microsoft.com/office/drawing/2014/chart" uri="{C3380CC4-5D6E-409C-BE32-E72D297353CC}">
                <c16:uniqueId val="{00000012-AF8C-8848-AC05-11AB206751C0}"/>
              </c:ext>
            </c:extLst>
          </c:dPt>
          <c:dPt>
            <c:idx val="16"/>
            <c:invertIfNegative val="0"/>
            <c:bubble3D val="0"/>
            <c:spPr>
              <a:solidFill>
                <a:srgbClr val="C00000"/>
              </a:solidFill>
              <a:ln>
                <a:noFill/>
              </a:ln>
              <a:effectLst/>
            </c:spPr>
            <c:extLst>
              <c:ext xmlns:c16="http://schemas.microsoft.com/office/drawing/2014/chart" uri="{C3380CC4-5D6E-409C-BE32-E72D297353CC}">
                <c16:uniqueId val="{00000014-AF8C-8848-AC05-11AB206751C0}"/>
              </c:ext>
            </c:extLst>
          </c:dPt>
          <c:dPt>
            <c:idx val="17"/>
            <c:invertIfNegative val="0"/>
            <c:bubble3D val="0"/>
            <c:spPr>
              <a:solidFill>
                <a:srgbClr val="C00000"/>
              </a:solidFill>
              <a:ln>
                <a:noFill/>
              </a:ln>
              <a:effectLst/>
            </c:spPr>
            <c:extLst>
              <c:ext xmlns:c16="http://schemas.microsoft.com/office/drawing/2014/chart" uri="{C3380CC4-5D6E-409C-BE32-E72D297353CC}">
                <c16:uniqueId val="{00000016-AF8C-8848-AC05-11AB206751C0}"/>
              </c:ext>
            </c:extLst>
          </c:dPt>
          <c:dPt>
            <c:idx val="18"/>
            <c:invertIfNegative val="0"/>
            <c:bubble3D val="0"/>
            <c:spPr>
              <a:solidFill>
                <a:srgbClr val="C00000"/>
              </a:solidFill>
              <a:ln>
                <a:noFill/>
              </a:ln>
              <a:effectLst/>
            </c:spPr>
            <c:extLst>
              <c:ext xmlns:c16="http://schemas.microsoft.com/office/drawing/2014/chart" uri="{C3380CC4-5D6E-409C-BE32-E72D297353CC}">
                <c16:uniqueId val="{00000018-AF8C-8848-AC05-11AB206751C0}"/>
              </c:ext>
            </c:extLst>
          </c:dPt>
          <c:dPt>
            <c:idx val="19"/>
            <c:invertIfNegative val="0"/>
            <c:bubble3D val="0"/>
            <c:spPr>
              <a:solidFill>
                <a:srgbClr val="C00000"/>
              </a:solidFill>
              <a:ln>
                <a:noFill/>
              </a:ln>
              <a:effectLst/>
            </c:spPr>
            <c:extLst>
              <c:ext xmlns:c16="http://schemas.microsoft.com/office/drawing/2014/chart" uri="{C3380CC4-5D6E-409C-BE32-E72D297353CC}">
                <c16:uniqueId val="{0000001A-AF8C-8848-AC05-11AB206751C0}"/>
              </c:ext>
            </c:extLst>
          </c:dPt>
          <c:dPt>
            <c:idx val="20"/>
            <c:invertIfNegative val="0"/>
            <c:bubble3D val="0"/>
            <c:spPr>
              <a:solidFill>
                <a:srgbClr val="C00000"/>
              </a:solidFill>
              <a:ln>
                <a:noFill/>
              </a:ln>
              <a:effectLst/>
            </c:spPr>
            <c:extLst>
              <c:ext xmlns:c16="http://schemas.microsoft.com/office/drawing/2014/chart" uri="{C3380CC4-5D6E-409C-BE32-E72D297353CC}">
                <c16:uniqueId val="{0000001C-AF8C-8848-AC05-11AB206751C0}"/>
              </c:ext>
            </c:extLst>
          </c:dPt>
          <c:dPt>
            <c:idx val="21"/>
            <c:invertIfNegative val="0"/>
            <c:bubble3D val="0"/>
            <c:spPr>
              <a:solidFill>
                <a:srgbClr val="C00000"/>
              </a:solidFill>
              <a:ln>
                <a:noFill/>
              </a:ln>
              <a:effectLst/>
            </c:spPr>
            <c:extLst>
              <c:ext xmlns:c16="http://schemas.microsoft.com/office/drawing/2014/chart" uri="{C3380CC4-5D6E-409C-BE32-E72D297353CC}">
                <c16:uniqueId val="{0000001E-AF8C-8848-AC05-11AB206751C0}"/>
              </c:ext>
            </c:extLst>
          </c:dPt>
          <c:dPt>
            <c:idx val="22"/>
            <c:invertIfNegative val="0"/>
            <c:bubble3D val="0"/>
            <c:spPr>
              <a:solidFill>
                <a:srgbClr val="C00000"/>
              </a:solidFill>
              <a:ln>
                <a:noFill/>
              </a:ln>
              <a:effectLst/>
            </c:spPr>
            <c:extLst>
              <c:ext xmlns:c16="http://schemas.microsoft.com/office/drawing/2014/chart" uri="{C3380CC4-5D6E-409C-BE32-E72D297353CC}">
                <c16:uniqueId val="{00000020-AF8C-8848-AC05-11AB206751C0}"/>
              </c:ext>
            </c:extLst>
          </c:dPt>
          <c:cat>
            <c:numRef>
              <c:f>MAIN!$DD$5:$DD$27</c:f>
              <c:numCache>
                <c:formatCode>General</c:formatCode>
                <c:ptCount val="23"/>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numCache>
            </c:numRef>
          </c:cat>
          <c:val>
            <c:numRef>
              <c:f>MAIN!$DN$5:$DN$27</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21-AF8C-8848-AC05-11AB206751C0}"/>
            </c:ext>
          </c:extLst>
        </c:ser>
        <c:dLbls>
          <c:showLegendKey val="0"/>
          <c:showVal val="0"/>
          <c:showCatName val="0"/>
          <c:showSerName val="0"/>
          <c:showPercent val="0"/>
          <c:showBubbleSize val="0"/>
        </c:dLbls>
        <c:gapWidth val="219"/>
        <c:overlap val="-27"/>
        <c:axId val="2113623424"/>
        <c:axId val="1825644479"/>
      </c:barChart>
      <c:lineChart>
        <c:grouping val="standard"/>
        <c:varyColors val="0"/>
        <c:ser>
          <c:idx val="2"/>
          <c:order val="2"/>
          <c:spPr>
            <a:ln w="28575" cap="rnd">
              <a:solidFill>
                <a:schemeClr val="tx1"/>
              </a:solidFill>
              <a:round/>
            </a:ln>
            <a:effectLst/>
          </c:spPr>
          <c:marker>
            <c:symbol val="none"/>
          </c:marker>
          <c:val>
            <c:numRef>
              <c:f>MAIN!$DP$5:$DP$27</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mooth val="0"/>
          <c:extLst>
            <c:ext xmlns:c16="http://schemas.microsoft.com/office/drawing/2014/chart" uri="{C3380CC4-5D6E-409C-BE32-E72D297353CC}">
              <c16:uniqueId val="{00000022-AF8C-8848-AC05-11AB206751C0}"/>
            </c:ext>
          </c:extLst>
        </c:ser>
        <c:ser>
          <c:idx val="3"/>
          <c:order val="3"/>
          <c:spPr>
            <a:ln w="28575" cap="rnd">
              <a:solidFill>
                <a:srgbClr val="4472C4"/>
              </a:solidFill>
              <a:round/>
            </a:ln>
            <a:effectLst/>
          </c:spPr>
          <c:marker>
            <c:symbol val="none"/>
          </c:marker>
          <c:val>
            <c:numRef>
              <c:f>MAIN!$DO$5:$DO$27</c:f>
              <c:numCache>
                <c:formatCode>_("$"* #,##0.00_);_("$"* \(#,##0.00\);_("$"* "-"??_);_(@_)</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mooth val="0"/>
          <c:extLst>
            <c:ext xmlns:c16="http://schemas.microsoft.com/office/drawing/2014/chart" uri="{C3380CC4-5D6E-409C-BE32-E72D297353CC}">
              <c16:uniqueId val="{00000023-AF8C-8848-AC05-11AB206751C0}"/>
            </c:ext>
          </c:extLst>
        </c:ser>
        <c:dLbls>
          <c:showLegendKey val="0"/>
          <c:showVal val="0"/>
          <c:showCatName val="0"/>
          <c:showSerName val="0"/>
          <c:showPercent val="0"/>
          <c:showBubbleSize val="0"/>
        </c:dLbls>
        <c:marker val="1"/>
        <c:smooth val="0"/>
        <c:axId val="324241743"/>
        <c:axId val="1067092319"/>
      </c:lineChart>
      <c:catAx>
        <c:axId val="21136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44479"/>
        <c:crosses val="autoZero"/>
        <c:auto val="1"/>
        <c:lblAlgn val="ctr"/>
        <c:lblOffset val="100"/>
        <c:noMultiLvlLbl val="0"/>
      </c:catAx>
      <c:valAx>
        <c:axId val="1825644479"/>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623424"/>
        <c:crosses val="autoZero"/>
        <c:crossBetween val="between"/>
        <c:majorUnit val="0.2"/>
        <c:minorUnit val="0.01"/>
      </c:valAx>
      <c:valAx>
        <c:axId val="1067092319"/>
        <c:scaling>
          <c:orientation val="minMax"/>
          <c:max val="2100"/>
          <c:min val="0"/>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41743"/>
        <c:crosses val="max"/>
        <c:crossBetween val="between"/>
        <c:majorUnit val="100"/>
        <c:minorUnit val="30"/>
      </c:valAx>
      <c:catAx>
        <c:axId val="324241743"/>
        <c:scaling>
          <c:orientation val="minMax"/>
        </c:scaling>
        <c:delete val="1"/>
        <c:axPos val="b"/>
        <c:majorTickMark val="out"/>
        <c:minorTickMark val="none"/>
        <c:tickLblPos val="nextTo"/>
        <c:crossAx val="106709231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61-574F-83EE-7F7311F03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61-574F-83EE-7F7311F03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61-574F-83EE-7F7311F03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61-574F-83EE-7F7311F03E6D}"/>
              </c:ext>
            </c:extLst>
          </c:dPt>
          <c:cat>
            <c:strRef>
              <c:f>current!$A$2:$A$5</c:f>
              <c:strCache>
                <c:ptCount val="4"/>
                <c:pt idx="0">
                  <c:v>LFO</c:v>
                </c:pt>
                <c:pt idx="1">
                  <c:v>HFO</c:v>
                </c:pt>
                <c:pt idx="2">
                  <c:v>MGO</c:v>
                </c:pt>
                <c:pt idx="3">
                  <c:v>LNG</c:v>
                </c:pt>
              </c:strCache>
            </c:strRef>
          </c:cat>
          <c:val>
            <c:numRef>
              <c:f>current!$B$2:$B$5</c:f>
              <c:numCache>
                <c:formatCode>General</c:formatCode>
                <c:ptCount val="4"/>
                <c:pt idx="0">
                  <c:v>213.57532020238992</c:v>
                </c:pt>
                <c:pt idx="1">
                  <c:v>380.37772809810554</c:v>
                </c:pt>
                <c:pt idx="2">
                  <c:v>21.924534260915191</c:v>
                </c:pt>
                <c:pt idx="3">
                  <c:v>202.51921531880922</c:v>
                </c:pt>
              </c:numCache>
            </c:numRef>
          </c:val>
          <c:extLst>
            <c:ext xmlns:c16="http://schemas.microsoft.com/office/drawing/2014/chart" uri="{C3380CC4-5D6E-409C-BE32-E72D297353CC}">
              <c16:uniqueId val="{00000000-16FD-9447-A0F8-FAF5FDDD7DF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98-4748-8C7C-56670E546E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98-4748-8C7C-56670E546E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98-4748-8C7C-56670E546E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98-4748-8C7C-56670E546EA2}"/>
              </c:ext>
            </c:extLst>
          </c:dPt>
          <c:cat>
            <c:strRef>
              <c:f>'consumptions per type'!$N$2:$N$5</c:f>
              <c:strCache>
                <c:ptCount val="4"/>
                <c:pt idx="0">
                  <c:v>HFO</c:v>
                </c:pt>
                <c:pt idx="1">
                  <c:v>LFO</c:v>
                </c:pt>
                <c:pt idx="2">
                  <c:v>MGO</c:v>
                </c:pt>
                <c:pt idx="3">
                  <c:v>LNG</c:v>
                </c:pt>
              </c:strCache>
            </c:strRef>
          </c:cat>
          <c:val>
            <c:numRef>
              <c:f>'consumptions per type'!$O$2:$O$5</c:f>
              <c:numCache>
                <c:formatCode>General</c:formatCode>
                <c:ptCount val="4"/>
                <c:pt idx="0">
                  <c:v>380.37772809810554</c:v>
                </c:pt>
                <c:pt idx="1">
                  <c:v>82.904155468442156</c:v>
                </c:pt>
                <c:pt idx="2">
                  <c:v>21.924534260915191</c:v>
                </c:pt>
                <c:pt idx="3">
                  <c:v>202.51921531880922</c:v>
                </c:pt>
              </c:numCache>
            </c:numRef>
          </c:val>
          <c:extLst>
            <c:ext xmlns:c16="http://schemas.microsoft.com/office/drawing/2014/chart" uri="{C3380CC4-5D6E-409C-BE32-E72D297353CC}">
              <c16:uniqueId val="{00000000-6681-6441-945A-83F4C3B3FDF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'consumptions per type'!$B$1</c:f>
              <c:strCache>
                <c:ptCount val="1"/>
                <c:pt idx="0">
                  <c:v>TJ/year</c:v>
                </c:pt>
              </c:strCache>
            </c:strRef>
          </c:tx>
          <c:spPr>
            <a:solidFill>
              <a:schemeClr val="accent1"/>
            </a:solidFill>
            <a:ln>
              <a:noFill/>
            </a:ln>
            <a:effectLst/>
          </c:spPr>
          <c:invertIfNegative val="0"/>
          <c:cat>
            <c:strRef>
              <c:f>'consumptions per type'!$A$2:$A$24</c:f>
              <c:strCache>
                <c:ptCount val="23"/>
                <c:pt idx="0">
                  <c:v>Passenger Vessel</c:v>
                </c:pt>
                <c:pt idx="1">
                  <c:v>General Cargo</c:v>
                </c:pt>
                <c:pt idx="2">
                  <c:v>Special Craft</c:v>
                </c:pt>
                <c:pt idx="3">
                  <c:v>Supply Vessel</c:v>
                </c:pt>
                <c:pt idx="4">
                  <c:v>Passenger/Cargo Ship</c:v>
                </c:pt>
                <c:pt idx="5">
                  <c:v>Container Ship</c:v>
                </c:pt>
                <c:pt idx="6">
                  <c:v>Ro-Ro/Vehicles Carrier</c:v>
                </c:pt>
                <c:pt idx="7">
                  <c:v>LNG Tanker</c:v>
                </c:pt>
                <c:pt idx="8">
                  <c:v>Other Special Craft</c:v>
                </c:pt>
                <c:pt idx="9">
                  <c:v>Oil/Chemical Tanker</c:v>
                </c:pt>
                <c:pt idx="10">
                  <c:v>Reefer</c:v>
                </c:pt>
                <c:pt idx="11">
                  <c:v>Bulk Carrier</c:v>
                </c:pt>
                <c:pt idx="12">
                  <c:v>LPG Tanker</c:v>
                </c:pt>
                <c:pt idx="13">
                  <c:v>Ro-Ro/Passenger Vessel</c:v>
                </c:pt>
                <c:pt idx="14">
                  <c:v>Crude Oil Tanker</c:v>
                </c:pt>
                <c:pt idx="15">
                  <c:v>Oil Products Tanker</c:v>
                </c:pt>
                <c:pt idx="16">
                  <c:v>Heavy Load Carrier</c:v>
                </c:pt>
                <c:pt idx="17">
                  <c:v>Landing Craft</c:v>
                </c:pt>
                <c:pt idx="18">
                  <c:v>High Speed Craft</c:v>
                </c:pt>
                <c:pt idx="19">
                  <c:v>Other Cargo</c:v>
                </c:pt>
                <c:pt idx="20">
                  <c:v>Special Cargo</c:v>
                </c:pt>
                <c:pt idx="21">
                  <c:v>Other Passenger</c:v>
                </c:pt>
                <c:pt idx="22">
                  <c:v>Special Passenger Vessel</c:v>
                </c:pt>
              </c:strCache>
            </c:strRef>
          </c:cat>
          <c:val>
            <c:numRef>
              <c:f>'consumptions per type'!$B$2:$B$24</c:f>
              <c:numCache>
                <c:formatCode>General</c:formatCode>
                <c:ptCount val="23"/>
                <c:pt idx="0">
                  <c:v>130.67116473394779</c:v>
                </c:pt>
                <c:pt idx="1">
                  <c:v>2.4794096439495958</c:v>
                </c:pt>
                <c:pt idx="2">
                  <c:v>10.60403427028317</c:v>
                </c:pt>
                <c:pt idx="3">
                  <c:v>0.78928445057578944</c:v>
                </c:pt>
                <c:pt idx="4">
                  <c:v>4.8756260059855672</c:v>
                </c:pt>
                <c:pt idx="5">
                  <c:v>125.995648383874</c:v>
                </c:pt>
                <c:pt idx="6">
                  <c:v>110.7481850914975</c:v>
                </c:pt>
                <c:pt idx="7">
                  <c:v>198.59706183540879</c:v>
                </c:pt>
                <c:pt idx="8">
                  <c:v>4.4448390512876657</c:v>
                </c:pt>
                <c:pt idx="9">
                  <c:v>5.6627290395888474</c:v>
                </c:pt>
                <c:pt idx="10">
                  <c:v>1.739706950317417</c:v>
                </c:pt>
                <c:pt idx="11">
                  <c:v>5.0618200188849336</c:v>
                </c:pt>
                <c:pt idx="12">
                  <c:v>3.9221534834004288</c:v>
                </c:pt>
                <c:pt idx="13">
                  <c:v>54.087614848118321</c:v>
                </c:pt>
                <c:pt idx="14">
                  <c:v>21.54349318047257</c:v>
                </c:pt>
                <c:pt idx="15">
                  <c:v>36.664777637605233</c:v>
                </c:pt>
                <c:pt idx="16">
                  <c:v>9.1562724613921578</c:v>
                </c:pt>
                <c:pt idx="17">
                  <c:v>1.5071681239534449</c:v>
                </c:pt>
                <c:pt idx="18">
                  <c:v>4.4417023405944747</c:v>
                </c:pt>
                <c:pt idx="19">
                  <c:v>0.44863749785702489</c:v>
                </c:pt>
                <c:pt idx="20">
                  <c:v>60.877048192666209</c:v>
                </c:pt>
                <c:pt idx="21">
                  <c:v>23.940914614338261</c:v>
                </c:pt>
                <c:pt idx="22">
                  <c:v>0.1375060242206462</c:v>
                </c:pt>
              </c:numCache>
            </c:numRef>
          </c:val>
          <c:extLst>
            <c:ext xmlns:c16="http://schemas.microsoft.com/office/drawing/2014/chart" uri="{C3380CC4-5D6E-409C-BE32-E72D297353CC}">
              <c16:uniqueId val="{00000000-9169-E34C-89CB-ACE212C6B37E}"/>
            </c:ext>
          </c:extLst>
        </c:ser>
        <c:dLbls>
          <c:showLegendKey val="0"/>
          <c:showVal val="0"/>
          <c:showCatName val="0"/>
          <c:showSerName val="0"/>
          <c:showPercent val="0"/>
          <c:showBubbleSize val="0"/>
        </c:dLbls>
        <c:gapWidth val="219"/>
        <c:overlap val="-27"/>
        <c:axId val="956577743"/>
        <c:axId val="956458735"/>
      </c:barChart>
      <c:catAx>
        <c:axId val="95657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458735"/>
        <c:crosses val="autoZero"/>
        <c:auto val="1"/>
        <c:lblAlgn val="ctr"/>
        <c:lblOffset val="100"/>
        <c:noMultiLvlLbl val="0"/>
      </c:catAx>
      <c:valAx>
        <c:axId val="95645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77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raw!$AO$2:$AO$24</c:f>
              <c:strCache>
                <c:ptCount val="23"/>
                <c:pt idx="0">
                  <c:v>Container Ship</c:v>
                </c:pt>
                <c:pt idx="1">
                  <c:v>Other Passenger</c:v>
                </c:pt>
                <c:pt idx="2">
                  <c:v>General Cargo</c:v>
                </c:pt>
                <c:pt idx="3">
                  <c:v>LNG Tanker</c:v>
                </c:pt>
                <c:pt idx="4">
                  <c:v>Reefer</c:v>
                </c:pt>
                <c:pt idx="5">
                  <c:v>Passenger Vessel</c:v>
                </c:pt>
                <c:pt idx="6">
                  <c:v>Other Special Craft</c:v>
                </c:pt>
                <c:pt idx="7">
                  <c:v>Oil/Chemical Tanker</c:v>
                </c:pt>
                <c:pt idx="8">
                  <c:v>Ro-Ro/Vehicles Carrier</c:v>
                </c:pt>
                <c:pt idx="9">
                  <c:v>Bulk Carrier</c:v>
                </c:pt>
                <c:pt idx="10">
                  <c:v>Special Passenger Vessel</c:v>
                </c:pt>
                <c:pt idx="11">
                  <c:v>Special Cargo</c:v>
                </c:pt>
                <c:pt idx="12">
                  <c:v>Ro-Ro/Passenger Vessel</c:v>
                </c:pt>
                <c:pt idx="13">
                  <c:v>Oil Products Tanker</c:v>
                </c:pt>
                <c:pt idx="14">
                  <c:v>Other Cargo</c:v>
                </c:pt>
                <c:pt idx="15">
                  <c:v>Special Craft</c:v>
                </c:pt>
                <c:pt idx="16">
                  <c:v>Crude Oil Tanker</c:v>
                </c:pt>
                <c:pt idx="17">
                  <c:v>High Speed Craft</c:v>
                </c:pt>
                <c:pt idx="18">
                  <c:v>LPG Tanker</c:v>
                </c:pt>
                <c:pt idx="19">
                  <c:v>Heavy Load Carrier</c:v>
                </c:pt>
                <c:pt idx="20">
                  <c:v>Supply Vessel</c:v>
                </c:pt>
                <c:pt idx="21">
                  <c:v>Passenger/Cargo Ship</c:v>
                </c:pt>
                <c:pt idx="22">
                  <c:v>Landing Craft</c:v>
                </c:pt>
              </c:strCache>
            </c:strRef>
          </c:cat>
          <c:val>
            <c:numRef>
              <c:f>raw!$AP$2:$AP$24</c:f>
              <c:numCache>
                <c:formatCode>General</c:formatCode>
                <c:ptCount val="23"/>
                <c:pt idx="0">
                  <c:v>107961.08675589175</c:v>
                </c:pt>
                <c:pt idx="1">
                  <c:v>51310.70033610933</c:v>
                </c:pt>
                <c:pt idx="2">
                  <c:v>38854.152869376929</c:v>
                </c:pt>
                <c:pt idx="3">
                  <c:v>36749.505705137693</c:v>
                </c:pt>
                <c:pt idx="4">
                  <c:v>32382.078430631904</c:v>
                </c:pt>
                <c:pt idx="5">
                  <c:v>31037.495813026962</c:v>
                </c:pt>
                <c:pt idx="6">
                  <c:v>20379.916261214323</c:v>
                </c:pt>
                <c:pt idx="7">
                  <c:v>19934.389121691522</c:v>
                </c:pt>
                <c:pt idx="8">
                  <c:v>16199.675887767813</c:v>
                </c:pt>
                <c:pt idx="9">
                  <c:v>12730.940120957937</c:v>
                </c:pt>
                <c:pt idx="10">
                  <c:v>2834.6879262354919</c:v>
                </c:pt>
                <c:pt idx="11">
                  <c:v>2508.1232357033396</c:v>
                </c:pt>
                <c:pt idx="12">
                  <c:v>2410.1390628809477</c:v>
                </c:pt>
                <c:pt idx="13">
                  <c:v>2310.0466109038334</c:v>
                </c:pt>
                <c:pt idx="14">
                  <c:v>1833.7503059997071</c:v>
                </c:pt>
                <c:pt idx="15">
                  <c:v>1689.9313881767778</c:v>
                </c:pt>
                <c:pt idx="16">
                  <c:v>1299.014126650532</c:v>
                </c:pt>
                <c:pt idx="17">
                  <c:v>622.66855241978635</c:v>
                </c:pt>
                <c:pt idx="18">
                  <c:v>528.52178129620893</c:v>
                </c:pt>
                <c:pt idx="19">
                  <c:v>469.24271566031507</c:v>
                </c:pt>
                <c:pt idx="20">
                  <c:v>271.30133320762371</c:v>
                </c:pt>
                <c:pt idx="21">
                  <c:v>204.75916168962627</c:v>
                </c:pt>
                <c:pt idx="22">
                  <c:v>154.31866052002104</c:v>
                </c:pt>
              </c:numCache>
            </c:numRef>
          </c:val>
          <c:extLst>
            <c:ext xmlns:c16="http://schemas.microsoft.com/office/drawing/2014/chart" uri="{C3380CC4-5D6E-409C-BE32-E72D297353CC}">
              <c16:uniqueId val="{00000000-CF0C-F34C-81E3-2DE2CD73272C}"/>
            </c:ext>
          </c:extLst>
        </c:ser>
        <c:dLbls>
          <c:showLegendKey val="0"/>
          <c:showVal val="0"/>
          <c:showCatName val="0"/>
          <c:showSerName val="0"/>
          <c:showPercent val="0"/>
          <c:showBubbleSize val="0"/>
        </c:dLbls>
        <c:gapWidth val="219"/>
        <c:overlap val="-27"/>
        <c:axId val="1304178767"/>
        <c:axId val="993436127"/>
      </c:barChart>
      <c:catAx>
        <c:axId val="130417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36127"/>
        <c:crosses val="autoZero"/>
        <c:auto val="1"/>
        <c:lblAlgn val="ctr"/>
        <c:lblOffset val="100"/>
        <c:noMultiLvlLbl val="0"/>
      </c:catAx>
      <c:valAx>
        <c:axId val="99343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78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raw!$BD$2:$BD$24</c:f>
              <c:strCache>
                <c:ptCount val="23"/>
                <c:pt idx="0">
                  <c:v>Container Ship</c:v>
                </c:pt>
                <c:pt idx="1">
                  <c:v>Other Passenger</c:v>
                </c:pt>
                <c:pt idx="2">
                  <c:v>LNG Tanker</c:v>
                </c:pt>
                <c:pt idx="3">
                  <c:v>General Cargo</c:v>
                </c:pt>
                <c:pt idx="4">
                  <c:v>Reefer</c:v>
                </c:pt>
                <c:pt idx="5">
                  <c:v>Passenger Vessel</c:v>
                </c:pt>
                <c:pt idx="6">
                  <c:v>Other Special Craft</c:v>
                </c:pt>
                <c:pt idx="7">
                  <c:v>Oil/Chemical Tanker</c:v>
                </c:pt>
                <c:pt idx="8">
                  <c:v>Ro-Ro/Vehicles Carrier</c:v>
                </c:pt>
                <c:pt idx="9">
                  <c:v>Bulk Carrier</c:v>
                </c:pt>
                <c:pt idx="10">
                  <c:v>Special Passenger Vessel</c:v>
                </c:pt>
                <c:pt idx="11">
                  <c:v>Ro-Ro/Passenger Vessel</c:v>
                </c:pt>
                <c:pt idx="12">
                  <c:v>Special Cargo</c:v>
                </c:pt>
                <c:pt idx="13">
                  <c:v>Oil Products Tanker</c:v>
                </c:pt>
                <c:pt idx="14">
                  <c:v>Special Craft</c:v>
                </c:pt>
                <c:pt idx="15">
                  <c:v>Other Cargo</c:v>
                </c:pt>
                <c:pt idx="16">
                  <c:v>Crude Oil Tanker</c:v>
                </c:pt>
                <c:pt idx="17">
                  <c:v>High Speed Craft</c:v>
                </c:pt>
                <c:pt idx="18">
                  <c:v>LPG Tanker</c:v>
                </c:pt>
                <c:pt idx="19">
                  <c:v>Heavy Load Carrier</c:v>
                </c:pt>
                <c:pt idx="20">
                  <c:v>Supply Vessel</c:v>
                </c:pt>
                <c:pt idx="21">
                  <c:v>Passenger/Cargo Ship</c:v>
                </c:pt>
                <c:pt idx="22">
                  <c:v>Landing Craft</c:v>
                </c:pt>
              </c:strCache>
            </c:strRef>
          </c:cat>
          <c:val>
            <c:numRef>
              <c:f>raw!$BE$2:$BE$24</c:f>
              <c:numCache>
                <c:formatCode>General</c:formatCode>
                <c:ptCount val="23"/>
                <c:pt idx="0">
                  <c:v>4210.4823834797799</c:v>
                </c:pt>
                <c:pt idx="1">
                  <c:v>2083.2144336460369</c:v>
                </c:pt>
                <c:pt idx="2">
                  <c:v>1786.0259772696922</c:v>
                </c:pt>
                <c:pt idx="3">
                  <c:v>1515.3119619056999</c:v>
                </c:pt>
                <c:pt idx="4">
                  <c:v>1262.9010587946441</c:v>
                </c:pt>
                <c:pt idx="5">
                  <c:v>1260.1223300088948</c:v>
                </c:pt>
                <c:pt idx="6">
                  <c:v>872.26041597997653</c:v>
                </c:pt>
                <c:pt idx="7">
                  <c:v>777.44117574596942</c:v>
                </c:pt>
                <c:pt idx="8">
                  <c:v>631.7873596229449</c:v>
                </c:pt>
                <c:pt idx="9">
                  <c:v>496.50666471735974</c:v>
                </c:pt>
                <c:pt idx="10">
                  <c:v>121.32464324287905</c:v>
                </c:pt>
                <c:pt idx="11">
                  <c:v>97.85164595296645</c:v>
                </c:pt>
                <c:pt idx="12">
                  <c:v>97.816806192430249</c:v>
                </c:pt>
                <c:pt idx="13">
                  <c:v>90.091817825249521</c:v>
                </c:pt>
                <c:pt idx="14">
                  <c:v>72.329063413966082</c:v>
                </c:pt>
                <c:pt idx="15">
                  <c:v>71.516261933988588</c:v>
                </c:pt>
                <c:pt idx="16">
                  <c:v>50.661550939370748</c:v>
                </c:pt>
                <c:pt idx="17">
                  <c:v>26.650214043566848</c:v>
                </c:pt>
                <c:pt idx="18">
                  <c:v>25.686158570995751</c:v>
                </c:pt>
                <c:pt idx="19">
                  <c:v>18.30046591075229</c:v>
                </c:pt>
                <c:pt idx="20">
                  <c:v>11.611697061286293</c:v>
                </c:pt>
                <c:pt idx="21">
                  <c:v>8.3132219645988279</c:v>
                </c:pt>
                <c:pt idx="22">
                  <c:v>6.6048386702569015</c:v>
                </c:pt>
              </c:numCache>
            </c:numRef>
          </c:val>
          <c:extLst>
            <c:ext xmlns:c16="http://schemas.microsoft.com/office/drawing/2014/chart" uri="{C3380CC4-5D6E-409C-BE32-E72D297353CC}">
              <c16:uniqueId val="{00000000-8BC5-474C-8A10-A8F1DF43F253}"/>
            </c:ext>
          </c:extLst>
        </c:ser>
        <c:dLbls>
          <c:showLegendKey val="0"/>
          <c:showVal val="0"/>
          <c:showCatName val="0"/>
          <c:showSerName val="0"/>
          <c:showPercent val="0"/>
          <c:showBubbleSize val="0"/>
        </c:dLbls>
        <c:gapWidth val="219"/>
        <c:overlap val="-27"/>
        <c:axId val="1443704511"/>
        <c:axId val="1242215199"/>
      </c:barChart>
      <c:catAx>
        <c:axId val="144370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215199"/>
        <c:crosses val="autoZero"/>
        <c:auto val="1"/>
        <c:lblAlgn val="ctr"/>
        <c:lblOffset val="100"/>
        <c:noMultiLvlLbl val="0"/>
      </c:catAx>
      <c:valAx>
        <c:axId val="124221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04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58844</xdr:colOff>
      <xdr:row>1</xdr:row>
      <xdr:rowOff>71685</xdr:rowOff>
    </xdr:from>
    <xdr:to>
      <xdr:col>0</xdr:col>
      <xdr:colOff>787779</xdr:colOff>
      <xdr:row>1</xdr:row>
      <xdr:rowOff>500944</xdr:rowOff>
    </xdr:to>
    <xdr:pic>
      <xdr:nvPicPr>
        <xdr:cNvPr id="2" name="Picture 1" descr="UNSW Sydney | One of the best universities in Australia">
          <a:extLst>
            <a:ext uri="{FF2B5EF4-FFF2-40B4-BE49-F238E27FC236}">
              <a16:creationId xmlns:a16="http://schemas.microsoft.com/office/drawing/2014/main" id="{27D191FE-2D09-F243-871E-B7CBB77836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44" y="311574"/>
          <a:ext cx="728935" cy="42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856739</xdr:colOff>
      <xdr:row>1</xdr:row>
      <xdr:rowOff>71973</xdr:rowOff>
    </xdr:from>
    <xdr:to>
      <xdr:col>1</xdr:col>
      <xdr:colOff>14852</xdr:colOff>
      <xdr:row>1</xdr:row>
      <xdr:rowOff>538910</xdr:rowOff>
    </xdr:to>
    <xdr:pic>
      <xdr:nvPicPr>
        <xdr:cNvPr id="3" name="Picture 2" descr="Home | Collaboration on Energy and Environmental Markets">
          <a:extLst>
            <a:ext uri="{FF2B5EF4-FFF2-40B4-BE49-F238E27FC236}">
              <a16:creationId xmlns:a16="http://schemas.microsoft.com/office/drawing/2014/main" id="{0332A20B-C04F-F34F-9CC6-13A4412CC5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6739" y="313878"/>
          <a:ext cx="491949" cy="466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77611</xdr:colOff>
      <xdr:row>1</xdr:row>
      <xdr:rowOff>28222</xdr:rowOff>
    </xdr:from>
    <xdr:to>
      <xdr:col>1</xdr:col>
      <xdr:colOff>1302468</xdr:colOff>
      <xdr:row>1</xdr:row>
      <xdr:rowOff>550333</xdr:rowOff>
    </xdr:to>
    <xdr:pic>
      <xdr:nvPicPr>
        <xdr:cNvPr id="4" name="Picture 3" descr="UNSW Sydney">
          <a:extLst>
            <a:ext uri="{FF2B5EF4-FFF2-40B4-BE49-F238E27FC236}">
              <a16:creationId xmlns:a16="http://schemas.microsoft.com/office/drawing/2014/main" id="{3A455735-913C-298D-550C-EA5EB276376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11111" y="268111"/>
          <a:ext cx="1224857" cy="522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xdr:colOff>
      <xdr:row>0</xdr:row>
      <xdr:rowOff>0</xdr:rowOff>
    </xdr:from>
    <xdr:to>
      <xdr:col>5</xdr:col>
      <xdr:colOff>8128001</xdr:colOff>
      <xdr:row>33</xdr:row>
      <xdr:rowOff>166348</xdr:rowOff>
    </xdr:to>
    <xdr:graphicFrame macro="">
      <xdr:nvGraphicFramePr>
        <xdr:cNvPr id="5" name="Chart 4">
          <a:extLst>
            <a:ext uri="{FF2B5EF4-FFF2-40B4-BE49-F238E27FC236}">
              <a16:creationId xmlns:a16="http://schemas.microsoft.com/office/drawing/2014/main" id="{F40E3D7B-79D6-4723-8BBE-9C753F258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8122649</xdr:colOff>
      <xdr:row>0</xdr:row>
      <xdr:rowOff>55997</xdr:rowOff>
    </xdr:from>
    <xdr:to>
      <xdr:col>5</xdr:col>
      <xdr:colOff>19193387</xdr:colOff>
      <xdr:row>15</xdr:row>
      <xdr:rowOff>112315</xdr:rowOff>
    </xdr:to>
    <xdr:graphicFrame macro="">
      <xdr:nvGraphicFramePr>
        <xdr:cNvPr id="6" name="Chart 5">
          <a:extLst>
            <a:ext uri="{FF2B5EF4-FFF2-40B4-BE49-F238E27FC236}">
              <a16:creationId xmlns:a16="http://schemas.microsoft.com/office/drawing/2014/main" id="{FF341211-AA61-C4F3-0A27-8A7CE420D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8099782</xdr:colOff>
      <xdr:row>16</xdr:row>
      <xdr:rowOff>64632</xdr:rowOff>
    </xdr:from>
    <xdr:to>
      <xdr:col>5</xdr:col>
      <xdr:colOff>19152419</xdr:colOff>
      <xdr:row>33</xdr:row>
      <xdr:rowOff>143388</xdr:rowOff>
    </xdr:to>
    <xdr:graphicFrame macro="">
      <xdr:nvGraphicFramePr>
        <xdr:cNvPr id="7" name="Chart 6">
          <a:extLst>
            <a:ext uri="{FF2B5EF4-FFF2-40B4-BE49-F238E27FC236}">
              <a16:creationId xmlns:a16="http://schemas.microsoft.com/office/drawing/2014/main" id="{C1C645E6-832D-5727-8EB4-FF6BDFB60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8232754</xdr:colOff>
      <xdr:row>34</xdr:row>
      <xdr:rowOff>21098</xdr:rowOff>
    </xdr:from>
    <xdr:to>
      <xdr:col>5</xdr:col>
      <xdr:colOff>19111451</xdr:colOff>
      <xdr:row>49</xdr:row>
      <xdr:rowOff>122903</xdr:rowOff>
    </xdr:to>
    <xdr:graphicFrame macro="">
      <xdr:nvGraphicFramePr>
        <xdr:cNvPr id="11" name="Chart 10">
          <a:extLst>
            <a:ext uri="{FF2B5EF4-FFF2-40B4-BE49-F238E27FC236}">
              <a16:creationId xmlns:a16="http://schemas.microsoft.com/office/drawing/2014/main" id="{19464A43-D3B7-EF36-3D06-B75EDCA7C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7982259</xdr:colOff>
      <xdr:row>50</xdr:row>
      <xdr:rowOff>69811</xdr:rowOff>
    </xdr:from>
    <xdr:to>
      <xdr:col>5</xdr:col>
      <xdr:colOff>14224000</xdr:colOff>
      <xdr:row>63</xdr:row>
      <xdr:rowOff>187575</xdr:rowOff>
    </xdr:to>
    <xdr:graphicFrame macro="">
      <xdr:nvGraphicFramePr>
        <xdr:cNvPr id="2" name="Chart 1">
          <a:extLst>
            <a:ext uri="{FF2B5EF4-FFF2-40B4-BE49-F238E27FC236}">
              <a16:creationId xmlns:a16="http://schemas.microsoft.com/office/drawing/2014/main" id="{A6C4C253-6377-1082-C1A6-7C30BB70C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757085</xdr:colOff>
      <xdr:row>33</xdr:row>
      <xdr:rowOff>186267</xdr:rowOff>
    </xdr:from>
    <xdr:to>
      <xdr:col>5</xdr:col>
      <xdr:colOff>8070645</xdr:colOff>
      <xdr:row>65</xdr:row>
      <xdr:rowOff>163871</xdr:rowOff>
    </xdr:to>
    <xdr:graphicFrame macro="">
      <xdr:nvGraphicFramePr>
        <xdr:cNvPr id="8" name="Chart 7">
          <a:extLst>
            <a:ext uri="{FF2B5EF4-FFF2-40B4-BE49-F238E27FC236}">
              <a16:creationId xmlns:a16="http://schemas.microsoft.com/office/drawing/2014/main" id="{0CB60332-579D-684A-895C-A9E2C7A5D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26220</xdr:colOff>
      <xdr:row>65</xdr:row>
      <xdr:rowOff>184354</xdr:rowOff>
    </xdr:from>
    <xdr:to>
      <xdr:col>5</xdr:col>
      <xdr:colOff>8029677</xdr:colOff>
      <xdr:row>97</xdr:row>
      <xdr:rowOff>178939</xdr:rowOff>
    </xdr:to>
    <xdr:graphicFrame macro="">
      <xdr:nvGraphicFramePr>
        <xdr:cNvPr id="9" name="Chart 8">
          <a:extLst>
            <a:ext uri="{FF2B5EF4-FFF2-40B4-BE49-F238E27FC236}">
              <a16:creationId xmlns:a16="http://schemas.microsoft.com/office/drawing/2014/main" id="{F195D59F-8F58-6B4E-AC58-1664BD94B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8210497</xdr:colOff>
      <xdr:row>65</xdr:row>
      <xdr:rowOff>190031</xdr:rowOff>
    </xdr:from>
    <xdr:to>
      <xdr:col>5</xdr:col>
      <xdr:colOff>18967173</xdr:colOff>
      <xdr:row>97</xdr:row>
      <xdr:rowOff>150191</xdr:rowOff>
    </xdr:to>
    <xdr:graphicFrame macro="">
      <xdr:nvGraphicFramePr>
        <xdr:cNvPr id="10" name="Chart 9">
          <a:extLst>
            <a:ext uri="{FF2B5EF4-FFF2-40B4-BE49-F238E27FC236}">
              <a16:creationId xmlns:a16="http://schemas.microsoft.com/office/drawing/2014/main" id="{A927BB8E-99C9-0851-E97D-4708BB5C7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14328140</xdr:colOff>
      <xdr:row>50</xdr:row>
      <xdr:rowOff>16933</xdr:rowOff>
    </xdr:from>
    <xdr:to>
      <xdr:col>5</xdr:col>
      <xdr:colOff>19151600</xdr:colOff>
      <xdr:row>63</xdr:row>
      <xdr:rowOff>118533</xdr:rowOff>
    </xdr:to>
    <xdr:graphicFrame macro="">
      <xdr:nvGraphicFramePr>
        <xdr:cNvPr id="12" name="Chart 11">
          <a:extLst>
            <a:ext uri="{FF2B5EF4-FFF2-40B4-BE49-F238E27FC236}">
              <a16:creationId xmlns:a16="http://schemas.microsoft.com/office/drawing/2014/main" id="{0414A855-795F-E188-EB83-5FB36DAB1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145020</xdr:colOff>
      <xdr:row>98</xdr:row>
      <xdr:rowOff>16057</xdr:rowOff>
    </xdr:from>
    <xdr:to>
      <xdr:col>5</xdr:col>
      <xdr:colOff>19100799</xdr:colOff>
      <xdr:row>137</xdr:row>
      <xdr:rowOff>107628</xdr:rowOff>
    </xdr:to>
    <xdr:graphicFrame macro="">
      <xdr:nvGraphicFramePr>
        <xdr:cNvPr id="23" name="Chart 22">
          <a:extLst>
            <a:ext uri="{FF2B5EF4-FFF2-40B4-BE49-F238E27FC236}">
              <a16:creationId xmlns:a16="http://schemas.microsoft.com/office/drawing/2014/main" id="{67DAFCD6-307E-1848-8307-F6CFED3B2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136646</xdr:colOff>
      <xdr:row>137</xdr:row>
      <xdr:rowOff>39076</xdr:rowOff>
    </xdr:from>
    <xdr:to>
      <xdr:col>5</xdr:col>
      <xdr:colOff>19100799</xdr:colOff>
      <xdr:row>171</xdr:row>
      <xdr:rowOff>101600</xdr:rowOff>
    </xdr:to>
    <xdr:graphicFrame macro="">
      <xdr:nvGraphicFramePr>
        <xdr:cNvPr id="19" name="Chart 18">
          <a:extLst>
            <a:ext uri="{FF2B5EF4-FFF2-40B4-BE49-F238E27FC236}">
              <a16:creationId xmlns:a16="http://schemas.microsoft.com/office/drawing/2014/main" id="{10398394-CF49-8245-BC98-62B65E93B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2847</xdr:colOff>
      <xdr:row>5</xdr:row>
      <xdr:rowOff>119007</xdr:rowOff>
    </xdr:from>
    <xdr:to>
      <xdr:col>6</xdr:col>
      <xdr:colOff>461324</xdr:colOff>
      <xdr:row>19</xdr:row>
      <xdr:rowOff>66610</xdr:rowOff>
    </xdr:to>
    <xdr:graphicFrame macro="">
      <xdr:nvGraphicFramePr>
        <xdr:cNvPr id="2" name="Chart 1">
          <a:extLst>
            <a:ext uri="{FF2B5EF4-FFF2-40B4-BE49-F238E27FC236}">
              <a16:creationId xmlns:a16="http://schemas.microsoft.com/office/drawing/2014/main" id="{5734383B-0832-5862-A75D-0D73E1997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386589</xdr:colOff>
      <xdr:row>1</xdr:row>
      <xdr:rowOff>95481</xdr:rowOff>
    </xdr:from>
    <xdr:to>
      <xdr:col>19</xdr:col>
      <xdr:colOff>636853</xdr:colOff>
      <xdr:row>10</xdr:row>
      <xdr:rowOff>119055</xdr:rowOff>
    </xdr:to>
    <xdr:graphicFrame macro="">
      <xdr:nvGraphicFramePr>
        <xdr:cNvPr id="2" name="Chart 1">
          <a:extLst>
            <a:ext uri="{FF2B5EF4-FFF2-40B4-BE49-F238E27FC236}">
              <a16:creationId xmlns:a16="http://schemas.microsoft.com/office/drawing/2014/main" id="{141132C2-C890-3D45-0493-F6E8BB23A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381449</xdr:colOff>
      <xdr:row>10</xdr:row>
      <xdr:rowOff>161514</xdr:rowOff>
    </xdr:from>
    <xdr:to>
      <xdr:col>25</xdr:col>
      <xdr:colOff>741680</xdr:colOff>
      <xdr:row>29</xdr:row>
      <xdr:rowOff>152400</xdr:rowOff>
    </xdr:to>
    <xdr:graphicFrame macro="">
      <xdr:nvGraphicFramePr>
        <xdr:cNvPr id="3" name="Chart 2">
          <a:extLst>
            <a:ext uri="{FF2B5EF4-FFF2-40B4-BE49-F238E27FC236}">
              <a16:creationId xmlns:a16="http://schemas.microsoft.com/office/drawing/2014/main" id="{EBEB15EB-3C47-3795-2CDF-398608B05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42</xdr:col>
      <xdr:colOff>198783</xdr:colOff>
      <xdr:row>3</xdr:row>
      <xdr:rowOff>54848</xdr:rowOff>
    </xdr:from>
    <xdr:to>
      <xdr:col>54</xdr:col>
      <xdr:colOff>368116</xdr:colOff>
      <xdr:row>25</xdr:row>
      <xdr:rowOff>92028</xdr:rowOff>
    </xdr:to>
    <xdr:graphicFrame macro="">
      <xdr:nvGraphicFramePr>
        <xdr:cNvPr id="4" name="Chart 3">
          <a:extLst>
            <a:ext uri="{FF2B5EF4-FFF2-40B4-BE49-F238E27FC236}">
              <a16:creationId xmlns:a16="http://schemas.microsoft.com/office/drawing/2014/main" id="{C096C2CE-DA51-12EF-6E9F-38EF91C9E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219110</xdr:colOff>
      <xdr:row>25</xdr:row>
      <xdr:rowOff>142631</xdr:rowOff>
    </xdr:from>
    <xdr:to>
      <xdr:col>54</xdr:col>
      <xdr:colOff>376813</xdr:colOff>
      <xdr:row>44</xdr:row>
      <xdr:rowOff>0</xdr:rowOff>
    </xdr:to>
    <xdr:graphicFrame macro="">
      <xdr:nvGraphicFramePr>
        <xdr:cNvPr id="5" name="Chart 4">
          <a:extLst>
            <a:ext uri="{FF2B5EF4-FFF2-40B4-BE49-F238E27FC236}">
              <a16:creationId xmlns:a16="http://schemas.microsoft.com/office/drawing/2014/main" id="{20235C7D-FE62-770B-80B5-D893540C6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doardo.santagata@unsw.edu.a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B264-1384-1D4C-BD5C-B0D1B2FD81C7}">
  <sheetPr>
    <tabColor theme="3"/>
  </sheetPr>
  <dimension ref="A1:S39"/>
  <sheetViews>
    <sheetView tabSelected="1" zoomScale="119" workbookViewId="0">
      <selection activeCell="C2" sqref="C2"/>
    </sheetView>
  </sheetViews>
  <sheetFormatPr baseColWidth="10" defaultRowHeight="16" x14ac:dyDescent="0.2"/>
  <cols>
    <col min="1" max="1" width="17.5" customWidth="1"/>
    <col min="2" max="2" width="67.83203125" customWidth="1"/>
    <col min="5" max="5" width="8.5" customWidth="1"/>
    <col min="6" max="6" width="19.1640625" customWidth="1"/>
    <col min="13" max="13" width="136.33203125" customWidth="1"/>
    <col min="18" max="18" width="24.5" customWidth="1"/>
  </cols>
  <sheetData>
    <row r="1" spans="1:19" ht="19" x14ac:dyDescent="0.25">
      <c r="A1" s="147" t="s">
        <v>408</v>
      </c>
      <c r="B1" s="148"/>
      <c r="C1" s="80"/>
      <c r="D1" s="81"/>
      <c r="E1" s="81"/>
      <c r="F1" s="81"/>
      <c r="G1" s="81"/>
      <c r="H1" s="81"/>
      <c r="I1" s="81"/>
      <c r="J1" s="81"/>
      <c r="K1" s="81"/>
      <c r="L1" s="81"/>
      <c r="M1" s="81"/>
      <c r="N1" s="81"/>
      <c r="O1" s="81"/>
      <c r="P1" s="81"/>
      <c r="Q1" s="81"/>
      <c r="R1" s="82"/>
      <c r="S1" s="83"/>
    </row>
    <row r="2" spans="1:19" ht="46" customHeight="1" x14ac:dyDescent="0.2">
      <c r="A2" s="84"/>
      <c r="C2" s="83"/>
      <c r="D2" s="85"/>
      <c r="E2" s="149" t="s">
        <v>345</v>
      </c>
      <c r="F2" s="149"/>
      <c r="G2" s="83"/>
      <c r="H2" s="83"/>
      <c r="I2" s="83"/>
      <c r="J2" s="83"/>
      <c r="K2" s="83"/>
      <c r="L2" s="83"/>
      <c r="M2" s="83"/>
      <c r="N2" s="83"/>
      <c r="O2" s="149" t="s">
        <v>346</v>
      </c>
      <c r="P2" s="149"/>
      <c r="Q2" s="83"/>
      <c r="R2" s="86"/>
      <c r="S2" s="83"/>
    </row>
    <row r="3" spans="1:19" x14ac:dyDescent="0.2">
      <c r="A3" s="87" t="s">
        <v>347</v>
      </c>
      <c r="B3" s="88" t="s">
        <v>348</v>
      </c>
      <c r="C3" s="83"/>
      <c r="D3" s="85"/>
      <c r="E3" s="150" t="s">
        <v>349</v>
      </c>
      <c r="F3" s="150"/>
      <c r="G3" s="151" t="s">
        <v>350</v>
      </c>
      <c r="H3" s="151"/>
      <c r="I3" s="151"/>
      <c r="J3" s="151"/>
      <c r="K3" s="151"/>
      <c r="L3" s="151"/>
      <c r="M3" s="151"/>
      <c r="N3" s="89"/>
      <c r="O3" s="90"/>
      <c r="P3" s="83" t="s">
        <v>351</v>
      </c>
      <c r="Q3" s="83"/>
      <c r="R3" s="86"/>
      <c r="S3" s="83"/>
    </row>
    <row r="4" spans="1:19" x14ac:dyDescent="0.2">
      <c r="A4" s="91" t="s">
        <v>352</v>
      </c>
      <c r="B4" s="92" t="s">
        <v>353</v>
      </c>
      <c r="C4" s="83"/>
      <c r="D4" s="83"/>
      <c r="E4" s="90">
        <v>1</v>
      </c>
      <c r="F4" t="s">
        <v>354</v>
      </c>
      <c r="G4" s="145" t="s">
        <v>394</v>
      </c>
      <c r="H4" s="145"/>
      <c r="I4" s="145"/>
      <c r="J4" s="145"/>
      <c r="K4" s="145"/>
      <c r="L4" s="145"/>
      <c r="M4" s="145"/>
      <c r="N4" s="93"/>
      <c r="O4" s="94"/>
      <c r="P4" s="83" t="s">
        <v>355</v>
      </c>
      <c r="Q4" s="83"/>
      <c r="R4" s="86"/>
      <c r="S4" s="83"/>
    </row>
    <row r="5" spans="1:19" x14ac:dyDescent="0.2">
      <c r="A5" s="152" t="s">
        <v>356</v>
      </c>
      <c r="B5" s="95" t="s">
        <v>357</v>
      </c>
      <c r="C5" s="83"/>
      <c r="D5" s="83"/>
      <c r="E5" s="94">
        <v>2</v>
      </c>
      <c r="F5" t="s">
        <v>358</v>
      </c>
      <c r="G5" s="145" t="s">
        <v>395</v>
      </c>
      <c r="H5" s="145"/>
      <c r="I5" s="145"/>
      <c r="J5" s="145"/>
      <c r="K5" s="145"/>
      <c r="L5" s="145"/>
      <c r="M5" s="145"/>
      <c r="N5" s="93"/>
      <c r="O5" s="96"/>
      <c r="P5" s="83" t="s">
        <v>359</v>
      </c>
      <c r="Q5" s="83"/>
      <c r="R5" s="86"/>
      <c r="S5" s="83"/>
    </row>
    <row r="6" spans="1:19" x14ac:dyDescent="0.2">
      <c r="A6" s="153"/>
      <c r="B6" s="95" t="s">
        <v>360</v>
      </c>
      <c r="C6" s="83"/>
      <c r="D6" s="83"/>
      <c r="E6" s="94">
        <v>3</v>
      </c>
      <c r="F6" t="s">
        <v>397</v>
      </c>
      <c r="G6" s="145" t="s">
        <v>396</v>
      </c>
      <c r="H6" s="145"/>
      <c r="I6" s="145"/>
      <c r="J6" s="145"/>
      <c r="K6" s="145"/>
      <c r="L6" s="145"/>
      <c r="M6" s="145"/>
      <c r="N6" s="93"/>
      <c r="O6" s="97"/>
      <c r="P6" s="83" t="s">
        <v>361</v>
      </c>
      <c r="Q6" s="83"/>
      <c r="R6" s="86"/>
      <c r="S6" s="83"/>
    </row>
    <row r="7" spans="1:19" x14ac:dyDescent="0.2">
      <c r="A7" s="154"/>
      <c r="B7" s="95" t="s">
        <v>362</v>
      </c>
      <c r="C7" s="83"/>
      <c r="D7" s="83"/>
      <c r="E7" s="94">
        <v>4</v>
      </c>
      <c r="F7" t="s">
        <v>363</v>
      </c>
      <c r="G7" s="145" t="s">
        <v>398</v>
      </c>
      <c r="H7" s="145"/>
      <c r="I7" s="145"/>
      <c r="J7" s="145"/>
      <c r="K7" s="145"/>
      <c r="L7" s="145"/>
      <c r="M7" s="145"/>
      <c r="N7" s="93"/>
      <c r="O7" s="93"/>
      <c r="P7" s="93"/>
      <c r="Q7" s="83"/>
      <c r="R7" s="86"/>
      <c r="S7" s="83"/>
    </row>
    <row r="8" spans="1:19" x14ac:dyDescent="0.2">
      <c r="A8" s="152" t="s">
        <v>364</v>
      </c>
      <c r="B8" s="88" t="s">
        <v>365</v>
      </c>
      <c r="C8" s="83"/>
      <c r="D8" s="83"/>
      <c r="E8" s="94">
        <v>5</v>
      </c>
      <c r="F8" t="s">
        <v>366</v>
      </c>
      <c r="G8" s="145" t="s">
        <v>399</v>
      </c>
      <c r="H8" s="145"/>
      <c r="I8" s="145"/>
      <c r="J8" s="145"/>
      <c r="K8" s="145"/>
      <c r="L8" s="145"/>
      <c r="M8" s="145"/>
      <c r="N8" s="93"/>
      <c r="O8" s="93"/>
      <c r="P8" s="93"/>
      <c r="Q8" s="83"/>
      <c r="R8" s="86"/>
      <c r="S8" s="83"/>
    </row>
    <row r="9" spans="1:19" x14ac:dyDescent="0.2">
      <c r="A9" s="153"/>
      <c r="B9" s="95" t="s">
        <v>367</v>
      </c>
      <c r="C9" s="83"/>
      <c r="D9" s="83"/>
      <c r="E9" s="94">
        <v>6</v>
      </c>
      <c r="F9" t="s">
        <v>369</v>
      </c>
      <c r="G9" s="13" t="s">
        <v>400</v>
      </c>
      <c r="H9" s="13"/>
      <c r="I9" s="13"/>
      <c r="J9" s="13"/>
      <c r="K9" s="13"/>
      <c r="L9" s="13"/>
      <c r="M9" s="13"/>
      <c r="N9" s="93"/>
      <c r="O9" s="93"/>
      <c r="P9" s="93"/>
      <c r="Q9" s="83"/>
      <c r="R9" s="86"/>
      <c r="S9" s="83"/>
    </row>
    <row r="10" spans="1:19" x14ac:dyDescent="0.2">
      <c r="A10" s="154"/>
      <c r="B10" s="95" t="s">
        <v>368</v>
      </c>
      <c r="C10" s="83"/>
      <c r="D10" s="83"/>
      <c r="E10" s="94">
        <v>7</v>
      </c>
      <c r="F10" t="s">
        <v>371</v>
      </c>
      <c r="G10" s="145" t="s">
        <v>401</v>
      </c>
      <c r="H10" s="145"/>
      <c r="I10" s="145"/>
      <c r="J10" s="145"/>
      <c r="K10" s="145"/>
      <c r="L10" s="145"/>
      <c r="M10" s="145"/>
      <c r="N10" s="93"/>
      <c r="O10" s="93"/>
      <c r="P10" s="93"/>
      <c r="Q10" s="83"/>
      <c r="R10" s="86"/>
      <c r="S10" s="83"/>
    </row>
    <row r="11" spans="1:19" x14ac:dyDescent="0.2">
      <c r="A11" s="87" t="s">
        <v>370</v>
      </c>
      <c r="B11" s="98">
        <v>2</v>
      </c>
      <c r="C11" s="83"/>
      <c r="D11" s="83"/>
      <c r="E11" s="94">
        <v>8</v>
      </c>
      <c r="F11" t="s">
        <v>323</v>
      </c>
      <c r="G11" s="145" t="s">
        <v>402</v>
      </c>
      <c r="H11" s="145"/>
      <c r="I11" s="145"/>
      <c r="J11" s="145"/>
      <c r="K11" s="145"/>
      <c r="L11" s="145"/>
      <c r="M11" s="145"/>
      <c r="N11" s="93"/>
      <c r="O11" s="93"/>
      <c r="P11" s="93"/>
      <c r="Q11" s="83"/>
      <c r="R11" s="86"/>
      <c r="S11" s="83"/>
    </row>
    <row r="12" spans="1:19" x14ac:dyDescent="0.2">
      <c r="A12" s="87" t="s">
        <v>372</v>
      </c>
      <c r="B12" s="99">
        <v>46063</v>
      </c>
      <c r="C12" s="83"/>
      <c r="D12" s="83"/>
      <c r="E12" s="94">
        <v>9</v>
      </c>
      <c r="F12" t="s">
        <v>373</v>
      </c>
      <c r="G12" s="145" t="s">
        <v>403</v>
      </c>
      <c r="H12" s="145"/>
      <c r="I12" s="145"/>
      <c r="J12" s="145"/>
      <c r="K12" s="145"/>
      <c r="L12" s="145"/>
      <c r="M12" s="145"/>
      <c r="N12" s="93"/>
      <c r="O12" s="83"/>
      <c r="P12" s="83"/>
      <c r="Q12" s="83"/>
      <c r="R12" s="86"/>
      <c r="S12" s="83"/>
    </row>
    <row r="13" spans="1:19" x14ac:dyDescent="0.2">
      <c r="C13" s="83"/>
      <c r="D13" s="83"/>
      <c r="E13" s="97">
        <v>10</v>
      </c>
      <c r="F13" t="s">
        <v>374</v>
      </c>
      <c r="G13" s="145" t="s">
        <v>404</v>
      </c>
      <c r="H13" s="145"/>
      <c r="I13" s="145"/>
      <c r="J13" s="145"/>
      <c r="K13" s="145"/>
      <c r="L13" s="145"/>
      <c r="M13" s="145"/>
      <c r="N13" s="93"/>
      <c r="O13" s="83"/>
      <c r="P13" s="100"/>
      <c r="Q13" s="101"/>
      <c r="R13" s="102"/>
      <c r="S13" s="83"/>
    </row>
    <row r="14" spans="1:19" x14ac:dyDescent="0.2">
      <c r="C14" s="83"/>
      <c r="D14" s="83"/>
      <c r="E14" s="103" t="s">
        <v>392</v>
      </c>
      <c r="F14" s="104" t="s">
        <v>393</v>
      </c>
      <c r="G14" s="145" t="s">
        <v>405</v>
      </c>
      <c r="H14" s="145"/>
      <c r="I14" s="145"/>
      <c r="J14" s="145"/>
      <c r="K14" s="145"/>
      <c r="L14" s="145"/>
      <c r="M14" s="145"/>
      <c r="N14" s="93"/>
      <c r="O14" s="83"/>
      <c r="P14" s="83"/>
      <c r="Q14" s="105"/>
      <c r="R14" s="102"/>
      <c r="S14" s="83"/>
    </row>
    <row r="15" spans="1:19" x14ac:dyDescent="0.2">
      <c r="C15" s="83"/>
      <c r="D15" s="83"/>
      <c r="G15" s="145"/>
      <c r="H15" s="145"/>
      <c r="I15" s="145"/>
      <c r="J15" s="145"/>
      <c r="K15" s="145"/>
      <c r="L15" s="145"/>
      <c r="M15" s="145"/>
      <c r="N15" s="93"/>
      <c r="O15" s="83"/>
      <c r="P15" s="83"/>
      <c r="Q15" s="105"/>
      <c r="R15" s="102"/>
      <c r="S15" s="83"/>
    </row>
    <row r="16" spans="1:19" x14ac:dyDescent="0.2">
      <c r="A16" s="84"/>
      <c r="B16" s="81"/>
      <c r="C16" s="83"/>
      <c r="D16" s="83"/>
      <c r="E16" s="83"/>
      <c r="F16" s="83"/>
      <c r="G16" s="83"/>
      <c r="H16" s="83"/>
      <c r="I16" s="83"/>
      <c r="J16" s="83"/>
      <c r="K16" s="83"/>
      <c r="L16" s="83"/>
      <c r="M16" s="83"/>
      <c r="N16" s="93"/>
      <c r="O16" s="83"/>
      <c r="P16" s="83"/>
      <c r="Q16" s="105"/>
      <c r="R16" s="102"/>
      <c r="S16" s="83"/>
    </row>
    <row r="17" spans="1:19" x14ac:dyDescent="0.2">
      <c r="A17" s="106" t="s">
        <v>375</v>
      </c>
      <c r="B17" s="107"/>
      <c r="C17" s="83"/>
      <c r="D17" s="83"/>
      <c r="E17" s="83"/>
      <c r="F17" s="83"/>
      <c r="G17" s="83"/>
      <c r="H17" s="83"/>
      <c r="I17" s="83"/>
      <c r="J17" s="83"/>
      <c r="K17" s="83"/>
      <c r="L17" s="83"/>
      <c r="M17" s="83"/>
      <c r="N17" s="93"/>
      <c r="O17" s="83"/>
      <c r="P17" s="83"/>
      <c r="Q17" s="105"/>
      <c r="R17" s="102"/>
      <c r="S17" s="83"/>
    </row>
    <row r="18" spans="1:19" x14ac:dyDescent="0.2">
      <c r="A18" s="91" t="s">
        <v>349</v>
      </c>
      <c r="B18" s="29" t="s">
        <v>353</v>
      </c>
      <c r="C18" s="83"/>
      <c r="D18" s="83"/>
      <c r="E18" s="83"/>
      <c r="F18" s="83"/>
      <c r="G18" s="83"/>
      <c r="H18" s="83"/>
      <c r="I18" s="83"/>
      <c r="J18" s="83"/>
      <c r="K18" s="83"/>
      <c r="L18" s="83"/>
      <c r="M18" s="83"/>
      <c r="O18" s="83"/>
      <c r="P18" s="83"/>
      <c r="Q18" s="83"/>
      <c r="R18" s="102"/>
      <c r="S18" s="83"/>
    </row>
    <row r="19" spans="1:19" x14ac:dyDescent="0.2">
      <c r="A19" s="91" t="s">
        <v>364</v>
      </c>
      <c r="B19" s="92" t="s">
        <v>367</v>
      </c>
      <c r="C19" s="83"/>
      <c r="D19" s="83"/>
      <c r="E19" s="83"/>
      <c r="F19" s="83"/>
      <c r="G19" s="83"/>
      <c r="H19" s="83"/>
      <c r="I19" s="83"/>
      <c r="J19" s="83"/>
      <c r="K19" s="83"/>
      <c r="L19" s="83"/>
      <c r="M19" s="83"/>
      <c r="N19" s="93"/>
      <c r="O19" s="83"/>
      <c r="P19" s="83"/>
      <c r="Q19" s="105"/>
      <c r="R19" s="102"/>
      <c r="S19" s="83"/>
    </row>
    <row r="20" spans="1:19" x14ac:dyDescent="0.2">
      <c r="A20" s="91" t="s">
        <v>376</v>
      </c>
      <c r="B20" s="108" t="s">
        <v>377</v>
      </c>
      <c r="C20" s="83"/>
      <c r="D20" s="83"/>
      <c r="E20" s="83"/>
      <c r="F20" s="83"/>
      <c r="G20" s="83"/>
      <c r="H20" s="83"/>
      <c r="I20" s="83"/>
      <c r="J20" s="83"/>
      <c r="K20" s="83"/>
      <c r="L20" s="83"/>
      <c r="M20" s="83"/>
      <c r="N20" s="93"/>
      <c r="O20" s="83"/>
      <c r="P20" s="83"/>
      <c r="Q20" s="105"/>
      <c r="R20" s="102"/>
      <c r="S20" s="83"/>
    </row>
    <row r="21" spans="1:19" x14ac:dyDescent="0.2">
      <c r="A21" s="84"/>
      <c r="B21" s="81"/>
      <c r="C21" s="83"/>
      <c r="D21" s="83"/>
      <c r="E21" s="83"/>
      <c r="F21" s="83"/>
      <c r="G21" s="83"/>
      <c r="H21" s="83"/>
      <c r="I21" s="83"/>
      <c r="J21" s="83"/>
      <c r="K21" s="83"/>
      <c r="L21" s="83"/>
      <c r="M21" s="83"/>
      <c r="N21" s="93"/>
      <c r="O21" s="83"/>
      <c r="P21" s="83"/>
      <c r="Q21" s="105"/>
      <c r="R21" s="102"/>
      <c r="S21" s="83"/>
    </row>
    <row r="22" spans="1:19" x14ac:dyDescent="0.2">
      <c r="A22" s="106" t="s">
        <v>378</v>
      </c>
      <c r="B22" s="107"/>
      <c r="C22" s="83"/>
      <c r="D22" s="83"/>
      <c r="E22" s="83"/>
      <c r="F22" s="83"/>
      <c r="G22" s="83"/>
      <c r="H22" s="83"/>
      <c r="I22" s="83"/>
      <c r="J22" s="83"/>
      <c r="K22" s="83"/>
      <c r="L22" s="83"/>
      <c r="M22" s="83"/>
      <c r="N22" s="83"/>
      <c r="O22" s="83"/>
      <c r="P22" s="83"/>
      <c r="Q22" s="83"/>
      <c r="R22" s="102"/>
      <c r="S22" s="83"/>
    </row>
    <row r="23" spans="1:19" ht="136" x14ac:dyDescent="0.2">
      <c r="A23" s="91" t="s">
        <v>379</v>
      </c>
      <c r="B23" s="109" t="s">
        <v>380</v>
      </c>
      <c r="C23" s="83"/>
      <c r="D23" s="83"/>
      <c r="E23" s="162" t="s">
        <v>381</v>
      </c>
      <c r="F23" s="162"/>
      <c r="G23" s="162"/>
      <c r="H23" s="162"/>
      <c r="I23" s="162"/>
      <c r="J23" s="162"/>
      <c r="K23" s="162"/>
      <c r="L23" s="162"/>
      <c r="M23" s="162"/>
      <c r="N23" s="162"/>
      <c r="O23" s="162"/>
      <c r="P23" s="162"/>
      <c r="Q23" s="162"/>
      <c r="R23" s="102"/>
      <c r="S23" s="83"/>
    </row>
    <row r="24" spans="1:19" ht="17" x14ac:dyDescent="0.2">
      <c r="A24" s="155" t="s">
        <v>382</v>
      </c>
      <c r="B24" s="110" t="s">
        <v>383</v>
      </c>
      <c r="C24" s="111"/>
      <c r="D24" s="83"/>
      <c r="E24" s="158" t="s">
        <v>407</v>
      </c>
      <c r="F24" s="159"/>
      <c r="G24" s="159"/>
      <c r="H24" s="159"/>
      <c r="I24" s="159"/>
      <c r="J24" s="159"/>
      <c r="K24" s="159"/>
      <c r="L24" s="159"/>
      <c r="M24" s="159"/>
      <c r="N24" s="159"/>
      <c r="O24" s="159"/>
      <c r="P24" s="159"/>
      <c r="Q24" s="160"/>
      <c r="R24" s="102"/>
      <c r="S24" s="83"/>
    </row>
    <row r="25" spans="1:19" ht="102" x14ac:dyDescent="0.2">
      <c r="A25" s="156"/>
      <c r="B25" s="109" t="s">
        <v>384</v>
      </c>
      <c r="C25" s="111"/>
      <c r="D25" s="83"/>
      <c r="E25" s="158"/>
      <c r="F25" s="159"/>
      <c r="G25" s="159"/>
      <c r="H25" s="159"/>
      <c r="I25" s="159"/>
      <c r="J25" s="159"/>
      <c r="K25" s="159"/>
      <c r="L25" s="159"/>
      <c r="M25" s="159"/>
      <c r="N25" s="159"/>
      <c r="O25" s="159"/>
      <c r="P25" s="159"/>
      <c r="Q25" s="160"/>
      <c r="R25" s="102"/>
      <c r="S25" s="83"/>
    </row>
    <row r="26" spans="1:19" ht="34" x14ac:dyDescent="0.2">
      <c r="A26" s="157"/>
      <c r="B26" s="109" t="s">
        <v>385</v>
      </c>
      <c r="C26" s="111"/>
      <c r="D26" s="83"/>
      <c r="E26" s="158"/>
      <c r="F26" s="159"/>
      <c r="G26" s="159"/>
      <c r="H26" s="159"/>
      <c r="I26" s="159"/>
      <c r="J26" s="159"/>
      <c r="K26" s="159"/>
      <c r="L26" s="159"/>
      <c r="M26" s="159"/>
      <c r="N26" s="159"/>
      <c r="O26" s="159"/>
      <c r="P26" s="159"/>
      <c r="Q26" s="160"/>
      <c r="R26" s="86"/>
      <c r="S26" s="83"/>
    </row>
    <row r="27" spans="1:19" ht="51" x14ac:dyDescent="0.2">
      <c r="A27" s="161" t="s">
        <v>386</v>
      </c>
      <c r="B27" s="112" t="s">
        <v>387</v>
      </c>
      <c r="C27" s="113"/>
      <c r="D27" s="83"/>
      <c r="E27" s="158"/>
      <c r="F27" s="159"/>
      <c r="G27" s="159"/>
      <c r="H27" s="159"/>
      <c r="I27" s="159"/>
      <c r="J27" s="159"/>
      <c r="K27" s="159"/>
      <c r="L27" s="159"/>
      <c r="M27" s="159"/>
      <c r="N27" s="159"/>
      <c r="O27" s="159"/>
      <c r="P27" s="159"/>
      <c r="Q27" s="160"/>
      <c r="R27" s="86"/>
      <c r="S27" s="83"/>
    </row>
    <row r="28" spans="1:19" ht="55" customHeight="1" x14ac:dyDescent="0.2">
      <c r="A28" s="161"/>
      <c r="B28" s="114" t="s">
        <v>388</v>
      </c>
      <c r="C28" s="113"/>
      <c r="D28" s="83"/>
      <c r="E28" s="158"/>
      <c r="F28" s="159"/>
      <c r="G28" s="159"/>
      <c r="H28" s="159"/>
      <c r="I28" s="159"/>
      <c r="J28" s="159"/>
      <c r="K28" s="159"/>
      <c r="L28" s="159"/>
      <c r="M28" s="159"/>
      <c r="N28" s="159"/>
      <c r="O28" s="159"/>
      <c r="P28" s="159"/>
      <c r="Q28" s="160"/>
      <c r="R28" s="86"/>
      <c r="S28" s="83"/>
    </row>
    <row r="29" spans="1:19" ht="325" customHeight="1" x14ac:dyDescent="0.2">
      <c r="A29" s="115"/>
      <c r="B29" s="116"/>
      <c r="C29" s="117"/>
      <c r="D29" s="117"/>
      <c r="E29" s="146" t="s">
        <v>406</v>
      </c>
      <c r="F29" s="146"/>
      <c r="G29" s="146"/>
      <c r="H29" s="146"/>
      <c r="I29" s="146"/>
      <c r="J29" s="146"/>
      <c r="K29" s="146"/>
      <c r="L29" s="146"/>
      <c r="M29" s="146"/>
      <c r="N29" s="146"/>
      <c r="O29" s="146"/>
      <c r="P29" s="146"/>
      <c r="Q29" s="146"/>
      <c r="R29" s="118"/>
      <c r="S29" s="83"/>
    </row>
    <row r="39" spans="18:18" x14ac:dyDescent="0.2">
      <c r="R39" s="83"/>
    </row>
  </sheetData>
  <mergeCells count="23">
    <mergeCell ref="A27:A28"/>
    <mergeCell ref="G11:M11"/>
    <mergeCell ref="G12:M12"/>
    <mergeCell ref="G13:M13"/>
    <mergeCell ref="G14:M14"/>
    <mergeCell ref="G15:M15"/>
    <mergeCell ref="E23:Q23"/>
    <mergeCell ref="G4:M4"/>
    <mergeCell ref="E29:Q29"/>
    <mergeCell ref="A1:B1"/>
    <mergeCell ref="E2:F2"/>
    <mergeCell ref="O2:P2"/>
    <mergeCell ref="E3:F3"/>
    <mergeCell ref="G3:M3"/>
    <mergeCell ref="A5:A7"/>
    <mergeCell ref="G5:M5"/>
    <mergeCell ref="G6:M6"/>
    <mergeCell ref="G7:M7"/>
    <mergeCell ref="A8:A10"/>
    <mergeCell ref="G8:M8"/>
    <mergeCell ref="G10:M10"/>
    <mergeCell ref="A24:A26"/>
    <mergeCell ref="E24:Q28"/>
  </mergeCells>
  <hyperlinks>
    <hyperlink ref="B20" r:id="rId1" xr:uid="{6BBDE70D-39F7-CB47-9455-CB1D31F0B69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A90D-C24F-A24F-AE7C-0F2396F5C181}">
  <sheetPr>
    <tabColor theme="4"/>
  </sheetPr>
  <dimension ref="A1:ER212"/>
  <sheetViews>
    <sheetView zoomScale="60" zoomScaleNormal="381" workbookViewId="0">
      <selection activeCell="H34" sqref="H34"/>
    </sheetView>
  </sheetViews>
  <sheetFormatPr baseColWidth="10" defaultRowHeight="16" x14ac:dyDescent="0.2"/>
  <cols>
    <col min="1" max="1" width="20.6640625" customWidth="1"/>
    <col min="2" max="2" width="13.5" customWidth="1"/>
    <col min="3" max="3" width="12.83203125" customWidth="1"/>
    <col min="4" max="4" width="12.33203125" bestFit="1" customWidth="1"/>
    <col min="5" max="5" width="10.33203125" customWidth="1"/>
    <col min="6" max="6" width="252.83203125" customWidth="1"/>
    <col min="7" max="7" width="12.33203125" bestFit="1" customWidth="1"/>
    <col min="8" max="8" width="11.1640625" customWidth="1"/>
    <col min="9" max="9" width="12.33203125" bestFit="1" customWidth="1"/>
    <col min="10" max="10" width="16" customWidth="1"/>
    <col min="11" max="14" width="12.33203125" bestFit="1" customWidth="1"/>
    <col min="15" max="15" width="11" bestFit="1" customWidth="1"/>
    <col min="16" max="16" width="11" customWidth="1"/>
    <col min="17" max="34" width="11" bestFit="1" customWidth="1"/>
    <col min="36" max="36" width="10.6640625" customWidth="1"/>
    <col min="37" max="37" width="10.83203125" customWidth="1"/>
    <col min="59" max="59" width="18.1640625" customWidth="1"/>
    <col min="60" max="60" width="11.83203125" customWidth="1"/>
    <col min="61" max="61" width="14" customWidth="1"/>
    <col min="62" max="62" width="5" customWidth="1"/>
    <col min="79" max="80" width="13.1640625" customWidth="1"/>
    <col min="86" max="86" width="13" customWidth="1"/>
    <col min="102" max="102" width="16.83203125" bestFit="1" customWidth="1"/>
    <col min="103" max="103" width="18.33203125" bestFit="1" customWidth="1"/>
    <col min="104" max="104" width="17" customWidth="1"/>
    <col min="105" max="105" width="13.6640625" customWidth="1"/>
    <col min="106" max="120" width="16" customWidth="1"/>
    <col min="134" max="135" width="16.5" bestFit="1" customWidth="1"/>
    <col min="136" max="136" width="15.1640625" bestFit="1" customWidth="1"/>
    <col min="138" max="138" width="14.33203125" bestFit="1" customWidth="1"/>
    <col min="139" max="139" width="15.1640625" bestFit="1" customWidth="1"/>
    <col min="140" max="140" width="16.5" bestFit="1" customWidth="1"/>
    <col min="141" max="141" width="14.33203125" bestFit="1" customWidth="1"/>
    <col min="142" max="142" width="16" customWidth="1"/>
    <col min="143" max="143" width="17.33203125" customWidth="1"/>
    <col min="144" max="144" width="13" customWidth="1"/>
    <col min="147" max="147" width="17" customWidth="1"/>
    <col min="148" max="148" width="16.83203125" customWidth="1"/>
  </cols>
  <sheetData>
    <row r="1" spans="1:148" x14ac:dyDescent="0.2">
      <c r="A1" s="83" t="s">
        <v>73</v>
      </c>
      <c r="B1" s="18">
        <v>2.1000000000000001E-2</v>
      </c>
      <c r="C1" s="83"/>
      <c r="D1" s="83"/>
      <c r="E1" s="86"/>
      <c r="F1" s="83"/>
      <c r="G1" s="1" t="s">
        <v>170</v>
      </c>
      <c r="H1" s="19" t="s">
        <v>1</v>
      </c>
      <c r="I1" s="1" t="s">
        <v>2</v>
      </c>
      <c r="J1" s="1" t="s">
        <v>71</v>
      </c>
      <c r="K1" s="1" t="s">
        <v>70</v>
      </c>
      <c r="L1" s="1" t="s">
        <v>72</v>
      </c>
      <c r="M1" s="1" t="s">
        <v>53</v>
      </c>
      <c r="N1" s="1" t="s">
        <v>54</v>
      </c>
      <c r="O1" s="1" t="s">
        <v>55</v>
      </c>
      <c r="P1" s="1" t="s">
        <v>56</v>
      </c>
      <c r="Q1" s="1" t="s">
        <v>57</v>
      </c>
      <c r="R1" s="1" t="s">
        <v>58</v>
      </c>
      <c r="S1" s="1" t="s">
        <v>59</v>
      </c>
      <c r="T1" s="1" t="s">
        <v>60</v>
      </c>
      <c r="U1" s="1" t="s">
        <v>61</v>
      </c>
      <c r="V1" s="19" t="s">
        <v>194</v>
      </c>
      <c r="W1" s="1" t="s">
        <v>175</v>
      </c>
      <c r="X1" s="7"/>
      <c r="Y1" s="31" t="s">
        <v>218</v>
      </c>
      <c r="Z1" s="7" t="s">
        <v>219</v>
      </c>
      <c r="AA1" s="7" t="s">
        <v>220</v>
      </c>
      <c r="AB1" s="7" t="s">
        <v>221</v>
      </c>
      <c r="AC1" s="7" t="s">
        <v>222</v>
      </c>
      <c r="AD1" s="7" t="s">
        <v>223</v>
      </c>
      <c r="AE1" s="7" t="s">
        <v>200</v>
      </c>
      <c r="AF1" t="str">
        <f>'consumptions per type'!A2</f>
        <v>Passenger Vessel</v>
      </c>
      <c r="AG1" t="str">
        <f>'consumptions per type'!A3</f>
        <v>General Cargo</v>
      </c>
      <c r="AH1" t="str">
        <f>'consumptions per type'!A4</f>
        <v>Special Craft</v>
      </c>
      <c r="AI1" t="str">
        <f>'consumptions per type'!A5</f>
        <v>Supply Vessel</v>
      </c>
      <c r="AJ1" t="str">
        <f>'consumptions per type'!A6</f>
        <v>Passenger/Cargo Ship</v>
      </c>
      <c r="AK1" t="str">
        <f>'consumptions per type'!A7</f>
        <v>Container Ship</v>
      </c>
      <c r="AL1" t="str">
        <f>'consumptions per type'!A8</f>
        <v>Ro-Ro/Vehicles Carrier</v>
      </c>
      <c r="AM1" t="str">
        <f>'consumptions per type'!A9</f>
        <v>LNG Tanker</v>
      </c>
      <c r="AN1" t="str">
        <f>'consumptions per type'!A10</f>
        <v>Other Special Craft</v>
      </c>
      <c r="AO1" t="str">
        <f>'consumptions per type'!A11</f>
        <v>Oil/Chemical Tanker</v>
      </c>
      <c r="AP1" t="str">
        <f>'consumptions per type'!A12</f>
        <v>Reefer</v>
      </c>
      <c r="AQ1" t="str">
        <f>'consumptions per type'!A13</f>
        <v>Bulk Carrier</v>
      </c>
      <c r="AR1" t="str">
        <f>'consumptions per type'!A14</f>
        <v>LPG Tanker</v>
      </c>
      <c r="AS1" t="str">
        <f>'consumptions per type'!A15</f>
        <v>Ro-Ro/Passenger Vessel</v>
      </c>
      <c r="AT1" t="str">
        <f>'consumptions per type'!A16</f>
        <v>Crude Oil Tanker</v>
      </c>
      <c r="AU1" t="str">
        <f>'consumptions per type'!A17</f>
        <v>Oil Products Tanker</v>
      </c>
      <c r="AV1" t="str">
        <f>'consumptions per type'!A18</f>
        <v>Heavy Load Carrier</v>
      </c>
      <c r="AW1" t="str">
        <f>'consumptions per type'!A19</f>
        <v>Landing Craft</v>
      </c>
      <c r="AX1" t="str">
        <f>'consumptions per type'!A20</f>
        <v>High Speed Craft</v>
      </c>
      <c r="AY1" t="str">
        <f>'consumptions per type'!A21</f>
        <v>Other Cargo</v>
      </c>
      <c r="AZ1" t="str">
        <f>'consumptions per type'!A22</f>
        <v>Special Cargo</v>
      </c>
      <c r="BA1" t="str">
        <f>'consumptions per type'!A23</f>
        <v>Other Passenger</v>
      </c>
      <c r="BB1" t="str">
        <f>'consumptions per type'!A24</f>
        <v>Special Passenger Vessel</v>
      </c>
      <c r="BC1" t="s">
        <v>276</v>
      </c>
      <c r="BD1" t="s">
        <v>277</v>
      </c>
      <c r="BE1" t="s">
        <v>278</v>
      </c>
      <c r="BF1" t="s">
        <v>279</v>
      </c>
      <c r="BG1" s="40" t="s">
        <v>284</v>
      </c>
      <c r="BH1" s="40" t="s">
        <v>309</v>
      </c>
      <c r="BI1" s="40" t="s">
        <v>310</v>
      </c>
      <c r="BJ1" s="40"/>
      <c r="BK1" s="19" t="s">
        <v>1</v>
      </c>
      <c r="BL1" s="1" t="s">
        <v>2</v>
      </c>
      <c r="BM1" s="1" t="s">
        <v>71</v>
      </c>
      <c r="BN1" s="1" t="s">
        <v>70</v>
      </c>
      <c r="BO1" s="1" t="s">
        <v>72</v>
      </c>
      <c r="BP1" s="1" t="s">
        <v>53</v>
      </c>
      <c r="BQ1" s="1" t="s">
        <v>54</v>
      </c>
      <c r="BR1" s="1" t="s">
        <v>55</v>
      </c>
      <c r="BS1" s="1" t="s">
        <v>56</v>
      </c>
      <c r="BT1" s="1" t="s">
        <v>57</v>
      </c>
      <c r="BU1" s="1" t="s">
        <v>58</v>
      </c>
      <c r="BV1" s="1" t="s">
        <v>59</v>
      </c>
      <c r="BW1" s="1" t="s">
        <v>60</v>
      </c>
      <c r="BX1" s="1" t="s">
        <v>61</v>
      </c>
      <c r="BY1" s="19" t="s">
        <v>194</v>
      </c>
      <c r="BZ1" s="1" t="s">
        <v>175</v>
      </c>
      <c r="CB1" s="1" t="s">
        <v>230</v>
      </c>
      <c r="CC1" s="19" t="s">
        <v>1</v>
      </c>
      <c r="CD1" s="1" t="s">
        <v>2</v>
      </c>
      <c r="CE1" s="1" t="s">
        <v>71</v>
      </c>
      <c r="CF1" s="1" t="s">
        <v>70</v>
      </c>
      <c r="CG1" s="1" t="s">
        <v>72</v>
      </c>
      <c r="CH1" s="1" t="s">
        <v>53</v>
      </c>
      <c r="CI1" s="1" t="s">
        <v>54</v>
      </c>
      <c r="CJ1" s="1" t="s">
        <v>55</v>
      </c>
      <c r="CK1" s="1" t="s">
        <v>56</v>
      </c>
      <c r="CL1" s="1" t="s">
        <v>57</v>
      </c>
      <c r="CM1" s="1" t="s">
        <v>58</v>
      </c>
      <c r="CN1" s="1" t="s">
        <v>59</v>
      </c>
      <c r="CO1" s="1" t="s">
        <v>60</v>
      </c>
      <c r="CP1" s="1" t="s">
        <v>61</v>
      </c>
      <c r="CQ1" s="19" t="s">
        <v>194</v>
      </c>
      <c r="CR1" s="1" t="s">
        <v>175</v>
      </c>
      <c r="CS1" s="1" t="s">
        <v>318</v>
      </c>
      <c r="CT1" s="68" t="s">
        <v>320</v>
      </c>
      <c r="CU1" s="68" t="s">
        <v>324</v>
      </c>
      <c r="CV1" s="68" t="s">
        <v>325</v>
      </c>
      <c r="CW1" s="68" t="s">
        <v>309</v>
      </c>
      <c r="CX1" s="1" t="s">
        <v>310</v>
      </c>
      <c r="CY1" s="68" t="s">
        <v>319</v>
      </c>
      <c r="CZ1" s="68" t="s">
        <v>326</v>
      </c>
      <c r="DA1" s="68" t="s">
        <v>327</v>
      </c>
      <c r="DB1" s="68" t="s">
        <v>328</v>
      </c>
      <c r="DC1" s="68" t="s">
        <v>329</v>
      </c>
      <c r="DD1" s="68" t="s">
        <v>170</v>
      </c>
      <c r="DE1" s="68" t="s">
        <v>311</v>
      </c>
      <c r="DF1" s="68" t="s">
        <v>230</v>
      </c>
      <c r="DG1" s="68"/>
      <c r="DH1" s="68" t="s">
        <v>330</v>
      </c>
      <c r="DI1" s="68" t="s">
        <v>310</v>
      </c>
      <c r="DJ1" s="68" t="s">
        <v>331</v>
      </c>
      <c r="DK1" s="68" t="s">
        <v>332</v>
      </c>
      <c r="DL1" s="68" t="s">
        <v>333</v>
      </c>
      <c r="DM1" s="68"/>
      <c r="DN1" s="68" t="s">
        <v>335</v>
      </c>
      <c r="DO1" s="1" t="s">
        <v>321</v>
      </c>
      <c r="DP1" s="1"/>
      <c r="DQ1" s="69" t="s">
        <v>1</v>
      </c>
      <c r="DR1" s="22" t="s">
        <v>2</v>
      </c>
      <c r="DS1" s="22" t="s">
        <v>71</v>
      </c>
      <c r="DT1" s="22" t="s">
        <v>70</v>
      </c>
      <c r="DU1" s="22" t="s">
        <v>72</v>
      </c>
      <c r="DV1" s="69" t="s">
        <v>312</v>
      </c>
      <c r="DW1" s="22" t="s">
        <v>313</v>
      </c>
      <c r="DX1" s="22" t="s">
        <v>314</v>
      </c>
      <c r="DY1" s="22" t="s">
        <v>315</v>
      </c>
      <c r="DZ1" s="22" t="s">
        <v>316</v>
      </c>
      <c r="EA1" s="22" t="s">
        <v>244</v>
      </c>
      <c r="EB1" s="22" t="s">
        <v>317</v>
      </c>
      <c r="ED1" s="22" t="s">
        <v>342</v>
      </c>
      <c r="EE1" s="19" t="s">
        <v>1</v>
      </c>
      <c r="EF1" s="1" t="s">
        <v>2</v>
      </c>
      <c r="EG1" s="1" t="s">
        <v>71</v>
      </c>
      <c r="EH1" s="1" t="s">
        <v>70</v>
      </c>
      <c r="EI1" s="1" t="s">
        <v>72</v>
      </c>
      <c r="EJ1" s="1" t="s">
        <v>53</v>
      </c>
      <c r="EK1" s="1" t="s">
        <v>54</v>
      </c>
      <c r="EL1" s="1" t="s">
        <v>55</v>
      </c>
      <c r="EM1" s="1" t="s">
        <v>56</v>
      </c>
      <c r="EN1" s="1" t="s">
        <v>57</v>
      </c>
      <c r="EO1" s="1" t="s">
        <v>58</v>
      </c>
      <c r="EP1" s="1" t="s">
        <v>59</v>
      </c>
      <c r="EQ1" s="1" t="s">
        <v>60</v>
      </c>
      <c r="ER1" s="1" t="s">
        <v>61</v>
      </c>
    </row>
    <row r="2" spans="1:148" x14ac:dyDescent="0.2">
      <c r="A2" s="83"/>
      <c r="B2" s="101"/>
      <c r="C2" s="83"/>
      <c r="D2" s="83"/>
      <c r="E2" s="86"/>
      <c r="F2" s="83"/>
      <c r="G2">
        <v>2025</v>
      </c>
      <c r="H2" s="25">
        <f>'2'!AB8+'6'!AB8+'7'!AB8+'9'!AB8+'11'!AB8+'12'!AB8+'13'!AB8+'16'!AB8+'17'!AB8+'18'!AB8+'22'!AB8</f>
        <v>380.37772809810554</v>
      </c>
      <c r="I2" s="16">
        <f>'1'!AB8+'2'!AC8+'5'!AB8+'6'!AC8+'7'!AC8+'9'!AC8+'11'!AC8+'12'!AC8+'13'!AC8+'15'!AB8+'16'!AC8+'17'!AC8+'18'!AC8+'19'!AB8+'22'!AC8</f>
        <v>213.57532020238992</v>
      </c>
      <c r="J2" s="16"/>
      <c r="K2" s="16">
        <f>'3'!AB8+'4'!AB8+'10'!AB8+'20'!AB8+'21'!AB8+'23'!AB8</f>
        <v>21.924534260915191</v>
      </c>
      <c r="L2" s="16">
        <f>'8'!AB8+'14'!AB8</f>
        <v>202.51921531880922</v>
      </c>
      <c r="M2" s="16">
        <f>'1'!AD8+'2'!AD8+'3'!AD8+'4'!AD8+'5'!AD8+'6'!AD8+'7'!AD8+'8'!AD8+'9'!AD8+'10'!AD8+'11'!AD8+'12'!AD8+'13'!AD8+'14'!AD8+'15'!AD8+'16'!AD8+'17'!AD8+'18'!AD8+'19'!AD8+'20'!AD8+'21'!AD8+'22'!AD8+'23'!AD8</f>
        <v>0</v>
      </c>
      <c r="N2" s="16">
        <f>'1'!AE8+'2'!AE8+'3'!AE8+'4'!AE8+'5'!AE8+'6'!AE8+'7'!AE8+'8'!AE8+'9'!AE8+'10'!AE8+'11'!AE8+'12'!AE8+'13'!AE8+'14'!AE8+'15'!AE8+'16'!AE8+'17'!AE8+'18'!AE8+'19'!AE8+'20'!AE8+'21'!AE8+'22'!AE8+'23'!AE8</f>
        <v>0</v>
      </c>
      <c r="O2" s="16">
        <f>'1'!AF8+'2'!AF8+'3'!AF8+'4'!AF8+'5'!AF8+'6'!AF8+'7'!AF8+'8'!AF8+'9'!AF8+'10'!AF8+'11'!AF8+'12'!AF8+'13'!AF8+'14'!AF8+'15'!AF8+'16'!AF8+'17'!AF8+'18'!AF8+'19'!AF8+'20'!AF8+'21'!AF8+'22'!AF8+'23'!AF8</f>
        <v>0</v>
      </c>
      <c r="P2" s="16">
        <f>'1'!AG8+'2'!AG8+'3'!AG8+'4'!AG8+'5'!AG8+'6'!AG8+'7'!AG8+'8'!AG8+'9'!AG8+'10'!AG8+'11'!AG8+'12'!AG8+'13'!AG8+'14'!AG8+'15'!AG8+'16'!AG8+'17'!AG8+'18'!AG8+'19'!AG8+'20'!AG8+'21'!AG8+'22'!AG8+'23'!AG8</f>
        <v>0</v>
      </c>
      <c r="Q2" s="16">
        <f>'1'!AH8+'2'!AH8+'3'!AH8+'4'!AH8+'5'!AH8+'6'!AH8+'7'!AH8+'8'!AH8+'9'!AH8+'10'!AH8+'11'!AH8+'12'!AH8+'13'!AH8+'14'!AH8+'15'!AH8+'16'!AH8+'17'!AH8+'18'!AH8+'19'!AH8+'20'!AH8+'21'!AH8+'22'!AH8+'23'!AH8</f>
        <v>0</v>
      </c>
      <c r="R2" s="16">
        <f>'1'!AI8+'2'!AI8+'3'!AI8+'4'!AI8+'5'!AI8+'6'!AI8+'7'!AI8+'8'!AI8+'9'!AI8+'10'!AI8+'11'!AI8+'12'!AI8+'13'!AI8+'14'!AI8+'15'!AI8+'16'!AI8+'17'!AI8+'18'!AI8+'19'!AI8+'20'!AI8+'21'!AI8+'22'!AI8+'23'!AI8</f>
        <v>0</v>
      </c>
      <c r="S2" s="16">
        <f>'1'!AJ8+'2'!AJ8+'3'!AJ8+'4'!AJ8+'5'!AJ8+'6'!AJ8+'7'!AJ8+'8'!AJ8+'9'!AJ8+'10'!AJ8+'11'!AJ8+'12'!AJ8+'13'!AJ8+'14'!AJ8+'15'!AJ8+'16'!AJ8+'17'!AJ8+'18'!AJ8+'19'!AJ8+'20'!AJ8+'21'!AJ8+'22'!AJ8+'23'!AJ8</f>
        <v>0</v>
      </c>
      <c r="T2" s="16">
        <f>'1'!AK8+'2'!AK8+'3'!AK8+'4'!AK8+'5'!AK8+'6'!AK8+'7'!AK8+'8'!AK8+'9'!AK8+'10'!AK8+'11'!AK8+'12'!AK8+'13'!AK8+'14'!AK8+'15'!AK8+'16'!AK8+'17'!AK8+'18'!AK8+'19'!AK8+'20'!AK8+'21'!AK8+'22'!AK8+'23'!AK8</f>
        <v>0</v>
      </c>
      <c r="U2" s="16">
        <f>'1'!AL8+'2'!AL8+'3'!AL8+'4'!AL8+'5'!AL8+'6'!AL8+'7'!AL8+'8'!AL8+'9'!AL8+'10'!AL8+'11'!AL8+'12'!AL8+'13'!AL8+'14'!AL8+'15'!AL8+'16'!AL8+'17'!AL8+'18'!AL8+'19'!AL8+'20'!AL8+'21'!AL8+'22'!AL8+'23'!AL8</f>
        <v>0</v>
      </c>
      <c r="V2" s="25">
        <f>SUM(H2:L2)</f>
        <v>818.39679788021976</v>
      </c>
      <c r="W2" s="16">
        <f>SUM(M2:U2)</f>
        <v>0</v>
      </c>
      <c r="X2" s="30">
        <f>AVERAGE(X4:X27)</f>
        <v>0.30258389829995408</v>
      </c>
      <c r="Y2" s="30"/>
      <c r="Z2" s="30"/>
      <c r="AA2" s="30"/>
      <c r="AB2" s="30"/>
      <c r="AC2" s="30"/>
      <c r="AD2" s="30"/>
      <c r="AE2" s="30"/>
      <c r="AF2">
        <f>SUM('1'!AD8:AL8)+'1'!AA8</f>
        <v>130.67116473394779</v>
      </c>
      <c r="AG2">
        <f>SUM('2'!AD8:AL8)+'2'!AA8</f>
        <v>2.4794096439495958</v>
      </c>
      <c r="AH2">
        <f>SUM('3'!AD8:AL8)+'3'!AA8</f>
        <v>10.60403427028317</v>
      </c>
      <c r="AI2">
        <f>SUM('4'!AD8:AL8)+'4'!AA8</f>
        <v>0.78928445057578944</v>
      </c>
      <c r="AJ2">
        <f>SUM('5'!AD8:AL8)+'5'!AA8</f>
        <v>4.8756260059855672</v>
      </c>
      <c r="AK2">
        <f>SUM('6'!AD8:AL8)+'6'!AA8</f>
        <v>125.995648383874</v>
      </c>
      <c r="AL2">
        <f>SUM('7'!AD8:AL8)+'7'!AA8</f>
        <v>110.7481850914975</v>
      </c>
      <c r="AM2">
        <f>SUM('8'!AD8:AL8)+'8'!AA8</f>
        <v>198.59706183540879</v>
      </c>
      <c r="AN2">
        <f>SUM('9'!AD8:AL8)+'9'!AA8</f>
        <v>60.877048192666209</v>
      </c>
      <c r="AO2">
        <f>SUM('10'!AD8:AL8)+'10'!AA8</f>
        <v>4.4448390512876657</v>
      </c>
      <c r="AP2">
        <f>SUM('11'!AD8:AL8)+'11'!AA8</f>
        <v>5.6627290395888474</v>
      </c>
      <c r="AQ2">
        <f>SUM('12'!AD8:AL8)+'12'!AA8</f>
        <v>1.739706950317417</v>
      </c>
      <c r="AR2">
        <f>SUM('13'!AD8:AL8)+'13'!AA8</f>
        <v>5.0618200188849336</v>
      </c>
      <c r="AS2">
        <f>SUM('14'!AD8:AL8)+'14'!AA8</f>
        <v>3.9221534834004288</v>
      </c>
      <c r="AT2">
        <f>SUM('15'!AD8:AL8)+'15'!AA8</f>
        <v>54.087614848118321</v>
      </c>
      <c r="AU2">
        <f>SUM('16'!AD8:AL8)+'16'!AA8</f>
        <v>21.54349318047257</v>
      </c>
      <c r="AV2">
        <f>SUM('17'!AD8:AL8)+'17'!AA8</f>
        <v>36.664777637605233</v>
      </c>
      <c r="AW2">
        <f>SUM('18'!AD8:AL8)+'18'!AA8</f>
        <v>9.1562724613921578</v>
      </c>
      <c r="AX2">
        <f>SUM('19'!AD8:AL8)+'19'!AA8</f>
        <v>23.940914614338261</v>
      </c>
      <c r="AY2">
        <f>SUM('20'!AD8:AL8)+'20'!AA8</f>
        <v>1.5071681239534449</v>
      </c>
      <c r="AZ2">
        <f>SUM('21'!AD8:AL8)+'21'!AA8</f>
        <v>0.1375060242206462</v>
      </c>
      <c r="BA2">
        <f>SUM('22'!AD8:AL8)+'22'!AA8</f>
        <v>0.44863749785702489</v>
      </c>
      <c r="BB2">
        <f>SUM('23'!AD8:AL8)+'23'!AA8</f>
        <v>4.4417023405944747</v>
      </c>
      <c r="BG2">
        <v>2025</v>
      </c>
      <c r="BH2" s="2">
        <v>0</v>
      </c>
      <c r="BI2" s="2">
        <v>0</v>
      </c>
      <c r="BJ2" s="2"/>
      <c r="BK2" t="e">
        <f>'2 (RU)'!AB8+'6 (RU)'!AB8+'7 (RU)'!AB8+'9 (RU)'!AB8+'11 (RU)'!AB8+'12 (RU)'!AB8+'13 (RU)'!AB8+'16 (RU)'!AB8+'17 (RU)'!AB8+'18 (RU)'!AB8+'22 (RU)'!AB8</f>
        <v>#DIV/0!</v>
      </c>
      <c r="BL2" t="e">
        <f>'1 (RU)'!AB8+'2 (RU)'!AC8+'5 (RU)'!AB8+'6 (RU)'!AC8+'7 (RU)'!AC8+'9 (RU)'!AC8+'11 (RU)'!AC8+'12 (RU)'!AC8+'13 (RU)'!AC8+'15 (RU)'!AB8+'16 (RU)'!AC8+'17 (RU)'!AC8+'18 (RU)'!AC8+'19 (RU)'!AB8+'22 (RU)'!AC8</f>
        <v>#DIV/0!</v>
      </c>
      <c r="BN2" t="e">
        <f>'3 (RU)'!AB8+'4 (RU)'!AB8+'10 (RU)'!AB8+'20 (RU)'!AB8+'21 (RU)'!AB8+'23 (RU)'!AB8</f>
        <v>#DIV/0!</v>
      </c>
      <c r="BO2" t="e">
        <f>'8 (RU)'!AB8+'14 (RU)'!AB8</f>
        <v>#DIV/0!</v>
      </c>
      <c r="BP2" t="e">
        <f>'1 (RU)'!AD8+'2 (RU)'!AD8+'3 (RU)'!AD8+'4 (RU)'!AD8+'5 (RU)'!AD8+'6 (RU)'!AD8+'7 (RU)'!AD8+'8 (RU)'!AD8+'9 (RU)'!AD8+'10 (RU)'!AD8+'11 (RU)'!AD8+'12 (RU)'!AD8+'13 (RU)'!AD8+'14 (RU)'!AD8+'15 (RU)'!AD8+'16 (RU)'!AD8+'17 (RU)'!AD8+'18 (RU)'!AD8+'19 (RU)'!AD8+'20 (RU)'!AD8+'21 (RU)'!AD8+'22 (RU)'!AD8+'23 (RU)'!AD8</f>
        <v>#DIV/0!</v>
      </c>
      <c r="BQ2" t="e">
        <f>'1 (RU)'!AE8+'2 (RU)'!AE8+'3 (RU)'!AE8+'4 (RU)'!AE8+'5 (RU)'!AE8+'6 (RU)'!AE8+'7 (RU)'!AE8+'8 (RU)'!AE8+'9 (RU)'!AE8+'10 (RU)'!AE8+'11 (RU)'!AE8+'12 (RU)'!AE8+'13 (RU)'!AE8+'14 (RU)'!AE8+'15 (RU)'!AE8+'16 (RU)'!AE8+'17 (RU)'!AE8+'18 (RU)'!AE8+'19 (RU)'!AE8+'20 (RU)'!AE8+'21 (RU)'!AE8+'22 (RU)'!AE8+'23 (RU)'!AE8</f>
        <v>#DIV/0!</v>
      </c>
      <c r="BR2" t="e">
        <f>'1 (RU)'!AF8+'2 (RU)'!AF8+'3 (RU)'!AF8+'4 (RU)'!AF8+'5 (RU)'!AF8+'6 (RU)'!AF8+'7 (RU)'!AF8+'8 (RU)'!AF8+'9 (RU)'!AF8+'10 (RU)'!AF8+'11 (RU)'!AF8+'12 (RU)'!AF8+'13 (RU)'!AF8+'14 (RU)'!AF8+'15 (RU)'!AF8+'16 (RU)'!AF8+'17 (RU)'!AF8+'18 (RU)'!AF8+'19 (RU)'!AF8+'20 (RU)'!AF8+'21 (RU)'!AF8+'22 (RU)'!AF8+'23 (RU)'!AF8</f>
        <v>#DIV/0!</v>
      </c>
      <c r="BS2" t="e">
        <f>'1 (RU)'!AG8+'2 (RU)'!AG8+'3 (RU)'!AG8+'4 (RU)'!AG8+'5 (RU)'!AG8+'6 (RU)'!AG8+'7 (RU)'!AG8+'8 (RU)'!AG8+'9 (RU)'!AG8+'10 (RU)'!AG8+'11 (RU)'!AG8+'12 (RU)'!AG8+'13 (RU)'!AG8+'14 (RU)'!AG8+'15 (RU)'!AG8+'16 (RU)'!AG8+'17 (RU)'!AG8+'18 (RU)'!AG8+'19 (RU)'!AG8+'20 (RU)'!AG8+'21 (RU)'!AG8+'22 (RU)'!AG8+'23 (RU)'!AG8</f>
        <v>#DIV/0!</v>
      </c>
      <c r="BT2" t="e">
        <f>'1 (RU)'!AH8+'2 (RU)'!AH8+'3 (RU)'!AH8+'4 (RU)'!AH8+'5 (RU)'!AH8+'6 (RU)'!AH8+'7 (RU)'!AH8+'8 (RU)'!AH8+'9 (RU)'!AH8+'10 (RU)'!AH8+'11 (RU)'!AH8+'12 (RU)'!AH8+'13 (RU)'!AH8+'14 (RU)'!AH8+'15 (RU)'!AH8+'16 (RU)'!AH8+'17 (RU)'!AH8+'18 (RU)'!AH8+'19 (RU)'!AH8+'20 (RU)'!AH8+'21 (RU)'!AH8+'22 (RU)'!AH8+'23 (RU)'!AH8</f>
        <v>#DIV/0!</v>
      </c>
      <c r="BU2" t="e">
        <f>'1 (RU)'!AI8+'2 (RU)'!AI8+'3 (RU)'!AI8+'4 (RU)'!AI8+'5 (RU)'!AI8+'6 (RU)'!AI8+'7 (RU)'!AI8+'8 (RU)'!AI8+'9 (RU)'!AI8+'10 (RU)'!AI8+'11 (RU)'!AI8+'12 (RU)'!AI8+'13 (RU)'!AI8+'14 (RU)'!AI8+'15 (RU)'!AI8+'16 (RU)'!AI8+'17 (RU)'!AI8+'18 (RU)'!AI8+'19 (RU)'!AI8+'20 (RU)'!AI8+'21 (RU)'!AI8+'22 (RU)'!AI8+'23 (RU)'!AI8</f>
        <v>#DIV/0!</v>
      </c>
      <c r="BV2" t="e">
        <f>'1 (RU)'!AJ8+'2 (RU)'!AJ8+'3 (RU)'!AJ8+'4 (RU)'!AJ8+'5 (RU)'!AJ8+'6 (RU)'!AJ8+'7 (RU)'!AJ8+'8 (RU)'!AJ8+'9 (RU)'!AJ8+'10 (RU)'!AJ8+'11 (RU)'!AJ8+'12 (RU)'!AJ8+'13 (RU)'!AJ8+'14 (RU)'!AJ8+'15 (RU)'!AJ8+'16 (RU)'!AJ8+'17 (RU)'!AJ8+'18 (RU)'!AJ8+'19 (RU)'!AJ8+'20 (RU)'!AJ8+'21 (RU)'!AJ8+'22 (RU)'!AJ8+'23 (RU)'!AJ8</f>
        <v>#DIV/0!</v>
      </c>
      <c r="BW2" t="e">
        <f>'1 (RU)'!AK8+'2 (RU)'!AK8+'3 (RU)'!AK8+'4 (RU)'!AK8+'5 (RU)'!AK8+'6 (RU)'!AK8+'7 (RU)'!AK8+'8 (RU)'!AK8+'9 (RU)'!AK8+'10 (RU)'!AK8+'11 (RU)'!AK8+'12 (RU)'!AK8+'13 (RU)'!AK8+'14 (RU)'!AK8+'15 (RU)'!AK8+'16 (RU)'!AK8+'17 (RU)'!AK8+'18 (RU)'!AK8+'19 (RU)'!AK8+'20 (RU)'!AK8+'21 (RU)'!AK8+'22 (RU)'!AK8+'23 (RU)'!AK8</f>
        <v>#DIV/0!</v>
      </c>
      <c r="BX2" t="e">
        <f>'1 (RU)'!AL8+'2 (RU)'!AL8+'3 (RU)'!AL8+'4 (RU)'!AL8+'5 (RU)'!AL8+'6 (RU)'!AL8+'7 (RU)'!AL8+'8 (RU)'!AL8+'9 (RU)'!AL8+'10 (RU)'!AL8+'11 (RU)'!AL8+'12 (RU)'!AL8+'13 (RU)'!AL8+'14 (RU)'!AL8+'15 (RU)'!AL8+'16 (RU)'!AL8+'17 (RU)'!AL8+'18 (RU)'!AL8+'19 (RU)'!AL8+'20 (RU)'!AL8+'21 (RU)'!AL8+'22 (RU)'!AL8+'23 (RU)'!AL8</f>
        <v>#DIV/0!</v>
      </c>
      <c r="BY2" s="25" t="e">
        <f>SUM(BK2:BO2)</f>
        <v>#DIV/0!</v>
      </c>
      <c r="BZ2" s="16" t="e">
        <f>SUM(BP2:BX2)</f>
        <v>#DIV/0!</v>
      </c>
      <c r="CA2" s="30"/>
      <c r="CB2" s="30"/>
      <c r="CC2" t="e">
        <f>VLOOKUP(CC$1,emissions!$A$2:$B$5,2,FALSE)*BK2</f>
        <v>#DIV/0!</v>
      </c>
      <c r="CD2" t="e">
        <f>VLOOKUP(CD$1,emissions!$A$2:$B$5,2,FALSE)*BL2</f>
        <v>#DIV/0!</v>
      </c>
      <c r="CF2" t="e">
        <f>VLOOKUP(CF$1,emissions!$A$2:$B$5,2,FALSE)*BN2</f>
        <v>#DIV/0!</v>
      </c>
      <c r="CG2" t="e">
        <f>VLOOKUP(CG$1,emissions!$A$2:$B$5,2,FALSE)*BO2</f>
        <v>#DIV/0!</v>
      </c>
      <c r="CH2" t="e">
        <f>BP2*(emissions!$D$3*production!$B$4+emissions!$D$4*production!$C$4+emissions!$D$5*production!$D$4+emissions!$D$6*production!$E$4)</f>
        <v>#DIV/0!</v>
      </c>
      <c r="CI2" t="e">
        <f>BQ2*(emissions!$D$3*production!$B$4+emissions!$D$4*production!$C$4+emissions!$D$5*production!$D$4+emissions!$D$6*production!$E$4)</f>
        <v>#DIV/0!</v>
      </c>
      <c r="CJ2" t="e">
        <f>BR2*(emissions!$D$8*production!$B$6+emissions!$D$9*production!$C$6+emissions!$D$10*production!$D$6)</f>
        <v>#DIV/0!</v>
      </c>
      <c r="CK2" t="e">
        <f>BS2*(emissions!$D$12*production!$B$8+emissions!$D$13*production!$C$8+emissions!$D$14*production!$D$8)</f>
        <v>#DIV/0!</v>
      </c>
      <c r="CL2" t="e">
        <f>BT2*(emissions!$D$16*production!$B$10+production!$C$10*emissions!$D$17)</f>
        <v>#DIV/0!</v>
      </c>
      <c r="CM2" t="e">
        <f>BU2*(emissions!$D$19*production!$B$12+production!$C$12*emissions!$D$20+emissions!$D$21*production!$D$12)</f>
        <v>#DIV/0!</v>
      </c>
      <c r="CN2" t="e">
        <f>BV2*(emissions!$D$23*production!$B$14+production!$C$14*emissions!$D$24+emissions!$D$25*production!$D$14)</f>
        <v>#DIV/0!</v>
      </c>
      <c r="CO2" t="e">
        <f>BW2*(emissions!$D$27*production!$B$16+production!$C$16*emissions!$D$28+production!$D$16*emissions!$D$29)</f>
        <v>#DIV/0!</v>
      </c>
      <c r="CP2">
        <v>0</v>
      </c>
      <c r="CS2" t="e">
        <f>SUM(CC2:CP2)</f>
        <v>#DIV/0!</v>
      </c>
      <c r="CT2" s="40" t="e">
        <f>SUM(CC2:CP2)/SUM(BK2:BX2)</f>
        <v>#DIV/0!</v>
      </c>
      <c r="CU2" t="e">
        <f t="shared" ref="CU2:CU27" si="0">(CT2-CW2)</f>
        <v>#DIV/0!</v>
      </c>
      <c r="CV2" t="e">
        <f t="shared" ref="CV2:CV27" si="1">CT2-CX2</f>
        <v>#DIV/0!</v>
      </c>
      <c r="CW2">
        <f t="shared" ref="CW2:CW27" si="2">93.3*(1-BH2)</f>
        <v>93.3</v>
      </c>
      <c r="CX2">
        <f t="shared" ref="CX2:CX27" si="3">93.3*(1-BI2)</f>
        <v>93.3</v>
      </c>
      <c r="CY2">
        <f>IF(G2&lt;2028,0,IF(CT2&gt;=CW2,CU2,IF(AND(CT2&lt;CW2,CT2&gt;=CX2),CV2,0))*SUM(BK2:BX2))</f>
        <v>0</v>
      </c>
      <c r="CZ2" s="74" t="e">
        <f>IF(CT2&gt;=CW2,380*CY2,IF(AND(CT2&lt;CW2,CT2&gt;=CX2),100*CY2,0))</f>
        <v>#DIV/0!</v>
      </c>
      <c r="DA2" t="str">
        <f>IF(G2&lt;2028,"",IF(CT2&gt;=CW2,"Red",IF(AND(CT2&lt;CW2,CT2&gt;=CX2),"Yellow","Green")))</f>
        <v/>
      </c>
      <c r="DB2">
        <f>IF(G2&lt;2028,0,IF(CT2&lt;CX2,-CV2*SUM(BK2:BX2),0))</f>
        <v>0</v>
      </c>
      <c r="DC2" s="34">
        <f>DB2*380</f>
        <v>0</v>
      </c>
      <c r="DD2">
        <v>2025</v>
      </c>
      <c r="DQ2" s="70">
        <v>18115</v>
      </c>
      <c r="DR2" s="71">
        <v>7213</v>
      </c>
      <c r="DS2" s="71"/>
      <c r="DT2" s="71">
        <v>602</v>
      </c>
      <c r="DU2" s="71">
        <v>2049</v>
      </c>
      <c r="DV2">
        <f>DQ2*VLOOKUP(DQ$1,emissions!$A$2:$B$5,2,FALSE)</f>
        <v>2644790</v>
      </c>
      <c r="DW2">
        <f>DR2*VLOOKUP(DR$1,emissions!$A$2:$B$5,2,FALSE)</f>
        <v>1053098</v>
      </c>
      <c r="DY2">
        <f>DT2*VLOOKUP(DT$1,emissions!$A$2:$B$5,2,FALSE)</f>
        <v>87290</v>
      </c>
      <c r="DZ2">
        <f>DU2*VLOOKUP(DU$1,emissions!$A$2:$B$5,2,FALSE)</f>
        <v>231537</v>
      </c>
      <c r="EA2">
        <f>SUM(DV2:DZ2)</f>
        <v>4016715</v>
      </c>
      <c r="EB2">
        <f>1/(SUM(DQ2:DU2)/EA2)</f>
        <v>143.56177847671469</v>
      </c>
      <c r="ED2" s="77" t="e">
        <f t="shared" ref="ED2:ED26" si="4">SUM(EE2:ER2)</f>
        <v>#DIV/0!</v>
      </c>
      <c r="EE2" s="34" t="e">
        <f>cost!$B$2*BK2</f>
        <v>#DIV/0!</v>
      </c>
      <c r="EF2" s="34" t="e">
        <f>cost!$B$3*BL2</f>
        <v>#DIV/0!</v>
      </c>
      <c r="EG2" s="34"/>
      <c r="EH2" s="34" t="e">
        <f>cost!$B$4*BN2</f>
        <v>#DIV/0!</v>
      </c>
      <c r="EI2" s="34" t="e">
        <f>cost!$B$5*$BO$2</f>
        <v>#DIV/0!</v>
      </c>
      <c r="EJ2" s="34" t="e">
        <f>BP2*(cost!$D$3*production!$B$4+production!$C$4*cost!$D$4+cost!$D$5*production!$D$4+production!$E$4*cost!$D$6)</f>
        <v>#DIV/0!</v>
      </c>
      <c r="EK2" s="34" t="e">
        <f>BQ2*(cost!$D$3*production!$B$4+production!$C$4*cost!$D$4+cost!$D$5*production!$D$4+production!$E$4*cost!$D$6)</f>
        <v>#DIV/0!</v>
      </c>
      <c r="EL2" s="34" t="e">
        <f>BR2*(cost!$D$8*production!$B$6+cost!$D$9*production!$C$6+$D$10*production!$D$6)</f>
        <v>#DIV/0!</v>
      </c>
      <c r="EM2" s="34" t="e">
        <f>BS2*(cost!$D$12*production!$B$8+cost!$D$13*production!$C$8+cost!$D$14*production!$D$8)</f>
        <v>#DIV/0!</v>
      </c>
      <c r="EN2" s="34" t="e">
        <f>BT2*(cost!$D$16*production!$B$10+production!$C$10*cost!$D$17)</f>
        <v>#DIV/0!</v>
      </c>
      <c r="EO2" s="34" t="e">
        <f>BU2*(cost!$D$19*production!$B$12+production!$C$12*cost!$D$20+cost!$D$21*production!$D$12)</f>
        <v>#DIV/0!</v>
      </c>
      <c r="EP2" s="34" t="e">
        <f>BV2*(cost!$D$23*production!$B$14+production!$C$14*cost!$D$24+cost!$D$25*production!$D$14)</f>
        <v>#DIV/0!</v>
      </c>
      <c r="EQ2" s="34" t="e">
        <f>BW2*(cost!$D$27*production!$B$16+production!$C$16*cost!$D$28+cost!$D$29*production!$D$16)</f>
        <v>#DIV/0!</v>
      </c>
      <c r="ER2" s="34" t="e">
        <f>BX2*(re!$H$10*re!$C$10+re!$H$11*re!$C$11+re!$H$12*re!$C$12+re!$H$13*re!$C$13+re!$H$14*re!$C$14)</f>
        <v>#DIV/0!</v>
      </c>
    </row>
    <row r="3" spans="1:148" x14ac:dyDescent="0.2">
      <c r="A3" s="101" t="s">
        <v>174</v>
      </c>
      <c r="B3" s="83" t="s">
        <v>172</v>
      </c>
      <c r="C3" s="83" t="s">
        <v>76</v>
      </c>
      <c r="D3" s="83" t="s">
        <v>168</v>
      </c>
      <c r="E3" s="86"/>
      <c r="F3" s="83"/>
      <c r="G3">
        <v>2026</v>
      </c>
      <c r="H3" s="25">
        <f>'2'!AB9+'6'!AB9+'7'!AB9+'9'!AB9+'11'!AB9+'12'!AB9+'13'!AB9+'16'!AB9+'17'!AB9+'18'!AB9+'22'!AB9</f>
        <v>365.85749054447467</v>
      </c>
      <c r="I3" s="16">
        <f>'1'!AB9+'2'!AC9+'5'!AB9+'6'!AC9+'7'!AC9+'9'!AC9+'11'!AC9+'12'!AC9+'13'!AC9+'15'!AB9+'16'!AC9+'17'!AC9+'18'!AC9+'19'!AB9+'22'!AC9</f>
        <v>235.0412203119804</v>
      </c>
      <c r="K3" s="16">
        <f>'3'!AB9+'4'!AB9+'10'!AB9+'20'!AB9+'21'!AB9+'23'!AB9</f>
        <v>22.230213908011425</v>
      </c>
      <c r="L3" s="16">
        <f>'8'!AB9+'14'!AB9</f>
        <v>205.29775095510291</v>
      </c>
      <c r="M3" s="16">
        <f>'1'!AD9+'2'!AD9+'3'!AD9+'4'!AD9+'5'!AD9+'6'!AD9+'7'!AD9+'8'!AD9+'9'!AD9+'10'!AD9+'11'!AD9+'12'!AD9+'13'!AD9+'14'!AD9+'15'!AD9+'16'!AD9+'17'!AD9+'18'!AD9+'19'!AD9+'20'!AD9+'21'!AD9+'22'!AD9+'23'!AD9</f>
        <v>0.91768432117752352</v>
      </c>
      <c r="N3" s="16">
        <f>'1'!AE9+'2'!AE9+'3'!AE9+'4'!AE9+'5'!AE9+'6'!AE9+'7'!AE9+'8'!AE9+'9'!AE9+'10'!AE9+'11'!AE9+'12'!AE9+'13'!AE9+'14'!AE9+'15'!AE9+'16'!AE9+'17'!AE9+'18'!AE9+'19'!AE9+'20'!AE9+'21'!AE9+'22'!AE9+'23'!AE9</f>
        <v>5.4420463870551355E-2</v>
      </c>
      <c r="O3" s="16">
        <f>'1'!AF9+'2'!AF9+'3'!AF9+'4'!AF9+'5'!AF9+'6'!AF9+'7'!AF9+'8'!AF9+'9'!AF9+'10'!AF9+'11'!AF9+'12'!AF9+'13'!AF9+'14'!AF9+'15'!AF9+'16'!AF9+'17'!AF9+'18'!AF9+'19'!AF9+'20'!AF9+'21'!AF9+'22'!AF9+'23'!AF9</f>
        <v>1.7588069229277226</v>
      </c>
      <c r="P3" s="16">
        <f>'1'!AG9+'2'!AG9+'3'!AG9+'4'!AG9+'5'!AG9+'6'!AG9+'7'!AG9+'8'!AG9+'9'!AG9+'10'!AG9+'11'!AG9+'12'!AG9+'13'!AG9+'14'!AG9+'15'!AG9+'16'!AG9+'17'!AG9+'18'!AG9+'19'!AG9+'20'!AG9+'21'!AG9+'22'!AG9+'23'!AG9</f>
        <v>1.5991443360263931</v>
      </c>
      <c r="Q3" s="16">
        <f>'1'!AH9+'2'!AH9+'3'!AH9+'4'!AH9+'5'!AH9+'6'!AH9+'7'!AH9+'8'!AH9+'9'!AH9+'10'!AH9+'11'!AH9+'12'!AH9+'13'!AH9+'14'!AH9+'15'!AH9+'16'!AH9+'17'!AH9+'18'!AH9+'19'!AH9+'20'!AH9+'21'!AH9+'22'!AH9+'23'!AH9</f>
        <v>4.1408169306949495E-2</v>
      </c>
      <c r="R3" s="16">
        <f>'1'!AI9+'2'!AI9+'3'!AI9+'4'!AI9+'5'!AI9+'6'!AI9+'7'!AI9+'8'!AI9+'9'!AI9+'10'!AI9+'11'!AI9+'12'!AI9+'13'!AI9+'14'!AI9+'15'!AI9+'16'!AI9+'17'!AI9+'18'!AI9+'19'!AI9+'20'!AI9+'21'!AI9+'22'!AI9+'23'!AI9</f>
        <v>0.27757831271201189</v>
      </c>
      <c r="S3" s="16">
        <f>'1'!AJ9+'2'!AJ9+'3'!AJ9+'4'!AJ9+'5'!AJ9+'6'!AJ9+'7'!AJ9+'8'!AJ9+'9'!AJ9+'10'!AJ9+'11'!AJ9+'12'!AJ9+'13'!AJ9+'14'!AJ9+'15'!AJ9+'16'!AJ9+'17'!AJ9+'18'!AJ9+'19'!AJ9+'20'!AJ9+'21'!AJ9+'22'!AJ9+'23'!AJ9</f>
        <v>7.9269727500154846E-2</v>
      </c>
      <c r="T3" s="16">
        <f>'1'!AK9+'2'!AK9+'3'!AK9+'4'!AK9+'5'!AK9+'6'!AK9+'7'!AK9+'8'!AK9+'9'!AK9+'10'!AK9+'11'!AK9+'12'!AK9+'13'!AK9+'14'!AK9+'15'!AK9+'16'!AK9+'17'!AK9+'18'!AK9+'19'!AK9+'20'!AK9+'21'!AK9+'22'!AK9+'23'!AK9</f>
        <v>0.86862643976479215</v>
      </c>
      <c r="U3" s="16">
        <f>'1'!AL9+'2'!AL9+'3'!AL9+'4'!AL9+'5'!AL9+'6'!AL9+'7'!AL9+'8'!AL9+'9'!AL9+'10'!AL9+'11'!AL9+'12'!AL9+'13'!AL9+'14'!AL9+'15'!AL9+'16'!AL9+'17'!AL9+'18'!AL9+'19'!AL9+'20'!AL9+'21'!AL9+'22'!AL9+'23'!AL9</f>
        <v>2.0934280782060333E-3</v>
      </c>
      <c r="V3" s="25">
        <f t="shared" ref="V3:V27" si="5">SUM(H3:L3)</f>
        <v>828.4266757195694</v>
      </c>
      <c r="W3" s="16">
        <f t="shared" ref="W3:W27" si="6">SUM(M3:U3)</f>
        <v>5.5990321213643055</v>
      </c>
      <c r="Y3" s="16">
        <f>((M3+N3)*re!$D$2/re!$C$2+O3*re!$D$3/re!$C$3+P3*re!$D$4/re!$C$4+T3*re!$D$5/re!$C$5+U3*re!$D$6/re!$C$6)</f>
        <v>9.5005286183633473</v>
      </c>
      <c r="Z3">
        <f>SUM(AA3:AE3)</f>
        <v>0.73298413495772341</v>
      </c>
      <c r="AA3">
        <f>((Y3*277.8)/(re!$B$10*8760))*re!$C$10</f>
        <v>0.41556398207862355</v>
      </c>
      <c r="AB3">
        <f>((Y3*277.8)/(re!$B$11*8760))*re!$C$11</f>
        <v>0.15450455743948821</v>
      </c>
      <c r="AC3">
        <f>((Y3*277.8)/(re!$B$12*8760))*re!$C$12</f>
        <v>5.5793312408704082E-2</v>
      </c>
      <c r="AD3">
        <f>((Y3*277.8)/(re!$B$13*8760))*re!$C$13</f>
        <v>1.6374124293858806E-2</v>
      </c>
      <c r="AE3">
        <f>((Y3*277.8)/(re!$B$14*8760))*re!$C$14</f>
        <v>9.0748158737048806E-2</v>
      </c>
      <c r="AF3">
        <f>SUM('1'!AD9:AL9)+'1'!AA9</f>
        <v>133.15947765478788</v>
      </c>
      <c r="AG3">
        <f>SUM('2'!AD9:AL9)+'2'!AA9</f>
        <v>2.5240185973316107</v>
      </c>
      <c r="AH3">
        <f>SUM('3'!AD9:AL9)+'3'!AA9</f>
        <v>10.820073549535543</v>
      </c>
      <c r="AI3">
        <f>SUM('4'!AD9:AL9)+'4'!AA9</f>
        <v>0.80544713470660978</v>
      </c>
      <c r="AJ3">
        <f>SUM('5'!AD9:AL9)+'5'!AA9</f>
        <v>4.9630813300883787</v>
      </c>
      <c r="AK3">
        <f>SUM('6'!AD9:AL9)+'6'!AA9</f>
        <v>128.2385747815612</v>
      </c>
      <c r="AL3">
        <f>SUM('7'!AD9:AL9)+'7'!AA9</f>
        <v>112.73926709337651</v>
      </c>
      <c r="AM3">
        <f>SUM('8'!AD9:AL9)+'8'!AA9</f>
        <v>202.83089295980696</v>
      </c>
      <c r="AN3">
        <f>SUM('9'!AD9:AL9)+'9'!AA9</f>
        <v>61.969015044425554</v>
      </c>
      <c r="AO3">
        <f>SUM('10'!AD9:AL9)+'10'!AA9</f>
        <v>4.5340992304392449</v>
      </c>
      <c r="AP3">
        <f>SUM('11'!AD9:AL9)+'11'!AA9</f>
        <v>5.7700598766512163</v>
      </c>
      <c r="AQ3">
        <f>SUM('12'!AD9:AL9)+'12'!AA9</f>
        <v>1.7726811932867301</v>
      </c>
      <c r="AR3">
        <f>SUM('13'!AD9:AL9)+'13'!AA9</f>
        <v>5.1577612825208536</v>
      </c>
      <c r="AS3">
        <f>SUM('14'!AD9:AL9)+'14'!AA9</f>
        <v>3.9997874472847839</v>
      </c>
      <c r="AT3">
        <f>SUM('15'!AD9:AL9)+'15'!AA9</f>
        <v>55.057797934491852</v>
      </c>
      <c r="AU3">
        <f>SUM('16'!AD9:AL9)+'16'!AA9</f>
        <v>21.951826537082447</v>
      </c>
      <c r="AV3">
        <f>SUM('17'!AD9:AL9)+'17'!AA9</f>
        <v>37.359718406806429</v>
      </c>
      <c r="AW3">
        <f>SUM('18'!AD9:AL9)+'18'!AA9</f>
        <v>9.3298195940170459</v>
      </c>
      <c r="AX3">
        <f>SUM('19'!AD9:AL9)+'19'!AA9</f>
        <v>24.370348792502103</v>
      </c>
      <c r="AY3">
        <f>SUM('20'!AD9:AL9)+'20'!AA9</f>
        <v>1.5380313726868136</v>
      </c>
      <c r="AZ3">
        <f>SUM('21'!AD9:AL9)+'21'!AA9</f>
        <v>0.14018181789986092</v>
      </c>
      <c r="BA3">
        <f>SUM('22'!AD9:AL9)+'22'!AA9</f>
        <v>0.45668482095596485</v>
      </c>
      <c r="BB3">
        <f>SUM('23'!AD9:AL9)+'23'!AA9</f>
        <v>4.5370613886881044</v>
      </c>
      <c r="BG3">
        <v>2026</v>
      </c>
      <c r="BH3" s="2">
        <v>0</v>
      </c>
      <c r="BI3" s="2">
        <v>0</v>
      </c>
      <c r="BJ3" s="2"/>
      <c r="BK3" t="e">
        <f>'2 (RU)'!AB9+'6 (RU)'!AB9+'7 (RU)'!AB9+'9 (RU)'!AB9+'11 (RU)'!AB9+'12 (RU)'!AB9+'13 (RU)'!AB9+'16 (RU)'!AB9+'17 (RU)'!AB9+'18 (RU)'!AB9+'22 (RU)'!AB9</f>
        <v>#DIV/0!</v>
      </c>
      <c r="BL3" t="e">
        <f>'1 (RU)'!AB9+'2 (RU)'!AC9+'5 (RU)'!AB9+'6 (RU)'!AC9+'7 (RU)'!AC9+'9 (RU)'!AC9+'11 (RU)'!AC9+'12 (RU)'!AC9+'13 (RU)'!AC9+'15 (RU)'!AB9+'16 (RU)'!AC9+'17 (RU)'!AC9+'18 (RU)'!AC9+'19 (RU)'!AB9+'22 (RU)'!AC9</f>
        <v>#DIV/0!</v>
      </c>
      <c r="BN3" t="e">
        <f>'3 (RU)'!AB9+'4 (RU)'!AB9+'10 (RU)'!AB9+'20 (RU)'!AB9+'21 (RU)'!AB9+'23 (RU)'!AB9</f>
        <v>#DIV/0!</v>
      </c>
      <c r="BO3" t="e">
        <f>'8 (RU)'!AB9+'14 (RU)'!AB9</f>
        <v>#DIV/0!</v>
      </c>
      <c r="BP3" t="e">
        <f>'1 (RU)'!AD9+'2 (RU)'!AD9+'3 (RU)'!AD9+'4 (RU)'!AD9+'5 (RU)'!AD9+'6 (RU)'!AD9+'7 (RU)'!AD9+'8 (RU)'!AD9+'9 (RU)'!AD9+'10 (RU)'!AD9+'11 (RU)'!AD9+'12 (RU)'!AD9+'13 (RU)'!AD9+'14 (RU)'!AD9+'15 (RU)'!AD9+'16 (RU)'!AD9+'17 (RU)'!AD9+'18 (RU)'!AD9+'19 (RU)'!AD9+'20 (RU)'!AD9+'21 (RU)'!AD9+'22 (RU)'!AD9+'23 (RU)'!AD9</f>
        <v>#DIV/0!</v>
      </c>
      <c r="BQ3" t="e">
        <f>'1 (RU)'!AE9+'2 (RU)'!AE9+'3 (RU)'!AE9+'4 (RU)'!AE9+'5 (RU)'!AE9+'6 (RU)'!AE9+'7 (RU)'!AE9+'8 (RU)'!AE9+'9 (RU)'!AE9+'10 (RU)'!AE9+'11 (RU)'!AE9+'12 (RU)'!AE9+'13 (RU)'!AE9+'14 (RU)'!AE9+'15 (RU)'!AE9+'16 (RU)'!AE9+'17 (RU)'!AE9+'18 (RU)'!AE9+'19 (RU)'!AE9+'20 (RU)'!AE9+'21 (RU)'!AE9+'22 (RU)'!AE9+'23 (RU)'!AE9</f>
        <v>#DIV/0!</v>
      </c>
      <c r="BR3" t="e">
        <f>'1 (RU)'!AF9+'2 (RU)'!AF9+'3 (RU)'!AF9+'4 (RU)'!AF9+'5 (RU)'!AF9+'6 (RU)'!AF9+'7 (RU)'!AF9+'8 (RU)'!AF9+'9 (RU)'!AF9+'10 (RU)'!AF9+'11 (RU)'!AF9+'12 (RU)'!AF9+'13 (RU)'!AF9+'14 (RU)'!AF9+'15 (RU)'!AF9+'16 (RU)'!AF9+'17 (RU)'!AF9+'18 (RU)'!AF9+'19 (RU)'!AF9+'20 (RU)'!AF9+'21 (RU)'!AF9+'22 (RU)'!AF9+'23 (RU)'!AF9</f>
        <v>#DIV/0!</v>
      </c>
      <c r="BS3" t="e">
        <f>'1 (RU)'!AG9+'2 (RU)'!AG9+'3 (RU)'!AG9+'4 (RU)'!AG9+'5 (RU)'!AG9+'6 (RU)'!AG9+'7 (RU)'!AG9+'8 (RU)'!AG9+'9 (RU)'!AG9+'10 (RU)'!AG9+'11 (RU)'!AG9+'12 (RU)'!AG9+'13 (RU)'!AG9+'14 (RU)'!AG9+'15 (RU)'!AG9+'16 (RU)'!AG9+'17 (RU)'!AG9+'18 (RU)'!AG9+'19 (RU)'!AG9+'20 (RU)'!AG9+'21 (RU)'!AG9+'22 (RU)'!AG9+'23 (RU)'!AG9</f>
        <v>#DIV/0!</v>
      </c>
      <c r="BT3" t="e">
        <f>'1 (RU)'!AH9+'2 (RU)'!AH9+'3 (RU)'!AH9+'4 (RU)'!AH9+'5 (RU)'!AH9+'6 (RU)'!AH9+'7 (RU)'!AH9+'8 (RU)'!AH9+'9 (RU)'!AH9+'10 (RU)'!AH9+'11 (RU)'!AH9+'12 (RU)'!AH9+'13 (RU)'!AH9+'14 (RU)'!AH9+'15 (RU)'!AH9+'16 (RU)'!AH9+'17 (RU)'!AH9+'18 (RU)'!AH9+'19 (RU)'!AH9+'20 (RU)'!AH9+'21 (RU)'!AH9+'22 (RU)'!AH9+'23 (RU)'!AH9</f>
        <v>#DIV/0!</v>
      </c>
      <c r="BU3" t="e">
        <f>'1 (RU)'!AI9+'2 (RU)'!AI9+'3 (RU)'!AI9+'4 (RU)'!AI9+'5 (RU)'!AI9+'6 (RU)'!AI9+'7 (RU)'!AI9+'8 (RU)'!AI9+'9 (RU)'!AI9+'10 (RU)'!AI9+'11 (RU)'!AI9+'12 (RU)'!AI9+'13 (RU)'!AI9+'14 (RU)'!AI9+'15 (RU)'!AI9+'16 (RU)'!AI9+'17 (RU)'!AI9+'18 (RU)'!AI9+'19 (RU)'!AI9+'20 (RU)'!AI9+'21 (RU)'!AI9+'22 (RU)'!AI9+'23 (RU)'!AI9</f>
        <v>#DIV/0!</v>
      </c>
      <c r="BV3" t="e">
        <f>'1 (RU)'!AJ9+'2 (RU)'!AJ9+'3 (RU)'!AJ9+'4 (RU)'!AJ9+'5 (RU)'!AJ9+'6 (RU)'!AJ9+'7 (RU)'!AJ9+'8 (RU)'!AJ9+'9 (RU)'!AJ9+'10 (RU)'!AJ9+'11 (RU)'!AJ9+'12 (RU)'!AJ9+'13 (RU)'!AJ9+'14 (RU)'!AJ9+'15 (RU)'!AJ9+'16 (RU)'!AJ9+'17 (RU)'!AJ9+'18 (RU)'!AJ9+'19 (RU)'!AJ9+'20 (RU)'!AJ9+'21 (RU)'!AJ9+'22 (RU)'!AJ9+'23 (RU)'!AJ9</f>
        <v>#DIV/0!</v>
      </c>
      <c r="BW3" t="e">
        <f>'1 (RU)'!AK9+'2 (RU)'!AK9+'3 (RU)'!AK9+'4 (RU)'!AK9+'5 (RU)'!AK9+'6 (RU)'!AK9+'7 (RU)'!AK9+'8 (RU)'!AK9+'9 (RU)'!AK9+'10 (RU)'!AK9+'11 (RU)'!AK9+'12 (RU)'!AK9+'13 (RU)'!AK9+'14 (RU)'!AK9+'15 (RU)'!AK9+'16 (RU)'!AK9+'17 (RU)'!AK9+'18 (RU)'!AK9+'19 (RU)'!AK9+'20 (RU)'!AK9+'21 (RU)'!AK9+'22 (RU)'!AK9+'23 (RU)'!AK9</f>
        <v>#DIV/0!</v>
      </c>
      <c r="BX3" t="e">
        <f>'1 (RU)'!AL9+'2 (RU)'!AL9+'3 (RU)'!AL9+'4 (RU)'!AL9+'5 (RU)'!AL9+'6 (RU)'!AL9+'7 (RU)'!AL9+'8 (RU)'!AL9+'9 (RU)'!AL9+'10 (RU)'!AL9+'11 (RU)'!AL9+'12 (RU)'!AL9+'13 (RU)'!AL9+'14 (RU)'!AL9+'15 (RU)'!AL9+'16 (RU)'!AL9+'17 (RU)'!AL9+'18 (RU)'!AL9+'19 (RU)'!AL9+'20 (RU)'!AL9+'21 (RU)'!AL9+'22 (RU)'!AL9+'23 (RU)'!AL9</f>
        <v>#DIV/0!</v>
      </c>
      <c r="BY3" s="25" t="e">
        <f t="shared" ref="BY3:BY27" si="7">SUM(BK3:BO3)</f>
        <v>#DIV/0!</v>
      </c>
      <c r="BZ3" s="16" t="e">
        <f t="shared" ref="BZ3:BZ27" si="8">SUM(BP3:BX3)</f>
        <v>#DIV/0!</v>
      </c>
      <c r="CC3" t="e">
        <f>VLOOKUP(CC$1,emissions!$A$2:$B$5,2,FALSE)*BK3</f>
        <v>#DIV/0!</v>
      </c>
      <c r="CD3" t="e">
        <f>VLOOKUP(CD$1,emissions!$A$2:$B$5,2,FALSE)*BL3</f>
        <v>#DIV/0!</v>
      </c>
      <c r="CF3" t="e">
        <f>VLOOKUP(CF$1,emissions!$A$2:$B$5,2,FALSE)*BN3</f>
        <v>#DIV/0!</v>
      </c>
      <c r="CG3" t="e">
        <f>VLOOKUP(CG$1,emissions!$A$2:$B$5,2,FALSE)*BO3</f>
        <v>#DIV/0!</v>
      </c>
      <c r="CH3" t="e">
        <f>BP3*(emissions!$D$3*production!$B$4+emissions!$D$4*production!$C$4+emissions!$D$5*production!$D$4+emissions!$D$6*production!$E$4)</f>
        <v>#DIV/0!</v>
      </c>
      <c r="CI3" t="e">
        <f>BQ3*(emissions!$D$3*production!$B$4+emissions!$D$4*production!$C$4+emissions!$D$5*production!$D$4+emissions!$D$6*production!$E$4)</f>
        <v>#DIV/0!</v>
      </c>
      <c r="CJ3" t="e">
        <f>BR3*(emissions!$D$8*production!$B$6+emissions!$D$9*production!$C$6+emissions!$D$10*production!$D$6)</f>
        <v>#DIV/0!</v>
      </c>
      <c r="CK3" t="e">
        <f>BS3*(emissions!$D$12*production!$B$8+emissions!$D$13*production!$C$8+emissions!$D$14*production!$D$8)</f>
        <v>#DIV/0!</v>
      </c>
      <c r="CL3" t="e">
        <f>BT3*(emissions!$D$16*production!$B$10+production!$C$10*emissions!$D$17)</f>
        <v>#DIV/0!</v>
      </c>
      <c r="CM3" t="e">
        <f>BU3*(emissions!$D$19*production!$B$12+production!$C$12*emissions!$D$20+emissions!$D$21*production!$D$12)</f>
        <v>#DIV/0!</v>
      </c>
      <c r="CN3" t="e">
        <f>BV3*(emissions!$D$23*production!$B$14+production!$C$14*emissions!$D$24+emissions!$D$25*production!$D$14)</f>
        <v>#DIV/0!</v>
      </c>
      <c r="CO3" t="e">
        <f>BW3*(emissions!$D$27*production!$B$16+production!$C$16*emissions!$D$28+production!$D$16*emissions!$D$29)</f>
        <v>#DIV/0!</v>
      </c>
      <c r="CP3">
        <v>0</v>
      </c>
      <c r="CS3" t="e">
        <f t="shared" ref="CS3:CS27" si="9">SUM(CC3:CP3)</f>
        <v>#DIV/0!</v>
      </c>
      <c r="CT3" s="40" t="e">
        <f t="shared" ref="CT3:CT27" si="10">SUM(CC3:CP3)/SUM(BK3:BX3)</f>
        <v>#DIV/0!</v>
      </c>
      <c r="CU3" t="e">
        <f t="shared" si="0"/>
        <v>#DIV/0!</v>
      </c>
      <c r="CV3" t="e">
        <f t="shared" si="1"/>
        <v>#DIV/0!</v>
      </c>
      <c r="CW3">
        <f t="shared" si="2"/>
        <v>93.3</v>
      </c>
      <c r="CX3">
        <f t="shared" si="3"/>
        <v>93.3</v>
      </c>
      <c r="CY3">
        <f t="shared" ref="CY3:CY27" si="11">IF(G3&lt;2028,0,IF(CT3&gt;=CW3,CU3,IF(AND(CT3&lt;CW3,CT3&gt;=CX3),CV3,0))*SUM(BK3:BX3))</f>
        <v>0</v>
      </c>
      <c r="CZ3" s="74" t="e">
        <f t="shared" ref="CZ3:CZ27" si="12">IF(CT3&gt;=CW3,380*CY3,IF(AND(CT3&lt;CW3,CT3&gt;=CX3),100*CY3,0))</f>
        <v>#DIV/0!</v>
      </c>
      <c r="DA3" t="str">
        <f t="shared" ref="DA3:DA27" si="13">IF(G3&lt;2028,"",IF(CT3&gt;=CW3,"Red",IF(AND(CT3&lt;CW3,CT3&gt;=CX3),"Yellow","Green")))</f>
        <v/>
      </c>
      <c r="DB3">
        <f t="shared" ref="DB3:DB27" si="14">IF(G3&lt;2028,0,IF(CT3&lt;CX3,-CV3*SUM(BK3:BX3),0))</f>
        <v>0</v>
      </c>
      <c r="DC3" s="34">
        <f t="shared" ref="DC3:DC27" si="15">DB3*380</f>
        <v>0</v>
      </c>
      <c r="DD3">
        <v>2026</v>
      </c>
      <c r="DO3" s="40" t="s">
        <v>343</v>
      </c>
      <c r="DP3" s="40" t="s">
        <v>341</v>
      </c>
      <c r="DQ3" s="70">
        <v>17960</v>
      </c>
      <c r="DR3" s="71">
        <v>7825</v>
      </c>
      <c r="DS3" s="35"/>
      <c r="DT3" s="71">
        <v>614</v>
      </c>
      <c r="DU3" s="71">
        <v>2090</v>
      </c>
      <c r="DV3">
        <f>DQ3*VLOOKUP(DQ$1,emissions!$A$2:$B$5,2,FALSE)</f>
        <v>2622160</v>
      </c>
      <c r="DW3">
        <f>DR3*VLOOKUP(DR$1,emissions!$A$2:$B$5,2,FALSE)</f>
        <v>1142450</v>
      </c>
      <c r="DY3">
        <f>DT3*VLOOKUP(DT$1,emissions!$A$2:$B$5,2,FALSE)</f>
        <v>89030</v>
      </c>
      <c r="DZ3">
        <f>DU3*VLOOKUP(DU$1,emissions!$A$2:$B$5,2,FALSE)</f>
        <v>236170</v>
      </c>
      <c r="EA3">
        <f t="shared" ref="EA3:EA27" si="16">SUM(DV3:DZ3)</f>
        <v>4089810</v>
      </c>
      <c r="EB3">
        <f t="shared" ref="EB3:EB27" si="17">1/(SUM(DQ3:DU3)/EA3)</f>
        <v>143.55751342623469</v>
      </c>
      <c r="ED3" s="77" t="e">
        <f t="shared" si="4"/>
        <v>#DIV/0!</v>
      </c>
      <c r="EE3" s="34" t="e">
        <f>cost!$B$2*BK3</f>
        <v>#DIV/0!</v>
      </c>
      <c r="EF3" s="34" t="e">
        <f>cost!$B$3*BL3</f>
        <v>#DIV/0!</v>
      </c>
      <c r="EG3" s="34"/>
      <c r="EH3" s="34" t="e">
        <f>cost!$B$4*BN3</f>
        <v>#DIV/0!</v>
      </c>
      <c r="EI3" s="34" t="e">
        <f>cost!$B$5*$BO$2</f>
        <v>#DIV/0!</v>
      </c>
      <c r="EJ3" s="34" t="e">
        <f>BP3*(cost!$D$3*production!$B$4+production!$C$4*cost!$D$4+cost!$D$5*production!$D$4+production!$E$4*cost!$D$6)</f>
        <v>#DIV/0!</v>
      </c>
      <c r="EK3" s="34" t="e">
        <f>BQ3*(cost!$D$3*production!$B$4+production!$C$4*cost!$D$4+cost!$D$5*production!$D$4+production!$E$4*cost!$D$6)</f>
        <v>#DIV/0!</v>
      </c>
      <c r="EL3" s="34" t="e">
        <f>BR3*(cost!$D$8*production!$B$6+cost!$D$9*production!$C$6+$D$10*production!$D$6)</f>
        <v>#DIV/0!</v>
      </c>
      <c r="EM3" s="34" t="e">
        <f>BS3*(cost!$D$12*production!$B$8+cost!$D$13*production!$C$8+cost!$D$14*production!$D$8)</f>
        <v>#DIV/0!</v>
      </c>
      <c r="EN3" s="34" t="e">
        <f>BT3*(cost!$D$16*production!$B$10+production!$C$10*cost!$D$17)</f>
        <v>#DIV/0!</v>
      </c>
      <c r="EO3" s="34" t="e">
        <f>BU3*(cost!$D$19*production!$B$12+production!$C$12*cost!$D$20+cost!$D$21*production!$D$12)</f>
        <v>#DIV/0!</v>
      </c>
      <c r="EP3" s="34" t="e">
        <f>BV3*(cost!$D$23*production!$B$14+production!$C$14*cost!$D$24+cost!$D$25*production!$D$14)</f>
        <v>#DIV/0!</v>
      </c>
      <c r="EQ3" s="34" t="e">
        <f>BW3*(cost!$D$27*production!$B$16+production!$C$16*cost!$D$28+cost!$D$29*production!$D$16)</f>
        <v>#DIV/0!</v>
      </c>
      <c r="ER3" s="34" t="e">
        <f>BX3*(re!$H$10*re!$C$10+re!$H$11*re!$C$11+re!$H$12*re!$C$12+re!$H$13*re!$C$13+re!$H$14*re!$C$14)</f>
        <v>#DIV/0!</v>
      </c>
    </row>
    <row r="4" spans="1:148" x14ac:dyDescent="0.2">
      <c r="A4" t="s">
        <v>77</v>
      </c>
      <c r="B4" s="5">
        <v>0.03</v>
      </c>
      <c r="C4" s="5">
        <v>0.13</v>
      </c>
      <c r="D4" s="10">
        <v>5</v>
      </c>
      <c r="E4" s="86"/>
      <c r="F4" s="83"/>
      <c r="G4">
        <v>2027</v>
      </c>
      <c r="H4" s="25">
        <f>'2'!AB10+'6'!AB10+'7'!AB10+'9'!AB10+'11'!AB10+'12'!AB10+'13'!AB10+'16'!AB10+'17'!AB10+'18'!AB10+'22'!AB10</f>
        <v>346.44751655876632</v>
      </c>
      <c r="I4" s="16">
        <f>'1'!AB10+'2'!AC10+'5'!AB10+'6'!AC10+'7'!AC10+'9'!AC10+'11'!AC10+'12'!AC10+'13'!AC10+'15'!AB10+'16'!AC10+'17'!AC10+'18'!AC10+'19'!AB10+'22'!AC10</f>
        <v>259.39734515520126</v>
      </c>
      <c r="J4" s="16"/>
      <c r="K4" s="16">
        <f>'3'!AB10+'4'!AB10+'10'!AB10+'20'!AB10+'21'!AB10+'23'!AB10</f>
        <v>22.463128676084615</v>
      </c>
      <c r="L4" s="16">
        <f>'8'!AB10+'14'!AB10</f>
        <v>207.40305973087385</v>
      </c>
      <c r="M4" s="16">
        <f>'1'!AD10+'2'!AD10+'3'!AD10+'4'!AD10+'5'!AD10+'6'!AD10+'7'!AD10+'8'!AD10+'9'!AD10+'10'!AD10+'11'!AD10+'12'!AD10+'13'!AD10+'14'!AD10+'15'!AD10+'16'!AD10+'17'!AD10+'18'!AD10+'19'!AD10+'20'!AD10+'21'!AD10+'22'!AD10+'23'!AD10</f>
        <v>2.3774288188702211</v>
      </c>
      <c r="N4" s="16">
        <f>'1'!AE10+'2'!AE10+'3'!AE10+'4'!AE10+'5'!AE10+'6'!AE10+'7'!AE10+'8'!AE10+'9'!AE10+'10'!AE10+'11'!AE10+'12'!AE10+'13'!AE10+'14'!AE10+'15'!AE10+'16'!AE10+'17'!AE10+'18'!AE10+'19'!AE10+'20'!AE10+'21'!AE10+'22'!AE10+'23'!AE10</f>
        <v>0.14098359790909773</v>
      </c>
      <c r="O4" s="16">
        <f>'1'!AF10+'2'!AF10+'3'!AF10+'4'!AF10+'5'!AF10+'6'!AF10+'7'!AF10+'8'!AF10+'9'!AF10+'10'!AF10+'11'!AF10+'12'!AF10+'13'!AF10+'14'!AF10+'15'!AF10+'16'!AF10+'17'!AF10+'18'!AF10+'19'!AF10+'20'!AF10+'21'!AF10+'22'!AF10+'23'!AF10</f>
        <v>4.5562758885965744</v>
      </c>
      <c r="P4" s="16">
        <f>'1'!AG10+'2'!AG10+'3'!AG10+'4'!AG10+'5'!AG10+'6'!AG10+'7'!AG10+'8'!AG10+'9'!AG10+'10'!AG10+'11'!AG10+'12'!AG10+'13'!AG10+'14'!AG10+'15'!AG10+'16'!AG10+'17'!AG10+'18'!AG10+'19'!AG10+'20'!AG10+'21'!AG10+'22'!AG10+'23'!AG10</f>
        <v>4.1430585049144355</v>
      </c>
      <c r="Q4" s="16">
        <f>'1'!AH10+'2'!AH10+'3'!AH10+'4'!AH10+'5'!AH10+'6'!AH10+'7'!AH10+'8'!AH10+'9'!AH10+'10'!AH10+'11'!AH10+'12'!AH10+'13'!AH10+'14'!AH10+'15'!AH10+'16'!AH10+'17'!AH10+'18'!AH10+'19'!AH10+'20'!AH10+'21'!AH10+'22'!AH10+'23'!AH10</f>
        <v>0.10716313623603888</v>
      </c>
      <c r="R4" s="16">
        <f>'1'!AI10+'2'!AI10+'3'!AI10+'4'!AI10+'5'!AI10+'6'!AI10+'7'!AI10+'8'!AI10+'9'!AI10+'10'!AI10+'11'!AI10+'12'!AI10+'13'!AI10+'14'!AI10+'15'!AI10+'16'!AI10+'17'!AI10+'18'!AI10+'19'!AI10+'20'!AI10+'21'!AI10+'22'!AI10+'23'!AI10</f>
        <v>0.71913032468172111</v>
      </c>
      <c r="S4" s="16">
        <f>'1'!AJ10+'2'!AJ10+'3'!AJ10+'4'!AJ10+'5'!AJ10+'6'!AJ10+'7'!AJ10+'8'!AJ10+'9'!AJ10+'10'!AJ10+'11'!AJ10+'12'!AJ10+'13'!AJ10+'14'!AJ10+'15'!AJ10+'16'!AJ10+'17'!AJ10+'18'!AJ10+'19'!AJ10+'20'!AJ10+'21'!AJ10+'22'!AJ10+'23'!AJ10</f>
        <v>0.20515722861992042</v>
      </c>
      <c r="T4" s="16">
        <f>'1'!AK10+'2'!AK10+'3'!AK10+'4'!AK10+'5'!AK10+'6'!AK10+'7'!AK10+'8'!AK10+'9'!AK10+'10'!AK10+'11'!AK10+'12'!AK10+'13'!AK10+'14'!AK10+'15'!AK10+'16'!AK10+'17'!AK10+'18'!AK10+'19'!AK10+'20'!AK10+'21'!AK10+'22'!AK10+'23'!AK10</f>
        <v>2.2509112142972123</v>
      </c>
      <c r="U4" s="16">
        <f>'1'!AL10+'2'!AL10+'3'!AL10+'4'!AL10+'5'!AL10+'6'!AL10+'7'!AL10+'8'!AL10+'9'!AL10+'10'!AL10+'11'!AL10+'12'!AL10+'13'!AL10+'14'!AL10+'15'!AL10+'16'!AL10+'17'!AL10+'18'!AL10+'19'!AL10+'20'!AL10+'21'!AL10+'22'!AL10+'23'!AL10</f>
        <v>5.4312861742014046E-3</v>
      </c>
      <c r="V4" s="25">
        <f t="shared" si="5"/>
        <v>835.71105012092607</v>
      </c>
      <c r="W4" s="16">
        <f t="shared" si="6"/>
        <v>14.505540000299423</v>
      </c>
      <c r="X4" s="9">
        <f>W4/W3-1</f>
        <v>1.59072276884257</v>
      </c>
      <c r="Y4" s="16">
        <f>((M4+N4)*re!$D$2/re!$C$2+O4*re!$D$3/re!$C$3+P4*re!$D$4/re!$C$4+T4*re!$D$5/re!$C$5+U4*re!$D$6/re!$C$6)</f>
        <v>24.61370153068421</v>
      </c>
      <c r="Z4">
        <f t="shared" ref="Z4:Z27" si="18">SUM(AA4:AE4)</f>
        <v>1.8989946190682763</v>
      </c>
      <c r="AA4">
        <f>((Y4*277.8)/(re!$B$10*8760))*re!$C$10</f>
        <v>1.0766314415405567</v>
      </c>
      <c r="AB4">
        <f>((Y4*277.8)/(re!$B$11*8760))*re!$C$11</f>
        <v>0.40028604877789919</v>
      </c>
      <c r="AC4">
        <f>((Y4*277.8)/(re!$B$12*8760))*re!$C$12</f>
        <v>0.1445477398364636</v>
      </c>
      <c r="AD4">
        <f>((Y4*277.8)/(re!$B$13*8760))*re!$C$13</f>
        <v>4.2421619299831709E-2</v>
      </c>
      <c r="AE4">
        <f>((Y4*277.8)/(re!$B$14*8760))*re!$C$14</f>
        <v>0.23510776961352514</v>
      </c>
      <c r="AF4">
        <f>SUM('1'!AD10:AL10)+'1'!AA10</f>
        <v>135.6983178096049</v>
      </c>
      <c r="AG4">
        <f>SUM('2'!AD10:AL10)+'2'!AA10</f>
        <v>2.5701218411807343</v>
      </c>
      <c r="AH4">
        <f>SUM('3'!AD10:AL10)+'3'!AA10</f>
        <v>11.042624599208882</v>
      </c>
      <c r="AI4">
        <f>SUM('4'!AD10:AL10)+'4'!AA10</f>
        <v>0.8221434569565329</v>
      </c>
      <c r="AJ4">
        <f>SUM('5'!AD10:AL10)+'5'!AA10</f>
        <v>5.0533188201527643</v>
      </c>
      <c r="AK4">
        <f>SUM('6'!AD10:AL10)+'6'!AA10</f>
        <v>130.54334986816764</v>
      </c>
      <c r="AL4">
        <f>SUM('7'!AD10:AL10)+'7'!AA10</f>
        <v>114.79622859660741</v>
      </c>
      <c r="AM4">
        <f>SUM('8'!AD10:AL10)+'8'!AA10</f>
        <v>207.298287596531</v>
      </c>
      <c r="AN4">
        <f>SUM('9'!AD10:AL10)+'9'!AA10</f>
        <v>63.095720010042434</v>
      </c>
      <c r="AO4">
        <f>SUM('10'!AD10:AL10)+'10'!AA10</f>
        <v>4.6253185693567254</v>
      </c>
      <c r="AP4">
        <f>SUM('11'!AD10:AL10)+'11'!AA10</f>
        <v>5.880845733550216</v>
      </c>
      <c r="AQ4">
        <f>SUM('12'!AD10:AL10)+'12'!AA10</f>
        <v>1.8067168894849106</v>
      </c>
      <c r="AR4">
        <f>SUM('13'!AD10:AL10)+'13'!AA10</f>
        <v>5.2567909313598165</v>
      </c>
      <c r="AS4">
        <f>SUM('14'!AD10:AL10)+'14'!AA10</f>
        <v>4.0817596518111312</v>
      </c>
      <c r="AT4">
        <f>SUM('15'!AD10:AL10)+'15'!AA10</f>
        <v>56.058844897788802</v>
      </c>
      <c r="AU4">
        <f>SUM('16'!AD10:AL10)+'16'!AA10</f>
        <v>22.373304297347968</v>
      </c>
      <c r="AV4">
        <f>SUM('17'!AD10:AL10)+'17'!AA10</f>
        <v>38.077029579598879</v>
      </c>
      <c r="AW4">
        <f>SUM('18'!AD10:AL10)+'18'!AA10</f>
        <v>9.5089532738283769</v>
      </c>
      <c r="AX4">
        <f>SUM('19'!AD10:AL10)+'19'!AA10</f>
        <v>24.813444313362698</v>
      </c>
      <c r="AY4">
        <f>SUM('20'!AD10:AL10)+'20'!AA10</f>
        <v>1.569913623330395</v>
      </c>
      <c r="AZ4">
        <f>SUM('21'!AD10:AL10)+'21'!AA10</f>
        <v>0.14294471121194019</v>
      </c>
      <c r="BA4">
        <f>SUM('22'!AD10:AL10)+'22'!AA10</f>
        <v>0.46498814891952966</v>
      </c>
      <c r="BB4">
        <f>SUM('23'!AD10:AL10)+'23'!AA10</f>
        <v>4.6356229018218187</v>
      </c>
      <c r="BC4">
        <f>('1'!D10+'2'!D10+'3'!D10+'4'!D10+'5'!D10+'6'!D10+'7'!D10+'8'!D10+'9'!D10+'10'!D10+'12'!D10+'13'!D10+'14'!D10+'15'!D10+'16'!D10+'17'!D10+'18'!D10+'19'!D10+'20'!D10+'21'!D10+'22'!D10+'23'!D10)/('1'!D9+'2'!D9+'3'!D9+'4'!D9+'5'!D9+'6'!D9+'7'!D9+'8'!D9+'9'!D9+'10'!D9+'12'!D9+'13'!D9+'14'!D9+'15'!D9+'16'!D9+'17'!D9+'18'!D9+'19'!D9+'20'!D9+'21'!D9+'22'!D9+'23'!D9)-1</f>
        <v>1.04383711144889</v>
      </c>
      <c r="BD4">
        <f>('1'!E10+'2'!E10+'3'!E10+'4'!E10+'5'!E10+'6'!E10+'7'!E10+'8'!E10+'9'!E10+'10'!E10+'12'!E10+'13'!E10+'14'!E10+'15'!E10+'16'!E10+'17'!E10+'18'!E10+'19'!E10+'20'!E10+'21'!E10+'22'!E10+'23'!E10)/('1'!E9+'2'!E9+'3'!E9+'4'!E9+'5'!E9+'6'!E9+'7'!E9+'8'!E9+'9'!E9+'10'!E9+'12'!E9+'13'!E9+'14'!E9+'15'!E9+'16'!E9+'17'!E9+'18'!E9+'19'!E9+'20'!E9+'21'!E9+'22'!E9+'23'!E9)-1</f>
        <v>1.0438371114488927</v>
      </c>
      <c r="BE4">
        <f>('1'!F10+'2'!F10+'3'!F10+'4'!F10+'5'!F10+'6'!F10+'7'!F10+'8'!F10+'9'!F10+'10'!F10+'12'!F10+'13'!F10+'14'!F10+'15'!F10+'16'!F10+'17'!F10+'18'!F10+'19'!F10+'20'!F10+'21'!F10+'22'!F10+'23'!F10)/('1'!F9+'2'!F9+'3'!F9+'4'!F9+'5'!F9+'6'!F9+'7'!F9+'8'!F9+'9'!F9+'10'!F9+'12'!F9+'13'!F9+'14'!F9+'15'!F9+'16'!F9+'17'!F9+'18'!F9+'19'!F9+'20'!F9+'21'!F9+'22'!F9+'23'!F9)-1</f>
        <v>1.0424592395544408</v>
      </c>
      <c r="BF4">
        <f t="shared" ref="BF4:BF27" si="19">W4/W3-1</f>
        <v>1.59072276884257</v>
      </c>
      <c r="BG4">
        <v>2027</v>
      </c>
      <c r="BH4" s="2">
        <v>0</v>
      </c>
      <c r="BI4" s="2">
        <v>0</v>
      </c>
      <c r="BJ4" s="2"/>
      <c r="BK4" t="e">
        <f>'2 (RU)'!AB10+'6 (RU)'!AB10+'7 (RU)'!AB10+'9 (RU)'!AB10+'11 (RU)'!AB10+'12 (RU)'!AB10+'13 (RU)'!AB10+'16 (RU)'!AB10+'17 (RU)'!AB10+'18 (RU)'!AB10+'22 (RU)'!AB10</f>
        <v>#DIV/0!</v>
      </c>
      <c r="BL4" t="e">
        <f>'1 (RU)'!AB10+'2 (RU)'!AC10+'5 (RU)'!AB10+'6 (RU)'!AC10+'7 (RU)'!AC10+'9 (RU)'!AC10+'11 (RU)'!AC10+'12 (RU)'!AC10+'13 (RU)'!AC10+'15 (RU)'!AB10+'16 (RU)'!AC10+'17 (RU)'!AC10+'18 (RU)'!AC10+'19 (RU)'!AB10+'22 (RU)'!AC10</f>
        <v>#DIV/0!</v>
      </c>
      <c r="BN4" t="e">
        <f>'3 (RU)'!AB10+'4 (RU)'!AB10+'10 (RU)'!AB10+'20 (RU)'!AB10+'21 (RU)'!AB10+'23 (RU)'!AB10</f>
        <v>#DIV/0!</v>
      </c>
      <c r="BO4" t="e">
        <f>'8 (RU)'!AB10+'14 (RU)'!AB10</f>
        <v>#DIV/0!</v>
      </c>
      <c r="BP4" t="e">
        <f>'1 (RU)'!AD10+'2 (RU)'!AD10+'3 (RU)'!AD10+'4 (RU)'!AD10+'5 (RU)'!AD10+'6 (RU)'!AD10+'7 (RU)'!AD10+'8 (RU)'!AD10+'9 (RU)'!AD10+'10 (RU)'!AD10+'11 (RU)'!AD10+'12 (RU)'!AD10+'13 (RU)'!AD10+'14 (RU)'!AD10+'15 (RU)'!AD10+'16 (RU)'!AD10+'17 (RU)'!AD10+'18 (RU)'!AD10+'19 (RU)'!AD10+'20 (RU)'!AD10+'21 (RU)'!AD10+'22 (RU)'!AD10+'23 (RU)'!AD10</f>
        <v>#DIV/0!</v>
      </c>
      <c r="BQ4" t="e">
        <f>'1 (RU)'!AE10+'2 (RU)'!AE10+'3 (RU)'!AE10+'4 (RU)'!AE10+'5 (RU)'!AE10+'6 (RU)'!AE10+'7 (RU)'!AE10+'8 (RU)'!AE10+'9 (RU)'!AE10+'10 (RU)'!AE10+'11 (RU)'!AE10+'12 (RU)'!AE10+'13 (RU)'!AE10+'14 (RU)'!AE10+'15 (RU)'!AE10+'16 (RU)'!AE10+'17 (RU)'!AE10+'18 (RU)'!AE10+'19 (RU)'!AE10+'20 (RU)'!AE10+'21 (RU)'!AE10+'22 (RU)'!AE10+'23 (RU)'!AE10</f>
        <v>#DIV/0!</v>
      </c>
      <c r="BR4" t="e">
        <f>'1 (RU)'!AF10+'2 (RU)'!AF10+'3 (RU)'!AF10+'4 (RU)'!AF10+'5 (RU)'!AF10+'6 (RU)'!AF10+'7 (RU)'!AF10+'8 (RU)'!AF10+'9 (RU)'!AF10+'10 (RU)'!AF10+'11 (RU)'!AF10+'12 (RU)'!AF10+'13 (RU)'!AF10+'14 (RU)'!AF10+'15 (RU)'!AF10+'16 (RU)'!AF10+'17 (RU)'!AF10+'18 (RU)'!AF10+'19 (RU)'!AF10+'20 (RU)'!AF10+'21 (RU)'!AF10+'22 (RU)'!AF10+'23 (RU)'!AF10</f>
        <v>#DIV/0!</v>
      </c>
      <c r="BS4" t="e">
        <f>'1 (RU)'!AG10+'2 (RU)'!AG10+'3 (RU)'!AG10+'4 (RU)'!AG10+'5 (RU)'!AG10+'6 (RU)'!AG10+'7 (RU)'!AG10+'8 (RU)'!AG10+'9 (RU)'!AG10+'10 (RU)'!AG10+'11 (RU)'!AG10+'12 (RU)'!AG10+'13 (RU)'!AG10+'14 (RU)'!AG10+'15 (RU)'!AG10+'16 (RU)'!AG10+'17 (RU)'!AG10+'18 (RU)'!AG10+'19 (RU)'!AG10+'20 (RU)'!AG10+'21 (RU)'!AG10+'22 (RU)'!AG10+'23 (RU)'!AG10</f>
        <v>#DIV/0!</v>
      </c>
      <c r="BT4" t="e">
        <f>'1 (RU)'!AH10+'2 (RU)'!AH10+'3 (RU)'!AH10+'4 (RU)'!AH10+'5 (RU)'!AH10+'6 (RU)'!AH10+'7 (RU)'!AH10+'8 (RU)'!AH10+'9 (RU)'!AH10+'10 (RU)'!AH10+'11 (RU)'!AH10+'12 (RU)'!AH10+'13 (RU)'!AH10+'14 (RU)'!AH10+'15 (RU)'!AH10+'16 (RU)'!AH10+'17 (RU)'!AH10+'18 (RU)'!AH10+'19 (RU)'!AH10+'20 (RU)'!AH10+'21 (RU)'!AH10+'22 (RU)'!AH10+'23 (RU)'!AH10</f>
        <v>#DIV/0!</v>
      </c>
      <c r="BU4" t="e">
        <f>'1 (RU)'!AI10+'2 (RU)'!AI10+'3 (RU)'!AI10+'4 (RU)'!AI10+'5 (RU)'!AI10+'6 (RU)'!AI10+'7 (RU)'!AI10+'8 (RU)'!AI10+'9 (RU)'!AI10+'10 (RU)'!AI10+'11 (RU)'!AI10+'12 (RU)'!AI10+'13 (RU)'!AI10+'14 (RU)'!AI10+'15 (RU)'!AI10+'16 (RU)'!AI10+'17 (RU)'!AI10+'18 (RU)'!AI10+'19 (RU)'!AI10+'20 (RU)'!AI10+'21 (RU)'!AI10+'22 (RU)'!AI10+'23 (RU)'!AI10</f>
        <v>#DIV/0!</v>
      </c>
      <c r="BV4" t="e">
        <f>'1 (RU)'!AJ10+'2 (RU)'!AJ10+'3 (RU)'!AJ10+'4 (RU)'!AJ10+'5 (RU)'!AJ10+'6 (RU)'!AJ10+'7 (RU)'!AJ10+'8 (RU)'!AJ10+'9 (RU)'!AJ10+'10 (RU)'!AJ10+'11 (RU)'!AJ10+'12 (RU)'!AJ10+'13 (RU)'!AJ10+'14 (RU)'!AJ10+'15 (RU)'!AJ10+'16 (RU)'!AJ10+'17 (RU)'!AJ10+'18 (RU)'!AJ10+'19 (RU)'!AJ10+'20 (RU)'!AJ10+'21 (RU)'!AJ10+'22 (RU)'!AJ10+'23 (RU)'!AJ10</f>
        <v>#DIV/0!</v>
      </c>
      <c r="BW4" t="e">
        <f>'1 (RU)'!AK10+'2 (RU)'!AK10+'3 (RU)'!AK10+'4 (RU)'!AK10+'5 (RU)'!AK10+'6 (RU)'!AK10+'7 (RU)'!AK10+'8 (RU)'!AK10+'9 (RU)'!AK10+'10 (RU)'!AK10+'11 (RU)'!AK10+'12 (RU)'!AK10+'13 (RU)'!AK10+'14 (RU)'!AK10+'15 (RU)'!AK10+'16 (RU)'!AK10+'17 (RU)'!AK10+'18 (RU)'!AK10+'19 (RU)'!AK10+'20 (RU)'!AK10+'21 (RU)'!AK10+'22 (RU)'!AK10+'23 (RU)'!AK10</f>
        <v>#DIV/0!</v>
      </c>
      <c r="BX4" t="e">
        <f>'1 (RU)'!AL10+'2 (RU)'!AL10+'3 (RU)'!AL10+'4 (RU)'!AL10+'5 (RU)'!AL10+'6 (RU)'!AL10+'7 (RU)'!AL10+'8 (RU)'!AL10+'9 (RU)'!AL10+'10 (RU)'!AL10+'11 (RU)'!AL10+'12 (RU)'!AL10+'13 (RU)'!AL10+'14 (RU)'!AL10+'15 (RU)'!AL10+'16 (RU)'!AL10+'17 (RU)'!AL10+'18 (RU)'!AL10+'19 (RU)'!AL10+'20 (RU)'!AL10+'21 (RU)'!AL10+'22 (RU)'!AL10+'23 (RU)'!AL10</f>
        <v>#DIV/0!</v>
      </c>
      <c r="BY4" s="25" t="e">
        <f t="shared" si="7"/>
        <v>#DIV/0!</v>
      </c>
      <c r="BZ4" s="16" t="e">
        <f t="shared" si="8"/>
        <v>#DIV/0!</v>
      </c>
      <c r="CC4" t="e">
        <f>VLOOKUP(CC$1,emissions!$A$2:$B$5,2,FALSE)*BK4</f>
        <v>#DIV/0!</v>
      </c>
      <c r="CD4" t="e">
        <f>VLOOKUP(CD$1,emissions!$A$2:$B$5,2,FALSE)*BL4</f>
        <v>#DIV/0!</v>
      </c>
      <c r="CF4" t="e">
        <f>VLOOKUP(CF$1,emissions!$A$2:$B$5,2,FALSE)*BN4</f>
        <v>#DIV/0!</v>
      </c>
      <c r="CG4" t="e">
        <f>VLOOKUP(CG$1,emissions!$A$2:$B$5,2,FALSE)*BO4</f>
        <v>#DIV/0!</v>
      </c>
      <c r="CH4" t="e">
        <f>BP4*(emissions!$D$3*production!$B$4+emissions!$D$4*production!$C$4+emissions!$D$5*production!$D$4+emissions!$D$6*production!$E$4)</f>
        <v>#DIV/0!</v>
      </c>
      <c r="CI4" t="e">
        <f>BQ4*(emissions!$D$3*production!$B$4+emissions!$D$4*production!$C$4+emissions!$D$5*production!$D$4+emissions!$D$6*production!$E$4)</f>
        <v>#DIV/0!</v>
      </c>
      <c r="CJ4" t="e">
        <f>BR4*(emissions!$D$8*production!$B$6+emissions!$D$9*production!$C$6+emissions!$D$10*production!$D$6)</f>
        <v>#DIV/0!</v>
      </c>
      <c r="CK4" t="e">
        <f>BS4*(emissions!$D$12*production!$B$8+emissions!$D$13*production!$C$8+emissions!$D$14*production!$D$8)</f>
        <v>#DIV/0!</v>
      </c>
      <c r="CL4" t="e">
        <f>BT4*(emissions!$D$16*production!$B$10+production!$C$10*emissions!$D$17)</f>
        <v>#DIV/0!</v>
      </c>
      <c r="CM4" t="e">
        <f>BU4*(emissions!$D$19*production!$B$12+production!$C$12*emissions!$D$20+emissions!$D$21*production!$D$12)</f>
        <v>#DIV/0!</v>
      </c>
      <c r="CN4" t="e">
        <f>BV4*(emissions!$D$23*production!$B$14+production!$C$14*emissions!$D$24+emissions!$D$25*production!$D$14)</f>
        <v>#DIV/0!</v>
      </c>
      <c r="CO4" t="e">
        <f>BW4*(emissions!$D$27*production!$B$16+production!$C$16*emissions!$D$28+production!$D$16*emissions!$D$29)</f>
        <v>#DIV/0!</v>
      </c>
      <c r="CP4">
        <v>0</v>
      </c>
      <c r="CS4" t="e">
        <f t="shared" si="9"/>
        <v>#DIV/0!</v>
      </c>
      <c r="CT4" s="40" t="e">
        <f t="shared" si="10"/>
        <v>#DIV/0!</v>
      </c>
      <c r="CU4" t="e">
        <f t="shared" si="0"/>
        <v>#DIV/0!</v>
      </c>
      <c r="CV4" t="e">
        <f t="shared" si="1"/>
        <v>#DIV/0!</v>
      </c>
      <c r="CW4">
        <f t="shared" si="2"/>
        <v>93.3</v>
      </c>
      <c r="CX4">
        <f t="shared" si="3"/>
        <v>93.3</v>
      </c>
      <c r="CY4">
        <f t="shared" si="11"/>
        <v>0</v>
      </c>
      <c r="CZ4" s="74" t="e">
        <f t="shared" si="12"/>
        <v>#DIV/0!</v>
      </c>
      <c r="DA4" t="str">
        <f t="shared" si="13"/>
        <v/>
      </c>
      <c r="DB4">
        <f t="shared" si="14"/>
        <v>0</v>
      </c>
      <c r="DC4" s="34">
        <f t="shared" si="15"/>
        <v>0</v>
      </c>
      <c r="DD4">
        <v>2027</v>
      </c>
      <c r="DQ4" s="70">
        <v>17666</v>
      </c>
      <c r="DR4" s="71">
        <v>8584</v>
      </c>
      <c r="DS4" s="71"/>
      <c r="DT4" s="71">
        <v>626</v>
      </c>
      <c r="DU4" s="71">
        <v>2132</v>
      </c>
      <c r="DV4">
        <f>DQ4*VLOOKUP(DQ$1,emissions!$A$2:$B$5,2,FALSE)</f>
        <v>2579236</v>
      </c>
      <c r="DW4">
        <f>DR4*VLOOKUP(DR$1,emissions!$A$2:$B$5,2,FALSE)</f>
        <v>1253264</v>
      </c>
      <c r="DY4">
        <f>DT4*VLOOKUP(DT$1,emissions!$A$2:$B$5,2,FALSE)</f>
        <v>90770</v>
      </c>
      <c r="DZ4">
        <f>DU4*VLOOKUP(DU$1,emissions!$A$2:$B$5,2,FALSE)</f>
        <v>240916</v>
      </c>
      <c r="EA4">
        <f t="shared" si="16"/>
        <v>4164186</v>
      </c>
      <c r="EB4">
        <f t="shared" si="17"/>
        <v>143.55301985659131</v>
      </c>
      <c r="ED4" s="77" t="e">
        <f t="shared" si="4"/>
        <v>#DIV/0!</v>
      </c>
      <c r="EE4" s="34" t="e">
        <f>cost!$B$2*BK4</f>
        <v>#DIV/0!</v>
      </c>
      <c r="EF4" s="34" t="e">
        <f>cost!$B$3*BL4</f>
        <v>#DIV/0!</v>
      </c>
      <c r="EG4" s="34"/>
      <c r="EH4" s="34" t="e">
        <f>cost!$B$4*BN4</f>
        <v>#DIV/0!</v>
      </c>
      <c r="EI4" s="34" t="e">
        <f>cost!$B$5*$BO$2</f>
        <v>#DIV/0!</v>
      </c>
      <c r="EJ4" s="34" t="e">
        <f>BP4*(cost!$D$3*production!$B$4+production!$C$4*cost!$D$4+cost!$D$5*production!$D$4+production!$E$4*cost!$D$6)</f>
        <v>#DIV/0!</v>
      </c>
      <c r="EK4" s="34" t="e">
        <f>BQ4*(cost!$D$3*production!$B$4+production!$C$4*cost!$D$4+cost!$D$5*production!$D$4+production!$E$4*cost!$D$6)</f>
        <v>#DIV/0!</v>
      </c>
      <c r="EL4" s="34" t="e">
        <f>BR4*(cost!$D$8*production!$B$6+cost!$D$9*production!$C$6+$D$10*production!$D$6)</f>
        <v>#DIV/0!</v>
      </c>
      <c r="EM4" s="34" t="e">
        <f>BS4*(cost!$D$12*production!$B$8+cost!$D$13*production!$C$8+cost!$D$14*production!$D$8)</f>
        <v>#DIV/0!</v>
      </c>
      <c r="EN4" s="34" t="e">
        <f>BT4*(cost!$D$16*production!$B$10+production!$C$10*cost!$D$17)</f>
        <v>#DIV/0!</v>
      </c>
      <c r="EO4" s="34" t="e">
        <f>BU4*(cost!$D$19*production!$B$12+production!$C$12*cost!$D$20+cost!$D$21*production!$D$12)</f>
        <v>#DIV/0!</v>
      </c>
      <c r="EP4" s="34" t="e">
        <f>BV4*(cost!$D$23*production!$B$14+production!$C$14*cost!$D$24+cost!$D$25*production!$D$14)</f>
        <v>#DIV/0!</v>
      </c>
      <c r="EQ4" s="34" t="e">
        <f>BW4*(cost!$D$27*production!$B$16+production!$C$16*cost!$D$28+cost!$D$29*production!$D$16)</f>
        <v>#DIV/0!</v>
      </c>
      <c r="ER4" s="34" t="e">
        <f>BX4*(re!$H$10*re!$C$10+re!$H$11*re!$C$11+re!$H$12*re!$C$12+re!$H$13*re!$C$13+re!$H$14*re!$C$14)</f>
        <v>#DIV/0!</v>
      </c>
    </row>
    <row r="5" spans="1:148" x14ac:dyDescent="0.2">
      <c r="A5" t="s">
        <v>63</v>
      </c>
      <c r="B5" s="5">
        <v>0.03</v>
      </c>
      <c r="C5" s="5">
        <v>0.2</v>
      </c>
      <c r="D5" s="10">
        <v>5</v>
      </c>
      <c r="E5" s="86"/>
      <c r="F5" s="83"/>
      <c r="G5">
        <v>2028</v>
      </c>
      <c r="H5" s="25">
        <f>'2'!AB11+'6'!AB11+'7'!AB11+'9'!AB11+'11'!AB11+'12'!AB11+'13'!AB11+'16'!AB11+'17'!AB11+'18'!AB11+'22'!AB11</f>
        <v>321.98847367192218</v>
      </c>
      <c r="I5" s="16">
        <f>'1'!AB11+'2'!AC11+'5'!AB11+'6'!AC11+'7'!AC11+'9'!AC11+'11'!AC11+'12'!AC11+'13'!AC11+'15'!AB11+'16'!AC11+'17'!AC11+'18'!AC11+'19'!AB11+'22'!AC11</f>
        <v>285.636990960106</v>
      </c>
      <c r="J5" s="16"/>
      <c r="K5" s="16">
        <f>'3'!AB11+'4'!AB11+'10'!AB11+'20'!AB11+'21'!AB11+'23'!AB11</f>
        <v>22.579446425426919</v>
      </c>
      <c r="L5" s="16">
        <f>'8'!AB11+'14'!AB11</f>
        <v>208.43098689191649</v>
      </c>
      <c r="M5" s="16">
        <f>'1'!AD11+'2'!AD11+'3'!AD11+'4'!AD11+'5'!AD11+'6'!AD11+'7'!AD11+'8'!AD11+'9'!AD11+'10'!AD11+'11'!AD11+'12'!AD11+'13'!AD11+'14'!AD11+'15'!AD11+'16'!AD11+'17'!AD11+'18'!AD11+'19'!AD11+'20'!AD11+'21'!AD11+'22'!AD11+'23'!AD11</f>
        <v>4.669848508193672</v>
      </c>
      <c r="N5" s="16">
        <f>'1'!AE11+'2'!AE11+'3'!AE11+'4'!AE11+'5'!AE11+'6'!AE11+'7'!AE11+'8'!AE11+'9'!AE11+'10'!AE11+'11'!AE11+'12'!AE11+'13'!AE11+'14'!AE11+'15'!AE11+'16'!AE11+'17'!AE11+'18'!AE11+'19'!AE11+'20'!AE11+'21'!AE11+'22'!AE11+'23'!AE11</f>
        <v>0.27692102300518479</v>
      </c>
      <c r="O5" s="16">
        <f>'1'!AF11+'2'!AF11+'3'!AF11+'4'!AF11+'5'!AF11+'6'!AF11+'7'!AF11+'8'!AF11+'9'!AF11+'10'!AF11+'11'!AF11+'12'!AF11+'13'!AF11+'14'!AF11+'15'!AF11+'16'!AF11+'17'!AF11+'18'!AF11+'19'!AF11+'20'!AF11+'21'!AF11+'22'!AF11+'23'!AF11</f>
        <v>8.949171888665667</v>
      </c>
      <c r="P5" s="16">
        <f>'1'!AG11+'2'!AG11+'3'!AG11+'4'!AG11+'5'!AG11+'6'!AG11+'7'!AG11+'8'!AG11+'9'!AG11+'10'!AG11+'11'!AG11+'12'!AG11+'13'!AG11+'14'!AG11+'15'!AG11+'16'!AG11+'17'!AG11+'18'!AG11+'19'!AG11+'20'!AG11+'21'!AG11+'22'!AG11+'23'!AG11</f>
        <v>8.1383354149974423</v>
      </c>
      <c r="Q5" s="16">
        <f>'1'!AH11+'2'!AH11+'3'!AH11+'4'!AH11+'5'!AH11+'6'!AH11+'7'!AH11+'8'!AH11+'9'!AH11+'10'!AH11+'11'!AH11+'12'!AH11+'13'!AH11+'14'!AH11+'15'!AH11+'16'!AH11+'17'!AH11+'18'!AH11+'19'!AH11+'20'!AH11+'21'!AH11+'22'!AH11+'23'!AH11</f>
        <v>0.21027337987670741</v>
      </c>
      <c r="R5" s="16">
        <f>'1'!AI11+'2'!AI11+'3'!AI11+'4'!AI11+'5'!AI11+'6'!AI11+'7'!AI11+'8'!AI11+'9'!AI11+'10'!AI11+'11'!AI11+'12'!AI11+'13'!AI11+'14'!AI11+'15'!AI11+'16'!AI11+'17'!AI11+'18'!AI11+'19'!AI11+'20'!AI11+'21'!AI11+'22'!AI11+'23'!AI11</f>
        <v>1.4125725061838765</v>
      </c>
      <c r="S5" s="16">
        <f>'1'!AJ11+'2'!AJ11+'3'!AJ11+'4'!AJ11+'5'!AJ11+'6'!AJ11+'7'!AJ11+'8'!AJ11+'9'!AJ11+'10'!AJ11+'11'!AJ11+'12'!AJ11+'13'!AJ11+'14'!AJ11+'15'!AJ11+'16'!AJ11+'17'!AJ11+'18'!AJ11+'19'!AJ11+'20'!AJ11+'21'!AJ11+'22'!AJ11+'23'!AJ11</f>
        <v>0.40257413903973926</v>
      </c>
      <c r="T5" s="16">
        <f>'1'!AK11+'2'!AK11+'3'!AK11+'4'!AK11+'5'!AK11+'6'!AK11+'7'!AK11+'8'!AK11+'9'!AK11+'10'!AK11+'11'!AK11+'12'!AK11+'13'!AK11+'14'!AK11+'15'!AK11+'16'!AK11+'17'!AK11+'18'!AK11+'19'!AK11+'20'!AK11+'21'!AK11+'22'!AK11+'23'!AK11</f>
        <v>4.4224708497908214</v>
      </c>
      <c r="U5" s="16">
        <f>'1'!AL11+'2'!AL11+'3'!AL11+'4'!AL11+'5'!AL11+'6'!AL11+'7'!AL11+'8'!AL11+'9'!AL11+'10'!AL11+'11'!AL11+'12'!AL11+'13'!AL11+'14'!AL11+'15'!AL11+'16'!AL11+'17'!AL11+'18'!AL11+'19'!AL11+'20'!AL11+'21'!AL11+'22'!AL11+'23'!AL11</f>
        <v>1.0683887102363279E-2</v>
      </c>
      <c r="V5" s="25">
        <f t="shared" si="5"/>
        <v>838.63589794937161</v>
      </c>
      <c r="W5" s="16">
        <f t="shared" si="6"/>
        <v>28.492851596855477</v>
      </c>
      <c r="X5" s="9">
        <f t="shared" ref="X5:X27" si="20">W5/W4-1</f>
        <v>0.96427375997497022</v>
      </c>
      <c r="Y5" s="16">
        <f>((M5+N5)*re!$D$2/re!$C$2+O5*re!$D$3/re!$C$3+P5*re!$D$4/re!$C$4+T5*re!$D$5/re!$C$5+U5*re!$D$6/re!$C$6)</f>
        <v>48.348965265464706</v>
      </c>
      <c r="Z5">
        <f t="shared" si="18"/>
        <v>3.7302160653153988</v>
      </c>
      <c r="AA5">
        <f>((Y5*277.8)/(re!$B$10*8760))*re!$C$10</f>
        <v>2.1148390097222638</v>
      </c>
      <c r="AB5">
        <f>((Y5*277.8)/(re!$B$11*8760))*re!$C$11</f>
        <v>0.78628629848648268</v>
      </c>
      <c r="AC5">
        <f>((Y5*277.8)/(re!$B$12*8760))*re!$C$12</f>
        <v>0.28393671889789646</v>
      </c>
      <c r="AD5">
        <f>((Y5*277.8)/(re!$B$13*8760))*re!$C$13</f>
        <v>8.3329254459165281E-2</v>
      </c>
      <c r="AE5">
        <f>((Y5*277.8)/(re!$B$14*8760))*re!$C$14</f>
        <v>0.46182478374959074</v>
      </c>
      <c r="AF5">
        <f>SUM('1'!AD11:AL11)+'1'!AA11</f>
        <v>138.29073986733326</v>
      </c>
      <c r="AG5">
        <f>SUM('2'!AD11:AL11)+'2'!AA11</f>
        <v>2.6181408494091398</v>
      </c>
      <c r="AH5">
        <f>SUM('3'!AD11:AL11)+'3'!AA11</f>
        <v>11.273012157829045</v>
      </c>
      <c r="AI5">
        <f>SUM('4'!AD11:AL11)+'4'!AA11</f>
        <v>0.83949838834766466</v>
      </c>
      <c r="AJ5">
        <f>SUM('5'!AD11:AL11)+'5'!AA11</f>
        <v>5.1470837838103334</v>
      </c>
      <c r="AK5">
        <f>SUM('6'!AD11:AL11)+'6'!AA11</f>
        <v>132.92386526220957</v>
      </c>
      <c r="AL5">
        <f>SUM('7'!AD11:AL11)+'7'!AA11</f>
        <v>116.93743282870345</v>
      </c>
      <c r="AM5">
        <f>SUM('8'!AD11:AL11)+'8'!AA11</f>
        <v>212.08417383806989</v>
      </c>
      <c r="AN5">
        <f>SUM('9'!AD11:AL11)+'9'!AA11</f>
        <v>64.266468997835545</v>
      </c>
      <c r="AO5">
        <f>SUM('10'!AD11:AL11)+'10'!AA11</f>
        <v>4.7186374047695461</v>
      </c>
      <c r="AP5">
        <f>SUM('11'!AD11:AL11)+'11'!AA11</f>
        <v>5.9959650660967734</v>
      </c>
      <c r="AQ5">
        <f>SUM('12'!AD11:AL11)+'12'!AA11</f>
        <v>1.8420839186235127</v>
      </c>
      <c r="AR5">
        <f>SUM('13'!AD11:AL11)+'13'!AA11</f>
        <v>5.3596942025513243</v>
      </c>
      <c r="AS5">
        <f>SUM('14'!AD11:AL11)+'14'!AA11</f>
        <v>4.1697212254952438</v>
      </c>
      <c r="AT5">
        <f>SUM('15'!AD11:AL11)+'15'!AA11</f>
        <v>57.099023786475556</v>
      </c>
      <c r="AU5">
        <f>SUM('16'!AD11:AL11)+'16'!AA11</f>
        <v>22.811268490640426</v>
      </c>
      <c r="AV5">
        <f>SUM('17'!AD11:AL11)+'17'!AA11</f>
        <v>38.822398941279566</v>
      </c>
      <c r="AW5">
        <f>SUM('18'!AD11:AL11)+'18'!AA11</f>
        <v>9.6950939079644609</v>
      </c>
      <c r="AX5">
        <f>SUM('19'!AD11:AL11)+'19'!AA11</f>
        <v>25.27386088058638</v>
      </c>
      <c r="AY5">
        <f>SUM('20'!AD11:AL11)+'20'!AA11</f>
        <v>1.6030535127163208</v>
      </c>
      <c r="AZ5">
        <f>SUM('21'!AD11:AL11)+'21'!AA11</f>
        <v>0.14581613585998834</v>
      </c>
      <c r="BA5">
        <f>SUM('22'!AD11:AL11)+'22'!AA11</f>
        <v>0.47361606226447117</v>
      </c>
      <c r="BB5">
        <f>SUM('23'!AD11:AL11)+'23'!AA11</f>
        <v>4.7381000373555073</v>
      </c>
      <c r="BC5">
        <f>('1'!D11+'2'!D11+'3'!D11+'4'!D11+'5'!D11+'6'!D11+'7'!D11+'8'!D11+'9'!D11+'10'!D11+'12'!D11+'13'!D11+'14'!D11+'15'!D11+'16'!D11+'17'!D11+'18'!D11+'19'!D11+'20'!D11+'21'!D11+'22'!D11+'23'!D11)/('1'!D10+'2'!D10+'3'!D10+'4'!D10+'5'!D10+'6'!D10+'7'!D10+'8'!D10+'9'!D10+'10'!D10+'12'!D10+'13'!D10+'14'!D10+'15'!D10+'16'!D10+'17'!D10+'18'!D10+'19'!D10+'20'!D10+'21'!D10+'22'!D10+'23'!D10)-1</f>
        <v>0.53264860780420586</v>
      </c>
      <c r="BD5">
        <f>('1'!E11+'2'!E11+'3'!E11+'4'!E11+'5'!E11+'6'!E11+'7'!E11+'8'!E11+'9'!E11+'10'!E11+'12'!E11+'13'!E11+'14'!E11+'15'!E11+'16'!E11+'17'!E11+'18'!E11+'19'!E11+'20'!E11+'21'!E11+'22'!E11+'23'!E11)/('1'!E10+'2'!E10+'3'!E10+'4'!E10+'5'!E10+'6'!E10+'7'!E10+'8'!E10+'9'!E10+'10'!E10+'12'!E10+'13'!E10+'14'!E10+'15'!E10+'16'!E10+'17'!E10+'18'!E10+'19'!E10+'20'!E10+'21'!E10+'22'!E10+'23'!E10)-1</f>
        <v>0.53264860780420586</v>
      </c>
      <c r="BE5">
        <f>('1'!F11+'2'!F11+'3'!F11+'4'!F11+'5'!F11+'6'!F11+'7'!F11+'8'!F11+'9'!F11+'10'!F11+'12'!F11+'13'!F11+'14'!F11+'15'!F11+'16'!F11+'17'!F11+'18'!F11+'19'!F11+'20'!F11+'21'!F11+'22'!F11+'23'!F11)/('1'!F10+'2'!F10+'3'!F10+'4'!F10+'5'!F10+'6'!F10+'7'!F10+'8'!F10+'9'!F10+'10'!F10+'12'!F10+'13'!F10+'14'!F10+'15'!F10+'16'!F10+'17'!F10+'18'!F10+'19'!F10+'20'!F10+'21'!F10+'22'!F10+'23'!F10)-1</f>
        <v>0.53181896023816111</v>
      </c>
      <c r="BF5">
        <f t="shared" si="19"/>
        <v>0.96427375997497022</v>
      </c>
      <c r="BG5" s="40">
        <v>2028</v>
      </c>
      <c r="BH5" s="59">
        <v>0.04</v>
      </c>
      <c r="BI5" s="59">
        <v>0.17</v>
      </c>
      <c r="BJ5" s="59">
        <f>BI5-BH5</f>
        <v>0.13</v>
      </c>
      <c r="BK5" t="e">
        <f>'2 (RU)'!AB11+'6 (RU)'!AB11+'7 (RU)'!AB11+'9 (RU)'!AB11+'11 (RU)'!AB11+'12 (RU)'!AB11+'13 (RU)'!AB11+'16 (RU)'!AB11+'17 (RU)'!AB11+'18 (RU)'!AB11+'22 (RU)'!AB11</f>
        <v>#DIV/0!</v>
      </c>
      <c r="BL5" t="e">
        <f>'1 (RU)'!AB11+'2 (RU)'!AC11+'5 (RU)'!AB11+'6 (RU)'!AC11+'7 (RU)'!AC11+'9 (RU)'!AC11+'11 (RU)'!AC11+'12 (RU)'!AC11+'13 (RU)'!AC11+'15 (RU)'!AB11+'16 (RU)'!AC11+'17 (RU)'!AC11+'18 (RU)'!AC11+'19 (RU)'!AB11+'22 (RU)'!AC11</f>
        <v>#DIV/0!</v>
      </c>
      <c r="BN5" t="e">
        <f>'3 (RU)'!AB11+'4 (RU)'!AB11+'10 (RU)'!AB11+'20 (RU)'!AB11+'21 (RU)'!AB11+'23 (RU)'!AB11</f>
        <v>#DIV/0!</v>
      </c>
      <c r="BO5" t="e">
        <f>'8 (RU)'!AB11+'14 (RU)'!AB11</f>
        <v>#DIV/0!</v>
      </c>
      <c r="BP5" t="e">
        <f>'1 (RU)'!AD11+'2 (RU)'!AD11+'3 (RU)'!AD11+'4 (RU)'!AD11+'5 (RU)'!AD11+'6 (RU)'!AD11+'7 (RU)'!AD11+'8 (RU)'!AD11+'9 (RU)'!AD11+'10 (RU)'!AD11+'11 (RU)'!AD11+'12 (RU)'!AD11+'13 (RU)'!AD11+'14 (RU)'!AD11+'15 (RU)'!AD11+'16 (RU)'!AD11+'17 (RU)'!AD11+'18 (RU)'!AD11+'19 (RU)'!AD11+'20 (RU)'!AD11+'21 (RU)'!AD11+'22 (RU)'!AD11+'23 (RU)'!AD11</f>
        <v>#DIV/0!</v>
      </c>
      <c r="BQ5" t="e">
        <f>'1 (RU)'!AE11+'2 (RU)'!AE11+'3 (RU)'!AE11+'4 (RU)'!AE11+'5 (RU)'!AE11+'6 (RU)'!AE11+'7 (RU)'!AE11+'8 (RU)'!AE11+'9 (RU)'!AE11+'10 (RU)'!AE11+'11 (RU)'!AE11+'12 (RU)'!AE11+'13 (RU)'!AE11+'14 (RU)'!AE11+'15 (RU)'!AE11+'16 (RU)'!AE11+'17 (RU)'!AE11+'18 (RU)'!AE11+'19 (RU)'!AE11+'20 (RU)'!AE11+'21 (RU)'!AE11+'22 (RU)'!AE11+'23 (RU)'!AE11</f>
        <v>#DIV/0!</v>
      </c>
      <c r="BR5" t="e">
        <f>'1 (RU)'!AF11+'2 (RU)'!AF11+'3 (RU)'!AF11+'4 (RU)'!AF11+'5 (RU)'!AF11+'6 (RU)'!AF11+'7 (RU)'!AF11+'8 (RU)'!AF11+'9 (RU)'!AF11+'10 (RU)'!AF11+'11 (RU)'!AF11+'12 (RU)'!AF11+'13 (RU)'!AF11+'14 (RU)'!AF11+'15 (RU)'!AF11+'16 (RU)'!AF11+'17 (RU)'!AF11+'18 (RU)'!AF11+'19 (RU)'!AF11+'20 (RU)'!AF11+'21 (RU)'!AF11+'22 (RU)'!AF11+'23 (RU)'!AF11</f>
        <v>#DIV/0!</v>
      </c>
      <c r="BS5" t="e">
        <f>'1 (RU)'!AG11+'2 (RU)'!AG11+'3 (RU)'!AG11+'4 (RU)'!AG11+'5 (RU)'!AG11+'6 (RU)'!AG11+'7 (RU)'!AG11+'8 (RU)'!AG11+'9 (RU)'!AG11+'10 (RU)'!AG11+'11 (RU)'!AG11+'12 (RU)'!AG11+'13 (RU)'!AG11+'14 (RU)'!AG11+'15 (RU)'!AG11+'16 (RU)'!AG11+'17 (RU)'!AG11+'18 (RU)'!AG11+'19 (RU)'!AG11+'20 (RU)'!AG11+'21 (RU)'!AG11+'22 (RU)'!AG11+'23 (RU)'!AG11</f>
        <v>#DIV/0!</v>
      </c>
      <c r="BT5" t="e">
        <f>'1 (RU)'!AH11+'2 (RU)'!AH11+'3 (RU)'!AH11+'4 (RU)'!AH11+'5 (RU)'!AH11+'6 (RU)'!AH11+'7 (RU)'!AH11+'8 (RU)'!AH11+'9 (RU)'!AH11+'10 (RU)'!AH11+'11 (RU)'!AH11+'12 (RU)'!AH11+'13 (RU)'!AH11+'14 (RU)'!AH11+'15 (RU)'!AH11+'16 (RU)'!AH11+'17 (RU)'!AH11+'18 (RU)'!AH11+'19 (RU)'!AH11+'20 (RU)'!AH11+'21 (RU)'!AH11+'22 (RU)'!AH11+'23 (RU)'!AH11</f>
        <v>#DIV/0!</v>
      </c>
      <c r="BU5" t="e">
        <f>'1 (RU)'!AI11+'2 (RU)'!AI11+'3 (RU)'!AI11+'4 (RU)'!AI11+'5 (RU)'!AI11+'6 (RU)'!AI11+'7 (RU)'!AI11+'8 (RU)'!AI11+'9 (RU)'!AI11+'10 (RU)'!AI11+'11 (RU)'!AI11+'12 (RU)'!AI11+'13 (RU)'!AI11+'14 (RU)'!AI11+'15 (RU)'!AI11+'16 (RU)'!AI11+'17 (RU)'!AI11+'18 (RU)'!AI11+'19 (RU)'!AI11+'20 (RU)'!AI11+'21 (RU)'!AI11+'22 (RU)'!AI11+'23 (RU)'!AI11</f>
        <v>#DIV/0!</v>
      </c>
      <c r="BV5" t="e">
        <f>'1 (RU)'!AJ11+'2 (RU)'!AJ11+'3 (RU)'!AJ11+'4 (RU)'!AJ11+'5 (RU)'!AJ11+'6 (RU)'!AJ11+'7 (RU)'!AJ11+'8 (RU)'!AJ11+'9 (RU)'!AJ11+'10 (RU)'!AJ11+'11 (RU)'!AJ11+'12 (RU)'!AJ11+'13 (RU)'!AJ11+'14 (RU)'!AJ11+'15 (RU)'!AJ11+'16 (RU)'!AJ11+'17 (RU)'!AJ11+'18 (RU)'!AJ11+'19 (RU)'!AJ11+'20 (RU)'!AJ11+'21 (RU)'!AJ11+'22 (RU)'!AJ11+'23 (RU)'!AJ11</f>
        <v>#DIV/0!</v>
      </c>
      <c r="BW5" t="e">
        <f>'1 (RU)'!AK11+'2 (RU)'!AK11+'3 (RU)'!AK11+'4 (RU)'!AK11+'5 (RU)'!AK11+'6 (RU)'!AK11+'7 (RU)'!AK11+'8 (RU)'!AK11+'9 (RU)'!AK11+'10 (RU)'!AK11+'11 (RU)'!AK11+'12 (RU)'!AK11+'13 (RU)'!AK11+'14 (RU)'!AK11+'15 (RU)'!AK11+'16 (RU)'!AK11+'17 (RU)'!AK11+'18 (RU)'!AK11+'19 (RU)'!AK11+'20 (RU)'!AK11+'21 (RU)'!AK11+'22 (RU)'!AK11+'23 (RU)'!AK11</f>
        <v>#DIV/0!</v>
      </c>
      <c r="BX5" t="e">
        <f>'1 (RU)'!AL11+'2 (RU)'!AL11+'3 (RU)'!AL11+'4 (RU)'!AL11+'5 (RU)'!AL11+'6 (RU)'!AL11+'7 (RU)'!AL11+'8 (RU)'!AL11+'9 (RU)'!AL11+'10 (RU)'!AL11+'11 (RU)'!AL11+'12 (RU)'!AL11+'13 (RU)'!AL11+'14 (RU)'!AL11+'15 (RU)'!AL11+'16 (RU)'!AL11+'17 (RU)'!AL11+'18 (RU)'!AL11+'19 (RU)'!AL11+'20 (RU)'!AL11+'21 (RU)'!AL11+'22 (RU)'!AL11+'23 (RU)'!AL11</f>
        <v>#DIV/0!</v>
      </c>
      <c r="BY5" s="25" t="e">
        <f t="shared" si="7"/>
        <v>#DIV/0!</v>
      </c>
      <c r="BZ5" s="16" t="e">
        <f t="shared" si="8"/>
        <v>#DIV/0!</v>
      </c>
      <c r="CC5" t="e">
        <f>VLOOKUP(CC$1,emissions!$A$2:$B$5,2,FALSE)*BK5</f>
        <v>#DIV/0!</v>
      </c>
      <c r="CD5" t="e">
        <f>VLOOKUP(CD$1,emissions!$A$2:$B$5,2,FALSE)*BL5</f>
        <v>#DIV/0!</v>
      </c>
      <c r="CF5" t="e">
        <f>VLOOKUP(CF$1,emissions!$A$2:$B$5,2,FALSE)*BN5</f>
        <v>#DIV/0!</v>
      </c>
      <c r="CG5" t="e">
        <f>VLOOKUP(CG$1,emissions!$A$2:$B$5,2,FALSE)*BO5</f>
        <v>#DIV/0!</v>
      </c>
      <c r="CH5" t="e">
        <f>BP5*(emissions!$D$3*production!$B$4+emissions!$D$4*production!$C$4+emissions!$D$5*production!$D$4+emissions!$D$6*production!$E$4)</f>
        <v>#DIV/0!</v>
      </c>
      <c r="CI5" t="e">
        <f>BQ5*(emissions!$D$3*production!$B$4+emissions!$D$4*production!$C$4+emissions!$D$5*production!$D$4+emissions!$D$6*production!$E$4)</f>
        <v>#DIV/0!</v>
      </c>
      <c r="CJ5" t="e">
        <f>BR5*(emissions!$D$8*production!$B$6+emissions!$D$9*production!$C$6+emissions!$D$10*production!$D$6)</f>
        <v>#DIV/0!</v>
      </c>
      <c r="CK5" t="e">
        <f>BS5*(emissions!$D$12*production!$B$8+emissions!$D$13*production!$C$8+emissions!$D$14*production!$D$8)</f>
        <v>#DIV/0!</v>
      </c>
      <c r="CL5" t="e">
        <f>BT5*(emissions!$D$16*production!$B$10+production!$C$10*emissions!$D$17)</f>
        <v>#DIV/0!</v>
      </c>
      <c r="CM5" t="e">
        <f>BU5*(emissions!$D$19*production!$B$12+production!$C$12*emissions!$D$20+emissions!$D$21*production!$D$12)</f>
        <v>#DIV/0!</v>
      </c>
      <c r="CN5" t="e">
        <f>BV5*(emissions!$D$23*production!$B$14+production!$C$14*emissions!$D$24+emissions!$D$25*production!$D$14)</f>
        <v>#DIV/0!</v>
      </c>
      <c r="CO5" t="e">
        <f>BW5*(emissions!$D$27*production!$B$16+production!$C$16*emissions!$D$28+production!$D$16*emissions!$D$29)</f>
        <v>#DIV/0!</v>
      </c>
      <c r="CP5">
        <v>0</v>
      </c>
      <c r="CS5" t="e">
        <f t="shared" si="9"/>
        <v>#DIV/0!</v>
      </c>
      <c r="CT5" s="40" t="e">
        <f t="shared" si="10"/>
        <v>#DIV/0!</v>
      </c>
      <c r="CU5" t="e">
        <f t="shared" si="0"/>
        <v>#DIV/0!</v>
      </c>
      <c r="CV5" t="e">
        <f t="shared" si="1"/>
        <v>#DIV/0!</v>
      </c>
      <c r="CW5">
        <f t="shared" si="2"/>
        <v>89.567999999999998</v>
      </c>
      <c r="CX5">
        <f t="shared" si="3"/>
        <v>77.438999999999993</v>
      </c>
      <c r="CY5" t="e">
        <f t="shared" si="11"/>
        <v>#DIV/0!</v>
      </c>
      <c r="CZ5" s="74" t="e">
        <f t="shared" si="12"/>
        <v>#DIV/0!</v>
      </c>
      <c r="DA5" t="e">
        <f t="shared" si="13"/>
        <v>#DIV/0!</v>
      </c>
      <c r="DB5" t="e">
        <f t="shared" si="14"/>
        <v>#DIV/0!</v>
      </c>
      <c r="DC5" s="34" t="e">
        <f t="shared" si="15"/>
        <v>#DIV/0!</v>
      </c>
      <c r="DD5">
        <v>2028</v>
      </c>
      <c r="DE5" t="e">
        <f>CY5-DB5</f>
        <v>#DIV/0!</v>
      </c>
      <c r="DF5" t="e">
        <f>CS5</f>
        <v>#DIV/0!</v>
      </c>
      <c r="DG5">
        <v>2028</v>
      </c>
      <c r="DH5" t="e">
        <f>CW5*SUM(BK5:BX5)</f>
        <v>#DIV/0!</v>
      </c>
      <c r="DI5" t="e">
        <f>CX5*SUM(BK5:BX5)</f>
        <v>#DIV/0!</v>
      </c>
      <c r="DJ5" t="e">
        <f>DI5</f>
        <v>#DIV/0!</v>
      </c>
      <c r="DK5" t="e">
        <f>DH5-DI5</f>
        <v>#DIV/0!</v>
      </c>
      <c r="DL5" t="e">
        <f>MAX(DH5:DK5)</f>
        <v>#DIV/0!</v>
      </c>
      <c r="DM5" s="74" t="e">
        <f>(CZ5-DC5)/1000000</f>
        <v>#DIV/0!</v>
      </c>
      <c r="DN5" s="75" t="e">
        <f>DE5/1000000</f>
        <v>#DIV/0!</v>
      </c>
      <c r="DO5" s="76" t="e">
        <f>ED5/1000000</f>
        <v>#DIV/0!</v>
      </c>
      <c r="DP5" s="78" t="e">
        <f>DM5+DO5</f>
        <v>#DIV/0!</v>
      </c>
      <c r="DQ5" s="70">
        <v>17206</v>
      </c>
      <c r="DR5" s="71">
        <v>9518</v>
      </c>
      <c r="DS5" s="71"/>
      <c r="DT5" s="71">
        <v>639</v>
      </c>
      <c r="DU5" s="71">
        <v>2174</v>
      </c>
      <c r="DV5">
        <f>DQ5*VLOOKUP(DQ$1,emissions!$A$2:$B$5,2,FALSE)</f>
        <v>2512076</v>
      </c>
      <c r="DW5">
        <f>DR5*VLOOKUP(DR$1,emissions!$A$2:$B$5,2,FALSE)</f>
        <v>1389628</v>
      </c>
      <c r="DY5">
        <f>DT5*VLOOKUP(DT$1,emissions!$A$2:$B$5,2,FALSE)</f>
        <v>92655</v>
      </c>
      <c r="DZ5">
        <f>DU5*VLOOKUP(DU$1,emissions!$A$2:$B$5,2,FALSE)</f>
        <v>245662</v>
      </c>
      <c r="EA5">
        <f t="shared" si="16"/>
        <v>4240021</v>
      </c>
      <c r="EB5">
        <f t="shared" si="17"/>
        <v>143.549480312828</v>
      </c>
      <c r="ED5" s="77" t="e">
        <f t="shared" si="4"/>
        <v>#DIV/0!</v>
      </c>
      <c r="EE5" s="34" t="e">
        <f>cost!$B$2*BK5</f>
        <v>#DIV/0!</v>
      </c>
      <c r="EF5" s="34" t="e">
        <f>cost!$B$3*BL5</f>
        <v>#DIV/0!</v>
      </c>
      <c r="EG5" s="34"/>
      <c r="EH5" s="34" t="e">
        <f>cost!$B$4*BN5</f>
        <v>#DIV/0!</v>
      </c>
      <c r="EI5" s="34" t="e">
        <f>cost!$B$5*$BO$2</f>
        <v>#DIV/0!</v>
      </c>
      <c r="EJ5" s="34" t="e">
        <f>BP5*(cost!$D$3*production!$B$4+production!$C$4*cost!$D$4+cost!$D$5*production!$D$4+production!$E$4*cost!$D$6)</f>
        <v>#DIV/0!</v>
      </c>
      <c r="EK5" s="34" t="e">
        <f>BQ5*(cost!$D$3*production!$B$4+production!$C$4*cost!$D$4+cost!$D$5*production!$D$4+production!$E$4*cost!$D$6)</f>
        <v>#DIV/0!</v>
      </c>
      <c r="EL5" s="34" t="e">
        <f>BR5*(cost!$D$8*production!$B$6+cost!$D$9*production!$C$6+$D$10*production!$D$6)</f>
        <v>#DIV/0!</v>
      </c>
      <c r="EM5" s="34" t="e">
        <f>BS5*(cost!$D$12*production!$B$8+cost!$D$13*production!$C$8+cost!$D$14*production!$D$8)</f>
        <v>#DIV/0!</v>
      </c>
      <c r="EN5" s="34" t="e">
        <f>BT5*(cost!$D$16*production!$B$10+production!$C$10*cost!$D$17)</f>
        <v>#DIV/0!</v>
      </c>
      <c r="EO5" s="34" t="e">
        <f>BU5*(cost!$D$19*production!$B$12+production!$C$12*cost!$D$20+cost!$D$21*production!$D$12)</f>
        <v>#DIV/0!</v>
      </c>
      <c r="EP5" s="34" t="e">
        <f>BV5*(cost!$D$23*production!$B$14+production!$C$14*cost!$D$24+cost!$D$25*production!$D$14)</f>
        <v>#DIV/0!</v>
      </c>
      <c r="EQ5" s="34" t="e">
        <f>BW5*(cost!$D$27*production!$B$16+production!$C$16*cost!$D$28+cost!$D$29*production!$D$16)</f>
        <v>#DIV/0!</v>
      </c>
      <c r="ER5" s="34" t="e">
        <f>BX5*(re!$H$10*re!$C$10+re!$H$11*re!$C$11+re!$H$12*re!$C$12+re!$H$13*re!$C$13+re!$H$14*re!$C$14)</f>
        <v>#DIV/0!</v>
      </c>
    </row>
    <row r="6" spans="1:148" x14ac:dyDescent="0.2">
      <c r="A6" t="s">
        <v>64</v>
      </c>
      <c r="B6" s="5">
        <v>0.01</v>
      </c>
      <c r="C6" s="5">
        <v>0.4</v>
      </c>
      <c r="D6" s="10">
        <v>10</v>
      </c>
      <c r="E6" s="121"/>
      <c r="F6" s="101"/>
      <c r="G6">
        <v>2029</v>
      </c>
      <c r="H6" s="25">
        <f>'2'!AB12+'6'!AB12+'7'!AB12+'9'!AB12+'11'!AB12+'12'!AB12+'13'!AB12+'16'!AB12+'17'!AB12+'18'!AB12+'22'!AB12</f>
        <v>292.73833522076404</v>
      </c>
      <c r="I6" s="16">
        <f>'1'!AB12+'2'!AC12+'5'!AB12+'6'!AC12+'7'!AC12+'9'!AC12+'11'!AC12+'12'!AC12+'13'!AC12+'15'!AB12+'16'!AC12+'17'!AC12+'18'!AC12+'19'!AB12+'22'!AC12</f>
        <v>311.82227921214093</v>
      </c>
      <c r="J6" s="17"/>
      <c r="K6" s="16">
        <f>'3'!AB12+'4'!AB12+'10'!AB12+'20'!AB12+'21'!AB12+'23'!AB12</f>
        <v>22.515804265945683</v>
      </c>
      <c r="L6" s="16">
        <f>'8'!AB12+'14'!AB12</f>
        <v>207.79749083318754</v>
      </c>
      <c r="M6" s="16">
        <f>'1'!AD12+'2'!AD12+'3'!AD12+'4'!AD12+'5'!AD12+'6'!AD12+'7'!AD12+'8'!AD12+'9'!AD12+'10'!AD12+'11'!AD12+'12'!AD12+'13'!AD12+'14'!AD12+'15'!AD12+'16'!AD12+'17'!AD12+'18'!AD12+'19'!AD12+'20'!AD12+'21'!AD12+'22'!AD12+'23'!AD12</f>
        <v>8.2135825962501219</v>
      </c>
      <c r="N6" s="16">
        <f>'1'!AE12+'2'!AE12+'3'!AE12+'4'!AE12+'5'!AE12+'6'!AE12+'7'!AE12+'8'!AE12+'9'!AE12+'10'!AE12+'11'!AE12+'12'!AE12+'13'!AE12+'14'!AE12+'15'!AE12+'16'!AE12+'17'!AE12+'18'!AE12+'19'!AE12+'20'!AE12+'21'!AE12+'22'!AE12+'23'!AE12</f>
        <v>0.48705464718904118</v>
      </c>
      <c r="O6" s="16">
        <f>'1'!AF12+'2'!AF12+'3'!AF12+'4'!AF12+'5'!AF12+'6'!AF12+'7'!AF12+'8'!AF12+'9'!AF12+'10'!AF12+'11'!AF12+'12'!AF12+'13'!AF12+'14'!AF12+'15'!AF12+'16'!AF12+'17'!AF12+'18'!AF12+'19'!AF12+'20'!AF12+'21'!AF12+'22'!AF12+'23'!AF12</f>
        <v>15.739472240282344</v>
      </c>
      <c r="P6" s="16">
        <f>'1'!AG12+'2'!AG12+'3'!AG12+'4'!AG12+'5'!AG12+'6'!AG12+'7'!AG12+'8'!AG12+'9'!AG12+'10'!AG12+'11'!AG12+'12'!AG12+'13'!AG12+'14'!AG12+'15'!AG12+'16'!AG12+'17'!AG12+'18'!AG12+'19'!AG12+'20'!AG12+'21'!AG12+'22'!AG12+'23'!AG12</f>
        <v>14.314781911370851</v>
      </c>
      <c r="Q6" s="16">
        <f>'1'!AH12+'2'!AH12+'3'!AH12+'4'!AH12+'5'!AH12+'6'!AH12+'7'!AH12+'8'!AH12+'9'!AH12+'10'!AH12+'11'!AH12+'12'!AH12+'13'!AH12+'14'!AH12+'15'!AH12+'16'!AH12+'17'!AH12+'18'!AH12+'19'!AH12+'20'!AH12+'21'!AH12+'22'!AH12+'23'!AH12</f>
        <v>0.36945053800887562</v>
      </c>
      <c r="R6" s="16">
        <f>'1'!AI12+'2'!AI12+'3'!AI12+'4'!AI12+'5'!AI12+'6'!AI12+'7'!AI12+'8'!AI12+'9'!AI12+'10'!AI12+'11'!AI12+'12'!AI12+'13'!AI12+'14'!AI12+'15'!AI12+'16'!AI12+'17'!AI12+'18'!AI12+'19'!AI12+'20'!AI12+'21'!AI12+'22'!AI12+'23'!AI12</f>
        <v>2.4845541654616716</v>
      </c>
      <c r="S6" s="16">
        <f>'1'!AJ12+'2'!AJ12+'3'!AJ12+'4'!AJ12+'5'!AJ12+'6'!AJ12+'7'!AJ12+'8'!AJ12+'9'!AJ12+'10'!AJ12+'11'!AJ12+'12'!AJ12+'13'!AJ12+'14'!AJ12+'15'!AJ12+'16'!AJ12+'17'!AJ12+'18'!AJ12+'19'!AJ12+'20'!AJ12+'21'!AJ12+'22'!AJ12+'23'!AJ12</f>
        <v>0.70735615889547199</v>
      </c>
      <c r="T6" s="16">
        <f>'1'!AK12+'2'!AK12+'3'!AK12+'4'!AK12+'5'!AK12+'6'!AK12+'7'!AK12+'8'!AK12+'9'!AK12+'10'!AK12+'11'!AK12+'12'!AK12+'13'!AK12+'14'!AK12+'15'!AK12+'16'!AK12+'17'!AK12+'18'!AK12+'19'!AK12+'20'!AK12+'21'!AK12+'22'!AK12+'23'!AK12</f>
        <v>7.7804793560311847</v>
      </c>
      <c r="U6" s="16">
        <f>'1'!AL12+'2'!AL12+'3'!AL12+'4'!AL12+'5'!AL12+'6'!AL12+'7'!AL12+'8'!AL12+'9'!AL12+'10'!AL12+'11'!AL12+'12'!AL12+'13'!AL12+'14'!AL12+'15'!AL12+'16'!AL12+'17'!AL12+'18'!AL12+'19'!AL12+'20'!AL12+'21'!AL12+'22'!AL12+'23'!AL12</f>
        <v>1.8818767717234612E-2</v>
      </c>
      <c r="V6" s="25">
        <f t="shared" si="5"/>
        <v>834.87390953203817</v>
      </c>
      <c r="W6" s="16">
        <f t="shared" si="6"/>
        <v>50.115550381206802</v>
      </c>
      <c r="X6" s="9">
        <f t="shared" si="20"/>
        <v>0.75888152896348382</v>
      </c>
      <c r="Y6" s="16">
        <f>((M6+N6)*re!$D$2/re!$C$2+O6*re!$D$3/re!$C$3+P6*re!$D$4/re!$C$4+T6*re!$D$5/re!$C$5+U6*re!$D$6/re!$C$6)</f>
        <v>85.041719497077324</v>
      </c>
      <c r="Z6">
        <f t="shared" si="18"/>
        <v>6.5611329332136554</v>
      </c>
      <c r="AA6">
        <f>((Y6*277.8)/(re!$B$10*8760))*re!$C$10</f>
        <v>3.7198220242935101</v>
      </c>
      <c r="AB6">
        <f>((Y6*277.8)/(re!$B$11*8760))*re!$C$11</f>
        <v>1.3830107526219459</v>
      </c>
      <c r="AC6">
        <f>((Y6*277.8)/(re!$B$12*8760))*re!$C$12</f>
        <v>0.49942054955792492</v>
      </c>
      <c r="AD6">
        <f>((Y6*277.8)/(re!$B$13*8760))*re!$C$13</f>
        <v>0.14656907432678232</v>
      </c>
      <c r="AE6">
        <f>((Y6*277.8)/(re!$B$14*8760))*re!$C$14</f>
        <v>0.81231053241349238</v>
      </c>
      <c r="AF6">
        <f>SUM('1'!AD12:AL12)+'1'!AA12</f>
        <v>140.94075833460158</v>
      </c>
      <c r="AG6">
        <f>SUM('2'!AD12:AL12)+'2'!AA12</f>
        <v>2.6686757532957688</v>
      </c>
      <c r="AH6">
        <f>SUM('3'!AD12:AL12)+'3'!AA12</f>
        <v>11.513111415589982</v>
      </c>
      <c r="AI6">
        <f>SUM('4'!AD12:AL12)+'4'!AA12</f>
        <v>0.85768956300052268</v>
      </c>
      <c r="AJ6">
        <f>SUM('5'!AD12:AL12)+'5'!AA12</f>
        <v>5.2454362416568161</v>
      </c>
      <c r="AK6">
        <f>SUM('6'!AD12:AL12)+'6'!AA12</f>
        <v>135.3997916920828</v>
      </c>
      <c r="AL6">
        <f>SUM('7'!AD12:AL12)+'7'!AA12</f>
        <v>119.18902022761426</v>
      </c>
      <c r="AM6">
        <f>SUM('8'!AD12:AL12)+'8'!AA12</f>
        <v>217.31044577134401</v>
      </c>
      <c r="AN6">
        <f>SUM('9'!AD12:AL12)+'9'!AA12</f>
        <v>65.494497421024107</v>
      </c>
      <c r="AO6">
        <f>SUM('10'!AD12:AL12)+'10'!AA12</f>
        <v>4.8142428113108489</v>
      </c>
      <c r="AP6">
        <f>SUM('11'!AD12:AL12)+'11'!AA12</f>
        <v>6.1166668242767228</v>
      </c>
      <c r="AQ6">
        <f>SUM('12'!AD12:AL12)+'12'!AA12</f>
        <v>1.87916598385269</v>
      </c>
      <c r="AR6">
        <f>SUM('13'!AD12:AL12)+'13'!AA12</f>
        <v>5.4675875118724129</v>
      </c>
      <c r="AS6">
        <f>SUM('14'!AD12:AL12)+'14'!AA12</f>
        <v>4.2660391223049308</v>
      </c>
      <c r="AT6">
        <f>SUM('15'!AD12:AL12)+'15'!AA12</f>
        <v>58.190093908104188</v>
      </c>
      <c r="AU6">
        <f>SUM('16'!AD12:AL12)+'16'!AA12</f>
        <v>23.270470667901861</v>
      </c>
      <c r="AV6">
        <f>SUM('17'!AD12:AL12)+'17'!AA12</f>
        <v>39.60391313579543</v>
      </c>
      <c r="AW6">
        <f>SUM('18'!AD12:AL12)+'18'!AA12</f>
        <v>9.8902609690649026</v>
      </c>
      <c r="AX6">
        <f>SUM('19'!AD12:AL12)+'19'!AA12</f>
        <v>25.756803541184681</v>
      </c>
      <c r="AY6">
        <f>SUM('20'!AD12:AL12)+'20'!AA12</f>
        <v>1.6377902398291586</v>
      </c>
      <c r="AZ6">
        <f>SUM('21'!AD12:AL12)+'21'!AA12</f>
        <v>0.14882657504555633</v>
      </c>
      <c r="BA6">
        <f>SUM('22'!AD12:AL12)+'22'!AA12</f>
        <v>0.48266610025798534</v>
      </c>
      <c r="BB6">
        <f>SUM('23'!AD12:AL12)+'23'!AA12</f>
        <v>4.8455061022337613</v>
      </c>
      <c r="BC6">
        <f>('1'!D12+'2'!D12+'3'!D12+'4'!D12+'5'!D12+'6'!D12+'7'!D12+'8'!D12+'9'!D12+'10'!D12+'12'!D12+'13'!D12+'14'!D12+'15'!D12+'16'!D12+'17'!D12+'18'!D12+'19'!D12+'20'!D12+'21'!D12+'22'!D12+'23'!D12)/('1'!D11+'2'!D11+'3'!D11+'4'!D11+'5'!D11+'6'!D11+'7'!D11+'8'!D11+'9'!D11+'10'!D11+'12'!D11+'13'!D11+'14'!D11+'15'!D11+'16'!D11+'17'!D11+'18'!D11+'19'!D11+'20'!D11+'21'!D11+'22'!D11+'23'!D11)-1</f>
        <v>0.36215022522058105</v>
      </c>
      <c r="BD6">
        <f>('1'!E12+'2'!E12+'3'!E12+'4'!E12+'5'!E12+'6'!E12+'7'!E12+'8'!E12+'9'!E12+'10'!E12+'12'!E12+'13'!E12+'14'!E12+'15'!E12+'16'!E12+'17'!E12+'18'!E12+'19'!E12+'20'!E12+'21'!E12+'22'!E12+'23'!E12)/('1'!E11+'2'!E11+'3'!E11+'4'!E11+'5'!E11+'6'!E11+'7'!E11+'8'!E11+'9'!E11+'10'!E11+'12'!E11+'13'!E11+'14'!E11+'15'!E11+'16'!E11+'17'!E11+'18'!E11+'19'!E11+'20'!E11+'21'!E11+'22'!E11+'23'!E11)-1</f>
        <v>0.36215022522058127</v>
      </c>
      <c r="BE6">
        <f>('1'!F12+'2'!F12+'3'!F12+'4'!F12+'5'!F12+'6'!F12+'7'!F12+'8'!F12+'9'!F12+'10'!F12+'12'!F12+'13'!F12+'14'!F12+'15'!F12+'16'!F12+'17'!F12+'18'!F12+'19'!F12+'20'!F12+'21'!F12+'22'!F12+'23'!F12)/('1'!F11+'2'!F11+'3'!F11+'4'!F11+'5'!F11+'6'!F11+'7'!F11+'8'!F11+'9'!F11+'10'!F11+'12'!F11+'13'!F11+'14'!F11+'15'!F11+'16'!F11+'17'!F11+'18'!F11+'19'!F11+'20'!F11+'21'!F11+'22'!F11+'23'!F11)-1</f>
        <v>0.36159420140583864</v>
      </c>
      <c r="BF6">
        <f t="shared" si="19"/>
        <v>0.75888152896348382</v>
      </c>
      <c r="BG6">
        <v>2029</v>
      </c>
      <c r="BH6" s="2">
        <v>0.06</v>
      </c>
      <c r="BI6" s="2">
        <v>0.19</v>
      </c>
      <c r="BJ6" s="2">
        <f t="shared" ref="BJ6:BJ27" si="21">BI6-BH6</f>
        <v>0.13</v>
      </c>
      <c r="BK6" t="e">
        <f>'2 (RU)'!AB12+'6 (RU)'!AB12+'7 (RU)'!AB12+'9 (RU)'!AB12+'11 (RU)'!AB12+'12 (RU)'!AB12+'13 (RU)'!AB12+'16 (RU)'!AB12+'17 (RU)'!AB12+'18 (RU)'!AB12+'22 (RU)'!AB12</f>
        <v>#DIV/0!</v>
      </c>
      <c r="BL6" t="e">
        <f>'1 (RU)'!AB12+'2 (RU)'!AC12+'5 (RU)'!AB12+'6 (RU)'!AC12+'7 (RU)'!AC12+'9 (RU)'!AC12+'11 (RU)'!AC12+'12 (RU)'!AC12+'13 (RU)'!AC12+'15 (RU)'!AB12+'16 (RU)'!AC12+'17 (RU)'!AC12+'18 (RU)'!AC12+'19 (RU)'!AB12+'22 (RU)'!AC12</f>
        <v>#DIV/0!</v>
      </c>
      <c r="BN6" t="e">
        <f>'3 (RU)'!AB12+'4 (RU)'!AB12+'10 (RU)'!AB12+'20 (RU)'!AB12+'21 (RU)'!AB12+'23 (RU)'!AB12</f>
        <v>#DIV/0!</v>
      </c>
      <c r="BO6" t="e">
        <f>'8 (RU)'!AB12+'14 (RU)'!AB12</f>
        <v>#DIV/0!</v>
      </c>
      <c r="BP6" t="e">
        <f>'1 (RU)'!AD12+'2 (RU)'!AD12+'3 (RU)'!AD12+'4 (RU)'!AD12+'5 (RU)'!AD12+'6 (RU)'!AD12+'7 (RU)'!AD12+'8 (RU)'!AD12+'9 (RU)'!AD12+'10 (RU)'!AD12+'11 (RU)'!AD12+'12 (RU)'!AD12+'13 (RU)'!AD12+'14 (RU)'!AD12+'15 (RU)'!AD12+'16 (RU)'!AD12+'17 (RU)'!AD12+'18 (RU)'!AD12+'19 (RU)'!AD12+'20 (RU)'!AD12+'21 (RU)'!AD12+'22 (RU)'!AD12+'23 (RU)'!AD12</f>
        <v>#DIV/0!</v>
      </c>
      <c r="BQ6" t="e">
        <f>'1 (RU)'!AE12+'2 (RU)'!AE12+'3 (RU)'!AE12+'4 (RU)'!AE12+'5 (RU)'!AE12+'6 (RU)'!AE12+'7 (RU)'!AE12+'8 (RU)'!AE12+'9 (RU)'!AE12+'10 (RU)'!AE12+'11 (RU)'!AE12+'12 (RU)'!AE12+'13 (RU)'!AE12+'14 (RU)'!AE12+'15 (RU)'!AE12+'16 (RU)'!AE12+'17 (RU)'!AE12+'18 (RU)'!AE12+'19 (RU)'!AE12+'20 (RU)'!AE12+'21 (RU)'!AE12+'22 (RU)'!AE12+'23 (RU)'!AE12</f>
        <v>#DIV/0!</v>
      </c>
      <c r="BR6" t="e">
        <f>'1 (RU)'!AF12+'2 (RU)'!AF12+'3 (RU)'!AF12+'4 (RU)'!AF12+'5 (RU)'!AF12+'6 (RU)'!AF12+'7 (RU)'!AF12+'8 (RU)'!AF12+'9 (RU)'!AF12+'10 (RU)'!AF12+'11 (RU)'!AF12+'12 (RU)'!AF12+'13 (RU)'!AF12+'14 (RU)'!AF12+'15 (RU)'!AF12+'16 (RU)'!AF12+'17 (RU)'!AF12+'18 (RU)'!AF12+'19 (RU)'!AF12+'20 (RU)'!AF12+'21 (RU)'!AF12+'22 (RU)'!AF12+'23 (RU)'!AF12</f>
        <v>#DIV/0!</v>
      </c>
      <c r="BS6" t="e">
        <f>'1 (RU)'!AG12+'2 (RU)'!AG12+'3 (RU)'!AG12+'4 (RU)'!AG12+'5 (RU)'!AG12+'6 (RU)'!AG12+'7 (RU)'!AG12+'8 (RU)'!AG12+'9 (RU)'!AG12+'10 (RU)'!AG12+'11 (RU)'!AG12+'12 (RU)'!AG12+'13 (RU)'!AG12+'14 (RU)'!AG12+'15 (RU)'!AG12+'16 (RU)'!AG12+'17 (RU)'!AG12+'18 (RU)'!AG12+'19 (RU)'!AG12+'20 (RU)'!AG12+'21 (RU)'!AG12+'22 (RU)'!AG12+'23 (RU)'!AG12</f>
        <v>#DIV/0!</v>
      </c>
      <c r="BT6" t="e">
        <f>'1 (RU)'!AH12+'2 (RU)'!AH12+'3 (RU)'!AH12+'4 (RU)'!AH12+'5 (RU)'!AH12+'6 (RU)'!AH12+'7 (RU)'!AH12+'8 (RU)'!AH12+'9 (RU)'!AH12+'10 (RU)'!AH12+'11 (RU)'!AH12+'12 (RU)'!AH12+'13 (RU)'!AH12+'14 (RU)'!AH12+'15 (RU)'!AH12+'16 (RU)'!AH12+'17 (RU)'!AH12+'18 (RU)'!AH12+'19 (RU)'!AH12+'20 (RU)'!AH12+'21 (RU)'!AH12+'22 (RU)'!AH12+'23 (RU)'!AH12</f>
        <v>#DIV/0!</v>
      </c>
      <c r="BU6" t="e">
        <f>'1 (RU)'!AI12+'2 (RU)'!AI12+'3 (RU)'!AI12+'4 (RU)'!AI12+'5 (RU)'!AI12+'6 (RU)'!AI12+'7 (RU)'!AI12+'8 (RU)'!AI12+'9 (RU)'!AI12+'10 (RU)'!AI12+'11 (RU)'!AI12+'12 (RU)'!AI12+'13 (RU)'!AI12+'14 (RU)'!AI12+'15 (RU)'!AI12+'16 (RU)'!AI12+'17 (RU)'!AI12+'18 (RU)'!AI12+'19 (RU)'!AI12+'20 (RU)'!AI12+'21 (RU)'!AI12+'22 (RU)'!AI12+'23 (RU)'!AI12</f>
        <v>#DIV/0!</v>
      </c>
      <c r="BV6" t="e">
        <f>'1 (RU)'!AJ12+'2 (RU)'!AJ12+'3 (RU)'!AJ12+'4 (RU)'!AJ12+'5 (RU)'!AJ12+'6 (RU)'!AJ12+'7 (RU)'!AJ12+'8 (RU)'!AJ12+'9 (RU)'!AJ12+'10 (RU)'!AJ12+'11 (RU)'!AJ12+'12 (RU)'!AJ12+'13 (RU)'!AJ12+'14 (RU)'!AJ12+'15 (RU)'!AJ12+'16 (RU)'!AJ12+'17 (RU)'!AJ12+'18 (RU)'!AJ12+'19 (RU)'!AJ12+'20 (RU)'!AJ12+'21 (RU)'!AJ12+'22 (RU)'!AJ12+'23 (RU)'!AJ12</f>
        <v>#DIV/0!</v>
      </c>
      <c r="BW6" t="e">
        <f>'1 (RU)'!AK12+'2 (RU)'!AK12+'3 (RU)'!AK12+'4 (RU)'!AK12+'5 (RU)'!AK12+'6 (RU)'!AK12+'7 (RU)'!AK12+'8 (RU)'!AK12+'9 (RU)'!AK12+'10 (RU)'!AK12+'11 (RU)'!AK12+'12 (RU)'!AK12+'13 (RU)'!AK12+'14 (RU)'!AK12+'15 (RU)'!AK12+'16 (RU)'!AK12+'17 (RU)'!AK12+'18 (RU)'!AK12+'19 (RU)'!AK12+'20 (RU)'!AK12+'21 (RU)'!AK12+'22 (RU)'!AK12+'23 (RU)'!AK12</f>
        <v>#DIV/0!</v>
      </c>
      <c r="BX6" t="e">
        <f>'1 (RU)'!AL12+'2 (RU)'!AL12+'3 (RU)'!AL12+'4 (RU)'!AL12+'5 (RU)'!AL12+'6 (RU)'!AL12+'7 (RU)'!AL12+'8 (RU)'!AL12+'9 (RU)'!AL12+'10 (RU)'!AL12+'11 (RU)'!AL12+'12 (RU)'!AL12+'13 (RU)'!AL12+'14 (RU)'!AL12+'15 (RU)'!AL12+'16 (RU)'!AL12+'17 (RU)'!AL12+'18 (RU)'!AL12+'19 (RU)'!AL12+'20 (RU)'!AL12+'21 (RU)'!AL12+'22 (RU)'!AL12+'23 (RU)'!AL12</f>
        <v>#DIV/0!</v>
      </c>
      <c r="BY6" s="25" t="e">
        <f t="shared" si="7"/>
        <v>#DIV/0!</v>
      </c>
      <c r="BZ6" s="16" t="e">
        <f t="shared" si="8"/>
        <v>#DIV/0!</v>
      </c>
      <c r="CC6" t="e">
        <f>VLOOKUP(CC$1,emissions!$A$2:$B$5,2,FALSE)*BK6</f>
        <v>#DIV/0!</v>
      </c>
      <c r="CD6" t="e">
        <f>VLOOKUP(CD$1,emissions!$A$2:$B$5,2,FALSE)*BL6</f>
        <v>#DIV/0!</v>
      </c>
      <c r="CF6" t="e">
        <f>VLOOKUP(CF$1,emissions!$A$2:$B$5,2,FALSE)*BN6</f>
        <v>#DIV/0!</v>
      </c>
      <c r="CG6" t="e">
        <f>VLOOKUP(CG$1,emissions!$A$2:$B$5,2,FALSE)*BO6</f>
        <v>#DIV/0!</v>
      </c>
      <c r="CH6" t="e">
        <f>BP6*(emissions!$D$3*production!$B$4+emissions!$D$4*production!$C$4+emissions!$D$5*production!$D$4+emissions!$D$6*production!$E$4)</f>
        <v>#DIV/0!</v>
      </c>
      <c r="CI6" t="e">
        <f>BQ6*(emissions!$D$3*production!$B$4+emissions!$D$4*production!$C$4+emissions!$D$5*production!$D$4+emissions!$D$6*production!$E$4)</f>
        <v>#DIV/0!</v>
      </c>
      <c r="CJ6" t="e">
        <f>BR6*(emissions!$D$8*production!$B$6+emissions!$D$9*production!$C$6+emissions!$D$10*production!$D$6)</f>
        <v>#DIV/0!</v>
      </c>
      <c r="CK6" t="e">
        <f>BS6*(emissions!$D$12*production!$B$8+emissions!$D$13*production!$C$8+emissions!$D$14*production!$D$8)</f>
        <v>#DIV/0!</v>
      </c>
      <c r="CL6" t="e">
        <f>BT6*(emissions!$D$16*production!$B$10+production!$C$10*emissions!$D$17)</f>
        <v>#DIV/0!</v>
      </c>
      <c r="CM6" t="e">
        <f>BU6*(emissions!$D$19*production!$B$12+production!$C$12*emissions!$D$20+emissions!$D$21*production!$D$12)</f>
        <v>#DIV/0!</v>
      </c>
      <c r="CN6" t="e">
        <f>BV6*(emissions!$D$23*production!$B$14+production!$C$14*emissions!$D$24+emissions!$D$25*production!$D$14)</f>
        <v>#DIV/0!</v>
      </c>
      <c r="CO6" t="e">
        <f>BW6*(emissions!$D$27*production!$B$16+production!$C$16*emissions!$D$28+production!$D$16*emissions!$D$29)</f>
        <v>#DIV/0!</v>
      </c>
      <c r="CP6">
        <v>0</v>
      </c>
      <c r="CS6" t="e">
        <f t="shared" si="9"/>
        <v>#DIV/0!</v>
      </c>
      <c r="CT6" s="40" t="e">
        <f t="shared" si="10"/>
        <v>#DIV/0!</v>
      </c>
      <c r="CU6" t="e">
        <f t="shared" si="0"/>
        <v>#DIV/0!</v>
      </c>
      <c r="CV6" t="e">
        <f t="shared" si="1"/>
        <v>#DIV/0!</v>
      </c>
      <c r="CW6">
        <f t="shared" si="2"/>
        <v>87.701999999999998</v>
      </c>
      <c r="CX6">
        <f t="shared" si="3"/>
        <v>75.573000000000008</v>
      </c>
      <c r="CY6" t="e">
        <f t="shared" si="11"/>
        <v>#DIV/0!</v>
      </c>
      <c r="CZ6" s="74" t="e">
        <f t="shared" si="12"/>
        <v>#DIV/0!</v>
      </c>
      <c r="DA6" t="e">
        <f t="shared" si="13"/>
        <v>#DIV/0!</v>
      </c>
      <c r="DB6" t="e">
        <f t="shared" si="14"/>
        <v>#DIV/0!</v>
      </c>
      <c r="DC6" s="34" t="e">
        <f t="shared" si="15"/>
        <v>#DIV/0!</v>
      </c>
      <c r="DD6">
        <v>2029</v>
      </c>
      <c r="DE6" t="e">
        <f t="shared" ref="DE6:DE27" si="22">CY6-DB6</f>
        <v>#DIV/0!</v>
      </c>
      <c r="DF6" t="e">
        <f t="shared" ref="DF6:DF27" si="23">CS6</f>
        <v>#DIV/0!</v>
      </c>
      <c r="DG6">
        <v>2029</v>
      </c>
      <c r="DH6" t="e">
        <f t="shared" ref="DH6:DH27" si="24">CW6*SUM(BK6:BX6)</f>
        <v>#DIV/0!</v>
      </c>
      <c r="DI6" t="e">
        <f t="shared" ref="DI6:DI27" si="25">CX6*SUM(BK6:BX6)</f>
        <v>#DIV/0!</v>
      </c>
      <c r="DJ6" t="e">
        <f t="shared" ref="DJ6:DJ27" si="26">DI6</f>
        <v>#DIV/0!</v>
      </c>
      <c r="DK6" t="e">
        <f t="shared" ref="DK6:DK27" si="27">DH6-DI6</f>
        <v>#DIV/0!</v>
      </c>
      <c r="DL6" t="e">
        <f t="shared" ref="DL6:DL27" si="28">MAX(DH6:DK6)</f>
        <v>#DIV/0!</v>
      </c>
      <c r="DM6" s="74" t="e">
        <f t="shared" ref="DM6:DM27" si="29">(CZ6-DC6)/1000000</f>
        <v>#DIV/0!</v>
      </c>
      <c r="DN6" s="75" t="e">
        <f t="shared" ref="DN6:DN27" si="30">DE6/1000000</f>
        <v>#DIV/0!</v>
      </c>
      <c r="DO6" s="76" t="e">
        <f t="shared" ref="DO6:DO27" si="31">ED6/1000000</f>
        <v>#DIV/0!</v>
      </c>
      <c r="DP6" s="78" t="e">
        <f t="shared" ref="DP6:DP27" si="32">DM6+DO6</f>
        <v>#DIV/0!</v>
      </c>
      <c r="DQ6" s="70">
        <v>16559</v>
      </c>
      <c r="DR6" s="71">
        <v>10647</v>
      </c>
      <c r="DS6" s="72"/>
      <c r="DT6" s="71">
        <v>651</v>
      </c>
      <c r="DU6" s="71">
        <v>2218</v>
      </c>
      <c r="DV6">
        <f>DQ6*VLOOKUP(DQ$1,emissions!$A$2:$B$5,2,FALSE)</f>
        <v>2417614</v>
      </c>
      <c r="DW6">
        <f>DR6*VLOOKUP(DR$1,emissions!$A$2:$B$5,2,FALSE)</f>
        <v>1554462</v>
      </c>
      <c r="DY6">
        <f>DT6*VLOOKUP(DT$1,emissions!$A$2:$B$5,2,FALSE)</f>
        <v>94395</v>
      </c>
      <c r="DZ6">
        <f>DU6*VLOOKUP(DU$1,emissions!$A$2:$B$5,2,FALSE)</f>
        <v>250634</v>
      </c>
      <c r="EA6">
        <f t="shared" si="16"/>
        <v>4317105</v>
      </c>
      <c r="EB6">
        <f t="shared" si="17"/>
        <v>143.54463840399001</v>
      </c>
      <c r="ED6" s="77" t="e">
        <f>SUM(EE6:ER6)</f>
        <v>#DIV/0!</v>
      </c>
      <c r="EE6" s="34" t="e">
        <f>cost!$B$2*BK6</f>
        <v>#DIV/0!</v>
      </c>
      <c r="EF6" s="34" t="e">
        <f>cost!$B$3*BL6</f>
        <v>#DIV/0!</v>
      </c>
      <c r="EG6" s="34"/>
      <c r="EH6" s="34" t="e">
        <f>cost!$B$4*BN6</f>
        <v>#DIV/0!</v>
      </c>
      <c r="EI6" s="34" t="e">
        <f>cost!$B$5*$BO$2</f>
        <v>#DIV/0!</v>
      </c>
      <c r="EJ6" s="34" t="e">
        <f>BP6*(cost!$D$3*production!$B$4+production!$C$4*cost!$D$4+cost!$D$5*production!$D$4+production!$E$4*cost!$D$6)</f>
        <v>#DIV/0!</v>
      </c>
      <c r="EK6" s="34" t="e">
        <f>BQ6*(cost!$D$3*production!$B$4+production!$C$4*cost!$D$4+cost!$D$5*production!$D$4+production!$E$4*cost!$D$6)</f>
        <v>#DIV/0!</v>
      </c>
      <c r="EL6" s="34" t="e">
        <f>BR6*(cost!$D$8*production!$B$6+cost!$D$9*production!$C$6+$D$10*production!$D$6)</f>
        <v>#DIV/0!</v>
      </c>
      <c r="EM6" s="34" t="e">
        <f>BS6*(cost!$D$12*production!$B$8+cost!$D$13*production!$C$8+cost!$D$14*production!$D$8)</f>
        <v>#DIV/0!</v>
      </c>
      <c r="EN6" s="34" t="e">
        <f>BT6*(cost!$D$16*production!$B$10+production!$C$10*cost!$D$17)</f>
        <v>#DIV/0!</v>
      </c>
      <c r="EO6" s="34" t="e">
        <f>BU6*(cost!$D$19*production!$B$12+production!$C$12*cost!$D$20+cost!$D$21*production!$D$12)</f>
        <v>#DIV/0!</v>
      </c>
      <c r="EP6" s="34" t="e">
        <f>BV6*(cost!$D$23*production!$B$14+production!$C$14*cost!$D$24+cost!$D$25*production!$D$14)</f>
        <v>#DIV/0!</v>
      </c>
      <c r="EQ6" s="34" t="e">
        <f>BW6*(cost!$D$27*production!$B$16+production!$C$16*cost!$D$28+cost!$D$29*production!$D$16)</f>
        <v>#DIV/0!</v>
      </c>
      <c r="ER6" s="34" t="e">
        <f>BX6*(re!$H$10*re!$C$10+re!$H$11*re!$C$11+re!$H$12*re!$C$12+re!$H$13*re!$C$13+re!$H$14*re!$C$14)</f>
        <v>#DIV/0!</v>
      </c>
    </row>
    <row r="7" spans="1:148" x14ac:dyDescent="0.2">
      <c r="A7" s="83"/>
      <c r="B7" s="83" t="s">
        <v>172</v>
      </c>
      <c r="C7" s="83"/>
      <c r="D7" s="83"/>
      <c r="E7" s="86"/>
      <c r="F7" s="83"/>
      <c r="G7">
        <v>2030</v>
      </c>
      <c r="H7" s="25">
        <f>'2'!AB13+'6'!AB13+'7'!AB13+'9'!AB13+'11'!AB13+'12'!AB13+'13'!AB13+'16'!AB13+'17'!AB13+'18'!AB13+'22'!AB13</f>
        <v>259.43241855548604</v>
      </c>
      <c r="I7" s="16">
        <f>'1'!AB13+'2'!AC13+'5'!AB13+'6'!AC13+'7'!AC13+'9'!AC13+'11'!AC13+'12'!AC13+'13'!AC13+'15'!AB13+'16'!AC13+'17'!AC13+'18'!AC13+'19'!AB13+'22'!AC13</f>
        <v>334.94359427221008</v>
      </c>
      <c r="J7" s="16"/>
      <c r="K7" s="16">
        <f>'3'!AB13+'4'!AB13+'10'!AB13+'20'!AB13+'21'!AB13+'23'!AB13</f>
        <v>22.18608528784803</v>
      </c>
      <c r="L7" s="16">
        <f>'8'!AB13+'14'!AB13</f>
        <v>204.70910314422522</v>
      </c>
      <c r="M7" s="16">
        <f>'1'!AD13+'2'!AD13+'3'!AD13+'4'!AD13+'5'!AD13+'6'!AD13+'7'!AD13+'8'!AD13+'9'!AD13+'10'!AD13+'11'!AD13+'12'!AD13+'13'!AD13+'14'!AD13+'15'!AD13+'16'!AD13+'17'!AD13+'18'!AD13+'19'!AD13+'20'!AD13+'21'!AD13+'22'!AD13+'23'!AD13</f>
        <v>13.575636870311742</v>
      </c>
      <c r="N7" s="16">
        <f>'1'!AE13+'2'!AE13+'3'!AE13+'4'!AE13+'5'!AE13+'6'!AE13+'7'!AE13+'8'!AE13+'9'!AE13+'10'!AE13+'11'!AE13+'12'!AE13+'13'!AE13+'14'!AE13+'15'!AE13+'16'!AE13+'17'!AE13+'18'!AE13+'19'!AE13+'20'!AE13+'21'!AE13+'22'!AE13+'23'!AE13</f>
        <v>0.80500205880634124</v>
      </c>
      <c r="O7" s="16">
        <f>'1'!AF13+'2'!AF13+'3'!AF13+'4'!AF13+'5'!AF13+'6'!AF13+'7'!AF13+'8'!AF13+'9'!AF13+'10'!AF13+'11'!AF13+'12'!AF13+'13'!AF13+'14'!AF13+'15'!AF13+'16'!AF13+'17'!AF13+'18'!AF13+'19'!AF13+'20'!AF13+'21'!AF13+'22'!AF13+'23'!AF13</f>
        <v>26.01328041512939</v>
      </c>
      <c r="P7" s="16">
        <f>'1'!AG13+'2'!AG13+'3'!AG13+'4'!AG13+'5'!AG13+'6'!AG13+'7'!AG13+'8'!AG13+'9'!AG13+'10'!AG13+'11'!AG13+'12'!AG13+'13'!AG13+'14'!AG13+'15'!AG13+'16'!AG13+'17'!AG13+'18'!AG13+'19'!AG13+'20'!AG13+'21'!AG13+'22'!AG13+'23'!AG13</f>
        <v>23.660924193021302</v>
      </c>
      <c r="Q7" s="16">
        <f>'1'!AH13+'2'!AH13+'3'!AH13+'4'!AH13+'5'!AH13+'6'!AH13+'7'!AH13+'8'!AH13+'9'!AH13+'10'!AH13+'11'!AH13+'12'!AH13+'13'!AH13+'14'!AH13+'15'!AH13+'16'!AH13+'17'!AH13+'18'!AH13+'19'!AH13+'20'!AH13+'21'!AH13+'22'!AH13+'23'!AH13</f>
        <v>0.60999284796791287</v>
      </c>
      <c r="R7" s="16">
        <f>'1'!AI13+'2'!AI13+'3'!AI13+'4'!AI13+'5'!AI13+'6'!AI13+'7'!AI13+'8'!AI13+'9'!AI13+'10'!AI13+'11'!AI13+'12'!AI13+'13'!AI13+'14'!AI13+'15'!AI13+'16'!AI13+'17'!AI13+'18'!AI13+'19'!AI13+'20'!AI13+'21'!AI13+'22'!AI13+'23'!AI13</f>
        <v>4.1066144612421169</v>
      </c>
      <c r="S7" s="16">
        <f>'1'!AJ13+'2'!AJ13+'3'!AJ13+'4'!AJ13+'5'!AJ13+'6'!AJ13+'7'!AJ13+'8'!AJ13+'9'!AJ13+'10'!AJ13+'11'!AJ13+'12'!AJ13+'13'!AJ13+'14'!AJ13+'15'!AJ13+'16'!AJ13+'17'!AJ13+'18'!AJ13+'19'!AJ13+'20'!AJ13+'21'!AJ13+'22'!AJ13+'23'!AJ13</f>
        <v>1.1679571832450251</v>
      </c>
      <c r="T7" s="16">
        <f>'1'!AK13+'2'!AK13+'3'!AK13+'4'!AK13+'5'!AK13+'6'!AK13+'7'!AK13+'8'!AK13+'9'!AK13+'10'!AK13+'11'!AK13+'12'!AK13+'13'!AK13+'14'!AK13+'15'!AK13+'16'!AK13+'17'!AK13+'18'!AK13+'19'!AK13+'20'!AK13+'21'!AK13+'22'!AK13+'23'!AK13</f>
        <v>12.863099531082094</v>
      </c>
      <c r="U7" s="16">
        <f>'1'!AL13+'2'!AL13+'3'!AL13+'4'!AL13+'5'!AL13+'6'!AL13+'7'!AL13+'8'!AL13+'9'!AL13+'10'!AL13+'11'!AL13+'12'!AL13+'13'!AL13+'14'!AL13+'15'!AL13+'16'!AL13+'17'!AL13+'18'!AL13+'19'!AL13+'20'!AL13+'21'!AL13+'22'!AL13+'23'!AL13</f>
        <v>3.1149519799890227E-2</v>
      </c>
      <c r="V7" s="25">
        <f t="shared" si="5"/>
        <v>821.27120125976933</v>
      </c>
      <c r="W7" s="16">
        <f t="shared" si="6"/>
        <v>82.833657080605818</v>
      </c>
      <c r="X7" s="9">
        <f t="shared" si="20"/>
        <v>0.65285338483817634</v>
      </c>
      <c r="Y7" s="16">
        <f>((M7+N7)*re!$D$2/re!$C$2+O7*re!$D$3/re!$C$3+P7*re!$D$4/re!$C$4+T7*re!$D$5/re!$C$5+U7*re!$D$6/re!$C$6)</f>
        <v>140.56417463962629</v>
      </c>
      <c r="Z7">
        <f t="shared" si="18"/>
        <v>10.844797599485789</v>
      </c>
      <c r="AA7">
        <f>((Y7*277.8)/(re!$B$10*8760))*re!$C$10</f>
        <v>6.1484376814498809</v>
      </c>
      <c r="AB7">
        <f>((Y7*277.8)/(re!$B$11*8760))*re!$C$11</f>
        <v>2.2859575995134165</v>
      </c>
      <c r="AC7">
        <f>((Y7*277.8)/(re!$B$12*8760))*re!$C$12</f>
        <v>0.82548468871317826</v>
      </c>
      <c r="AD7">
        <f>((Y7*277.8)/(re!$B$13*8760))*re!$C$13</f>
        <v>0.24226181081799797</v>
      </c>
      <c r="AE7">
        <f>((Y7*277.8)/(re!$B$14*8760))*re!$C$14</f>
        <v>1.3426558189913143</v>
      </c>
      <c r="AF7">
        <f>SUM('1'!AD13:AL13)+'1'!AA13</f>
        <v>143.65349869935469</v>
      </c>
      <c r="AG7">
        <f>SUM('2'!AD13:AL13)+'2'!AA13</f>
        <v>2.7225329594071752</v>
      </c>
      <c r="AH7">
        <f>SUM('3'!AD13:AL13)+'3'!AA13</f>
        <v>11.765438156035374</v>
      </c>
      <c r="AI7">
        <f>SUM('4'!AD13:AL13)+'4'!AA13</f>
        <v>0.87695590841647375</v>
      </c>
      <c r="AJ7">
        <f>SUM('5'!AD13:AL13)+'5'!AA13</f>
        <v>5.349799565823667</v>
      </c>
      <c r="AK7">
        <f>SUM('6'!AD13:AL13)+'6'!AA13</f>
        <v>137.9974713166059</v>
      </c>
      <c r="AL7">
        <f>SUM('7'!AD13:AL13)+'7'!AA13</f>
        <v>121.58611062479153</v>
      </c>
      <c r="AM7">
        <f>SUM('8'!AD13:AL13)+'8'!AA13</f>
        <v>223.14203114720442</v>
      </c>
      <c r="AN7">
        <f>SUM('9'!AD13:AL13)+'9'!AA13</f>
        <v>66.797577498752091</v>
      </c>
      <c r="AO7">
        <f>SUM('10'!AD13:AL13)+'10'!AA13</f>
        <v>4.9123761577136138</v>
      </c>
      <c r="AP7">
        <f>SUM('11'!AD13:AL13)+'11'!AA13</f>
        <v>6.244629087600531</v>
      </c>
      <c r="AQ7">
        <f>SUM('12'!AD13:AL13)+'12'!AA13</f>
        <v>1.918478625747867</v>
      </c>
      <c r="AR7">
        <f>SUM('13'!AD13:AL13)+'13'!AA13</f>
        <v>5.5819708668989332</v>
      </c>
      <c r="AS7">
        <f>SUM('14'!AD13:AL13)+'14'!AA13</f>
        <v>4.373909597914178</v>
      </c>
      <c r="AT7">
        <f>SUM('15'!AD13:AL13)+'15'!AA13</f>
        <v>59.347845399887234</v>
      </c>
      <c r="AU7">
        <f>SUM('16'!AD13:AL13)+'16'!AA13</f>
        <v>23.757294976111115</v>
      </c>
      <c r="AV7">
        <f>SUM('17'!AD13:AL13)+'17'!AA13</f>
        <v>40.432437315209945</v>
      </c>
      <c r="AW7">
        <f>SUM('18'!AD13:AL13)+'18'!AA13</f>
        <v>10.097167804899357</v>
      </c>
      <c r="AX7">
        <f>SUM('19'!AD13:AL13)+'19'!AA13</f>
        <v>26.269261516771767</v>
      </c>
      <c r="AY7">
        <f>SUM('20'!AD13:AL13)+'20'!AA13</f>
        <v>1.6745800456524136</v>
      </c>
      <c r="AZ7">
        <f>SUM('21'!AD13:AL13)+'21'!AA13</f>
        <v>0.15201701363735171</v>
      </c>
      <c r="BA7">
        <f>SUM('22'!AD13:AL13)+'22'!AA13</f>
        <v>0.49226923646342396</v>
      </c>
      <c r="BB7">
        <f>SUM('23'!AD13:AL13)+'23'!AA13</f>
        <v>4.9592048194762235</v>
      </c>
      <c r="BC7">
        <f>('1'!D13+'2'!D13+'3'!D13+'4'!D13+'5'!D13+'6'!D13+'7'!D13+'8'!D13+'9'!D13+'10'!D13+'12'!D13+'13'!D13+'14'!D13+'15'!D13+'16'!D13+'17'!D13+'18'!D13+'19'!D13+'20'!D13+'21'!D13+'22'!D13+'23'!D13)/('1'!D12+'2'!D12+'3'!D12+'4'!D12+'5'!D12+'6'!D12+'7'!D12+'8'!D12+'9'!D12+'10'!D12+'12'!D12+'13'!D12+'14'!D12+'15'!D12+'16'!D12+'17'!D12+'18'!D12+'19'!D12+'20'!D12+'21'!D12+'22'!D12+'23'!D12)-1</f>
        <v>0.27682430390210322</v>
      </c>
      <c r="BD7">
        <f>('1'!E13+'2'!E13+'3'!E13+'4'!E13+'5'!E13+'6'!E13+'7'!E13+'8'!E13+'9'!E13+'10'!E13+'12'!E13+'13'!E13+'14'!E13+'15'!E13+'16'!E13+'17'!E13+'18'!E13+'19'!E13+'20'!E13+'21'!E13+'22'!E13+'23'!E13)/('1'!E12+'2'!E12+'3'!E12+'4'!E12+'5'!E12+'6'!E12+'7'!E12+'8'!E12+'9'!E12+'10'!E12+'12'!E12+'13'!E12+'14'!E12+'15'!E12+'16'!E12+'17'!E12+'18'!E12+'19'!E12+'20'!E12+'21'!E12+'22'!E12+'23'!E12)-1</f>
        <v>0.27682430390210366</v>
      </c>
      <c r="BE7">
        <f>('1'!F13+'2'!F13+'3'!F13+'4'!F13+'5'!F13+'6'!F13+'7'!F13+'8'!F13+'9'!F13+'10'!F13+'12'!F13+'13'!F13+'14'!F13+'15'!F13+'16'!F13+'17'!F13+'18'!F13+'19'!F13+'20'!F13+'21'!F13+'22'!F13+'23'!F13)/('1'!F12+'2'!F12+'3'!F12+'4'!F12+'5'!F12+'6'!F12+'7'!F12+'8'!F12+'9'!F12+'10'!F12+'12'!F12+'13'!F12+'14'!F12+'15'!F12+'16'!F12+'17'!F12+'18'!F12+'19'!F12+'20'!F12+'21'!F12+'22'!F12+'23'!F12)-1</f>
        <v>0.27647331706197265</v>
      </c>
      <c r="BF7">
        <f t="shared" si="19"/>
        <v>0.65285338483817634</v>
      </c>
      <c r="BG7">
        <v>2030</v>
      </c>
      <c r="BH7" s="2">
        <v>0.08</v>
      </c>
      <c r="BI7" s="2">
        <v>0.21</v>
      </c>
      <c r="BJ7" s="2">
        <f t="shared" si="21"/>
        <v>0.13</v>
      </c>
      <c r="BK7" t="e">
        <f>'2 (RU)'!AB13+'6 (RU)'!AB13+'7 (RU)'!AB13+'9 (RU)'!AB13+'11 (RU)'!AB13+'12 (RU)'!AB13+'13 (RU)'!AB13+'16 (RU)'!AB13+'17 (RU)'!AB13+'18 (RU)'!AB13+'22 (RU)'!AB13</f>
        <v>#DIV/0!</v>
      </c>
      <c r="BL7" t="e">
        <f>'1 (RU)'!AB13+'2 (RU)'!AC13+'5 (RU)'!AB13+'6 (RU)'!AC13+'7 (RU)'!AC13+'9 (RU)'!AC13+'11 (RU)'!AC13+'12 (RU)'!AC13+'13 (RU)'!AC13+'15 (RU)'!AB13+'16 (RU)'!AC13+'17 (RU)'!AC13+'18 (RU)'!AC13+'19 (RU)'!AB13+'22 (RU)'!AC13</f>
        <v>#DIV/0!</v>
      </c>
      <c r="BN7" t="e">
        <f>'3 (RU)'!AB13+'4 (RU)'!AB13+'10 (RU)'!AB13+'20 (RU)'!AB13+'21 (RU)'!AB13+'23 (RU)'!AB13</f>
        <v>#DIV/0!</v>
      </c>
      <c r="BO7" t="e">
        <f>'8 (RU)'!AB13+'14 (RU)'!AB13</f>
        <v>#DIV/0!</v>
      </c>
      <c r="BP7" t="e">
        <f>'1 (RU)'!AD13+'2 (RU)'!AD13+'3 (RU)'!AD13+'4 (RU)'!AD13+'5 (RU)'!AD13+'6 (RU)'!AD13+'7 (RU)'!AD13+'8 (RU)'!AD13+'9 (RU)'!AD13+'10 (RU)'!AD13+'11 (RU)'!AD13+'12 (RU)'!AD13+'13 (RU)'!AD13+'14 (RU)'!AD13+'15 (RU)'!AD13+'16 (RU)'!AD13+'17 (RU)'!AD13+'18 (RU)'!AD13+'19 (RU)'!AD13+'20 (RU)'!AD13+'21 (RU)'!AD13+'22 (RU)'!AD13+'23 (RU)'!AD13</f>
        <v>#DIV/0!</v>
      </c>
      <c r="BQ7" t="e">
        <f>'1 (RU)'!AE13+'2 (RU)'!AE13+'3 (RU)'!AE13+'4 (RU)'!AE13+'5 (RU)'!AE13+'6 (RU)'!AE13+'7 (RU)'!AE13+'8 (RU)'!AE13+'9 (RU)'!AE13+'10 (RU)'!AE13+'11 (RU)'!AE13+'12 (RU)'!AE13+'13 (RU)'!AE13+'14 (RU)'!AE13+'15 (RU)'!AE13+'16 (RU)'!AE13+'17 (RU)'!AE13+'18 (RU)'!AE13+'19 (RU)'!AE13+'20 (RU)'!AE13+'21 (RU)'!AE13+'22 (RU)'!AE13+'23 (RU)'!AE13</f>
        <v>#DIV/0!</v>
      </c>
      <c r="BR7" t="e">
        <f>'1 (RU)'!AF13+'2 (RU)'!AF13+'3 (RU)'!AF13+'4 (RU)'!AF13+'5 (RU)'!AF13+'6 (RU)'!AF13+'7 (RU)'!AF13+'8 (RU)'!AF13+'9 (RU)'!AF13+'10 (RU)'!AF13+'11 (RU)'!AF13+'12 (RU)'!AF13+'13 (RU)'!AF13+'14 (RU)'!AF13+'15 (RU)'!AF13+'16 (RU)'!AF13+'17 (RU)'!AF13+'18 (RU)'!AF13+'19 (RU)'!AF13+'20 (RU)'!AF13+'21 (RU)'!AF13+'22 (RU)'!AF13+'23 (RU)'!AF13</f>
        <v>#DIV/0!</v>
      </c>
      <c r="BS7" t="e">
        <f>'1 (RU)'!AG13+'2 (RU)'!AG13+'3 (RU)'!AG13+'4 (RU)'!AG13+'5 (RU)'!AG13+'6 (RU)'!AG13+'7 (RU)'!AG13+'8 (RU)'!AG13+'9 (RU)'!AG13+'10 (RU)'!AG13+'11 (RU)'!AG13+'12 (RU)'!AG13+'13 (RU)'!AG13+'14 (RU)'!AG13+'15 (RU)'!AG13+'16 (RU)'!AG13+'17 (RU)'!AG13+'18 (RU)'!AG13+'19 (RU)'!AG13+'20 (RU)'!AG13+'21 (RU)'!AG13+'22 (RU)'!AG13+'23 (RU)'!AG13</f>
        <v>#DIV/0!</v>
      </c>
      <c r="BT7" t="e">
        <f>'1 (RU)'!AH13+'2 (RU)'!AH13+'3 (RU)'!AH13+'4 (RU)'!AH13+'5 (RU)'!AH13+'6 (RU)'!AH13+'7 (RU)'!AH13+'8 (RU)'!AH13+'9 (RU)'!AH13+'10 (RU)'!AH13+'11 (RU)'!AH13+'12 (RU)'!AH13+'13 (RU)'!AH13+'14 (RU)'!AH13+'15 (RU)'!AH13+'16 (RU)'!AH13+'17 (RU)'!AH13+'18 (RU)'!AH13+'19 (RU)'!AH13+'20 (RU)'!AH13+'21 (RU)'!AH13+'22 (RU)'!AH13+'23 (RU)'!AH13</f>
        <v>#DIV/0!</v>
      </c>
      <c r="BU7" t="e">
        <f>'1 (RU)'!AI13+'2 (RU)'!AI13+'3 (RU)'!AI13+'4 (RU)'!AI13+'5 (RU)'!AI13+'6 (RU)'!AI13+'7 (RU)'!AI13+'8 (RU)'!AI13+'9 (RU)'!AI13+'10 (RU)'!AI13+'11 (RU)'!AI13+'12 (RU)'!AI13+'13 (RU)'!AI13+'14 (RU)'!AI13+'15 (RU)'!AI13+'16 (RU)'!AI13+'17 (RU)'!AI13+'18 (RU)'!AI13+'19 (RU)'!AI13+'20 (RU)'!AI13+'21 (RU)'!AI13+'22 (RU)'!AI13+'23 (RU)'!AI13</f>
        <v>#DIV/0!</v>
      </c>
      <c r="BV7" t="e">
        <f>'1 (RU)'!AJ13+'2 (RU)'!AJ13+'3 (RU)'!AJ13+'4 (RU)'!AJ13+'5 (RU)'!AJ13+'6 (RU)'!AJ13+'7 (RU)'!AJ13+'8 (RU)'!AJ13+'9 (RU)'!AJ13+'10 (RU)'!AJ13+'11 (RU)'!AJ13+'12 (RU)'!AJ13+'13 (RU)'!AJ13+'14 (RU)'!AJ13+'15 (RU)'!AJ13+'16 (RU)'!AJ13+'17 (RU)'!AJ13+'18 (RU)'!AJ13+'19 (RU)'!AJ13+'20 (RU)'!AJ13+'21 (RU)'!AJ13+'22 (RU)'!AJ13+'23 (RU)'!AJ13</f>
        <v>#DIV/0!</v>
      </c>
      <c r="BW7" t="e">
        <f>'1 (RU)'!AK13+'2 (RU)'!AK13+'3 (RU)'!AK13+'4 (RU)'!AK13+'5 (RU)'!AK13+'6 (RU)'!AK13+'7 (RU)'!AK13+'8 (RU)'!AK13+'9 (RU)'!AK13+'10 (RU)'!AK13+'11 (RU)'!AK13+'12 (RU)'!AK13+'13 (RU)'!AK13+'14 (RU)'!AK13+'15 (RU)'!AK13+'16 (RU)'!AK13+'17 (RU)'!AK13+'18 (RU)'!AK13+'19 (RU)'!AK13+'20 (RU)'!AK13+'21 (RU)'!AK13+'22 (RU)'!AK13+'23 (RU)'!AK13</f>
        <v>#DIV/0!</v>
      </c>
      <c r="BX7" t="e">
        <f>'1 (RU)'!AL13+'2 (RU)'!AL13+'3 (RU)'!AL13+'4 (RU)'!AL13+'5 (RU)'!AL13+'6 (RU)'!AL13+'7 (RU)'!AL13+'8 (RU)'!AL13+'9 (RU)'!AL13+'10 (RU)'!AL13+'11 (RU)'!AL13+'12 (RU)'!AL13+'13 (RU)'!AL13+'14 (RU)'!AL13+'15 (RU)'!AL13+'16 (RU)'!AL13+'17 (RU)'!AL13+'18 (RU)'!AL13+'19 (RU)'!AL13+'20 (RU)'!AL13+'21 (RU)'!AL13+'22 (RU)'!AL13+'23 (RU)'!AL13</f>
        <v>#DIV/0!</v>
      </c>
      <c r="BY7" s="25" t="e">
        <f t="shared" si="7"/>
        <v>#DIV/0!</v>
      </c>
      <c r="BZ7" s="16" t="e">
        <f t="shared" si="8"/>
        <v>#DIV/0!</v>
      </c>
      <c r="CC7" t="e">
        <f>VLOOKUP(CC$1,emissions!$A$2:$B$5,2,FALSE)*BK7</f>
        <v>#DIV/0!</v>
      </c>
      <c r="CD7" t="e">
        <f>VLOOKUP(CD$1,emissions!$A$2:$B$5,2,FALSE)*BL7</f>
        <v>#DIV/0!</v>
      </c>
      <c r="CF7" t="e">
        <f>VLOOKUP(CF$1,emissions!$A$2:$B$5,2,FALSE)*BN7</f>
        <v>#DIV/0!</v>
      </c>
      <c r="CG7" t="e">
        <f>VLOOKUP(CG$1,emissions!$A$2:$B$5,2,FALSE)*BO7</f>
        <v>#DIV/0!</v>
      </c>
      <c r="CH7" t="e">
        <f>BP7*(emissions!$D$3*production!$B$4+emissions!$D$4*production!$C$4+emissions!$D$5*production!$D$4+emissions!$D$6*production!$E$4)</f>
        <v>#DIV/0!</v>
      </c>
      <c r="CI7" t="e">
        <f>BQ7*(emissions!$D$3*production!$B$4+emissions!$D$4*production!$C$4+emissions!$D$5*production!$D$4+emissions!$D$6*production!$E$4)</f>
        <v>#DIV/0!</v>
      </c>
      <c r="CJ7" t="e">
        <f>BR7*(emissions!$D$8*production!$B$6+emissions!$D$9*production!$C$6+emissions!$D$10*production!$D$6)</f>
        <v>#DIV/0!</v>
      </c>
      <c r="CK7" t="e">
        <f>BS7*(emissions!$D$12*production!$B$8+emissions!$D$13*production!$C$8+emissions!$D$14*production!$D$8)</f>
        <v>#DIV/0!</v>
      </c>
      <c r="CL7" t="e">
        <f>BT7*(emissions!$D$16*production!$B$10+production!$C$10*emissions!$D$17)</f>
        <v>#DIV/0!</v>
      </c>
      <c r="CM7" t="e">
        <f>BU7*(emissions!$D$19*production!$B$12+production!$C$12*emissions!$D$20+emissions!$D$21*production!$D$12)</f>
        <v>#DIV/0!</v>
      </c>
      <c r="CN7" t="e">
        <f>BV7*(emissions!$D$23*production!$B$14+production!$C$14*emissions!$D$24+emissions!$D$25*production!$D$14)</f>
        <v>#DIV/0!</v>
      </c>
      <c r="CO7" t="e">
        <f>BW7*(emissions!$D$27*production!$B$16+production!$C$16*emissions!$D$28+production!$D$16*emissions!$D$29)</f>
        <v>#DIV/0!</v>
      </c>
      <c r="CP7">
        <v>0</v>
      </c>
      <c r="CS7" t="e">
        <f t="shared" si="9"/>
        <v>#DIV/0!</v>
      </c>
      <c r="CT7" s="40" t="e">
        <f t="shared" si="10"/>
        <v>#DIV/0!</v>
      </c>
      <c r="CU7" t="e">
        <f t="shared" si="0"/>
        <v>#DIV/0!</v>
      </c>
      <c r="CV7" t="e">
        <f t="shared" si="1"/>
        <v>#DIV/0!</v>
      </c>
      <c r="CW7">
        <f t="shared" si="2"/>
        <v>85.835999999999999</v>
      </c>
      <c r="CX7">
        <f t="shared" si="3"/>
        <v>73.707000000000008</v>
      </c>
      <c r="CY7" t="e">
        <f t="shared" si="11"/>
        <v>#DIV/0!</v>
      </c>
      <c r="CZ7" s="74" t="e">
        <f t="shared" si="12"/>
        <v>#DIV/0!</v>
      </c>
      <c r="DA7" t="e">
        <f t="shared" si="13"/>
        <v>#DIV/0!</v>
      </c>
      <c r="DB7" t="e">
        <f t="shared" si="14"/>
        <v>#DIV/0!</v>
      </c>
      <c r="DC7" s="34" t="e">
        <f t="shared" si="15"/>
        <v>#DIV/0!</v>
      </c>
      <c r="DD7">
        <v>2030</v>
      </c>
      <c r="DE7" t="e">
        <f t="shared" si="22"/>
        <v>#DIV/0!</v>
      </c>
      <c r="DF7" t="e">
        <f t="shared" si="23"/>
        <v>#DIV/0!</v>
      </c>
      <c r="DG7">
        <v>2030</v>
      </c>
      <c r="DH7" t="e">
        <f t="shared" si="24"/>
        <v>#DIV/0!</v>
      </c>
      <c r="DI7" t="e">
        <f t="shared" si="25"/>
        <v>#DIV/0!</v>
      </c>
      <c r="DJ7" t="e">
        <f t="shared" si="26"/>
        <v>#DIV/0!</v>
      </c>
      <c r="DK7" t="e">
        <f t="shared" si="27"/>
        <v>#DIV/0!</v>
      </c>
      <c r="DL7" t="e">
        <f t="shared" si="28"/>
        <v>#DIV/0!</v>
      </c>
      <c r="DM7" s="74" t="e">
        <f t="shared" si="29"/>
        <v>#DIV/0!</v>
      </c>
      <c r="DN7" s="75" t="e">
        <f t="shared" si="30"/>
        <v>#DIV/0!</v>
      </c>
      <c r="DO7" s="76" t="e">
        <f t="shared" si="31"/>
        <v>#DIV/0!</v>
      </c>
      <c r="DP7" s="78" t="e">
        <f t="shared" si="32"/>
        <v>#DIV/0!</v>
      </c>
      <c r="DQ7" s="70">
        <v>15715</v>
      </c>
      <c r="DR7" s="71">
        <v>11981</v>
      </c>
      <c r="DS7" s="71"/>
      <c r="DT7" s="71">
        <v>664</v>
      </c>
      <c r="DU7" s="71">
        <v>2262</v>
      </c>
      <c r="DV7">
        <f>DQ7*VLOOKUP(DQ$1,emissions!$A$2:$B$5,2,FALSE)</f>
        <v>2294390</v>
      </c>
      <c r="DW7">
        <f>DR7*VLOOKUP(DR$1,emissions!$A$2:$B$5,2,FALSE)</f>
        <v>1749226</v>
      </c>
      <c r="DY7">
        <f>DT7*VLOOKUP(DT$1,emissions!$A$2:$B$5,2,FALSE)</f>
        <v>96280</v>
      </c>
      <c r="DZ7">
        <f>DU7*VLOOKUP(DU$1,emissions!$A$2:$B$5,2,FALSE)</f>
        <v>255606</v>
      </c>
      <c r="EA7">
        <f t="shared" si="16"/>
        <v>4395502</v>
      </c>
      <c r="EB7">
        <f t="shared" si="17"/>
        <v>143.54065704395532</v>
      </c>
      <c r="ED7" s="77" t="e">
        <f t="shared" si="4"/>
        <v>#DIV/0!</v>
      </c>
      <c r="EE7" s="34" t="e">
        <f>cost!$B$2*BK7</f>
        <v>#DIV/0!</v>
      </c>
      <c r="EF7" s="34" t="e">
        <f>cost!$B$3*BL7</f>
        <v>#DIV/0!</v>
      </c>
      <c r="EG7" s="34"/>
      <c r="EH7" s="34" t="e">
        <f>cost!$B$4*BN7</f>
        <v>#DIV/0!</v>
      </c>
      <c r="EI7" s="34" t="e">
        <f>cost!$B$5*$BO$2</f>
        <v>#DIV/0!</v>
      </c>
      <c r="EJ7" s="34" t="e">
        <f>BP7*(cost!$D$3*production!$B$4+production!$C$4*cost!$D$4+cost!$D$5*production!$D$4+production!$E$4*cost!$D$6)</f>
        <v>#DIV/0!</v>
      </c>
      <c r="EK7" s="34" t="e">
        <f>BQ7*(cost!$D$3*production!$B$4+production!$C$4*cost!$D$4+cost!$D$5*production!$D$4+production!$E$4*cost!$D$6)</f>
        <v>#DIV/0!</v>
      </c>
      <c r="EL7" s="34" t="e">
        <f>BR7*(cost!$D$8*production!$B$6+cost!$D$9*production!$C$6+$D$10*production!$D$6)</f>
        <v>#DIV/0!</v>
      </c>
      <c r="EM7" s="34" t="e">
        <f>BS7*(cost!$D$12*production!$B$8+cost!$D$13*production!$C$8+cost!$D$14*production!$D$8)</f>
        <v>#DIV/0!</v>
      </c>
      <c r="EN7" s="34" t="e">
        <f>BT7*(cost!$D$16*production!$B$10+production!$C$10*cost!$D$17)</f>
        <v>#DIV/0!</v>
      </c>
      <c r="EO7" s="34" t="e">
        <f>BU7*(cost!$D$19*production!$B$12+production!$C$12*cost!$D$20+cost!$D$21*production!$D$12)</f>
        <v>#DIV/0!</v>
      </c>
      <c r="EP7" s="34" t="e">
        <f>BV7*(cost!$D$23*production!$B$14+production!$C$14*cost!$D$24+cost!$D$25*production!$D$14)</f>
        <v>#DIV/0!</v>
      </c>
      <c r="EQ7" s="34" t="e">
        <f>BW7*(cost!$D$27*production!$B$16+production!$C$16*cost!$D$28+cost!$D$29*production!$D$16)</f>
        <v>#DIV/0!</v>
      </c>
      <c r="ER7" s="34" t="e">
        <f>BX7*(re!$H$10*re!$C$10+re!$H$11*re!$C$11+re!$H$12*re!$C$12+re!$H$13*re!$C$13+re!$H$14*re!$C$14)</f>
        <v>#DIV/0!</v>
      </c>
    </row>
    <row r="8" spans="1:148" x14ac:dyDescent="0.2">
      <c r="A8" s="1" t="s">
        <v>175</v>
      </c>
      <c r="B8" s="5">
        <v>0.45</v>
      </c>
      <c r="C8" s="11">
        <v>10</v>
      </c>
      <c r="D8" s="83"/>
      <c r="E8" s="86"/>
      <c r="F8" s="83"/>
      <c r="G8">
        <v>2031</v>
      </c>
      <c r="H8" s="25">
        <f>'2'!AB14+'6'!AB14+'7'!AB14+'9'!AB14+'11'!AB14+'12'!AB14+'13'!AB14+'16'!AB14+'17'!AB14+'18'!AB14+'22'!AB14</f>
        <v>223.26637734765347</v>
      </c>
      <c r="I8" s="16">
        <f>'1'!AB14+'2'!AC14+'5'!AB14+'6'!AC14+'7'!AC14+'9'!AC14+'11'!AC14+'12'!AC14+'13'!AC14+'15'!AB14+'16'!AC14+'17'!AC14+'18'!AC14+'19'!AB14+'22'!AC14</f>
        <v>351.03034364032533</v>
      </c>
      <c r="J8" s="16"/>
      <c r="K8" s="16">
        <f>'3'!AB14+'4'!AB14+'10'!AB14+'20'!AB14+'21'!AB14+'23'!AB14</f>
        <v>21.484672912530446</v>
      </c>
      <c r="L8" s="16">
        <f>'8'!AB14+'14'!AB14</f>
        <v>198.19318345772399</v>
      </c>
      <c r="M8" s="16">
        <f>'1'!AD14+'2'!AD14+'3'!AD14+'4'!AD14+'5'!AD14+'6'!AD14+'7'!AD14+'8'!AD14+'9'!AD14+'10'!AD14+'11'!AD14+'12'!AD14+'13'!AD14+'14'!AD14+'15'!AD14+'16'!AD14+'17'!AD14+'18'!AD14+'19'!AD14+'20'!AD14+'21'!AD14+'22'!AD14+'23'!AD14</f>
        <v>21.448571415114543</v>
      </c>
      <c r="N8" s="16">
        <f>'1'!AE14+'2'!AE14+'3'!AE14+'4'!AE14+'5'!AE14+'6'!AE14+'7'!AE14+'8'!AE14+'9'!AE14+'10'!AE14+'11'!AE14+'12'!AE14+'13'!AE14+'14'!AE14+'15'!AE14+'16'!AE14+'17'!AE14+'18'!AE14+'19'!AE14+'20'!AE14+'21'!AE14+'22'!AE14+'23'!AE14</f>
        <v>1.2718227302091947</v>
      </c>
      <c r="O8" s="16">
        <f>'1'!AF14+'2'!AF14+'3'!AF14+'4'!AF14+'5'!AF14+'6'!AF14+'7'!AF14+'8'!AF14+'9'!AF14+'10'!AF14+'11'!AF14+'12'!AF14+'13'!AF14+'14'!AF14+'15'!AF14+'16'!AF14+'17'!AF14+'18'!AF14+'19'!AF14+'20'!AF14+'21'!AF14+'22'!AF14+'23'!AF14</f>
        <v>41.097038543503913</v>
      </c>
      <c r="P8" s="16">
        <f>'1'!AG14+'2'!AG14+'3'!AG14+'4'!AG14+'5'!AG14+'6'!AG14+'7'!AG14+'8'!AG14+'9'!AG14+'10'!AG14+'11'!AG14+'12'!AG14+'13'!AG14+'14'!AG14+'15'!AG14+'16'!AG14+'17'!AG14+'18'!AG14+'19'!AG14+'20'!AG14+'21'!AG14+'22'!AG14+'23'!AG14</f>
        <v>37.38430600960826</v>
      </c>
      <c r="Q8" s="16">
        <f>'1'!AH14+'2'!AH14+'3'!AH14+'4'!AH14+'5'!AH14+'6'!AH14+'7'!AH14+'8'!AH14+'9'!AH14+'10'!AH14+'11'!AH14+'12'!AH14+'13'!AH14+'14'!AH14+'15'!AH14+'16'!AH14+'17'!AH14+'18'!AH14+'19'!AH14+'20'!AH14+'21'!AH14+'22'!AH14+'23'!AH14</f>
        <v>0.96272570610318464</v>
      </c>
      <c r="R8" s="16">
        <f>'1'!AI14+'2'!AI14+'3'!AI14+'4'!AI14+'5'!AI14+'6'!AI14+'7'!AI14+'8'!AI14+'9'!AI14+'10'!AI14+'11'!AI14+'12'!AI14+'13'!AI14+'14'!AI14+'15'!AI14+'16'!AI14+'17'!AI14+'18'!AI14+'19'!AI14+'20'!AI14+'21'!AI14+'22'!AI14+'23'!AI14</f>
        <v>6.4882855452727517</v>
      </c>
      <c r="S8" s="16">
        <f>'1'!AJ14+'2'!AJ14+'3'!AJ14+'4'!AJ14+'5'!AJ14+'6'!AJ14+'7'!AJ14+'8'!AJ14+'9'!AJ14+'10'!AJ14+'11'!AJ14+'12'!AJ14+'13'!AJ14+'14'!AJ14+'15'!AJ14+'16'!AJ14+'17'!AJ14+'18'!AJ14+'19'!AJ14+'20'!AJ14+'21'!AJ14+'22'!AJ14+'23'!AJ14</f>
        <v>1.8434237112549912</v>
      </c>
      <c r="T8" s="16">
        <f>'1'!AK14+'2'!AK14+'3'!AK14+'4'!AK14+'5'!AK14+'6'!AK14+'7'!AK14+'8'!AK14+'9'!AK14+'10'!AK14+'11'!AK14+'12'!AK14+'13'!AK14+'14'!AK14+'15'!AK14+'16'!AK14+'17'!AK14+'18'!AK14+'19'!AK14+'20'!AK14+'21'!AK14+'22'!AK14+'23'!AK14</f>
        <v>20.328043925518315</v>
      </c>
      <c r="U8" s="16">
        <f>'1'!AL14+'2'!AL14+'3'!AL14+'4'!AL14+'5'!AL14+'6'!AL14+'7'!AL14+'8'!AL14+'9'!AL14+'10'!AL14+'11'!AL14+'12'!AL14+'13'!AL14+'14'!AL14+'15'!AL14+'16'!AL14+'17'!AL14+'18'!AL14+'19'!AL14+'20'!AL14+'21'!AL14+'22'!AL14+'23'!AL14</f>
        <v>4.9285873119394787E-2</v>
      </c>
      <c r="V8" s="25">
        <f t="shared" si="5"/>
        <v>793.9745773582332</v>
      </c>
      <c r="W8" s="16">
        <f t="shared" si="6"/>
        <v>130.87350345970455</v>
      </c>
      <c r="X8" s="9">
        <f t="shared" si="20"/>
        <v>0.5799556372641006</v>
      </c>
      <c r="Y8" s="16">
        <f>((M8+N8)*re!$D$2/re!$C$2+O8*re!$D$3/re!$C$3+P8*re!$D$4/re!$C$4+T8*re!$D$5/re!$C$5+U8*re!$D$6/re!$C$6)</f>
        <v>222.08940694309649</v>
      </c>
      <c r="Z8">
        <f t="shared" si="18"/>
        <v>17.134626752958813</v>
      </c>
      <c r="AA8">
        <f>((Y8*277.8)/(re!$B$10*8760))*re!$C$10</f>
        <v>9.7144445361033256</v>
      </c>
      <c r="AB8">
        <f>((Y8*277.8)/(re!$B$11*8760))*re!$C$11</f>
        <v>3.611780660858928</v>
      </c>
      <c r="AC8">
        <f>((Y8*277.8)/(re!$B$12*8760))*re!$C$12</f>
        <v>1.3042541275323907</v>
      </c>
      <c r="AD8">
        <f>((Y8*277.8)/(re!$B$13*8760))*re!$C$13</f>
        <v>0.38277023308015812</v>
      </c>
      <c r="AE8">
        <f>((Y8*277.8)/(re!$B$14*8760))*re!$C$14</f>
        <v>2.1213771953840093</v>
      </c>
      <c r="AF8">
        <f>SUM('1'!AD14:AL14)+'1'!AA14</f>
        <v>146.43503363354287</v>
      </c>
      <c r="AG8">
        <f>SUM('2'!AD14:AL14)+'2'!AA14</f>
        <v>2.7806920496475418</v>
      </c>
      <c r="AH8">
        <f>SUM('3'!AD14:AL14)+'3'!AA14</f>
        <v>12.033056704157369</v>
      </c>
      <c r="AI8">
        <f>SUM('4'!AD14:AL14)+'4'!AA14</f>
        <v>0.89758883029192416</v>
      </c>
      <c r="AJ8">
        <f>SUM('5'!AD14:AL14)+'5'!AA14</f>
        <v>5.4619021909885932</v>
      </c>
      <c r="AK8">
        <f>SUM('6'!AD14:AL14)+'6'!AA14</f>
        <v>140.74884865371766</v>
      </c>
      <c r="AL8">
        <f>SUM('7'!AD14:AL14)+'7'!AA14</f>
        <v>124.17136245715997</v>
      </c>
      <c r="AM8">
        <f>SUM('8'!AD14:AL14)+'8'!AA14</f>
        <v>229.78069053161306</v>
      </c>
      <c r="AN8">
        <f>SUM('9'!AD14:AL14)+'9'!AA14</f>
        <v>68.197290459982426</v>
      </c>
      <c r="AO8">
        <f>SUM('10'!AD14:AL14)+'10'!AA14</f>
        <v>5.0133254222219366</v>
      </c>
      <c r="AP8">
        <f>SUM('11'!AD14:AL14)+'11'!AA14</f>
        <v>6.3818931165181585</v>
      </c>
      <c r="AQ8">
        <f>SUM('12'!AD14:AL14)+'12'!AA14</f>
        <v>1.960648961546577</v>
      </c>
      <c r="AR8">
        <f>SUM('13'!AD14:AL14)+'13'!AA14</f>
        <v>5.7046689166538433</v>
      </c>
      <c r="AS8">
        <f>SUM('14'!AD14:AL14)+'14'!AA14</f>
        <v>4.4972305121659115</v>
      </c>
      <c r="AT8">
        <f>SUM('15'!AD14:AL14)+'15'!AA14</f>
        <v>60.591452601493728</v>
      </c>
      <c r="AU8">
        <f>SUM('16'!AD14:AL14)+'16'!AA14</f>
        <v>24.279507261077836</v>
      </c>
      <c r="AV8">
        <f>SUM('17'!AD14:AL14)+'17'!AA14</f>
        <v>41.321188138836149</v>
      </c>
      <c r="AW8">
        <f>SUM('18'!AD14:AL14)+'18'!AA14</f>
        <v>10.319115003702542</v>
      </c>
      <c r="AX8">
        <f>SUM('19'!AD14:AL14)+'19'!AA14</f>
        <v>26.819721985606307</v>
      </c>
      <c r="AY8">
        <f>SUM('20'!AD14:AL14)+'20'!AA14</f>
        <v>1.7139793802421361</v>
      </c>
      <c r="AZ8">
        <f>SUM('21'!AD14:AL14)+'21'!AA14</f>
        <v>0.15543735824189742</v>
      </c>
      <c r="BA8">
        <f>SUM('22'!AD14:AL14)+'22'!AA14</f>
        <v>0.5025845151979812</v>
      </c>
      <c r="BB8">
        <f>SUM('23'!AD14:AL14)+'23'!AA14</f>
        <v>5.0808621333313226</v>
      </c>
      <c r="BC8">
        <f>('1'!D14+'2'!D14+'3'!D14+'4'!D14+'5'!D14+'6'!D14+'7'!D14+'8'!D14+'9'!D14+'10'!D14+'12'!D14+'13'!D14+'14'!D14+'15'!D14+'16'!D14+'17'!D14+'18'!D14+'19'!D14+'20'!D14+'21'!D14+'22'!D14+'23'!D14)/('1'!D13+'2'!D13+'3'!D13+'4'!D13+'5'!D13+'6'!D13+'7'!D13+'8'!D13+'9'!D13+'10'!D13+'12'!D13+'13'!D13+'14'!D13+'15'!D13+'16'!D13+'17'!D13+'18'!D13+'19'!D13+'20'!D13+'21'!D13+'22'!D13+'23'!D13)-1</f>
        <v>0.22556738917469299</v>
      </c>
      <c r="BD8">
        <f>('1'!E14+'2'!E14+'3'!E14+'4'!E14+'5'!E14+'6'!E14+'7'!E14+'8'!E14+'9'!E14+'10'!E14+'12'!E14+'13'!E14+'14'!E14+'15'!E14+'16'!E14+'17'!E14+'18'!E14+'19'!E14+'20'!E14+'21'!E14+'22'!E14+'23'!E14)/('1'!E13+'2'!E13+'3'!E13+'4'!E13+'5'!E13+'6'!E13+'7'!E13+'8'!E13+'9'!E13+'10'!E13+'12'!E13+'13'!E13+'14'!E13+'15'!E13+'16'!E13+'17'!E13+'18'!E13+'19'!E13+'20'!E13+'21'!E13+'22'!E13+'23'!E13)-1</f>
        <v>0.22556738917469277</v>
      </c>
      <c r="BE8">
        <f>('1'!F14+'2'!F14+'3'!F14+'4'!F14+'5'!F14+'6'!F14+'7'!F14+'8'!F14+'9'!F14+'10'!F14+'12'!F14+'13'!F14+'14'!F14+'15'!F14+'16'!F14+'17'!F14+'18'!F14+'19'!F14+'20'!F14+'21'!F14+'22'!F14+'23'!F14)/('1'!F13+'2'!F13+'3'!F13+'4'!F13+'5'!F13+'6'!F13+'7'!F13+'8'!F13+'9'!F13+'10'!F13+'12'!F13+'13'!F13+'14'!F13+'15'!F13+'16'!F13+'17'!F13+'18'!F13+'19'!F13+'20'!F13+'21'!F13+'22'!F13+'23'!F13)-1</f>
        <v>0.22539397895793956</v>
      </c>
      <c r="BF8">
        <f t="shared" si="19"/>
        <v>0.5799556372641006</v>
      </c>
      <c r="BG8">
        <v>2031</v>
      </c>
      <c r="BH8" s="2">
        <v>0.12</v>
      </c>
      <c r="BI8" s="2">
        <v>0.25</v>
      </c>
      <c r="BJ8" s="2">
        <f t="shared" si="21"/>
        <v>0.13</v>
      </c>
      <c r="BK8" t="e">
        <f>'2 (RU)'!AB14+'6 (RU)'!AB14+'7 (RU)'!AB14+'9 (RU)'!AB14+'11 (RU)'!AB14+'12 (RU)'!AB14+'13 (RU)'!AB14+'16 (RU)'!AB14+'17 (RU)'!AB14+'18 (RU)'!AB14+'22 (RU)'!AB14</f>
        <v>#DIV/0!</v>
      </c>
      <c r="BL8" t="e">
        <f>'1 (RU)'!AB14+'2 (RU)'!AC14+'5 (RU)'!AB14+'6 (RU)'!AC14+'7 (RU)'!AC14+'9 (RU)'!AC14+'11 (RU)'!AC14+'12 (RU)'!AC14+'13 (RU)'!AC14+'15 (RU)'!AB14+'16 (RU)'!AC14+'17 (RU)'!AC14+'18 (RU)'!AC14+'19 (RU)'!AB14+'22 (RU)'!AC14</f>
        <v>#DIV/0!</v>
      </c>
      <c r="BN8" t="e">
        <f>'3 (RU)'!AB14+'4 (RU)'!AB14+'10 (RU)'!AB14+'20 (RU)'!AB14+'21 (RU)'!AB14+'23 (RU)'!AB14</f>
        <v>#DIV/0!</v>
      </c>
      <c r="BO8" t="e">
        <f>'8 (RU)'!AB14+'14 (RU)'!AB14</f>
        <v>#DIV/0!</v>
      </c>
      <c r="BP8" t="e">
        <f>'1 (RU)'!AD14+'2 (RU)'!AD14+'3 (RU)'!AD14+'4 (RU)'!AD14+'5 (RU)'!AD14+'6 (RU)'!AD14+'7 (RU)'!AD14+'8 (RU)'!AD14+'9 (RU)'!AD14+'10 (RU)'!AD14+'11 (RU)'!AD14+'12 (RU)'!AD14+'13 (RU)'!AD14+'14 (RU)'!AD14+'15 (RU)'!AD14+'16 (RU)'!AD14+'17 (RU)'!AD14+'18 (RU)'!AD14+'19 (RU)'!AD14+'20 (RU)'!AD14+'21 (RU)'!AD14+'22 (RU)'!AD14+'23 (RU)'!AD14</f>
        <v>#DIV/0!</v>
      </c>
      <c r="BQ8" t="e">
        <f>'1 (RU)'!AE14+'2 (RU)'!AE14+'3 (RU)'!AE14+'4 (RU)'!AE14+'5 (RU)'!AE14+'6 (RU)'!AE14+'7 (RU)'!AE14+'8 (RU)'!AE14+'9 (RU)'!AE14+'10 (RU)'!AE14+'11 (RU)'!AE14+'12 (RU)'!AE14+'13 (RU)'!AE14+'14 (RU)'!AE14+'15 (RU)'!AE14+'16 (RU)'!AE14+'17 (RU)'!AE14+'18 (RU)'!AE14+'19 (RU)'!AE14+'20 (RU)'!AE14+'21 (RU)'!AE14+'22 (RU)'!AE14+'23 (RU)'!AE14</f>
        <v>#DIV/0!</v>
      </c>
      <c r="BR8" t="e">
        <f>'1 (RU)'!AF14+'2 (RU)'!AF14+'3 (RU)'!AF14+'4 (RU)'!AF14+'5 (RU)'!AF14+'6 (RU)'!AF14+'7 (RU)'!AF14+'8 (RU)'!AF14+'9 (RU)'!AF14+'10 (RU)'!AF14+'11 (RU)'!AF14+'12 (RU)'!AF14+'13 (RU)'!AF14+'14 (RU)'!AF14+'15 (RU)'!AF14+'16 (RU)'!AF14+'17 (RU)'!AF14+'18 (RU)'!AF14+'19 (RU)'!AF14+'20 (RU)'!AF14+'21 (RU)'!AF14+'22 (RU)'!AF14+'23 (RU)'!AF14</f>
        <v>#DIV/0!</v>
      </c>
      <c r="BS8" t="e">
        <f>'1 (RU)'!AG14+'2 (RU)'!AG14+'3 (RU)'!AG14+'4 (RU)'!AG14+'5 (RU)'!AG14+'6 (RU)'!AG14+'7 (RU)'!AG14+'8 (RU)'!AG14+'9 (RU)'!AG14+'10 (RU)'!AG14+'11 (RU)'!AG14+'12 (RU)'!AG14+'13 (RU)'!AG14+'14 (RU)'!AG14+'15 (RU)'!AG14+'16 (RU)'!AG14+'17 (RU)'!AG14+'18 (RU)'!AG14+'19 (RU)'!AG14+'20 (RU)'!AG14+'21 (RU)'!AG14+'22 (RU)'!AG14+'23 (RU)'!AG14</f>
        <v>#DIV/0!</v>
      </c>
      <c r="BT8" t="e">
        <f>'1 (RU)'!AH14+'2 (RU)'!AH14+'3 (RU)'!AH14+'4 (RU)'!AH14+'5 (RU)'!AH14+'6 (RU)'!AH14+'7 (RU)'!AH14+'8 (RU)'!AH14+'9 (RU)'!AH14+'10 (RU)'!AH14+'11 (RU)'!AH14+'12 (RU)'!AH14+'13 (RU)'!AH14+'14 (RU)'!AH14+'15 (RU)'!AH14+'16 (RU)'!AH14+'17 (RU)'!AH14+'18 (RU)'!AH14+'19 (RU)'!AH14+'20 (RU)'!AH14+'21 (RU)'!AH14+'22 (RU)'!AH14+'23 (RU)'!AH14</f>
        <v>#DIV/0!</v>
      </c>
      <c r="BU8" t="e">
        <f>'1 (RU)'!AI14+'2 (RU)'!AI14+'3 (RU)'!AI14+'4 (RU)'!AI14+'5 (RU)'!AI14+'6 (RU)'!AI14+'7 (RU)'!AI14+'8 (RU)'!AI14+'9 (RU)'!AI14+'10 (RU)'!AI14+'11 (RU)'!AI14+'12 (RU)'!AI14+'13 (RU)'!AI14+'14 (RU)'!AI14+'15 (RU)'!AI14+'16 (RU)'!AI14+'17 (RU)'!AI14+'18 (RU)'!AI14+'19 (RU)'!AI14+'20 (RU)'!AI14+'21 (RU)'!AI14+'22 (RU)'!AI14+'23 (RU)'!AI14</f>
        <v>#DIV/0!</v>
      </c>
      <c r="BV8" t="e">
        <f>'1 (RU)'!AJ14+'2 (RU)'!AJ14+'3 (RU)'!AJ14+'4 (RU)'!AJ14+'5 (RU)'!AJ14+'6 (RU)'!AJ14+'7 (RU)'!AJ14+'8 (RU)'!AJ14+'9 (RU)'!AJ14+'10 (RU)'!AJ14+'11 (RU)'!AJ14+'12 (RU)'!AJ14+'13 (RU)'!AJ14+'14 (RU)'!AJ14+'15 (RU)'!AJ14+'16 (RU)'!AJ14+'17 (RU)'!AJ14+'18 (RU)'!AJ14+'19 (RU)'!AJ14+'20 (RU)'!AJ14+'21 (RU)'!AJ14+'22 (RU)'!AJ14+'23 (RU)'!AJ14</f>
        <v>#DIV/0!</v>
      </c>
      <c r="BW8" t="e">
        <f>'1 (RU)'!AK14+'2 (RU)'!AK14+'3 (RU)'!AK14+'4 (RU)'!AK14+'5 (RU)'!AK14+'6 (RU)'!AK14+'7 (RU)'!AK14+'8 (RU)'!AK14+'9 (RU)'!AK14+'10 (RU)'!AK14+'11 (RU)'!AK14+'12 (RU)'!AK14+'13 (RU)'!AK14+'14 (RU)'!AK14+'15 (RU)'!AK14+'16 (RU)'!AK14+'17 (RU)'!AK14+'18 (RU)'!AK14+'19 (RU)'!AK14+'20 (RU)'!AK14+'21 (RU)'!AK14+'22 (RU)'!AK14+'23 (RU)'!AK14</f>
        <v>#DIV/0!</v>
      </c>
      <c r="BX8" t="e">
        <f>'1 (RU)'!AL14+'2 (RU)'!AL14+'3 (RU)'!AL14+'4 (RU)'!AL14+'5 (RU)'!AL14+'6 (RU)'!AL14+'7 (RU)'!AL14+'8 (RU)'!AL14+'9 (RU)'!AL14+'10 (RU)'!AL14+'11 (RU)'!AL14+'12 (RU)'!AL14+'13 (RU)'!AL14+'14 (RU)'!AL14+'15 (RU)'!AL14+'16 (RU)'!AL14+'17 (RU)'!AL14+'18 (RU)'!AL14+'19 (RU)'!AL14+'20 (RU)'!AL14+'21 (RU)'!AL14+'22 (RU)'!AL14+'23 (RU)'!AL14</f>
        <v>#DIV/0!</v>
      </c>
      <c r="BY8" s="25" t="e">
        <f t="shared" si="7"/>
        <v>#DIV/0!</v>
      </c>
      <c r="BZ8" s="16" t="e">
        <f t="shared" si="8"/>
        <v>#DIV/0!</v>
      </c>
      <c r="CC8" t="e">
        <f>VLOOKUP(CC$1,emissions!$A$2:$B$5,2,FALSE)*BK8</f>
        <v>#DIV/0!</v>
      </c>
      <c r="CD8" t="e">
        <f>VLOOKUP(CD$1,emissions!$A$2:$B$5,2,FALSE)*BL8</f>
        <v>#DIV/0!</v>
      </c>
      <c r="CF8" t="e">
        <f>VLOOKUP(CF$1,emissions!$A$2:$B$5,2,FALSE)*BN8</f>
        <v>#DIV/0!</v>
      </c>
      <c r="CG8" t="e">
        <f>VLOOKUP(CG$1,emissions!$A$2:$B$5,2,FALSE)*BO8</f>
        <v>#DIV/0!</v>
      </c>
      <c r="CH8" t="e">
        <f>BP8*(emissions!$D$3*production!$B$4+emissions!$D$4*production!$C$4+emissions!$D$5*production!$D$4+emissions!$D$6*production!$E$4)</f>
        <v>#DIV/0!</v>
      </c>
      <c r="CI8" t="e">
        <f>BQ8*(emissions!$D$3*production!$B$4+emissions!$D$4*production!$C$4+emissions!$D$5*production!$D$4+emissions!$D$6*production!$E$4)</f>
        <v>#DIV/0!</v>
      </c>
      <c r="CJ8" t="e">
        <f>BR8*(emissions!$D$8*production!$B$6+emissions!$D$9*production!$C$6+emissions!$D$10*production!$D$6)</f>
        <v>#DIV/0!</v>
      </c>
      <c r="CK8" t="e">
        <f>BS8*(emissions!$D$12*production!$B$8+emissions!$D$13*production!$C$8+emissions!$D$14*production!$D$8)</f>
        <v>#DIV/0!</v>
      </c>
      <c r="CL8" t="e">
        <f>BT8*(emissions!$D$16*production!$B$10+production!$C$10*emissions!$D$17)</f>
        <v>#DIV/0!</v>
      </c>
      <c r="CM8" t="e">
        <f>BU8*(emissions!$D$19*production!$B$12+production!$C$12*emissions!$D$20+emissions!$D$21*production!$D$12)</f>
        <v>#DIV/0!</v>
      </c>
      <c r="CN8" t="e">
        <f>BV8*(emissions!$D$23*production!$B$14+production!$C$14*emissions!$D$24+emissions!$D$25*production!$D$14)</f>
        <v>#DIV/0!</v>
      </c>
      <c r="CO8" t="e">
        <f>BW8*(emissions!$D$27*production!$B$16+production!$C$16*emissions!$D$28+production!$D$16*emissions!$D$29)</f>
        <v>#DIV/0!</v>
      </c>
      <c r="CP8">
        <v>0</v>
      </c>
      <c r="CS8" t="e">
        <f t="shared" si="9"/>
        <v>#DIV/0!</v>
      </c>
      <c r="CT8" s="40" t="e">
        <f t="shared" si="10"/>
        <v>#DIV/0!</v>
      </c>
      <c r="CU8" t="e">
        <f t="shared" si="0"/>
        <v>#DIV/0!</v>
      </c>
      <c r="CV8" t="e">
        <f t="shared" si="1"/>
        <v>#DIV/0!</v>
      </c>
      <c r="CW8">
        <f t="shared" si="2"/>
        <v>82.103999999999999</v>
      </c>
      <c r="CX8">
        <f t="shared" si="3"/>
        <v>69.974999999999994</v>
      </c>
      <c r="CY8" t="e">
        <f t="shared" si="11"/>
        <v>#DIV/0!</v>
      </c>
      <c r="CZ8" s="74" t="e">
        <f t="shared" si="12"/>
        <v>#DIV/0!</v>
      </c>
      <c r="DA8" t="e">
        <f t="shared" si="13"/>
        <v>#DIV/0!</v>
      </c>
      <c r="DB8" t="e">
        <f t="shared" si="14"/>
        <v>#DIV/0!</v>
      </c>
      <c r="DC8" s="34" t="e">
        <f t="shared" si="15"/>
        <v>#DIV/0!</v>
      </c>
      <c r="DD8">
        <v>2031</v>
      </c>
      <c r="DE8" t="e">
        <f t="shared" si="22"/>
        <v>#DIV/0!</v>
      </c>
      <c r="DF8" t="e">
        <f t="shared" si="23"/>
        <v>#DIV/0!</v>
      </c>
      <c r="DG8">
        <v>2031</v>
      </c>
      <c r="DH8" t="e">
        <f t="shared" si="24"/>
        <v>#DIV/0!</v>
      </c>
      <c r="DI8" t="e">
        <f t="shared" si="25"/>
        <v>#DIV/0!</v>
      </c>
      <c r="DJ8" t="e">
        <f t="shared" si="26"/>
        <v>#DIV/0!</v>
      </c>
      <c r="DK8" t="e">
        <f t="shared" si="27"/>
        <v>#DIV/0!</v>
      </c>
      <c r="DL8" t="e">
        <f t="shared" si="28"/>
        <v>#DIV/0!</v>
      </c>
      <c r="DM8" s="74" t="e">
        <f t="shared" si="29"/>
        <v>#DIV/0!</v>
      </c>
      <c r="DN8" s="75" t="e">
        <f t="shared" si="30"/>
        <v>#DIV/0!</v>
      </c>
      <c r="DO8" s="76" t="e">
        <f t="shared" si="31"/>
        <v>#DIV/0!</v>
      </c>
      <c r="DP8" s="78" t="e">
        <f t="shared" si="32"/>
        <v>#DIV/0!</v>
      </c>
      <c r="DQ8" s="70">
        <v>14680</v>
      </c>
      <c r="DR8" s="71">
        <v>13516</v>
      </c>
      <c r="DS8" s="71"/>
      <c r="DT8" s="71">
        <v>677</v>
      </c>
      <c r="DU8" s="71">
        <v>2307</v>
      </c>
      <c r="DV8">
        <f>DQ8*VLOOKUP(DQ$1,emissions!$A$2:$B$5,2,FALSE)</f>
        <v>2143280</v>
      </c>
      <c r="DW8">
        <f>DR8*VLOOKUP(DR$1,emissions!$A$2:$B$5,2,FALSE)</f>
        <v>1973336</v>
      </c>
      <c r="DY8">
        <f>DT8*VLOOKUP(DT$1,emissions!$A$2:$B$5,2,FALSE)</f>
        <v>98165</v>
      </c>
      <c r="DZ8">
        <f>DU8*VLOOKUP(DU$1,emissions!$A$2:$B$5,2,FALSE)</f>
        <v>260691</v>
      </c>
      <c r="EA8">
        <f t="shared" si="16"/>
        <v>4475472</v>
      </c>
      <c r="EB8">
        <f t="shared" si="17"/>
        <v>143.53662604233483</v>
      </c>
      <c r="ED8" s="77" t="e">
        <f t="shared" si="4"/>
        <v>#DIV/0!</v>
      </c>
      <c r="EE8" s="34" t="e">
        <f>cost!$B$2*BK8</f>
        <v>#DIV/0!</v>
      </c>
      <c r="EF8" s="34" t="e">
        <f>cost!$B$3*BL8</f>
        <v>#DIV/0!</v>
      </c>
      <c r="EG8" s="34"/>
      <c r="EH8" s="34" t="e">
        <f>cost!$B$4*BN8</f>
        <v>#DIV/0!</v>
      </c>
      <c r="EI8" s="34" t="e">
        <f>cost!$B$5*$BO$2</f>
        <v>#DIV/0!</v>
      </c>
      <c r="EJ8" s="34" t="e">
        <f>BP8*(cost!$D$3*production!$B$4+production!$C$4*cost!$D$4+cost!$D$5*production!$D$4+production!$E$4*cost!$D$6)</f>
        <v>#DIV/0!</v>
      </c>
      <c r="EK8" s="34" t="e">
        <f>BQ8*(cost!$D$3*production!$B$4+production!$C$4*cost!$D$4+cost!$D$5*production!$D$4+production!$E$4*cost!$D$6)</f>
        <v>#DIV/0!</v>
      </c>
      <c r="EL8" s="34" t="e">
        <f>BR8*(cost!$D$8*production!$B$6+cost!$D$9*production!$C$6+$D$10*production!$D$6)</f>
        <v>#DIV/0!</v>
      </c>
      <c r="EM8" s="34" t="e">
        <f>BS8*(cost!$D$12*production!$B$8+cost!$D$13*production!$C$8+cost!$D$14*production!$D$8)</f>
        <v>#DIV/0!</v>
      </c>
      <c r="EN8" s="34" t="e">
        <f>BT8*(cost!$D$16*production!$B$10+production!$C$10*cost!$D$17)</f>
        <v>#DIV/0!</v>
      </c>
      <c r="EO8" s="34" t="e">
        <f>BU8*(cost!$D$19*production!$B$12+production!$C$12*cost!$D$20+cost!$D$21*production!$D$12)</f>
        <v>#DIV/0!</v>
      </c>
      <c r="EP8" s="34" t="e">
        <f>BV8*(cost!$D$23*production!$B$14+production!$C$14*cost!$D$24+cost!$D$25*production!$D$14)</f>
        <v>#DIV/0!</v>
      </c>
      <c r="EQ8" s="34" t="e">
        <f>BW8*(cost!$D$27*production!$B$16+production!$C$16*cost!$D$28+cost!$D$29*production!$D$16)</f>
        <v>#DIV/0!</v>
      </c>
      <c r="ER8" s="34" t="e">
        <f>BX8*(re!$H$10*re!$C$10+re!$H$11*re!$C$11+re!$H$12*re!$C$12+re!$H$13*re!$C$13+re!$H$14*re!$C$14)</f>
        <v>#DIV/0!</v>
      </c>
    </row>
    <row r="9" spans="1:148" x14ac:dyDescent="0.2">
      <c r="A9" s="83"/>
      <c r="B9" s="83"/>
      <c r="C9" s="83"/>
      <c r="D9" s="83"/>
      <c r="E9" s="86"/>
      <c r="F9" s="83"/>
      <c r="G9">
        <v>2032</v>
      </c>
      <c r="H9" s="25">
        <f>'2'!AB15+'6'!AB15+'7'!AB15+'9'!AB15+'11'!AB15+'12'!AB15+'13'!AB15+'16'!AB15+'17'!AB15+'18'!AB15+'22'!AB15</f>
        <v>185.81813287594571</v>
      </c>
      <c r="I9" s="16">
        <f>'1'!AB15+'2'!AC15+'5'!AB15+'6'!AC15+'7'!AC15+'9'!AC15+'11'!AC15+'12'!AC15+'13'!AC15+'15'!AB15+'16'!AC15+'17'!AC15+'18'!AC15+'19'!AB15+'22'!AC15</f>
        <v>355.70539032020292</v>
      </c>
      <c r="J9" s="16"/>
      <c r="K9" s="16">
        <f>'3'!AB15+'4'!AB15+'10'!AB15+'20'!AB15+'21'!AB15+'23'!AB15</f>
        <v>20.304096677333142</v>
      </c>
      <c r="L9" s="16">
        <f>'8'!AB15+'14'!AB15</f>
        <v>187.2608631459106</v>
      </c>
      <c r="M9" s="16">
        <f>'1'!AD15+'2'!AD15+'3'!AD15+'4'!AD15+'5'!AD15+'6'!AD15+'7'!AD15+'8'!AD15+'9'!AD15+'10'!AD15+'11'!AD15+'12'!AD15+'13'!AD15+'14'!AD15+'15'!AD15+'16'!AD15+'17'!AD15+'18'!AD15+'19'!AD15+'20'!AD15+'21'!AD15+'22'!AD15+'23'!AD15</f>
        <v>32.532648112743928</v>
      </c>
      <c r="N9" s="16">
        <f>'1'!AE15+'2'!AE15+'3'!AE15+'4'!AE15+'5'!AE15+'6'!AE15+'7'!AE15+'8'!AE15+'9'!AE15+'10'!AE15+'11'!AE15+'12'!AE15+'13'!AE15+'14'!AE15+'15'!AE15+'16'!AE15+'17'!AE15+'18'!AE15+'19'!AE15+'20'!AE15+'21'!AE15+'22'!AE15+'23'!AE15</f>
        <v>1.9290287735645237</v>
      </c>
      <c r="O9" s="16">
        <f>'1'!AF15+'2'!AF15+'3'!AF15+'4'!AF15+'5'!AF15+'6'!AF15+'7'!AF15+'8'!AF15+'9'!AF15+'10'!AF15+'11'!AF15+'12'!AF15+'13'!AF15+'14'!AF15+'15'!AF15+'16'!AF15+'17'!AF15+'18'!AF15+'19'!AF15+'20'!AF15+'21'!AF15+'22'!AF15+'23'!AF15</f>
        <v>62.331657182863275</v>
      </c>
      <c r="P9" s="16">
        <f>'1'!AG15+'2'!AG15+'3'!AG15+'4'!AG15+'5'!AG15+'6'!AG15+'7'!AG15+'8'!AG15+'9'!AG15+'10'!AG15+'11'!AG15+'12'!AG15+'13'!AG15+'14'!AG15+'15'!AG15+'16'!AG15+'17'!AG15+'18'!AG15+'19'!AG15+'20'!AG15+'21'!AG15+'22'!AG15+'23'!AG15</f>
        <v>56.706116950996645</v>
      </c>
      <c r="Q9" s="16">
        <f>'1'!AH15+'2'!AH15+'3'!AH15+'4'!AH15+'5'!AH15+'6'!AH15+'7'!AH15+'8'!AH15+'9'!AH15+'10'!AH15+'11'!AH15+'12'!AH15+'13'!AH15+'14'!AH15+'15'!AH15+'16'!AH15+'17'!AH15+'18'!AH15+'19'!AH15+'20'!AH15+'21'!AH15+'22'!AH15+'23'!AH15</f>
        <v>1.4586873535328562</v>
      </c>
      <c r="R9" s="16">
        <f>'1'!AI15+'2'!AI15+'3'!AI15+'4'!AI15+'5'!AI15+'6'!AI15+'7'!AI15+'8'!AI15+'9'!AI15+'10'!AI15+'11'!AI15+'12'!AI15+'13'!AI15+'14'!AI15+'15'!AI15+'16'!AI15+'17'!AI15+'18'!AI15+'19'!AI15+'20'!AI15+'21'!AI15+'22'!AI15+'23'!AI15</f>
        <v>9.8414442586875719</v>
      </c>
      <c r="S9" s="16">
        <f>'1'!AJ15+'2'!AJ15+'3'!AJ15+'4'!AJ15+'5'!AJ15+'6'!AJ15+'7'!AJ15+'8'!AJ15+'9'!AJ15+'10'!AJ15+'11'!AJ15+'12'!AJ15+'13'!AJ15+'14'!AJ15+'15'!AJ15+'16'!AJ15+'17'!AJ15+'18'!AJ15+'19'!AJ15+'20'!AJ15+'21'!AJ15+'22'!AJ15+'23'!AJ15</f>
        <v>2.7932211027119389</v>
      </c>
      <c r="T9" s="16">
        <f>'1'!AK15+'2'!AK15+'3'!AK15+'4'!AK15+'5'!AK15+'6'!AK15+'7'!AK15+'8'!AK15+'9'!AK15+'10'!AK15+'11'!AK15+'12'!AK15+'13'!AK15+'14'!AK15+'15'!AK15+'16'!AK15+'17'!AK15+'18'!AK15+'19'!AK15+'20'!AK15+'21'!AK15+'22'!AK15+'23'!AK15</f>
        <v>30.841003799309384</v>
      </c>
      <c r="U9" s="16">
        <f>'1'!AL15+'2'!AL15+'3'!AL15+'4'!AL15+'5'!AL15+'6'!AL15+'7'!AL15+'8'!AL15+'9'!AL15+'10'!AL15+'11'!AL15+'12'!AL15+'13'!AL15+'14'!AL15+'15'!AL15+'16'!AL15+'17'!AL15+'18'!AL15+'19'!AL15+'20'!AL15+'21'!AL15+'22'!AL15+'23'!AL15</f>
        <v>7.486461626917057E-2</v>
      </c>
      <c r="V9" s="25">
        <f t="shared" si="5"/>
        <v>749.08848301939247</v>
      </c>
      <c r="W9" s="16">
        <f t="shared" si="6"/>
        <v>198.50867215067927</v>
      </c>
      <c r="X9" s="9">
        <f t="shared" si="20"/>
        <v>0.51679802941776765</v>
      </c>
      <c r="Y9" s="16">
        <f>((M9+N9)*re!$D$2/re!$C$2+O9*re!$D$3/re!$C$3+P9*re!$D$4/re!$C$4+T9*re!$D$5/re!$C$5+U9*re!$D$6/re!$C$6)</f>
        <v>336.87123385838697</v>
      </c>
      <c r="Z9">
        <f t="shared" si="18"/>
        <v>25.990266422077024</v>
      </c>
      <c r="AA9">
        <f>((Y9*277.8)/(re!$B$10*8760))*re!$C$10</f>
        <v>14.735132855591232</v>
      </c>
      <c r="AB9">
        <f>((Y9*277.8)/(re!$B$11*8760))*re!$C$11</f>
        <v>5.4784468309249448</v>
      </c>
      <c r="AC9">
        <f>((Y9*277.8)/(re!$B$12*8760))*re!$C$12</f>
        <v>1.9783280222784521</v>
      </c>
      <c r="AD9">
        <f>((Y9*277.8)/(re!$B$13*8760))*re!$C$13</f>
        <v>0.58059626740780657</v>
      </c>
      <c r="AE9">
        <f>((Y9*277.8)/(re!$B$14*8760))*re!$C$14</f>
        <v>3.217762445874591</v>
      </c>
      <c r="AF9">
        <f>SUM('1'!AD15:AL15)+'1'!AA15</f>
        <v>149.29152394881046</v>
      </c>
      <c r="AG9">
        <f>SUM('2'!AD15:AL15)+'2'!AA15</f>
        <v>2.8441397104691166</v>
      </c>
      <c r="AH9">
        <f>SUM('3'!AD15:AL15)+'3'!AA15</f>
        <v>12.319083511095132</v>
      </c>
      <c r="AI9">
        <f>SUM('4'!AD15:AL15)+'4'!AA15</f>
        <v>0.91988467858854972</v>
      </c>
      <c r="AJ9">
        <f>SUM('5'!AD15:AL15)+'5'!AA15</f>
        <v>5.5834851563440644</v>
      </c>
      <c r="AK9">
        <f>SUM('6'!AD15:AL15)+'6'!AA15</f>
        <v>143.68610610580822</v>
      </c>
      <c r="AL9">
        <f>SUM('7'!AD15:AL15)+'7'!AA15</f>
        <v>126.9877439290465</v>
      </c>
      <c r="AM9">
        <f>SUM('8'!AD15:AL15)+'8'!AA15</f>
        <v>237.43158753496925</v>
      </c>
      <c r="AN9">
        <f>SUM('9'!AD15:AL15)+'9'!AA15</f>
        <v>69.715374913602474</v>
      </c>
      <c r="AO9">
        <f>SUM('10'!AD15:AL15)+'10'!AA15</f>
        <v>5.1173836821689669</v>
      </c>
      <c r="AP9">
        <f>SUM('11'!AD15:AL15)+'11'!AA15</f>
        <v>6.5305231181035222</v>
      </c>
      <c r="AQ9">
        <f>SUM('12'!AD15:AL15)+'12'!AA15</f>
        <v>2.0063111581616777</v>
      </c>
      <c r="AR9">
        <f>SUM('13'!AD15:AL15)+'13'!AA15</f>
        <v>5.8375268217684972</v>
      </c>
      <c r="AS9">
        <f>SUM('14'!AD15:AL15)+'14'!AA15</f>
        <v>4.6399426596931335</v>
      </c>
      <c r="AT9">
        <f>SUM('15'!AD15:AL15)+'15'!AA15</f>
        <v>61.940229680409487</v>
      </c>
      <c r="AU9">
        <f>SUM('16'!AD15:AL15)+'16'!AA15</f>
        <v>24.844960667585948</v>
      </c>
      <c r="AV9">
        <f>SUM('17'!AD15:AL15)+'17'!AA15</f>
        <v>42.283530839732876</v>
      </c>
      <c r="AW9">
        <f>SUM('18'!AD15:AL15)+'18'!AA15</f>
        <v>10.559440256939727</v>
      </c>
      <c r="AX9">
        <f>SUM('19'!AD15:AL15)+'19'!AA15</f>
        <v>27.416734018227338</v>
      </c>
      <c r="AY9">
        <f>SUM('20'!AD15:AL15)+'20'!AA15</f>
        <v>1.7565541349134863</v>
      </c>
      <c r="AZ9">
        <f>SUM('21'!AD15:AL15)+'21'!AA15</f>
        <v>0.15913816822108096</v>
      </c>
      <c r="BA9">
        <f>SUM('22'!AD15:AL15)+'22'!AA15</f>
        <v>0.51377214060078102</v>
      </c>
      <c r="BB9">
        <f>SUM('23'!AD15:AL15)+'23'!AA15</f>
        <v>5.2121783348113677</v>
      </c>
      <c r="BC9">
        <f>('1'!D15+'2'!D15+'3'!D15+'4'!D15+'5'!D15+'6'!D15+'7'!D15+'8'!D15+'9'!D15+'10'!D15+'12'!D15+'13'!D15+'14'!D15+'15'!D15+'16'!D15+'17'!D15+'18'!D15+'19'!D15+'20'!D15+'21'!D15+'22'!D15+'23'!D15)/('1'!D14+'2'!D14+'3'!D14+'4'!D14+'5'!D14+'6'!D14+'7'!D14+'8'!D14+'9'!D14+'10'!D14+'12'!D14+'13'!D14+'14'!D14+'15'!D14+'16'!D14+'17'!D14+'18'!D14+'19'!D14+'20'!D14+'21'!D14+'22'!D14+'23'!D14)-1</f>
        <v>0.19134506053051936</v>
      </c>
      <c r="BD9">
        <f>('1'!E15+'2'!E15+'3'!E15+'4'!E15+'5'!E15+'6'!E15+'7'!E15+'8'!E15+'9'!E15+'10'!E15+'12'!E15+'13'!E15+'14'!E15+'15'!E15+'16'!E15+'17'!E15+'18'!E15+'19'!E15+'20'!E15+'21'!E15+'22'!E15+'23'!E15)/('1'!E14+'2'!E14+'3'!E14+'4'!E14+'5'!E14+'6'!E14+'7'!E14+'8'!E14+'9'!E14+'10'!E14+'12'!E14+'13'!E14+'14'!E14+'15'!E14+'16'!E14+'17'!E14+'18'!E14+'19'!E14+'20'!E14+'21'!E14+'22'!E14+'23'!E14)-1</f>
        <v>0.19134506053051892</v>
      </c>
      <c r="BE9">
        <f>('1'!F15+'2'!F15+'3'!F15+'4'!F15+'5'!F15+'6'!F15+'7'!F15+'8'!F15+'9'!F15+'10'!F15+'12'!F15+'13'!F15+'14'!F15+'15'!F15+'16'!F15+'17'!F15+'18'!F15+'19'!F15+'20'!F15+'21'!F15+'22'!F15+'23'!F15)/('1'!F14+'2'!F14+'3'!F14+'4'!F14+'5'!F14+'6'!F14+'7'!F14+'8'!F14+'9'!F14+'10'!F14+'12'!F14+'13'!F14+'14'!F14+'15'!F14+'16'!F14+'17'!F14+'18'!F14+'19'!F14+'20'!F14+'21'!F14+'22'!F14+'23'!F14)-1</f>
        <v>0.19133541180377689</v>
      </c>
      <c r="BF9">
        <f t="shared" si="19"/>
        <v>0.51679802941776765</v>
      </c>
      <c r="BG9">
        <v>2032</v>
      </c>
      <c r="BH9" s="2">
        <v>0.17</v>
      </c>
      <c r="BI9" s="2">
        <v>0.3</v>
      </c>
      <c r="BJ9" s="2">
        <f t="shared" si="21"/>
        <v>0.12999999999999998</v>
      </c>
      <c r="BK9" t="e">
        <f>'2 (RU)'!AB15+'6 (RU)'!AB15+'7 (RU)'!AB15+'9 (RU)'!AB15+'11 (RU)'!AB15+'12 (RU)'!AB15+'13 (RU)'!AB15+'16 (RU)'!AB15+'17 (RU)'!AB15+'18 (RU)'!AB15+'22 (RU)'!AB15</f>
        <v>#DIV/0!</v>
      </c>
      <c r="BL9" t="e">
        <f>'1 (RU)'!AB15+'2 (RU)'!AC15+'5 (RU)'!AB15+'6 (RU)'!AC15+'7 (RU)'!AC15+'9 (RU)'!AC15+'11 (RU)'!AC15+'12 (RU)'!AC15+'13 (RU)'!AC15+'15 (RU)'!AB15+'16 (RU)'!AC15+'17 (RU)'!AC15+'18 (RU)'!AC15+'19 (RU)'!AB15+'22 (RU)'!AC15</f>
        <v>#DIV/0!</v>
      </c>
      <c r="BN9" t="e">
        <f>'3 (RU)'!AB15+'4 (RU)'!AB15+'10 (RU)'!AB15+'20 (RU)'!AB15+'21 (RU)'!AB15+'23 (RU)'!AB15</f>
        <v>#DIV/0!</v>
      </c>
      <c r="BO9" t="e">
        <f>'8 (RU)'!AB15+'14 (RU)'!AB15</f>
        <v>#DIV/0!</v>
      </c>
      <c r="BP9" t="e">
        <f>'1 (RU)'!AD15+'2 (RU)'!AD15+'3 (RU)'!AD15+'4 (RU)'!AD15+'5 (RU)'!AD15+'6 (RU)'!AD15+'7 (RU)'!AD15+'8 (RU)'!AD15+'9 (RU)'!AD15+'10 (RU)'!AD15+'11 (RU)'!AD15+'12 (RU)'!AD15+'13 (RU)'!AD15+'14 (RU)'!AD15+'15 (RU)'!AD15+'16 (RU)'!AD15+'17 (RU)'!AD15+'18 (RU)'!AD15+'19 (RU)'!AD15+'20 (RU)'!AD15+'21 (RU)'!AD15+'22 (RU)'!AD15+'23 (RU)'!AD15</f>
        <v>#DIV/0!</v>
      </c>
      <c r="BQ9" t="e">
        <f>'1 (RU)'!AE15+'2 (RU)'!AE15+'3 (RU)'!AE15+'4 (RU)'!AE15+'5 (RU)'!AE15+'6 (RU)'!AE15+'7 (RU)'!AE15+'8 (RU)'!AE15+'9 (RU)'!AE15+'10 (RU)'!AE15+'11 (RU)'!AE15+'12 (RU)'!AE15+'13 (RU)'!AE15+'14 (RU)'!AE15+'15 (RU)'!AE15+'16 (RU)'!AE15+'17 (RU)'!AE15+'18 (RU)'!AE15+'19 (RU)'!AE15+'20 (RU)'!AE15+'21 (RU)'!AE15+'22 (RU)'!AE15+'23 (RU)'!AE15</f>
        <v>#DIV/0!</v>
      </c>
      <c r="BR9" t="e">
        <f>'1 (RU)'!AF15+'2 (RU)'!AF15+'3 (RU)'!AF15+'4 (RU)'!AF15+'5 (RU)'!AF15+'6 (RU)'!AF15+'7 (RU)'!AF15+'8 (RU)'!AF15+'9 (RU)'!AF15+'10 (RU)'!AF15+'11 (RU)'!AF15+'12 (RU)'!AF15+'13 (RU)'!AF15+'14 (RU)'!AF15+'15 (RU)'!AF15+'16 (RU)'!AF15+'17 (RU)'!AF15+'18 (RU)'!AF15+'19 (RU)'!AF15+'20 (RU)'!AF15+'21 (RU)'!AF15+'22 (RU)'!AF15+'23 (RU)'!AF15</f>
        <v>#DIV/0!</v>
      </c>
      <c r="BS9" t="e">
        <f>'1 (RU)'!AG15+'2 (RU)'!AG15+'3 (RU)'!AG15+'4 (RU)'!AG15+'5 (RU)'!AG15+'6 (RU)'!AG15+'7 (RU)'!AG15+'8 (RU)'!AG15+'9 (RU)'!AG15+'10 (RU)'!AG15+'11 (RU)'!AG15+'12 (RU)'!AG15+'13 (RU)'!AG15+'14 (RU)'!AG15+'15 (RU)'!AG15+'16 (RU)'!AG15+'17 (RU)'!AG15+'18 (RU)'!AG15+'19 (RU)'!AG15+'20 (RU)'!AG15+'21 (RU)'!AG15+'22 (RU)'!AG15+'23 (RU)'!AG15</f>
        <v>#DIV/0!</v>
      </c>
      <c r="BT9" t="e">
        <f>'1 (RU)'!AH15+'2 (RU)'!AH15+'3 (RU)'!AH15+'4 (RU)'!AH15+'5 (RU)'!AH15+'6 (RU)'!AH15+'7 (RU)'!AH15+'8 (RU)'!AH15+'9 (RU)'!AH15+'10 (RU)'!AH15+'11 (RU)'!AH15+'12 (RU)'!AH15+'13 (RU)'!AH15+'14 (RU)'!AH15+'15 (RU)'!AH15+'16 (RU)'!AH15+'17 (RU)'!AH15+'18 (RU)'!AH15+'19 (RU)'!AH15+'20 (RU)'!AH15+'21 (RU)'!AH15+'22 (RU)'!AH15+'23 (RU)'!AH15</f>
        <v>#DIV/0!</v>
      </c>
      <c r="BU9" t="e">
        <f>'1 (RU)'!AI15+'2 (RU)'!AI15+'3 (RU)'!AI15+'4 (RU)'!AI15+'5 (RU)'!AI15+'6 (RU)'!AI15+'7 (RU)'!AI15+'8 (RU)'!AI15+'9 (RU)'!AI15+'10 (RU)'!AI15+'11 (RU)'!AI15+'12 (RU)'!AI15+'13 (RU)'!AI15+'14 (RU)'!AI15+'15 (RU)'!AI15+'16 (RU)'!AI15+'17 (RU)'!AI15+'18 (RU)'!AI15+'19 (RU)'!AI15+'20 (RU)'!AI15+'21 (RU)'!AI15+'22 (RU)'!AI15+'23 (RU)'!AI15</f>
        <v>#DIV/0!</v>
      </c>
      <c r="BV9" t="e">
        <f>'1 (RU)'!AJ15+'2 (RU)'!AJ15+'3 (RU)'!AJ15+'4 (RU)'!AJ15+'5 (RU)'!AJ15+'6 (RU)'!AJ15+'7 (RU)'!AJ15+'8 (RU)'!AJ15+'9 (RU)'!AJ15+'10 (RU)'!AJ15+'11 (RU)'!AJ15+'12 (RU)'!AJ15+'13 (RU)'!AJ15+'14 (RU)'!AJ15+'15 (RU)'!AJ15+'16 (RU)'!AJ15+'17 (RU)'!AJ15+'18 (RU)'!AJ15+'19 (RU)'!AJ15+'20 (RU)'!AJ15+'21 (RU)'!AJ15+'22 (RU)'!AJ15+'23 (RU)'!AJ15</f>
        <v>#DIV/0!</v>
      </c>
      <c r="BW9" t="e">
        <f>'1 (RU)'!AK15+'2 (RU)'!AK15+'3 (RU)'!AK15+'4 (RU)'!AK15+'5 (RU)'!AK15+'6 (RU)'!AK15+'7 (RU)'!AK15+'8 (RU)'!AK15+'9 (RU)'!AK15+'10 (RU)'!AK15+'11 (RU)'!AK15+'12 (RU)'!AK15+'13 (RU)'!AK15+'14 (RU)'!AK15+'15 (RU)'!AK15+'16 (RU)'!AK15+'17 (RU)'!AK15+'18 (RU)'!AK15+'19 (RU)'!AK15+'20 (RU)'!AK15+'21 (RU)'!AK15+'22 (RU)'!AK15+'23 (RU)'!AK15</f>
        <v>#DIV/0!</v>
      </c>
      <c r="BX9" t="e">
        <f>'1 (RU)'!AL15+'2 (RU)'!AL15+'3 (RU)'!AL15+'4 (RU)'!AL15+'5 (RU)'!AL15+'6 (RU)'!AL15+'7 (RU)'!AL15+'8 (RU)'!AL15+'9 (RU)'!AL15+'10 (RU)'!AL15+'11 (RU)'!AL15+'12 (RU)'!AL15+'13 (RU)'!AL15+'14 (RU)'!AL15+'15 (RU)'!AL15+'16 (RU)'!AL15+'17 (RU)'!AL15+'18 (RU)'!AL15+'19 (RU)'!AL15+'20 (RU)'!AL15+'21 (RU)'!AL15+'22 (RU)'!AL15+'23 (RU)'!AL15</f>
        <v>#DIV/0!</v>
      </c>
      <c r="BY9" s="25" t="e">
        <f t="shared" si="7"/>
        <v>#DIV/0!</v>
      </c>
      <c r="BZ9" s="16" t="e">
        <f t="shared" si="8"/>
        <v>#DIV/0!</v>
      </c>
      <c r="CC9" t="e">
        <f>VLOOKUP(CC$1,emissions!$A$2:$B$5,2,FALSE)*BK9</f>
        <v>#DIV/0!</v>
      </c>
      <c r="CD9" t="e">
        <f>VLOOKUP(CD$1,emissions!$A$2:$B$5,2,FALSE)*BL9</f>
        <v>#DIV/0!</v>
      </c>
      <c r="CF9" t="e">
        <f>VLOOKUP(CF$1,emissions!$A$2:$B$5,2,FALSE)*BN9</f>
        <v>#DIV/0!</v>
      </c>
      <c r="CG9" t="e">
        <f>VLOOKUP(CG$1,emissions!$A$2:$B$5,2,FALSE)*BO9</f>
        <v>#DIV/0!</v>
      </c>
      <c r="CH9" t="e">
        <f>BP9*(emissions!$D$3*production!$B$4+emissions!$D$4*production!$C$4+emissions!$D$5*production!$D$4+emissions!$D$6*production!$E$4)</f>
        <v>#DIV/0!</v>
      </c>
      <c r="CI9" t="e">
        <f>BQ9*(emissions!$D$3*production!$B$4+emissions!$D$4*production!$C$4+emissions!$D$5*production!$D$4+emissions!$D$6*production!$E$4)</f>
        <v>#DIV/0!</v>
      </c>
      <c r="CJ9" t="e">
        <f>BR9*(emissions!$D$8*production!$B$6+emissions!$D$9*production!$C$6+emissions!$D$10*production!$D$6)</f>
        <v>#DIV/0!</v>
      </c>
      <c r="CK9" t="e">
        <f>BS9*(emissions!$D$12*production!$B$8+emissions!$D$13*production!$C$8+emissions!$D$14*production!$D$8)</f>
        <v>#DIV/0!</v>
      </c>
      <c r="CL9" t="e">
        <f>BT9*(emissions!$D$16*production!$B$10+production!$C$10*emissions!$D$17)</f>
        <v>#DIV/0!</v>
      </c>
      <c r="CM9" t="e">
        <f>BU9*(emissions!$D$19*production!$B$12+production!$C$12*emissions!$D$20+emissions!$D$21*production!$D$12)</f>
        <v>#DIV/0!</v>
      </c>
      <c r="CN9" t="e">
        <f>BV9*(emissions!$D$23*production!$B$14+production!$C$14*emissions!$D$24+emissions!$D$25*production!$D$14)</f>
        <v>#DIV/0!</v>
      </c>
      <c r="CO9" t="e">
        <f>BW9*(emissions!$D$27*production!$B$16+production!$C$16*emissions!$D$28+production!$D$16*emissions!$D$29)</f>
        <v>#DIV/0!</v>
      </c>
      <c r="CP9">
        <v>0</v>
      </c>
      <c r="CS9" t="e">
        <f t="shared" si="9"/>
        <v>#DIV/0!</v>
      </c>
      <c r="CT9" s="40" t="e">
        <f t="shared" si="10"/>
        <v>#DIV/0!</v>
      </c>
      <c r="CU9" t="e">
        <f t="shared" si="0"/>
        <v>#DIV/0!</v>
      </c>
      <c r="CV9" t="e">
        <f t="shared" si="1"/>
        <v>#DIV/0!</v>
      </c>
      <c r="CW9">
        <f t="shared" si="2"/>
        <v>77.438999999999993</v>
      </c>
      <c r="CX9">
        <f t="shared" si="3"/>
        <v>65.309999999999988</v>
      </c>
      <c r="CY9" t="e">
        <f t="shared" si="11"/>
        <v>#DIV/0!</v>
      </c>
      <c r="CZ9" s="74" t="e">
        <f t="shared" si="12"/>
        <v>#DIV/0!</v>
      </c>
      <c r="DA9" t="e">
        <f t="shared" si="13"/>
        <v>#DIV/0!</v>
      </c>
      <c r="DB9" t="e">
        <f t="shared" si="14"/>
        <v>#DIV/0!</v>
      </c>
      <c r="DC9" s="34" t="e">
        <f t="shared" si="15"/>
        <v>#DIV/0!</v>
      </c>
      <c r="DD9">
        <v>2032</v>
      </c>
      <c r="DE9" t="e">
        <f t="shared" si="22"/>
        <v>#DIV/0!</v>
      </c>
      <c r="DF9" t="e">
        <f t="shared" si="23"/>
        <v>#DIV/0!</v>
      </c>
      <c r="DG9">
        <v>2032</v>
      </c>
      <c r="DH9" t="e">
        <f t="shared" si="24"/>
        <v>#DIV/0!</v>
      </c>
      <c r="DI9" t="e">
        <f t="shared" si="25"/>
        <v>#DIV/0!</v>
      </c>
      <c r="DJ9" t="e">
        <f t="shared" si="26"/>
        <v>#DIV/0!</v>
      </c>
      <c r="DK9" t="e">
        <f t="shared" si="27"/>
        <v>#DIV/0!</v>
      </c>
      <c r="DL9" t="e">
        <f t="shared" si="28"/>
        <v>#DIV/0!</v>
      </c>
      <c r="DM9" s="74" t="e">
        <f t="shared" si="29"/>
        <v>#DIV/0!</v>
      </c>
      <c r="DN9" s="75" t="e">
        <f t="shared" si="30"/>
        <v>#DIV/0!</v>
      </c>
      <c r="DO9" s="76" t="e">
        <f t="shared" si="31"/>
        <v>#DIV/0!</v>
      </c>
      <c r="DP9" s="78" t="e">
        <f t="shared" si="32"/>
        <v>#DIV/0!</v>
      </c>
      <c r="DQ9" s="70">
        <v>13482</v>
      </c>
      <c r="DR9" s="71">
        <v>15222</v>
      </c>
      <c r="DS9" s="71"/>
      <c r="DT9" s="71">
        <v>691</v>
      </c>
      <c r="DU9" s="71">
        <v>2353</v>
      </c>
      <c r="DV9">
        <f>DQ9*VLOOKUP(DQ$1,emissions!$A$2:$B$5,2,FALSE)</f>
        <v>1968372</v>
      </c>
      <c r="DW9">
        <f>DR9*VLOOKUP(DR$1,emissions!$A$2:$B$5,2,FALSE)</f>
        <v>2222412</v>
      </c>
      <c r="DY9">
        <f>DT9*VLOOKUP(DT$1,emissions!$A$2:$B$5,2,FALSE)</f>
        <v>100195</v>
      </c>
      <c r="DZ9">
        <f>DU9*VLOOKUP(DU$1,emissions!$A$2:$B$5,2,FALSE)</f>
        <v>265889</v>
      </c>
      <c r="EA9">
        <f t="shared" si="16"/>
        <v>4556868</v>
      </c>
      <c r="EB9">
        <f t="shared" si="17"/>
        <v>143.53244298853471</v>
      </c>
      <c r="ED9" s="77" t="e">
        <f t="shared" si="4"/>
        <v>#DIV/0!</v>
      </c>
      <c r="EE9" s="34" t="e">
        <f>cost!$B$2*BK9</f>
        <v>#DIV/0!</v>
      </c>
      <c r="EF9" s="34" t="e">
        <f>cost!$B$3*BL9</f>
        <v>#DIV/0!</v>
      </c>
      <c r="EG9" s="34"/>
      <c r="EH9" s="34" t="e">
        <f>cost!$B$4*BN9</f>
        <v>#DIV/0!</v>
      </c>
      <c r="EI9" s="34" t="e">
        <f>cost!$B$5*$BO$2</f>
        <v>#DIV/0!</v>
      </c>
      <c r="EJ9" s="34" t="e">
        <f>BP9*(cost!$D$3*production!$B$4+production!$C$4*cost!$D$4+cost!$D$5*production!$D$4+production!$E$4*cost!$D$6)</f>
        <v>#DIV/0!</v>
      </c>
      <c r="EK9" s="34" t="e">
        <f>BQ9*(cost!$D$3*production!$B$4+production!$C$4*cost!$D$4+cost!$D$5*production!$D$4+production!$E$4*cost!$D$6)</f>
        <v>#DIV/0!</v>
      </c>
      <c r="EL9" s="34" t="e">
        <f>BR9*(cost!$D$8*production!$B$6+cost!$D$9*production!$C$6+$D$10*production!$D$6)</f>
        <v>#DIV/0!</v>
      </c>
      <c r="EM9" s="34" t="e">
        <f>BS9*(cost!$D$12*production!$B$8+cost!$D$13*production!$C$8+cost!$D$14*production!$D$8)</f>
        <v>#DIV/0!</v>
      </c>
      <c r="EN9" s="34" t="e">
        <f>BT9*(cost!$D$16*production!$B$10+production!$C$10*cost!$D$17)</f>
        <v>#DIV/0!</v>
      </c>
      <c r="EO9" s="34" t="e">
        <f>BU9*(cost!$D$19*production!$B$12+production!$C$12*cost!$D$20+cost!$D$21*production!$D$12)</f>
        <v>#DIV/0!</v>
      </c>
      <c r="EP9" s="34" t="e">
        <f>BV9*(cost!$D$23*production!$B$14+production!$C$14*cost!$D$24+cost!$D$25*production!$D$14)</f>
        <v>#DIV/0!</v>
      </c>
      <c r="EQ9" s="34" t="e">
        <f>BW9*(cost!$D$27*production!$B$16+production!$C$16*cost!$D$28+cost!$D$29*production!$D$16)</f>
        <v>#DIV/0!</v>
      </c>
      <c r="ER9" s="34" t="e">
        <f>BX9*(re!$H$10*re!$C$10+re!$H$11*re!$C$11+re!$H$12*re!$C$12+re!$H$13*re!$C$13+re!$H$14*re!$C$14)</f>
        <v>#DIV/0!</v>
      </c>
    </row>
    <row r="10" spans="1:148" x14ac:dyDescent="0.2">
      <c r="A10" s="101" t="s">
        <v>185</v>
      </c>
      <c r="B10" s="83" t="s">
        <v>172</v>
      </c>
      <c r="C10" s="83" t="s">
        <v>168</v>
      </c>
      <c r="D10" s="83"/>
      <c r="E10" s="86"/>
      <c r="F10" s="83"/>
      <c r="G10">
        <v>2033</v>
      </c>
      <c r="H10" s="25">
        <f>'2'!AB16+'6'!AB16+'7'!AB16+'9'!AB16+'11'!AB16+'12'!AB16+'13'!AB16+'16'!AB16+'17'!AB16+'18'!AB16+'22'!AB16</f>
        <v>148.93509746205143</v>
      </c>
      <c r="I10" s="16">
        <f>'1'!AB16+'2'!AC16+'5'!AB16+'6'!AC16+'7'!AC16+'9'!AC16+'11'!AC16+'12'!AC16+'13'!AC16+'15'!AB16+'16'!AC16+'17'!AC16+'18'!AC16+'19'!AB16+'22'!AC16</f>
        <v>345.33783408604563</v>
      </c>
      <c r="J10" s="16"/>
      <c r="K10" s="16">
        <f>'3'!AB16+'4'!AB16+'10'!AB16+'20'!AB16+'21'!AB16+'23'!AB16</f>
        <v>18.574098905861185</v>
      </c>
      <c r="L10" s="16">
        <f>'8'!AB16+'14'!AB16</f>
        <v>171.26728711004296</v>
      </c>
      <c r="M10" s="16">
        <f>'1'!AD16+'2'!AD16+'3'!AD16+'4'!AD16+'5'!AD16+'6'!AD16+'7'!AD16+'8'!AD16+'9'!AD16+'10'!AD16+'11'!AD16+'12'!AD16+'13'!AD16+'14'!AD16+'15'!AD16+'16'!AD16+'17'!AD16+'18'!AD16+'19'!AD16+'20'!AD16+'21'!AD16+'22'!AD16+'23'!AD16</f>
        <v>47.277585594994051</v>
      </c>
      <c r="N10" s="16">
        <f>'1'!AE16+'2'!AE16+'3'!AE16+'4'!AE16+'5'!AE16+'6'!AE16+'7'!AE16+'8'!AE16+'9'!AE16+'10'!AE16+'11'!AE16+'12'!AE16+'13'!AE16+'14'!AE16+'15'!AE16+'16'!AE16+'17'!AE16+'18'!AE16+'19'!AE16+'20'!AE16+'21'!AE16+'22'!AE16+'23'!AE16</f>
        <v>2.8032719592367665</v>
      </c>
      <c r="O10" s="16">
        <f>'1'!AF16+'2'!AF16+'3'!AF16+'4'!AF16+'5'!AF16+'6'!AF16+'7'!AF16+'8'!AF16+'9'!AF16+'10'!AF16+'11'!AF16+'12'!AF16+'13'!AF16+'14'!AF16+'15'!AF16+'16'!AF16+'17'!AF16+'18'!AF16+'19'!AF16+'20'!AF16+'21'!AF16+'22'!AF16+'23'!AF16</f>
        <v>90.577740748756241</v>
      </c>
      <c r="P10" s="16">
        <f>'1'!AG16+'2'!AG16+'3'!AG16+'4'!AG16+'5'!AG16+'6'!AG16+'7'!AG16+'8'!AG16+'9'!AG16+'10'!AG16+'11'!AG16+'12'!AG16+'13'!AG16+'14'!AG16+'15'!AG16+'16'!AG16+'17'!AG16+'18'!AG16+'19'!AG16+'20'!AG16+'21'!AG16+'22'!AG16+'23'!AG16</f>
        <v>82.411043292212852</v>
      </c>
      <c r="Q10" s="16">
        <f>'1'!AH16+'2'!AH16+'3'!AH16+'4'!AH16+'5'!AH16+'6'!AH16+'7'!AH16+'8'!AH16+'9'!AH16+'10'!AH16+'11'!AH16+'12'!AH16+'13'!AH16+'14'!AH16+'15'!AH16+'16'!AH16+'17'!AH16+'18'!AH16+'19'!AH16+'20'!AH16+'21'!AH16+'22'!AH16+'23'!AH16</f>
        <v>2.1175601912747473</v>
      </c>
      <c r="R10" s="16">
        <f>'1'!AI16+'2'!AI16+'3'!AI16+'4'!AI16+'5'!AI16+'6'!AI16+'7'!AI16+'8'!AI16+'9'!AI16+'10'!AI16+'11'!AI16+'12'!AI16+'13'!AI16+'14'!AI16+'15'!AI16+'16'!AI16+'17'!AI16+'18'!AI16+'19'!AI16+'20'!AI16+'21'!AI16+'22'!AI16+'23'!AI16</f>
        <v>14.302188970248382</v>
      </c>
      <c r="S10" s="16">
        <f>'1'!AJ16+'2'!AJ16+'3'!AJ16+'4'!AJ16+'5'!AJ16+'6'!AJ16+'7'!AJ16+'8'!AJ16+'9'!AJ16+'10'!AJ16+'11'!AJ16+'12'!AJ16+'13'!AJ16+'14'!AJ16+'15'!AJ16+'16'!AJ16+'17'!AJ16+'18'!AJ16+'19'!AJ16+'20'!AJ16+'21'!AJ16+'22'!AJ16+'23'!AJ16</f>
        <v>4.0550799771744428</v>
      </c>
      <c r="T10" s="16">
        <f>'1'!AK16+'2'!AK16+'3'!AK16+'4'!AK16+'5'!AK16+'6'!AK16+'7'!AK16+'8'!AK16+'9'!AK16+'10'!AK16+'11'!AK16+'12'!AK16+'13'!AK16+'14'!AK16+'15'!AK16+'16'!AK16+'17'!AK16+'18'!AK16+'19'!AK16+'20'!AK16+'21'!AK16+'22'!AK16+'23'!AK16</f>
        <v>44.830777852298937</v>
      </c>
      <c r="U10" s="16">
        <f>'1'!AL16+'2'!AL16+'3'!AL16+'4'!AL16+'5'!AL16+'6'!AL16+'7'!AL16+'8'!AL16+'9'!AL16+'10'!AL16+'11'!AL16+'12'!AL16+'13'!AL16+'14'!AL16+'15'!AL16+'16'!AL16+'17'!AL16+'18'!AL16+'19'!AL16+'20'!AL16+'21'!AL16+'22'!AL16+'23'!AL16</f>
        <v>0.10895459680620415</v>
      </c>
      <c r="V10" s="25">
        <f t="shared" si="5"/>
        <v>684.11431756400123</v>
      </c>
      <c r="W10" s="16">
        <f t="shared" si="6"/>
        <v>288.48420318300265</v>
      </c>
      <c r="X10" s="9">
        <f t="shared" si="20"/>
        <v>0.45325743232027094</v>
      </c>
      <c r="Y10" s="16">
        <f>((M10+N10)*re!$D$2/re!$C$2+O10*re!$D$3/re!$C$3+P10*re!$D$4/re!$C$4+T10*re!$D$5/re!$C$5+U10*re!$D$6/re!$C$6)</f>
        <v>489.57003664290636</v>
      </c>
      <c r="Z10">
        <f t="shared" si="18"/>
        <v>37.771274023249056</v>
      </c>
      <c r="AA10">
        <f>((Y10*277.8)/(re!$B$10*8760))*re!$C$10</f>
        <v>21.414353043520617</v>
      </c>
      <c r="AB10">
        <f>((Y10*277.8)/(re!$B$11*8760))*re!$C$11</f>
        <v>7.961746644385868</v>
      </c>
      <c r="AC10">
        <f>((Y10*277.8)/(re!$B$12*8760))*re!$C$12</f>
        <v>2.8750751771393412</v>
      </c>
      <c r="AD10">
        <f>((Y10*277.8)/(re!$B$13*8760))*re!$C$13</f>
        <v>0.84377206285611095</v>
      </c>
      <c r="AE10">
        <f>((Y10*277.8)/(re!$B$14*8760))*re!$C$14</f>
        <v>4.6763270953471219</v>
      </c>
      <c r="AF10">
        <f>SUM('1'!AD16:AL16)+'1'!AA16</f>
        <v>152.22733041890197</v>
      </c>
      <c r="AG10">
        <f>SUM('2'!AD16:AL16)+'2'!AA16</f>
        <v>2.9135082041895011</v>
      </c>
      <c r="AH10">
        <f>SUM('3'!AD16:AL16)+'3'!AA16</f>
        <v>12.625589401400228</v>
      </c>
      <c r="AI10">
        <f>SUM('4'!AD16:AL16)+'4'!AA16</f>
        <v>0.94403963413865877</v>
      </c>
      <c r="AJ10">
        <f>SUM('5'!AD16:AL16)+'5'!AA16</f>
        <v>5.7156654353607648</v>
      </c>
      <c r="AK10">
        <f>SUM('6'!AD16:AL16)+'6'!AA16</f>
        <v>146.82998554176328</v>
      </c>
      <c r="AL10">
        <f>SUM('7'!AD16:AL16)+'7'!AA16</f>
        <v>130.06279614286854</v>
      </c>
      <c r="AM10">
        <f>SUM('8'!AD16:AL16)+'8'!AA16</f>
        <v>246.22936634202628</v>
      </c>
      <c r="AN10">
        <f>SUM('9'!AD16:AL16)+'9'!AA16</f>
        <v>71.365777386216465</v>
      </c>
      <c r="AO10">
        <f>SUM('10'!AD16:AL16)+'10'!AA16</f>
        <v>5.2247573003626062</v>
      </c>
      <c r="AP10">
        <f>SUM('11'!AD16:AL16)+'11'!AA16</f>
        <v>6.6918609521183594</v>
      </c>
      <c r="AQ10">
        <f>SUM('12'!AD16:AL16)+'12'!AA16</f>
        <v>2.0558774625393896</v>
      </c>
      <c r="AR10">
        <f>SUM('13'!AD16:AL16)+'13'!AA16</f>
        <v>5.9817440485350364</v>
      </c>
      <c r="AS10">
        <f>SUM('14'!AD16:AL16)+'14'!AA16</f>
        <v>4.804586971957316</v>
      </c>
      <c r="AT10">
        <f>SUM('15'!AD16:AL16)+'15'!AA16</f>
        <v>63.406567749243138</v>
      </c>
      <c r="AU10">
        <f>SUM('16'!AD16:AL16)+'16'!AA16</f>
        <v>25.458760215922311</v>
      </c>
      <c r="AV10">
        <f>SUM('17'!AD16:AL16)+'17'!AA16</f>
        <v>43.328153629792496</v>
      </c>
      <c r="AW10">
        <f>SUM('18'!AD16:AL16)+'18'!AA16</f>
        <v>10.820313266445048</v>
      </c>
      <c r="AX10">
        <f>SUM('19'!AD16:AL16)+'19'!AA16</f>
        <v>28.065782318846225</v>
      </c>
      <c r="AY10">
        <f>SUM('20'!AD16:AL16)+'20'!AA16</f>
        <v>1.8026789242895838</v>
      </c>
      <c r="AZ10">
        <f>SUM('21'!AD16:AL16)+'21'!AA16</f>
        <v>0.16315248530980142</v>
      </c>
      <c r="BA10">
        <f>SUM('22'!AD16:AL16)+'22'!AA16</f>
        <v>0.52593489253690051</v>
      </c>
      <c r="BB10">
        <f>SUM('23'!AD16:AL16)+'23'!AA16</f>
        <v>5.3542920222398882</v>
      </c>
      <c r="BC10">
        <f>('1'!D16+'2'!D16+'3'!D16+'4'!D16+'5'!D16+'6'!D16+'7'!D16+'8'!D16+'9'!D16+'10'!D16+'12'!D16+'13'!D16+'14'!D16+'15'!D16+'16'!D16+'17'!D16+'18'!D16+'19'!D16+'20'!D16+'21'!D16+'22'!D16+'23'!D16)/('1'!D15+'2'!D15+'3'!D15+'4'!D15+'5'!D15+'6'!D15+'7'!D15+'8'!D15+'9'!D15+'10'!D15+'12'!D15+'13'!D15+'14'!D15+'15'!D15+'16'!D15+'17'!D15+'18'!D15+'19'!D15+'20'!D15+'21'!D15+'22'!D15+'23'!D15)-1</f>
        <v>0.16685690704886924</v>
      </c>
      <c r="BD10">
        <f>('1'!E16+'2'!E16+'3'!E16+'4'!E16+'5'!E16+'6'!E16+'7'!E16+'8'!E16+'9'!E16+'10'!E16+'12'!E16+'13'!E16+'14'!E16+'15'!E16+'16'!E16+'17'!E16+'18'!E16+'19'!E16+'20'!E16+'21'!E16+'22'!E16+'23'!E16)/('1'!E15+'2'!E15+'3'!E15+'4'!E15+'5'!E15+'6'!E15+'7'!E15+'8'!E15+'9'!E15+'10'!E15+'12'!E15+'13'!E15+'14'!E15+'15'!E15+'16'!E15+'17'!E15+'18'!E15+'19'!E15+'20'!E15+'21'!E15+'22'!E15+'23'!E15)-1</f>
        <v>0.16685690704886946</v>
      </c>
      <c r="BE10">
        <f>('1'!F16+'2'!F16+'3'!F16+'4'!F16+'5'!F16+'6'!F16+'7'!F16+'8'!F16+'9'!F16+'10'!F16+'12'!F16+'13'!F16+'14'!F16+'15'!F16+'16'!F16+'17'!F16+'18'!F16+'19'!F16+'20'!F16+'21'!F16+'22'!F16+'23'!F16)/('1'!F15+'2'!F15+'3'!F15+'4'!F15+'5'!F15+'6'!F15+'7'!F15+'8'!F15+'9'!F15+'10'!F15+'12'!F15+'13'!F15+'14'!F15+'15'!F15+'16'!F15+'17'!F15+'18'!F15+'19'!F15+'20'!F15+'21'!F15+'22'!F15+'23'!F15)-1</f>
        <v>0.16700299829855747</v>
      </c>
      <c r="BF10">
        <f t="shared" si="19"/>
        <v>0.45325743232027094</v>
      </c>
      <c r="BG10">
        <v>2033</v>
      </c>
      <c r="BH10" s="2">
        <v>0.21</v>
      </c>
      <c r="BI10" s="2">
        <v>0.34</v>
      </c>
      <c r="BJ10" s="2">
        <f t="shared" si="21"/>
        <v>0.13000000000000003</v>
      </c>
      <c r="BK10" t="e">
        <f>'2 (RU)'!AB16+'6 (RU)'!AB16+'7 (RU)'!AB16+'9 (RU)'!AB16+'11 (RU)'!AB16+'12 (RU)'!AB16+'13 (RU)'!AB16+'16 (RU)'!AB16+'17 (RU)'!AB16+'18 (RU)'!AB16+'22 (RU)'!AB16</f>
        <v>#DIV/0!</v>
      </c>
      <c r="BL10" t="e">
        <f>'1 (RU)'!AB16+'2 (RU)'!AC16+'5 (RU)'!AB16+'6 (RU)'!AC16+'7 (RU)'!AC16+'9 (RU)'!AC16+'11 (RU)'!AC16+'12 (RU)'!AC16+'13 (RU)'!AC16+'15 (RU)'!AB16+'16 (RU)'!AC16+'17 (RU)'!AC16+'18 (RU)'!AC16+'19 (RU)'!AB16+'22 (RU)'!AC16</f>
        <v>#DIV/0!</v>
      </c>
      <c r="BN10" t="e">
        <f>'3 (RU)'!AB16+'4 (RU)'!AB16+'10 (RU)'!AB16+'20 (RU)'!AB16+'21 (RU)'!AB16+'23 (RU)'!AB16</f>
        <v>#DIV/0!</v>
      </c>
      <c r="BO10" t="e">
        <f>'8 (RU)'!AB16+'14 (RU)'!AB16</f>
        <v>#DIV/0!</v>
      </c>
      <c r="BP10" t="e">
        <f>'1 (RU)'!AD16+'2 (RU)'!AD16+'3 (RU)'!AD16+'4 (RU)'!AD16+'5 (RU)'!AD16+'6 (RU)'!AD16+'7 (RU)'!AD16+'8 (RU)'!AD16+'9 (RU)'!AD16+'10 (RU)'!AD16+'11 (RU)'!AD16+'12 (RU)'!AD16+'13 (RU)'!AD16+'14 (RU)'!AD16+'15 (RU)'!AD16+'16 (RU)'!AD16+'17 (RU)'!AD16+'18 (RU)'!AD16+'19 (RU)'!AD16+'20 (RU)'!AD16+'21 (RU)'!AD16+'22 (RU)'!AD16+'23 (RU)'!AD16</f>
        <v>#DIV/0!</v>
      </c>
      <c r="BQ10" t="e">
        <f>'1 (RU)'!AE16+'2 (RU)'!AE16+'3 (RU)'!AE16+'4 (RU)'!AE16+'5 (RU)'!AE16+'6 (RU)'!AE16+'7 (RU)'!AE16+'8 (RU)'!AE16+'9 (RU)'!AE16+'10 (RU)'!AE16+'11 (RU)'!AE16+'12 (RU)'!AE16+'13 (RU)'!AE16+'14 (RU)'!AE16+'15 (RU)'!AE16+'16 (RU)'!AE16+'17 (RU)'!AE16+'18 (RU)'!AE16+'19 (RU)'!AE16+'20 (RU)'!AE16+'21 (RU)'!AE16+'22 (RU)'!AE16+'23 (RU)'!AE16</f>
        <v>#DIV/0!</v>
      </c>
      <c r="BR10" t="e">
        <f>'1 (RU)'!AF16+'2 (RU)'!AF16+'3 (RU)'!AF16+'4 (RU)'!AF16+'5 (RU)'!AF16+'6 (RU)'!AF16+'7 (RU)'!AF16+'8 (RU)'!AF16+'9 (RU)'!AF16+'10 (RU)'!AF16+'11 (RU)'!AF16+'12 (RU)'!AF16+'13 (RU)'!AF16+'14 (RU)'!AF16+'15 (RU)'!AF16+'16 (RU)'!AF16+'17 (RU)'!AF16+'18 (RU)'!AF16+'19 (RU)'!AF16+'20 (RU)'!AF16+'21 (RU)'!AF16+'22 (RU)'!AF16+'23 (RU)'!AF16</f>
        <v>#DIV/0!</v>
      </c>
      <c r="BS10" t="e">
        <f>'1 (RU)'!AG16+'2 (RU)'!AG16+'3 (RU)'!AG16+'4 (RU)'!AG16+'5 (RU)'!AG16+'6 (RU)'!AG16+'7 (RU)'!AG16+'8 (RU)'!AG16+'9 (RU)'!AG16+'10 (RU)'!AG16+'11 (RU)'!AG16+'12 (RU)'!AG16+'13 (RU)'!AG16+'14 (RU)'!AG16+'15 (RU)'!AG16+'16 (RU)'!AG16+'17 (RU)'!AG16+'18 (RU)'!AG16+'19 (RU)'!AG16+'20 (RU)'!AG16+'21 (RU)'!AG16+'22 (RU)'!AG16+'23 (RU)'!AG16</f>
        <v>#DIV/0!</v>
      </c>
      <c r="BT10" t="e">
        <f>'1 (RU)'!AH16+'2 (RU)'!AH16+'3 (RU)'!AH16+'4 (RU)'!AH16+'5 (RU)'!AH16+'6 (RU)'!AH16+'7 (RU)'!AH16+'8 (RU)'!AH16+'9 (RU)'!AH16+'10 (RU)'!AH16+'11 (RU)'!AH16+'12 (RU)'!AH16+'13 (RU)'!AH16+'14 (RU)'!AH16+'15 (RU)'!AH16+'16 (RU)'!AH16+'17 (RU)'!AH16+'18 (RU)'!AH16+'19 (RU)'!AH16+'20 (RU)'!AH16+'21 (RU)'!AH16+'22 (RU)'!AH16+'23 (RU)'!AH16</f>
        <v>#DIV/0!</v>
      </c>
      <c r="BU10" t="e">
        <f>'1 (RU)'!AI16+'2 (RU)'!AI16+'3 (RU)'!AI16+'4 (RU)'!AI16+'5 (RU)'!AI16+'6 (RU)'!AI16+'7 (RU)'!AI16+'8 (RU)'!AI16+'9 (RU)'!AI16+'10 (RU)'!AI16+'11 (RU)'!AI16+'12 (RU)'!AI16+'13 (RU)'!AI16+'14 (RU)'!AI16+'15 (RU)'!AI16+'16 (RU)'!AI16+'17 (RU)'!AI16+'18 (RU)'!AI16+'19 (RU)'!AI16+'20 (RU)'!AI16+'21 (RU)'!AI16+'22 (RU)'!AI16+'23 (RU)'!AI16</f>
        <v>#DIV/0!</v>
      </c>
      <c r="BV10" t="e">
        <f>'1 (RU)'!AJ16+'2 (RU)'!AJ16+'3 (RU)'!AJ16+'4 (RU)'!AJ16+'5 (RU)'!AJ16+'6 (RU)'!AJ16+'7 (RU)'!AJ16+'8 (RU)'!AJ16+'9 (RU)'!AJ16+'10 (RU)'!AJ16+'11 (RU)'!AJ16+'12 (RU)'!AJ16+'13 (RU)'!AJ16+'14 (RU)'!AJ16+'15 (RU)'!AJ16+'16 (RU)'!AJ16+'17 (RU)'!AJ16+'18 (RU)'!AJ16+'19 (RU)'!AJ16+'20 (RU)'!AJ16+'21 (RU)'!AJ16+'22 (RU)'!AJ16+'23 (RU)'!AJ16</f>
        <v>#DIV/0!</v>
      </c>
      <c r="BW10" t="e">
        <f>'1 (RU)'!AK16+'2 (RU)'!AK16+'3 (RU)'!AK16+'4 (RU)'!AK16+'5 (RU)'!AK16+'6 (RU)'!AK16+'7 (RU)'!AK16+'8 (RU)'!AK16+'9 (RU)'!AK16+'10 (RU)'!AK16+'11 (RU)'!AK16+'12 (RU)'!AK16+'13 (RU)'!AK16+'14 (RU)'!AK16+'15 (RU)'!AK16+'16 (RU)'!AK16+'17 (RU)'!AK16+'18 (RU)'!AK16+'19 (RU)'!AK16+'20 (RU)'!AK16+'21 (RU)'!AK16+'22 (RU)'!AK16+'23 (RU)'!AK16</f>
        <v>#DIV/0!</v>
      </c>
      <c r="BX10" t="e">
        <f>'1 (RU)'!AL16+'2 (RU)'!AL16+'3 (RU)'!AL16+'4 (RU)'!AL16+'5 (RU)'!AL16+'6 (RU)'!AL16+'7 (RU)'!AL16+'8 (RU)'!AL16+'9 (RU)'!AL16+'10 (RU)'!AL16+'11 (RU)'!AL16+'12 (RU)'!AL16+'13 (RU)'!AL16+'14 (RU)'!AL16+'15 (RU)'!AL16+'16 (RU)'!AL16+'17 (RU)'!AL16+'18 (RU)'!AL16+'19 (RU)'!AL16+'20 (RU)'!AL16+'21 (RU)'!AL16+'22 (RU)'!AL16+'23 (RU)'!AL16</f>
        <v>#DIV/0!</v>
      </c>
      <c r="BY10" s="25" t="e">
        <f t="shared" si="7"/>
        <v>#DIV/0!</v>
      </c>
      <c r="BZ10" s="16" t="e">
        <f t="shared" si="8"/>
        <v>#DIV/0!</v>
      </c>
      <c r="CC10" t="e">
        <f>VLOOKUP(CC$1,emissions!$A$2:$B$5,2,FALSE)*BK10</f>
        <v>#DIV/0!</v>
      </c>
      <c r="CD10" t="e">
        <f>VLOOKUP(CD$1,emissions!$A$2:$B$5,2,FALSE)*BL10</f>
        <v>#DIV/0!</v>
      </c>
      <c r="CF10" t="e">
        <f>VLOOKUP(CF$1,emissions!$A$2:$B$5,2,FALSE)*BN10</f>
        <v>#DIV/0!</v>
      </c>
      <c r="CG10" t="e">
        <f>VLOOKUP(CG$1,emissions!$A$2:$B$5,2,FALSE)*BO10</f>
        <v>#DIV/0!</v>
      </c>
      <c r="CH10" t="e">
        <f>BP10*(emissions!$D$3*production!$B$4+emissions!$D$4*production!$C$4+emissions!$D$5*production!$D$4+emissions!$D$6*production!$E$4)</f>
        <v>#DIV/0!</v>
      </c>
      <c r="CI10" t="e">
        <f>BQ10*(emissions!$D$3*production!$B$4+emissions!$D$4*production!$C$4+emissions!$D$5*production!$D$4+emissions!$D$6*production!$E$4)</f>
        <v>#DIV/0!</v>
      </c>
      <c r="CJ10" t="e">
        <f>BR10*(emissions!$D$8*production!$B$6+emissions!$D$9*production!$C$6+emissions!$D$10*production!$D$6)</f>
        <v>#DIV/0!</v>
      </c>
      <c r="CK10" t="e">
        <f>BS10*(emissions!$D$12*production!$B$8+emissions!$D$13*production!$C$8+emissions!$D$14*production!$D$8)</f>
        <v>#DIV/0!</v>
      </c>
      <c r="CL10" t="e">
        <f>BT10*(emissions!$D$16*production!$B$10+production!$C$10*emissions!$D$17)</f>
        <v>#DIV/0!</v>
      </c>
      <c r="CM10" t="e">
        <f>BU10*(emissions!$D$19*production!$B$12+production!$C$12*emissions!$D$20+emissions!$D$21*production!$D$12)</f>
        <v>#DIV/0!</v>
      </c>
      <c r="CN10" t="e">
        <f>BV10*(emissions!$D$23*production!$B$14+production!$C$14*emissions!$D$24+emissions!$D$25*production!$D$14)</f>
        <v>#DIV/0!</v>
      </c>
      <c r="CO10" t="e">
        <f>BW10*(emissions!$D$27*production!$B$16+production!$C$16*emissions!$D$28+production!$D$16*emissions!$D$29)</f>
        <v>#DIV/0!</v>
      </c>
      <c r="CP10">
        <v>0</v>
      </c>
      <c r="CS10" t="e">
        <f t="shared" si="9"/>
        <v>#DIV/0!</v>
      </c>
      <c r="CT10" s="40" t="e">
        <f t="shared" si="10"/>
        <v>#DIV/0!</v>
      </c>
      <c r="CU10" t="e">
        <f t="shared" si="0"/>
        <v>#DIV/0!</v>
      </c>
      <c r="CV10" t="e">
        <f t="shared" si="1"/>
        <v>#DIV/0!</v>
      </c>
      <c r="CW10">
        <f t="shared" si="2"/>
        <v>73.707000000000008</v>
      </c>
      <c r="CX10">
        <f t="shared" si="3"/>
        <v>61.577999999999989</v>
      </c>
      <c r="CY10" t="e">
        <f t="shared" si="11"/>
        <v>#DIV/0!</v>
      </c>
      <c r="CZ10" s="74" t="e">
        <f t="shared" si="12"/>
        <v>#DIV/0!</v>
      </c>
      <c r="DA10" t="e">
        <f t="shared" si="13"/>
        <v>#DIV/0!</v>
      </c>
      <c r="DB10" t="e">
        <f t="shared" si="14"/>
        <v>#DIV/0!</v>
      </c>
      <c r="DC10" s="34" t="e">
        <f t="shared" si="15"/>
        <v>#DIV/0!</v>
      </c>
      <c r="DD10">
        <v>2033</v>
      </c>
      <c r="DE10" t="e">
        <f t="shared" si="22"/>
        <v>#DIV/0!</v>
      </c>
      <c r="DF10" t="e">
        <f t="shared" si="23"/>
        <v>#DIV/0!</v>
      </c>
      <c r="DG10">
        <v>2033</v>
      </c>
      <c r="DH10" t="e">
        <f t="shared" si="24"/>
        <v>#DIV/0!</v>
      </c>
      <c r="DI10" t="e">
        <f t="shared" si="25"/>
        <v>#DIV/0!</v>
      </c>
      <c r="DJ10" t="e">
        <f t="shared" si="26"/>
        <v>#DIV/0!</v>
      </c>
      <c r="DK10" t="e">
        <f t="shared" si="27"/>
        <v>#DIV/0!</v>
      </c>
      <c r="DL10" t="e">
        <f t="shared" si="28"/>
        <v>#DIV/0!</v>
      </c>
      <c r="DM10" s="74" t="e">
        <f t="shared" si="29"/>
        <v>#DIV/0!</v>
      </c>
      <c r="DN10" s="75" t="e">
        <f t="shared" si="30"/>
        <v>#DIV/0!</v>
      </c>
      <c r="DO10" s="76" t="e">
        <f t="shared" si="31"/>
        <v>#DIV/0!</v>
      </c>
      <c r="DP10" s="78" t="e">
        <f t="shared" si="32"/>
        <v>#DIV/0!</v>
      </c>
      <c r="DQ10" s="70">
        <v>12169</v>
      </c>
      <c r="DR10" s="71">
        <v>17053</v>
      </c>
      <c r="DS10" s="71"/>
      <c r="DT10" s="71">
        <v>705</v>
      </c>
      <c r="DU10" s="71">
        <v>2400</v>
      </c>
      <c r="DV10">
        <f>DQ10*VLOOKUP(DQ$1,emissions!$A$2:$B$5,2,FALSE)</f>
        <v>1776674</v>
      </c>
      <c r="DW10">
        <f>DR10*VLOOKUP(DR$1,emissions!$A$2:$B$5,2,FALSE)</f>
        <v>2489738</v>
      </c>
      <c r="DY10">
        <f>DT10*VLOOKUP(DT$1,emissions!$A$2:$B$5,2,FALSE)</f>
        <v>102225</v>
      </c>
      <c r="DZ10">
        <f>DU10*VLOOKUP(DU$1,emissions!$A$2:$B$5,2,FALSE)</f>
        <v>271200</v>
      </c>
      <c r="EA10">
        <f t="shared" si="16"/>
        <v>4639837</v>
      </c>
      <c r="EB10">
        <f t="shared" si="17"/>
        <v>143.5282271785195</v>
      </c>
      <c r="ED10" s="77" t="e">
        <f t="shared" si="4"/>
        <v>#DIV/0!</v>
      </c>
      <c r="EE10" s="34" t="e">
        <f>cost!$B$2*BK10</f>
        <v>#DIV/0!</v>
      </c>
      <c r="EF10" s="34" t="e">
        <f>cost!$B$3*BL10</f>
        <v>#DIV/0!</v>
      </c>
      <c r="EG10" s="34"/>
      <c r="EH10" s="34" t="e">
        <f>cost!$B$4*BN10</f>
        <v>#DIV/0!</v>
      </c>
      <c r="EI10" s="34" t="e">
        <f>cost!$B$5*$BO$2</f>
        <v>#DIV/0!</v>
      </c>
      <c r="EJ10" s="34" t="e">
        <f>BP10*(cost!$D$3*production!$B$4+production!$C$4*cost!$D$4+cost!$D$5*production!$D$4+production!$E$4*cost!$D$6)</f>
        <v>#DIV/0!</v>
      </c>
      <c r="EK10" s="34" t="e">
        <f>BQ10*(cost!$D$3*production!$B$4+production!$C$4*cost!$D$4+cost!$D$5*production!$D$4+production!$E$4*cost!$D$6)</f>
        <v>#DIV/0!</v>
      </c>
      <c r="EL10" s="34" t="e">
        <f>BR10*(cost!$D$8*production!$B$6+cost!$D$9*production!$C$6+$D$10*production!$D$6)</f>
        <v>#DIV/0!</v>
      </c>
      <c r="EM10" s="34" t="e">
        <f>BS10*(cost!$D$12*production!$B$8+cost!$D$13*production!$C$8+cost!$D$14*production!$D$8)</f>
        <v>#DIV/0!</v>
      </c>
      <c r="EN10" s="34" t="e">
        <f>BT10*(cost!$D$16*production!$B$10+production!$C$10*cost!$D$17)</f>
        <v>#DIV/0!</v>
      </c>
      <c r="EO10" s="34" t="e">
        <f>BU10*(cost!$D$19*production!$B$12+production!$C$12*cost!$D$20+cost!$D$21*production!$D$12)</f>
        <v>#DIV/0!</v>
      </c>
      <c r="EP10" s="34" t="e">
        <f>BV10*(cost!$D$23*production!$B$14+production!$C$14*cost!$D$24+cost!$D$25*production!$D$14)</f>
        <v>#DIV/0!</v>
      </c>
      <c r="EQ10" s="34" t="e">
        <f>BW10*(cost!$D$27*production!$B$16+production!$C$16*cost!$D$28+cost!$D$29*production!$D$16)</f>
        <v>#DIV/0!</v>
      </c>
      <c r="ER10" s="34" t="e">
        <f>BX10*(re!$H$10*re!$C$10+re!$H$11*re!$C$11+re!$H$12*re!$C$12+re!$H$13*re!$C$13+re!$H$14*re!$C$14)</f>
        <v>#DIV/0!</v>
      </c>
    </row>
    <row r="11" spans="1:148" x14ac:dyDescent="0.2">
      <c r="A11" t="s">
        <v>182</v>
      </c>
      <c r="B11" s="5">
        <v>0.3</v>
      </c>
      <c r="C11" s="11">
        <v>5</v>
      </c>
      <c r="D11" s="83"/>
      <c r="E11" s="86"/>
      <c r="F11" s="83"/>
      <c r="G11">
        <v>2034</v>
      </c>
      <c r="H11" s="25">
        <f>'2'!AB17+'6'!AB17+'7'!AB17+'9'!AB17+'11'!AB17+'12'!AB17+'13'!AB17+'16'!AB17+'17'!AB17+'18'!AB17+'22'!AB17</f>
        <v>114.56724412704513</v>
      </c>
      <c r="I11" s="16">
        <f>'1'!AB17+'2'!AC17+'5'!AB17+'6'!AC17+'7'!AC17+'9'!AC17+'11'!AC17+'12'!AC17+'13'!AC17+'15'!AB17+'16'!AC17+'17'!AC17+'18'!AC17+'19'!AB17+'22'!AC17</f>
        <v>318.6505537517881</v>
      </c>
      <c r="J11" s="16"/>
      <c r="K11" s="16">
        <f>'3'!AB17+'4'!AB17+'10'!AB17+'20'!AB17+'21'!AB17+'23'!AB17</f>
        <v>16.316317761912451</v>
      </c>
      <c r="L11" s="16">
        <f>'8'!AB17+'14'!AB17</f>
        <v>150.4153352045513</v>
      </c>
      <c r="M11" s="16">
        <f>'1'!AD17+'2'!AD17+'3'!AD17+'4'!AD17+'5'!AD17+'6'!AD17+'7'!AD17+'8'!AD17+'9'!AD17+'10'!AD17+'11'!AD17+'12'!AD17+'13'!AD17+'14'!AD17+'15'!AD17+'16'!AD17+'17'!AD17+'18'!AD17+'19'!AD17+'20'!AD17+'21'!AD17+'22'!AD17+'23'!AD17</f>
        <v>65.523846549083132</v>
      </c>
      <c r="N11" s="16">
        <f>'1'!AE17+'2'!AE17+'3'!AE17+'4'!AE17+'5'!AE17+'6'!AE17+'7'!AE17+'8'!AE17+'9'!AE17+'10'!AE17+'11'!AE17+'12'!AE17+'13'!AE17+'14'!AE17+'15'!AE17+'16'!AE17+'17'!AE17+'18'!AE17+'19'!AE17+'20'!AE17+'21'!AE17+'22'!AE17+'23'!AE17</f>
        <v>3.8850756923268479</v>
      </c>
      <c r="O11" s="16">
        <f>'1'!AF17+'2'!AF17+'3'!AF17+'4'!AF17+'5'!AF17+'6'!AF17+'7'!AF17+'8'!AF17+'9'!AF17+'10'!AF17+'11'!AF17+'12'!AF17+'13'!AF17+'14'!AF17+'15'!AF17+'16'!AF17+'17'!AF17+'18'!AF17+'19'!AF17+'20'!AF17+'21'!AF17+'22'!AF17+'23'!AF17</f>
        <v>125.52849787374247</v>
      </c>
      <c r="P11" s="16">
        <f>'1'!AG17+'2'!AG17+'3'!AG17+'4'!AG17+'5'!AG17+'6'!AG17+'7'!AG17+'8'!AG17+'9'!AG17+'10'!AG17+'11'!AG17+'12'!AG17+'13'!AG17+'14'!AG17+'15'!AG17+'16'!AG17+'17'!AG17+'18'!AG17+'19'!AG17+'20'!AG17+'21'!AG17+'22'!AG17+'23'!AG17</f>
        <v>114.22186027184051</v>
      </c>
      <c r="Q11" s="16">
        <f>'1'!AH17+'2'!AH17+'3'!AH17+'4'!AH17+'5'!AH17+'6'!AH17+'7'!AH17+'8'!AH17+'9'!AH17+'10'!AH17+'11'!AH17+'12'!AH17+'13'!AH17+'14'!AH17+'15'!AH17+'16'!AH17+'17'!AH17+'18'!AH17+'19'!AH17+'20'!AH17+'21'!AH17+'22'!AH17+'23'!AH17</f>
        <v>2.9316811068245014</v>
      </c>
      <c r="R11" s="16">
        <f>'1'!AI17+'2'!AI17+'3'!AI17+'4'!AI17+'5'!AI17+'6'!AI17+'7'!AI17+'8'!AI17+'9'!AI17+'10'!AI17+'11'!AI17+'12'!AI17+'13'!AI17+'14'!AI17+'15'!AI17+'16'!AI17+'17'!AI17+'18'!AI17+'19'!AI17+'20'!AI17+'21'!AI17+'22'!AI17+'23'!AI17</f>
        <v>19.822314403658218</v>
      </c>
      <c r="S11" s="16">
        <f>'1'!AJ17+'2'!AJ17+'3'!AJ17+'4'!AJ17+'5'!AJ17+'6'!AJ17+'7'!AJ17+'8'!AJ17+'9'!AJ17+'10'!AJ17+'11'!AJ17+'12'!AJ17+'13'!AJ17+'14'!AJ17+'15'!AJ17+'16'!AJ17+'17'!AJ17+'18'!AJ17+'19'!AJ17+'20'!AJ17+'21'!AJ17+'22'!AJ17+'23'!AJ17</f>
        <v>5.6143697898525691</v>
      </c>
      <c r="T11" s="16">
        <f>'1'!AK17+'2'!AK17+'3'!AK17+'4'!AK17+'5'!AK17+'6'!AK17+'7'!AK17+'8'!AK17+'9'!AK17+'10'!AK17+'11'!AK17+'12'!AK17+'13'!AK17+'14'!AK17+'15'!AK17+'16'!AK17+'17'!AK17+'18'!AK17+'19'!AK17+'20'!AK17+'21'!AK17+'22'!AK17+'23'!AK17</f>
        <v>62.148728539812403</v>
      </c>
      <c r="U11" s="16">
        <f>'1'!AL17+'2'!AL17+'3'!AL17+'4'!AL17+'5'!AL17+'6'!AL17+'7'!AL17+'8'!AL17+'9'!AL17+'10'!AL17+'11'!AL17+'12'!AL17+'13'!AL17+'14'!AL17+'15'!AL17+'16'!AL17+'17'!AL17+'18'!AL17+'19'!AL17+'20'!AL17+'21'!AL17+'22'!AL17+'23'!AL17</f>
        <v>0.15122462814577731</v>
      </c>
      <c r="V11" s="25">
        <f t="shared" si="5"/>
        <v>599.94945084529695</v>
      </c>
      <c r="W11" s="16">
        <f t="shared" si="6"/>
        <v>399.8275988552864</v>
      </c>
      <c r="X11" s="9">
        <f t="shared" si="20"/>
        <v>0.38596011304526101</v>
      </c>
      <c r="Y11" s="16">
        <f>((M11+N11)*re!$D$2/re!$C$2+O11*re!$D$3/re!$C$3+P11*re!$D$4/re!$C$4+T11*re!$D$5/re!$C$5+U11*re!$D$6/re!$C$6)</f>
        <v>678.53762424826903</v>
      </c>
      <c r="Z11">
        <f t="shared" si="18"/>
        <v>52.350488433302132</v>
      </c>
      <c r="AA11">
        <f>((Y11*277.8)/(re!$B$10*8760))*re!$C$10</f>
        <v>29.680011339343281</v>
      </c>
      <c r="AB11">
        <f>((Y11*277.8)/(re!$B$11*8760))*re!$C$11</f>
        <v>11.034876010781474</v>
      </c>
      <c r="AC11">
        <f>((Y11*277.8)/(re!$B$12*8760))*re!$C$12</f>
        <v>3.984816337226643</v>
      </c>
      <c r="AD11">
        <f>((Y11*277.8)/(re!$B$13*8760))*re!$C$13</f>
        <v>1.1694569685339062</v>
      </c>
      <c r="AE11">
        <f>((Y11*277.8)/(re!$B$14*8760))*re!$C$14</f>
        <v>6.4813277774168299</v>
      </c>
      <c r="AF11">
        <f>SUM('1'!AD17:AL17)+'1'!AA17</f>
        <v>155.24238537808705</v>
      </c>
      <c r="AG11">
        <f>SUM('2'!AD17:AL17)+'2'!AA17</f>
        <v>2.9885756781448887</v>
      </c>
      <c r="AH11">
        <f>SUM('3'!AD17:AL17)+'3'!AA17</f>
        <v>12.952064373386566</v>
      </c>
      <c r="AI11">
        <f>SUM('4'!AD17:AL17)+'4'!AA17</f>
        <v>0.97000270868327942</v>
      </c>
      <c r="AJ11">
        <f>SUM('5'!AD17:AL17)+'5'!AA17</f>
        <v>5.8580559542980346</v>
      </c>
      <c r="AK11">
        <f>SUM('6'!AD17:AL17)+'6'!AA17</f>
        <v>150.17364677848227</v>
      </c>
      <c r="AL11">
        <f>SUM('7'!AD17:AL17)+'7'!AA17</f>
        <v>133.38688220808751</v>
      </c>
      <c r="AM11">
        <f>SUM('8'!AD17:AL17)+'8'!AA17</f>
        <v>256.13477255241253</v>
      </c>
      <c r="AN11">
        <f>SUM('9'!AD17:AL17)+'9'!AA17</f>
        <v>73.143664876536945</v>
      </c>
      <c r="AO11">
        <f>SUM('10'!AD17:AL17)+'10'!AA17</f>
        <v>5.3354375181199654</v>
      </c>
      <c r="AP11">
        <f>SUM('11'!AD17:AL17)+'11'!AA17</f>
        <v>6.8654911684412241</v>
      </c>
      <c r="AQ11">
        <f>SUM('12'!AD17:AL17)+'12'!AA17</f>
        <v>2.109220239848745</v>
      </c>
      <c r="AR11">
        <f>SUM('13'!AD17:AL17)+'13'!AA17</f>
        <v>6.1369492329473569</v>
      </c>
      <c r="AS11">
        <f>SUM('14'!AD17:AL17)+'14'!AA17</f>
        <v>4.9903009686932549</v>
      </c>
      <c r="AT11">
        <f>SUM('15'!AD17:AL17)+'15'!AA17</f>
        <v>64.986172816745835</v>
      </c>
      <c r="AU11">
        <f>SUM('16'!AD17:AL17)+'16'!AA17</f>
        <v>26.119325352471243</v>
      </c>
      <c r="AV11">
        <f>SUM('17'!AD17:AL17)+'17'!AA17</f>
        <v>44.452366571669252</v>
      </c>
      <c r="AW11">
        <f>SUM('18'!AD17:AL17)+'18'!AA17</f>
        <v>11.101062275812804</v>
      </c>
      <c r="AX11">
        <f>SUM('19'!AD17:AL17)+'19'!AA17</f>
        <v>28.764966229093542</v>
      </c>
      <c r="AY11">
        <f>SUM('20'!AD17:AL17)+'20'!AA17</f>
        <v>1.8522563843864259</v>
      </c>
      <c r="AZ11">
        <f>SUM('21'!AD17:AL17)+'21'!AA17</f>
        <v>0.16747054145375145</v>
      </c>
      <c r="BA11">
        <f>SUM('22'!AD17:AL17)+'22'!AA17</f>
        <v>0.539037153878553</v>
      </c>
      <c r="BB11">
        <f>SUM('23'!AD17:AL17)+'23'!AA17</f>
        <v>5.5069427389024748</v>
      </c>
      <c r="BC11">
        <f>('1'!D17+'2'!D17+'3'!D17+'4'!D17+'5'!D17+'6'!D17+'7'!D17+'8'!D17+'9'!D17+'10'!D17+'12'!D17+'13'!D17+'14'!D17+'15'!D17+'16'!D17+'17'!D17+'18'!D17+'19'!D17+'20'!D17+'21'!D17+'22'!D17+'23'!D17)/('1'!D16+'2'!D16+'3'!D16+'4'!D16+'5'!D16+'6'!D16+'7'!D16+'8'!D16+'9'!D16+'10'!D16+'12'!D16+'13'!D16+'14'!D16+'15'!D16+'16'!D16+'17'!D16+'18'!D16+'19'!D16+'20'!D16+'21'!D16+'22'!D16+'23'!D16)-1</f>
        <v>0.14845277111471322</v>
      </c>
      <c r="BD11">
        <f>('1'!E17+'2'!E17+'3'!E17+'4'!E17+'5'!E17+'6'!E17+'7'!E17+'8'!E17+'9'!E17+'10'!E17+'12'!E17+'13'!E17+'14'!E17+'15'!E17+'16'!E17+'17'!E17+'18'!E17+'19'!E17+'20'!E17+'21'!E17+'22'!E17+'23'!E17)/('1'!E16+'2'!E16+'3'!E16+'4'!E16+'5'!E16+'6'!E16+'7'!E16+'8'!E16+'9'!E16+'10'!E16+'12'!E16+'13'!E16+'14'!E16+'15'!E16+'16'!E16+'17'!E16+'18'!E16+'19'!E16+'20'!E16+'21'!E16+'22'!E16+'23'!E16)-1</f>
        <v>0.14845277111471389</v>
      </c>
      <c r="BE11">
        <f>('1'!F17+'2'!F17+'3'!F17+'4'!F17+'5'!F17+'6'!F17+'7'!F17+'8'!F17+'9'!F17+'10'!F17+'12'!F17+'13'!F17+'14'!F17+'15'!F17+'16'!F17+'17'!F17+'18'!F17+'19'!F17+'20'!F17+'21'!F17+'22'!F17+'23'!F17)/('1'!F16+'2'!F16+'3'!F16+'4'!F16+'5'!F16+'6'!F16+'7'!F16+'8'!F16+'9'!F16+'10'!F16+'12'!F16+'13'!F16+'14'!F16+'15'!F16+'16'!F16+'17'!F16+'18'!F16+'19'!F16+'20'!F16+'21'!F16+'22'!F16+'23'!F16)-1</f>
        <v>0.1487494303875303</v>
      </c>
      <c r="BF11">
        <f t="shared" si="19"/>
        <v>0.38596011304526101</v>
      </c>
      <c r="BG11">
        <v>2034</v>
      </c>
      <c r="BH11" s="2">
        <v>0.26</v>
      </c>
      <c r="BI11" s="2">
        <v>0.39</v>
      </c>
      <c r="BJ11" s="2">
        <f t="shared" si="21"/>
        <v>0.13</v>
      </c>
      <c r="BK11" t="e">
        <f>'2 (RU)'!AB17+'6 (RU)'!AB17+'7 (RU)'!AB17+'9 (RU)'!AB17+'11 (RU)'!AB17+'12 (RU)'!AB17+'13 (RU)'!AB17+'16 (RU)'!AB17+'17 (RU)'!AB17+'18 (RU)'!AB17+'22 (RU)'!AB17</f>
        <v>#DIV/0!</v>
      </c>
      <c r="BL11" t="e">
        <f>'1 (RU)'!AB17+'2 (RU)'!AC17+'5 (RU)'!AB17+'6 (RU)'!AC17+'7 (RU)'!AC17+'9 (RU)'!AC17+'11 (RU)'!AC17+'12 (RU)'!AC17+'13 (RU)'!AC17+'15 (RU)'!AB17+'16 (RU)'!AC17+'17 (RU)'!AC17+'18 (RU)'!AC17+'19 (RU)'!AB17+'22 (RU)'!AC17</f>
        <v>#DIV/0!</v>
      </c>
      <c r="BN11" t="e">
        <f>'3 (RU)'!AB17+'4 (RU)'!AB17+'10 (RU)'!AB17+'20 (RU)'!AB17+'21 (RU)'!AB17+'23 (RU)'!AB17</f>
        <v>#DIV/0!</v>
      </c>
      <c r="BO11" t="e">
        <f>'8 (RU)'!AB17+'14 (RU)'!AB17</f>
        <v>#DIV/0!</v>
      </c>
      <c r="BP11" t="e">
        <f>'1 (RU)'!AD17+'2 (RU)'!AD17+'3 (RU)'!AD17+'4 (RU)'!AD17+'5 (RU)'!AD17+'6 (RU)'!AD17+'7 (RU)'!AD17+'8 (RU)'!AD17+'9 (RU)'!AD17+'10 (RU)'!AD17+'11 (RU)'!AD17+'12 (RU)'!AD17+'13 (RU)'!AD17+'14 (RU)'!AD17+'15 (RU)'!AD17+'16 (RU)'!AD17+'17 (RU)'!AD17+'18 (RU)'!AD17+'19 (RU)'!AD17+'20 (RU)'!AD17+'21 (RU)'!AD17+'22 (RU)'!AD17+'23 (RU)'!AD17</f>
        <v>#DIV/0!</v>
      </c>
      <c r="BQ11" t="e">
        <f>'1 (RU)'!AE17+'2 (RU)'!AE17+'3 (RU)'!AE17+'4 (RU)'!AE17+'5 (RU)'!AE17+'6 (RU)'!AE17+'7 (RU)'!AE17+'8 (RU)'!AE17+'9 (RU)'!AE17+'10 (RU)'!AE17+'11 (RU)'!AE17+'12 (RU)'!AE17+'13 (RU)'!AE17+'14 (RU)'!AE17+'15 (RU)'!AE17+'16 (RU)'!AE17+'17 (RU)'!AE17+'18 (RU)'!AE17+'19 (RU)'!AE17+'20 (RU)'!AE17+'21 (RU)'!AE17+'22 (RU)'!AE17+'23 (RU)'!AE17</f>
        <v>#DIV/0!</v>
      </c>
      <c r="BR11" t="e">
        <f>'1 (RU)'!AF17+'2 (RU)'!AF17+'3 (RU)'!AF17+'4 (RU)'!AF17+'5 (RU)'!AF17+'6 (RU)'!AF17+'7 (RU)'!AF17+'8 (RU)'!AF17+'9 (RU)'!AF17+'10 (RU)'!AF17+'11 (RU)'!AF17+'12 (RU)'!AF17+'13 (RU)'!AF17+'14 (RU)'!AF17+'15 (RU)'!AF17+'16 (RU)'!AF17+'17 (RU)'!AF17+'18 (RU)'!AF17+'19 (RU)'!AF17+'20 (RU)'!AF17+'21 (RU)'!AF17+'22 (RU)'!AF17+'23 (RU)'!AF17</f>
        <v>#DIV/0!</v>
      </c>
      <c r="BS11" t="e">
        <f>'1 (RU)'!AG17+'2 (RU)'!AG17+'3 (RU)'!AG17+'4 (RU)'!AG17+'5 (RU)'!AG17+'6 (RU)'!AG17+'7 (RU)'!AG17+'8 (RU)'!AG17+'9 (RU)'!AG17+'10 (RU)'!AG17+'11 (RU)'!AG17+'12 (RU)'!AG17+'13 (RU)'!AG17+'14 (RU)'!AG17+'15 (RU)'!AG17+'16 (RU)'!AG17+'17 (RU)'!AG17+'18 (RU)'!AG17+'19 (RU)'!AG17+'20 (RU)'!AG17+'21 (RU)'!AG17+'22 (RU)'!AG17+'23 (RU)'!AG17</f>
        <v>#DIV/0!</v>
      </c>
      <c r="BT11" t="e">
        <f>'1 (RU)'!AH17+'2 (RU)'!AH17+'3 (RU)'!AH17+'4 (RU)'!AH17+'5 (RU)'!AH17+'6 (RU)'!AH17+'7 (RU)'!AH17+'8 (RU)'!AH17+'9 (RU)'!AH17+'10 (RU)'!AH17+'11 (RU)'!AH17+'12 (RU)'!AH17+'13 (RU)'!AH17+'14 (RU)'!AH17+'15 (RU)'!AH17+'16 (RU)'!AH17+'17 (RU)'!AH17+'18 (RU)'!AH17+'19 (RU)'!AH17+'20 (RU)'!AH17+'21 (RU)'!AH17+'22 (RU)'!AH17+'23 (RU)'!AH17</f>
        <v>#DIV/0!</v>
      </c>
      <c r="BU11" t="e">
        <f>'1 (RU)'!AI17+'2 (RU)'!AI17+'3 (RU)'!AI17+'4 (RU)'!AI17+'5 (RU)'!AI17+'6 (RU)'!AI17+'7 (RU)'!AI17+'8 (RU)'!AI17+'9 (RU)'!AI17+'10 (RU)'!AI17+'11 (RU)'!AI17+'12 (RU)'!AI17+'13 (RU)'!AI17+'14 (RU)'!AI17+'15 (RU)'!AI17+'16 (RU)'!AI17+'17 (RU)'!AI17+'18 (RU)'!AI17+'19 (RU)'!AI17+'20 (RU)'!AI17+'21 (RU)'!AI17+'22 (RU)'!AI17+'23 (RU)'!AI17</f>
        <v>#DIV/0!</v>
      </c>
      <c r="BV11" t="e">
        <f>'1 (RU)'!AJ17+'2 (RU)'!AJ17+'3 (RU)'!AJ17+'4 (RU)'!AJ17+'5 (RU)'!AJ17+'6 (RU)'!AJ17+'7 (RU)'!AJ17+'8 (RU)'!AJ17+'9 (RU)'!AJ17+'10 (RU)'!AJ17+'11 (RU)'!AJ17+'12 (RU)'!AJ17+'13 (RU)'!AJ17+'14 (RU)'!AJ17+'15 (RU)'!AJ17+'16 (RU)'!AJ17+'17 (RU)'!AJ17+'18 (RU)'!AJ17+'19 (RU)'!AJ17+'20 (RU)'!AJ17+'21 (RU)'!AJ17+'22 (RU)'!AJ17+'23 (RU)'!AJ17</f>
        <v>#DIV/0!</v>
      </c>
      <c r="BW11" t="e">
        <f>'1 (RU)'!AK17+'2 (RU)'!AK17+'3 (RU)'!AK17+'4 (RU)'!AK17+'5 (RU)'!AK17+'6 (RU)'!AK17+'7 (RU)'!AK17+'8 (RU)'!AK17+'9 (RU)'!AK17+'10 (RU)'!AK17+'11 (RU)'!AK17+'12 (RU)'!AK17+'13 (RU)'!AK17+'14 (RU)'!AK17+'15 (RU)'!AK17+'16 (RU)'!AK17+'17 (RU)'!AK17+'18 (RU)'!AK17+'19 (RU)'!AK17+'20 (RU)'!AK17+'21 (RU)'!AK17+'22 (RU)'!AK17+'23 (RU)'!AK17</f>
        <v>#DIV/0!</v>
      </c>
      <c r="BX11" t="e">
        <f>'1 (RU)'!AL17+'2 (RU)'!AL17+'3 (RU)'!AL17+'4 (RU)'!AL17+'5 (RU)'!AL17+'6 (RU)'!AL17+'7 (RU)'!AL17+'8 (RU)'!AL17+'9 (RU)'!AL17+'10 (RU)'!AL17+'11 (RU)'!AL17+'12 (RU)'!AL17+'13 (RU)'!AL17+'14 (RU)'!AL17+'15 (RU)'!AL17+'16 (RU)'!AL17+'17 (RU)'!AL17+'18 (RU)'!AL17+'19 (RU)'!AL17+'20 (RU)'!AL17+'21 (RU)'!AL17+'22 (RU)'!AL17+'23 (RU)'!AL17</f>
        <v>#DIV/0!</v>
      </c>
      <c r="BY11" s="25" t="e">
        <f t="shared" si="7"/>
        <v>#DIV/0!</v>
      </c>
      <c r="BZ11" s="16" t="e">
        <f t="shared" si="8"/>
        <v>#DIV/0!</v>
      </c>
      <c r="CC11" t="e">
        <f>VLOOKUP(CC$1,emissions!$A$2:$B$5,2,FALSE)*BK11</f>
        <v>#DIV/0!</v>
      </c>
      <c r="CD11" t="e">
        <f>VLOOKUP(CD$1,emissions!$A$2:$B$5,2,FALSE)*BL11</f>
        <v>#DIV/0!</v>
      </c>
      <c r="CF11" t="e">
        <f>VLOOKUP(CF$1,emissions!$A$2:$B$5,2,FALSE)*BN11</f>
        <v>#DIV/0!</v>
      </c>
      <c r="CG11" t="e">
        <f>VLOOKUP(CG$1,emissions!$A$2:$B$5,2,FALSE)*BO11</f>
        <v>#DIV/0!</v>
      </c>
      <c r="CH11" t="e">
        <f>BP11*(emissions!$D$3*production!$B$4+emissions!$D$4*production!$C$4+emissions!$D$5*production!$D$4+emissions!$D$6*production!$E$4)</f>
        <v>#DIV/0!</v>
      </c>
      <c r="CI11" t="e">
        <f>BQ11*(emissions!$D$3*production!$B$4+emissions!$D$4*production!$C$4+emissions!$D$5*production!$D$4+emissions!$D$6*production!$E$4)</f>
        <v>#DIV/0!</v>
      </c>
      <c r="CJ11" t="e">
        <f>BR11*(emissions!$D$8*production!$B$6+emissions!$D$9*production!$C$6+emissions!$D$10*production!$D$6)</f>
        <v>#DIV/0!</v>
      </c>
      <c r="CK11" t="e">
        <f>BS11*(emissions!$D$12*production!$B$8+emissions!$D$13*production!$C$8+emissions!$D$14*production!$D$8)</f>
        <v>#DIV/0!</v>
      </c>
      <c r="CL11" t="e">
        <f>BT11*(emissions!$D$16*production!$B$10+production!$C$10*emissions!$D$17)</f>
        <v>#DIV/0!</v>
      </c>
      <c r="CM11" t="e">
        <f>BU11*(emissions!$D$19*production!$B$12+production!$C$12*emissions!$D$20+emissions!$D$21*production!$D$12)</f>
        <v>#DIV/0!</v>
      </c>
      <c r="CN11" t="e">
        <f>BV11*(emissions!$D$23*production!$B$14+production!$C$14*emissions!$D$24+emissions!$D$25*production!$D$14)</f>
        <v>#DIV/0!</v>
      </c>
      <c r="CO11" t="e">
        <f>BW11*(emissions!$D$27*production!$B$16+production!$C$16*emissions!$D$28+production!$D$16*emissions!$D$29)</f>
        <v>#DIV/0!</v>
      </c>
      <c r="CP11">
        <v>0</v>
      </c>
      <c r="CS11" t="e">
        <f t="shared" si="9"/>
        <v>#DIV/0!</v>
      </c>
      <c r="CT11" s="40" t="e">
        <f t="shared" si="10"/>
        <v>#DIV/0!</v>
      </c>
      <c r="CU11" t="e">
        <f t="shared" si="0"/>
        <v>#DIV/0!</v>
      </c>
      <c r="CV11" t="e">
        <f t="shared" si="1"/>
        <v>#DIV/0!</v>
      </c>
      <c r="CW11">
        <f t="shared" si="2"/>
        <v>69.042000000000002</v>
      </c>
      <c r="CX11">
        <f t="shared" si="3"/>
        <v>56.912999999999997</v>
      </c>
      <c r="CY11" t="e">
        <f t="shared" si="11"/>
        <v>#DIV/0!</v>
      </c>
      <c r="CZ11" s="74" t="e">
        <f t="shared" si="12"/>
        <v>#DIV/0!</v>
      </c>
      <c r="DA11" t="e">
        <f t="shared" si="13"/>
        <v>#DIV/0!</v>
      </c>
      <c r="DB11" t="e">
        <f t="shared" si="14"/>
        <v>#DIV/0!</v>
      </c>
      <c r="DC11" s="34" t="e">
        <f t="shared" si="15"/>
        <v>#DIV/0!</v>
      </c>
      <c r="DD11">
        <v>2034</v>
      </c>
      <c r="DE11" t="e">
        <f t="shared" si="22"/>
        <v>#DIV/0!</v>
      </c>
      <c r="DF11" t="e">
        <f t="shared" si="23"/>
        <v>#DIV/0!</v>
      </c>
      <c r="DG11">
        <v>2034</v>
      </c>
      <c r="DH11" t="e">
        <f t="shared" si="24"/>
        <v>#DIV/0!</v>
      </c>
      <c r="DI11" t="e">
        <f t="shared" si="25"/>
        <v>#DIV/0!</v>
      </c>
      <c r="DJ11" t="e">
        <f t="shared" si="26"/>
        <v>#DIV/0!</v>
      </c>
      <c r="DK11" t="e">
        <f t="shared" si="27"/>
        <v>#DIV/0!</v>
      </c>
      <c r="DL11" t="e">
        <f t="shared" si="28"/>
        <v>#DIV/0!</v>
      </c>
      <c r="DM11" s="74" t="e">
        <f t="shared" si="29"/>
        <v>#DIV/0!</v>
      </c>
      <c r="DN11" s="75" t="e">
        <f t="shared" si="30"/>
        <v>#DIV/0!</v>
      </c>
      <c r="DO11" s="76" t="e">
        <f t="shared" si="31"/>
        <v>#DIV/0!</v>
      </c>
      <c r="DP11" s="78" t="e">
        <f t="shared" si="32"/>
        <v>#DIV/0!</v>
      </c>
      <c r="DQ11" s="70">
        <v>10805</v>
      </c>
      <c r="DR11" s="71">
        <v>18944</v>
      </c>
      <c r="DS11" s="71"/>
      <c r="DT11" s="71">
        <v>719</v>
      </c>
      <c r="DU11" s="71">
        <v>2448</v>
      </c>
      <c r="DV11">
        <f>DQ11*VLOOKUP(DQ$1,emissions!$A$2:$B$5,2,FALSE)</f>
        <v>1577530</v>
      </c>
      <c r="DW11">
        <f>DR11*VLOOKUP(DR$1,emissions!$A$2:$B$5,2,FALSE)</f>
        <v>2765824</v>
      </c>
      <c r="DY11">
        <f>DT11*VLOOKUP(DT$1,emissions!$A$2:$B$5,2,FALSE)</f>
        <v>104255</v>
      </c>
      <c r="DZ11">
        <f>DU11*VLOOKUP(DU$1,emissions!$A$2:$B$5,2,FALSE)</f>
        <v>276624</v>
      </c>
      <c r="EA11">
        <f t="shared" si="16"/>
        <v>4724233</v>
      </c>
      <c r="EB11">
        <f t="shared" si="17"/>
        <v>143.5239093449994</v>
      </c>
      <c r="ED11" s="77" t="e">
        <f t="shared" si="4"/>
        <v>#DIV/0!</v>
      </c>
      <c r="EE11" s="34" t="e">
        <f>cost!$B$2*BK11</f>
        <v>#DIV/0!</v>
      </c>
      <c r="EF11" s="34" t="e">
        <f>cost!$B$3*BL11</f>
        <v>#DIV/0!</v>
      </c>
      <c r="EG11" s="34"/>
      <c r="EH11" s="34" t="e">
        <f>cost!$B$4*BN11</f>
        <v>#DIV/0!</v>
      </c>
      <c r="EI11" s="34" t="e">
        <f>cost!$B$5*$BO$2</f>
        <v>#DIV/0!</v>
      </c>
      <c r="EJ11" s="34" t="e">
        <f>BP11*(cost!$D$3*production!$B$4+production!$C$4*cost!$D$4+cost!$D$5*production!$D$4+production!$E$4*cost!$D$6)</f>
        <v>#DIV/0!</v>
      </c>
      <c r="EK11" s="34" t="e">
        <f>BQ11*(cost!$D$3*production!$B$4+production!$C$4*cost!$D$4+cost!$D$5*production!$D$4+production!$E$4*cost!$D$6)</f>
        <v>#DIV/0!</v>
      </c>
      <c r="EL11" s="34" t="e">
        <f>BR11*(cost!$D$8*production!$B$6+cost!$D$9*production!$C$6+$D$10*production!$D$6)</f>
        <v>#DIV/0!</v>
      </c>
      <c r="EM11" s="34" t="e">
        <f>BS11*(cost!$D$12*production!$B$8+cost!$D$13*production!$C$8+cost!$D$14*production!$D$8)</f>
        <v>#DIV/0!</v>
      </c>
      <c r="EN11" s="34" t="e">
        <f>BT11*(cost!$D$16*production!$B$10+production!$C$10*cost!$D$17)</f>
        <v>#DIV/0!</v>
      </c>
      <c r="EO11" s="34" t="e">
        <f>BU11*(cost!$D$19*production!$B$12+production!$C$12*cost!$D$20+cost!$D$21*production!$D$12)</f>
        <v>#DIV/0!</v>
      </c>
      <c r="EP11" s="34" t="e">
        <f>BV11*(cost!$D$23*production!$B$14+production!$C$14*cost!$D$24+cost!$D$25*production!$D$14)</f>
        <v>#DIV/0!</v>
      </c>
      <c r="EQ11" s="34" t="e">
        <f>BW11*(cost!$D$27*production!$B$16+production!$C$16*cost!$D$28+cost!$D$29*production!$D$16)</f>
        <v>#DIV/0!</v>
      </c>
      <c r="ER11" s="34" t="e">
        <f>BX11*(re!$H$10*re!$C$10+re!$H$11*re!$C$11+re!$H$12*re!$C$12+re!$H$13*re!$C$13+re!$H$14*re!$C$14)</f>
        <v>#DIV/0!</v>
      </c>
    </row>
    <row r="12" spans="1:148" x14ac:dyDescent="0.2">
      <c r="A12" s="123" t="s">
        <v>183</v>
      </c>
      <c r="B12" s="124">
        <v>0</v>
      </c>
      <c r="C12" s="125">
        <v>3</v>
      </c>
      <c r="D12" s="126" t="s">
        <v>231</v>
      </c>
      <c r="E12" s="86"/>
      <c r="F12" s="83"/>
      <c r="G12">
        <v>2035</v>
      </c>
      <c r="H12" s="25">
        <f>'2'!AB18+'6'!AB18+'7'!AB18+'9'!AB18+'11'!AB18+'12'!AB18+'13'!AB18+'16'!AB18+'17'!AB18+'18'!AB18+'22'!AB18</f>
        <v>84.480621968659392</v>
      </c>
      <c r="I12" s="16">
        <f>'1'!AB18+'2'!AC18+'5'!AB18+'6'!AC18+'7'!AC18+'9'!AC18+'11'!AC18+'12'!AC18+'13'!AC18+'15'!AB18+'16'!AC18+'17'!AC18+'18'!AC18+'19'!AB18+'22'!AC18</f>
        <v>278.00952788204171</v>
      </c>
      <c r="J12" s="16"/>
      <c r="K12" s="16">
        <f>'3'!AB18+'4'!AB18+'10'!AB18+'20'!AB18+'21'!AB18+'23'!AB18</f>
        <v>13.683181322245687</v>
      </c>
      <c r="L12" s="16">
        <f>'8'!AB18+'14'!AB18</f>
        <v>126.11314735818333</v>
      </c>
      <c r="M12" s="16">
        <f>'1'!AD18+'2'!AD18+'3'!AD18+'4'!AD18+'5'!AD18+'6'!AD18+'7'!AD18+'8'!AD18+'9'!AD18+'10'!AD18+'11'!AD18+'12'!AD18+'13'!AD18+'14'!AD18+'15'!AD18+'16'!AD18+'17'!AD18+'18'!AD18+'19'!AD18+'20'!AD18+'21'!AD18+'22'!AD18+'23'!AD18</f>
        <v>86.25148497743875</v>
      </c>
      <c r="N12" s="16">
        <f>'1'!AE18+'2'!AE18+'3'!AE18+'4'!AE18+'5'!AE18+'6'!AE18+'7'!AE18+'8'!AE18+'9'!AE18+'10'!AE18+'11'!AE18+'12'!AE18+'13'!AE18+'14'!AE18+'15'!AE18+'16'!AE18+'17'!AE18+'18'!AE18+'19'!AE18+'20'!AE18+'21'!AE18+'22'!AE18+'23'!AE18</f>
        <v>5.1139475564253285</v>
      </c>
      <c r="O12" s="16">
        <f>'1'!AF18+'2'!AF18+'3'!AF18+'4'!AF18+'5'!AF18+'6'!AF18+'7'!AF18+'8'!AF18+'9'!AF18+'10'!AF18+'11'!AF18+'12'!AF18+'13'!AF18+'14'!AF18+'15'!AF18+'16'!AF18+'17'!AF18+'18'!AF18+'19'!AF18+'20'!AF18+'21'!AF18+'22'!AF18+'23'!AF18</f>
        <v>165.22892539127756</v>
      </c>
      <c r="P12" s="16">
        <f>'1'!AG18+'2'!AG18+'3'!AG18+'4'!AG18+'5'!AG18+'6'!AG18+'7'!AG18+'8'!AG18+'9'!AG18+'10'!AG18+'11'!AG18+'12'!AG18+'13'!AG18+'14'!AG18+'15'!AG18+'16'!AG18+'17'!AG18+'18'!AG18+'19'!AG18+'20'!AG18+'21'!AG18+'22'!AG18+'23'!AG18</f>
        <v>150.36136014876902</v>
      </c>
      <c r="Q12" s="16">
        <f>'1'!AH18+'2'!AH18+'3'!AH18+'4'!AH18+'5'!AH18+'6'!AH18+'7'!AH18+'8'!AH18+'9'!AH18+'10'!AH18+'11'!AH18+'12'!AH18+'13'!AH18+'14'!AH18+'15'!AH18+'16'!AH18+'17'!AH18+'18'!AH18+'19'!AH18+'20'!AH18+'21'!AH18+'22'!AH18+'23'!AH18</f>
        <v>3.8549621789155974</v>
      </c>
      <c r="R12" s="16">
        <f>'1'!AI18+'2'!AI18+'3'!AI18+'4'!AI18+'5'!AI18+'6'!AI18+'7'!AI18+'8'!AI18+'9'!AI18+'10'!AI18+'11'!AI18+'12'!AI18+'13'!AI18+'14'!AI18+'15'!AI18+'16'!AI18+'17'!AI18+'18'!AI18+'19'!AI18+'20'!AI18+'21'!AI18+'22'!AI18+'23'!AI18</f>
        <v>26.093314656839613</v>
      </c>
      <c r="S12" s="16">
        <f>'1'!AJ18+'2'!AJ18+'3'!AJ18+'4'!AJ18+'5'!AJ18+'6'!AJ18+'7'!AJ18+'8'!AJ18+'9'!AJ18+'10'!AJ18+'11'!AJ18+'12'!AJ18+'13'!AJ18+'14'!AJ18+'15'!AJ18+'16'!AJ18+'17'!AJ18+'18'!AJ18+'19'!AJ18+'20'!AJ18+'21'!AJ18+'22'!AJ18+'23'!AJ18</f>
        <v>7.3828677563405813</v>
      </c>
      <c r="T12" s="16">
        <f>'1'!AK18+'2'!AK18+'3'!AK18+'4'!AK18+'5'!AK18+'6'!AK18+'7'!AK18+'8'!AK18+'9'!AK18+'10'!AK18+'11'!AK18+'12'!AK18+'13'!AK18+'14'!AK18+'15'!AK18+'16'!AK18+'17'!AK18+'18'!AK18+'19'!AK18+'20'!AK18+'21'!AK18+'22'!AK18+'23'!AK18</f>
        <v>81.829757500544133</v>
      </c>
      <c r="U12" s="16">
        <f>'1'!AL18+'2'!AL18+'3'!AL18+'4'!AL18+'5'!AL18+'6'!AL18+'7'!AL18+'8'!AL18+'9'!AL18+'10'!AL18+'11'!AL18+'12'!AL18+'13'!AL18+'14'!AL18+'15'!AL18+'16'!AL18+'17'!AL18+'18'!AL18+'19'!AL18+'20'!AL18+'21'!AL18+'22'!AL18+'23'!AL18</f>
        <v>0.19935273564406286</v>
      </c>
      <c r="V12" s="25">
        <f t="shared" si="5"/>
        <v>502.28647853113006</v>
      </c>
      <c r="W12" s="16">
        <f t="shared" si="6"/>
        <v>526.31597290219463</v>
      </c>
      <c r="X12" s="9">
        <f t="shared" si="20"/>
        <v>0.31635728601288826</v>
      </c>
      <c r="Y12" s="16">
        <f>((M12+N12)*re!$D$2/re!$C$2+O12*re!$D$3/re!$C$3+P12*re!$D$4/re!$C$4+T12*re!$D$5/re!$C$5+U12*re!$D$6/re!$C$6)</f>
        <v>893.21521223979391</v>
      </c>
      <c r="Z12">
        <f t="shared" si="18"/>
        <v>68.913279036830261</v>
      </c>
      <c r="AA12">
        <f>((Y12*277.8)/(re!$B$10*8760))*re!$C$10</f>
        <v>39.070254441854011</v>
      </c>
      <c r="AB12">
        <f>((Y12*277.8)/(re!$B$11*8760))*re!$C$11</f>
        <v>14.526120241202129</v>
      </c>
      <c r="AC12">
        <f>((Y12*277.8)/(re!$B$12*8760))*re!$C$12</f>
        <v>5.2455434204341014</v>
      </c>
      <c r="AD12">
        <f>((Y12*277.8)/(re!$B$13*8760))*re!$C$13</f>
        <v>1.5394529603447908</v>
      </c>
      <c r="AE12">
        <f>((Y12*277.8)/(re!$B$14*8760))*re!$C$14</f>
        <v>8.5319079729952261</v>
      </c>
      <c r="AF12">
        <f>SUM('1'!AD18:AL18)+'1'!AA18</f>
        <v>158.33034464092134</v>
      </c>
      <c r="AG12">
        <f>SUM('2'!AD18:AL18)+'2'!AA18</f>
        <v>3.0679199298232795</v>
      </c>
      <c r="AH12">
        <f>SUM('3'!AD18:AL18)+'3'!AA18</f>
        <v>13.294327681237903</v>
      </c>
      <c r="AI12">
        <f>SUM('4'!AD18:AL18)+'4'!AA18</f>
        <v>0.99737138166283246</v>
      </c>
      <c r="AJ12">
        <f>SUM('5'!AD18:AL18)+'5'!AA18</f>
        <v>6.0081558551650556</v>
      </c>
      <c r="AK12">
        <f>SUM('6'!AD18:AL18)+'6'!AA18</f>
        <v>153.67148319875514</v>
      </c>
      <c r="AL12">
        <f>SUM('7'!AD18:AL18)+'7'!AA18</f>
        <v>136.89811609173597</v>
      </c>
      <c r="AM12">
        <f>SUM('8'!AD18:AL18)+'8'!AA18</f>
        <v>266.86125824742692</v>
      </c>
      <c r="AN12">
        <f>SUM('9'!AD18:AL18)+'9'!AA18</f>
        <v>75.01781168098384</v>
      </c>
      <c r="AO12">
        <f>SUM('10'!AD18:AL18)+'10'!AA18</f>
        <v>5.4491092973558528</v>
      </c>
      <c r="AP12">
        <f>SUM('11'!AD18:AL18)+'11'!AA18</f>
        <v>7.0485168089452603</v>
      </c>
      <c r="AQ12">
        <f>SUM('12'!AD18:AL18)+'12'!AA18</f>
        <v>2.1654494849079935</v>
      </c>
      <c r="AR12">
        <f>SUM('13'!AD18:AL18)+'13'!AA18</f>
        <v>6.3005528319533655</v>
      </c>
      <c r="AS12">
        <f>SUM('14'!AD18:AL18)+'14'!AA18</f>
        <v>5.1914167985143038</v>
      </c>
      <c r="AT12">
        <f>SUM('15'!AD18:AL18)+'15'!AA18</f>
        <v>66.651301687760409</v>
      </c>
      <c r="AU12">
        <f>SUM('16'!AD18:AL18)+'16'!AA18</f>
        <v>26.8156347839281</v>
      </c>
      <c r="AV12">
        <f>SUM('17'!AD18:AL18)+'17'!AA18</f>
        <v>45.637412574073068</v>
      </c>
      <c r="AW12">
        <f>SUM('18'!AD18:AL18)+'18'!AA18</f>
        <v>11.397003088124293</v>
      </c>
      <c r="AX12">
        <f>SUM('19'!AD18:AL18)+'19'!AA18</f>
        <v>29.502005720200195</v>
      </c>
      <c r="AY12">
        <f>SUM('20'!AD18:AL18)+'20'!AA18</f>
        <v>1.9045178871685935</v>
      </c>
      <c r="AZ12">
        <f>SUM('21'!AD18:AL18)+'21'!AA18</f>
        <v>0.17202197415766882</v>
      </c>
      <c r="BA12">
        <f>SUM('22'!AD18:AL18)+'22'!AA18</f>
        <v>0.55284880470470288</v>
      </c>
      <c r="BB12">
        <f>SUM('23'!AD18:AL18)+'23'!AA18</f>
        <v>5.6678709838187107</v>
      </c>
      <c r="BC12">
        <f>('1'!D18+'2'!D18+'3'!D18+'4'!D18+'5'!D18+'6'!D18+'7'!D18+'8'!D18+'9'!D18+'10'!D18+'12'!D18+'13'!D18+'14'!D18+'15'!D18+'16'!D18+'17'!D18+'18'!D18+'19'!D18+'20'!D18+'21'!D18+'22'!D18+'23'!D18)/('1'!D17+'2'!D17+'3'!D17+'4'!D17+'5'!D17+'6'!D17+'7'!D17+'8'!D17+'9'!D17+'10'!D17+'12'!D17+'13'!D17+'14'!D17+'15'!D17+'16'!D17+'17'!D17+'18'!D17+'19'!D17+'20'!D17+'21'!D17+'22'!D17+'23'!D17)-1</f>
        <v>0.13410482953803515</v>
      </c>
      <c r="BD12">
        <f>('1'!E18+'2'!E18+'3'!E18+'4'!E18+'5'!E18+'6'!E18+'7'!E18+'8'!E18+'9'!E18+'10'!E18+'12'!E18+'13'!E18+'14'!E18+'15'!E18+'16'!E18+'17'!E18+'18'!E18+'19'!E18+'20'!E18+'21'!E18+'22'!E18+'23'!E18)/('1'!E17+'2'!E17+'3'!E17+'4'!E17+'5'!E17+'6'!E17+'7'!E17+'8'!E17+'9'!E17+'10'!E17+'12'!E17+'13'!E17+'14'!E17+'15'!E17+'16'!E17+'17'!E17+'18'!E17+'19'!E17+'20'!E17+'21'!E17+'22'!E17+'23'!E17)-1</f>
        <v>0.13410482953803449</v>
      </c>
      <c r="BE12">
        <f>('1'!F18+'2'!F18+'3'!F18+'4'!F18+'5'!F18+'6'!F18+'7'!F18+'8'!F18+'9'!F18+'10'!F18+'12'!F18+'13'!F18+'14'!F18+'15'!F18+'16'!F18+'17'!F18+'18'!F18+'19'!F18+'20'!F18+'21'!F18+'22'!F18+'23'!F18)/('1'!F17+'2'!F17+'3'!F17+'4'!F17+'5'!F17+'6'!F17+'7'!F17+'8'!F17+'9'!F17+'10'!F17+'12'!F17+'13'!F17+'14'!F17+'15'!F17+'16'!F17+'17'!F17+'18'!F17+'19'!F17+'20'!F17+'21'!F17+'22'!F17+'23'!F17)-1</f>
        <v>0.13454842634779896</v>
      </c>
      <c r="BF12">
        <f t="shared" si="19"/>
        <v>0.31635728601288826</v>
      </c>
      <c r="BG12">
        <v>2035</v>
      </c>
      <c r="BH12" s="2">
        <v>0.3</v>
      </c>
      <c r="BI12" s="2">
        <v>0.43</v>
      </c>
      <c r="BJ12" s="2">
        <f t="shared" si="21"/>
        <v>0.13</v>
      </c>
      <c r="BK12" t="e">
        <f>'2 (RU)'!AB18+'6 (RU)'!AB18+'7 (RU)'!AB18+'9 (RU)'!AB18+'11 (RU)'!AB18+'12 (RU)'!AB18+'13 (RU)'!AB18+'16 (RU)'!AB18+'17 (RU)'!AB18+'18 (RU)'!AB18+'22 (RU)'!AB18</f>
        <v>#DIV/0!</v>
      </c>
      <c r="BL12" t="e">
        <f>'1 (RU)'!AB18+'2 (RU)'!AC18+'5 (RU)'!AB18+'6 (RU)'!AC18+'7 (RU)'!AC18+'9 (RU)'!AC18+'11 (RU)'!AC18+'12 (RU)'!AC18+'13 (RU)'!AC18+'15 (RU)'!AB18+'16 (RU)'!AC18+'17 (RU)'!AC18+'18 (RU)'!AC18+'19 (RU)'!AB18+'22 (RU)'!AC18</f>
        <v>#DIV/0!</v>
      </c>
      <c r="BN12" t="e">
        <f>'3 (RU)'!AB18+'4 (RU)'!AB18+'10 (RU)'!AB18+'20 (RU)'!AB18+'21 (RU)'!AB18+'23 (RU)'!AB18</f>
        <v>#DIV/0!</v>
      </c>
      <c r="BO12" t="e">
        <f>'8 (RU)'!AB18+'14 (RU)'!AB18</f>
        <v>#DIV/0!</v>
      </c>
      <c r="BP12" t="e">
        <f>'1 (RU)'!AD18+'2 (RU)'!AD18+'3 (RU)'!AD18+'4 (RU)'!AD18+'5 (RU)'!AD18+'6 (RU)'!AD18+'7 (RU)'!AD18+'8 (RU)'!AD18+'9 (RU)'!AD18+'10 (RU)'!AD18+'11 (RU)'!AD18+'12 (RU)'!AD18+'13 (RU)'!AD18+'14 (RU)'!AD18+'15 (RU)'!AD18+'16 (RU)'!AD18+'17 (RU)'!AD18+'18 (RU)'!AD18+'19 (RU)'!AD18+'20 (RU)'!AD18+'21 (RU)'!AD18+'22 (RU)'!AD18+'23 (RU)'!AD18</f>
        <v>#DIV/0!</v>
      </c>
      <c r="BQ12" t="e">
        <f>'1 (RU)'!AE18+'2 (RU)'!AE18+'3 (RU)'!AE18+'4 (RU)'!AE18+'5 (RU)'!AE18+'6 (RU)'!AE18+'7 (RU)'!AE18+'8 (RU)'!AE18+'9 (RU)'!AE18+'10 (RU)'!AE18+'11 (RU)'!AE18+'12 (RU)'!AE18+'13 (RU)'!AE18+'14 (RU)'!AE18+'15 (RU)'!AE18+'16 (RU)'!AE18+'17 (RU)'!AE18+'18 (RU)'!AE18+'19 (RU)'!AE18+'20 (RU)'!AE18+'21 (RU)'!AE18+'22 (RU)'!AE18+'23 (RU)'!AE18</f>
        <v>#DIV/0!</v>
      </c>
      <c r="BR12" t="e">
        <f>'1 (RU)'!AF18+'2 (RU)'!AF18+'3 (RU)'!AF18+'4 (RU)'!AF18+'5 (RU)'!AF18+'6 (RU)'!AF18+'7 (RU)'!AF18+'8 (RU)'!AF18+'9 (RU)'!AF18+'10 (RU)'!AF18+'11 (RU)'!AF18+'12 (RU)'!AF18+'13 (RU)'!AF18+'14 (RU)'!AF18+'15 (RU)'!AF18+'16 (RU)'!AF18+'17 (RU)'!AF18+'18 (RU)'!AF18+'19 (RU)'!AF18+'20 (RU)'!AF18+'21 (RU)'!AF18+'22 (RU)'!AF18+'23 (RU)'!AF18</f>
        <v>#DIV/0!</v>
      </c>
      <c r="BS12" t="e">
        <f>'1 (RU)'!AG18+'2 (RU)'!AG18+'3 (RU)'!AG18+'4 (RU)'!AG18+'5 (RU)'!AG18+'6 (RU)'!AG18+'7 (RU)'!AG18+'8 (RU)'!AG18+'9 (RU)'!AG18+'10 (RU)'!AG18+'11 (RU)'!AG18+'12 (RU)'!AG18+'13 (RU)'!AG18+'14 (RU)'!AG18+'15 (RU)'!AG18+'16 (RU)'!AG18+'17 (RU)'!AG18+'18 (RU)'!AG18+'19 (RU)'!AG18+'20 (RU)'!AG18+'21 (RU)'!AG18+'22 (RU)'!AG18+'23 (RU)'!AG18</f>
        <v>#DIV/0!</v>
      </c>
      <c r="BT12" t="e">
        <f>'1 (RU)'!AH18+'2 (RU)'!AH18+'3 (RU)'!AH18+'4 (RU)'!AH18+'5 (RU)'!AH18+'6 (RU)'!AH18+'7 (RU)'!AH18+'8 (RU)'!AH18+'9 (RU)'!AH18+'10 (RU)'!AH18+'11 (RU)'!AH18+'12 (RU)'!AH18+'13 (RU)'!AH18+'14 (RU)'!AH18+'15 (RU)'!AH18+'16 (RU)'!AH18+'17 (RU)'!AH18+'18 (RU)'!AH18+'19 (RU)'!AH18+'20 (RU)'!AH18+'21 (RU)'!AH18+'22 (RU)'!AH18+'23 (RU)'!AH18</f>
        <v>#DIV/0!</v>
      </c>
      <c r="BU12" t="e">
        <f>'1 (RU)'!AI18+'2 (RU)'!AI18+'3 (RU)'!AI18+'4 (RU)'!AI18+'5 (RU)'!AI18+'6 (RU)'!AI18+'7 (RU)'!AI18+'8 (RU)'!AI18+'9 (RU)'!AI18+'10 (RU)'!AI18+'11 (RU)'!AI18+'12 (RU)'!AI18+'13 (RU)'!AI18+'14 (RU)'!AI18+'15 (RU)'!AI18+'16 (RU)'!AI18+'17 (RU)'!AI18+'18 (RU)'!AI18+'19 (RU)'!AI18+'20 (RU)'!AI18+'21 (RU)'!AI18+'22 (RU)'!AI18+'23 (RU)'!AI18</f>
        <v>#DIV/0!</v>
      </c>
      <c r="BV12" t="e">
        <f>'1 (RU)'!AJ18+'2 (RU)'!AJ18+'3 (RU)'!AJ18+'4 (RU)'!AJ18+'5 (RU)'!AJ18+'6 (RU)'!AJ18+'7 (RU)'!AJ18+'8 (RU)'!AJ18+'9 (RU)'!AJ18+'10 (RU)'!AJ18+'11 (RU)'!AJ18+'12 (RU)'!AJ18+'13 (RU)'!AJ18+'14 (RU)'!AJ18+'15 (RU)'!AJ18+'16 (RU)'!AJ18+'17 (RU)'!AJ18+'18 (RU)'!AJ18+'19 (RU)'!AJ18+'20 (RU)'!AJ18+'21 (RU)'!AJ18+'22 (RU)'!AJ18+'23 (RU)'!AJ18</f>
        <v>#DIV/0!</v>
      </c>
      <c r="BW12" t="e">
        <f>'1 (RU)'!AK18+'2 (RU)'!AK18+'3 (RU)'!AK18+'4 (RU)'!AK18+'5 (RU)'!AK18+'6 (RU)'!AK18+'7 (RU)'!AK18+'8 (RU)'!AK18+'9 (RU)'!AK18+'10 (RU)'!AK18+'11 (RU)'!AK18+'12 (RU)'!AK18+'13 (RU)'!AK18+'14 (RU)'!AK18+'15 (RU)'!AK18+'16 (RU)'!AK18+'17 (RU)'!AK18+'18 (RU)'!AK18+'19 (RU)'!AK18+'20 (RU)'!AK18+'21 (RU)'!AK18+'22 (RU)'!AK18+'23 (RU)'!AK18</f>
        <v>#DIV/0!</v>
      </c>
      <c r="BX12" t="e">
        <f>'1 (RU)'!AL18+'2 (RU)'!AL18+'3 (RU)'!AL18+'4 (RU)'!AL18+'5 (RU)'!AL18+'6 (RU)'!AL18+'7 (RU)'!AL18+'8 (RU)'!AL18+'9 (RU)'!AL18+'10 (RU)'!AL18+'11 (RU)'!AL18+'12 (RU)'!AL18+'13 (RU)'!AL18+'14 (RU)'!AL18+'15 (RU)'!AL18+'16 (RU)'!AL18+'17 (RU)'!AL18+'18 (RU)'!AL18+'19 (RU)'!AL18+'20 (RU)'!AL18+'21 (RU)'!AL18+'22 (RU)'!AL18+'23 (RU)'!AL18</f>
        <v>#DIV/0!</v>
      </c>
      <c r="BY12" s="25" t="e">
        <f t="shared" si="7"/>
        <v>#DIV/0!</v>
      </c>
      <c r="BZ12" s="16" t="e">
        <f t="shared" si="8"/>
        <v>#DIV/0!</v>
      </c>
      <c r="CC12" t="e">
        <f>VLOOKUP(CC$1,emissions!$A$2:$B$5,2,FALSE)*BK12</f>
        <v>#DIV/0!</v>
      </c>
      <c r="CD12" t="e">
        <f>VLOOKUP(CD$1,emissions!$A$2:$B$5,2,FALSE)*BL12</f>
        <v>#DIV/0!</v>
      </c>
      <c r="CF12" t="e">
        <f>VLOOKUP(CF$1,emissions!$A$2:$B$5,2,FALSE)*BN12</f>
        <v>#DIV/0!</v>
      </c>
      <c r="CG12" t="e">
        <f>VLOOKUP(CG$1,emissions!$A$2:$B$5,2,FALSE)*BO12</f>
        <v>#DIV/0!</v>
      </c>
      <c r="CH12" t="e">
        <f>BP12*(emissions!$D$3*production!$B$4+emissions!$D$4*production!$C$4+emissions!$D$5*production!$D$4+emissions!$D$6*production!$E$4)</f>
        <v>#DIV/0!</v>
      </c>
      <c r="CI12" t="e">
        <f>BQ12*(emissions!$D$3*production!$B$4+emissions!$D$4*production!$C$4+emissions!$D$5*production!$D$4+emissions!$D$6*production!$E$4)</f>
        <v>#DIV/0!</v>
      </c>
      <c r="CJ12" t="e">
        <f>BR12*(emissions!$D$8*production!$B$6+emissions!$D$9*production!$C$6+emissions!$D$10*production!$D$6)</f>
        <v>#DIV/0!</v>
      </c>
      <c r="CK12" t="e">
        <f>BS12*(emissions!$D$12*production!$B$8+emissions!$D$13*production!$C$8+emissions!$D$14*production!$D$8)</f>
        <v>#DIV/0!</v>
      </c>
      <c r="CL12" t="e">
        <f>BT12*(emissions!$D$16*production!$B$10+production!$C$10*emissions!$D$17)</f>
        <v>#DIV/0!</v>
      </c>
      <c r="CM12" t="e">
        <f>BU12*(emissions!$D$19*production!$B$12+production!$C$12*emissions!$D$20+emissions!$D$21*production!$D$12)</f>
        <v>#DIV/0!</v>
      </c>
      <c r="CN12" t="e">
        <f>BV12*(emissions!$D$23*production!$B$14+production!$C$14*emissions!$D$24+emissions!$D$25*production!$D$14)</f>
        <v>#DIV/0!</v>
      </c>
      <c r="CO12" t="e">
        <f>BW12*(emissions!$D$27*production!$B$16+production!$C$16*emissions!$D$28+production!$D$16*emissions!$D$29)</f>
        <v>#DIV/0!</v>
      </c>
      <c r="CP12">
        <v>0</v>
      </c>
      <c r="CS12" t="e">
        <f t="shared" si="9"/>
        <v>#DIV/0!</v>
      </c>
      <c r="CT12" s="40" t="e">
        <f t="shared" si="10"/>
        <v>#DIV/0!</v>
      </c>
      <c r="CU12" t="e">
        <f t="shared" si="0"/>
        <v>#DIV/0!</v>
      </c>
      <c r="CV12" t="e">
        <f t="shared" si="1"/>
        <v>#DIV/0!</v>
      </c>
      <c r="CW12">
        <f t="shared" si="2"/>
        <v>65.309999999999988</v>
      </c>
      <c r="CX12">
        <f t="shared" si="3"/>
        <v>53.181000000000004</v>
      </c>
      <c r="CY12" t="e">
        <f t="shared" si="11"/>
        <v>#DIV/0!</v>
      </c>
      <c r="CZ12" s="74" t="e">
        <f t="shared" si="12"/>
        <v>#DIV/0!</v>
      </c>
      <c r="DA12" t="e">
        <f t="shared" si="13"/>
        <v>#DIV/0!</v>
      </c>
      <c r="DB12" t="e">
        <f t="shared" si="14"/>
        <v>#DIV/0!</v>
      </c>
      <c r="DC12" s="34" t="e">
        <f t="shared" si="15"/>
        <v>#DIV/0!</v>
      </c>
      <c r="DD12">
        <v>2035</v>
      </c>
      <c r="DE12" t="e">
        <f t="shared" si="22"/>
        <v>#DIV/0!</v>
      </c>
      <c r="DF12" t="e">
        <f t="shared" si="23"/>
        <v>#DIV/0!</v>
      </c>
      <c r="DG12">
        <v>2035</v>
      </c>
      <c r="DH12" t="e">
        <f t="shared" si="24"/>
        <v>#DIV/0!</v>
      </c>
      <c r="DI12" t="e">
        <f t="shared" si="25"/>
        <v>#DIV/0!</v>
      </c>
      <c r="DJ12" t="e">
        <f t="shared" si="26"/>
        <v>#DIV/0!</v>
      </c>
      <c r="DK12" t="e">
        <f t="shared" si="27"/>
        <v>#DIV/0!</v>
      </c>
      <c r="DL12" t="e">
        <f t="shared" si="28"/>
        <v>#DIV/0!</v>
      </c>
      <c r="DM12" s="74" t="e">
        <f t="shared" si="29"/>
        <v>#DIV/0!</v>
      </c>
      <c r="DN12" s="75" t="e">
        <f t="shared" si="30"/>
        <v>#DIV/0!</v>
      </c>
      <c r="DO12" s="76" t="e">
        <f t="shared" si="31"/>
        <v>#DIV/0!</v>
      </c>
      <c r="DP12" s="78" t="e">
        <f t="shared" si="32"/>
        <v>#DIV/0!</v>
      </c>
      <c r="DQ12" s="70">
        <v>9458</v>
      </c>
      <c r="DR12" s="71">
        <v>20827</v>
      </c>
      <c r="DS12" s="71"/>
      <c r="DT12" s="71">
        <v>733</v>
      </c>
      <c r="DU12" s="71">
        <v>2497</v>
      </c>
      <c r="DV12">
        <f>DQ12*VLOOKUP(DQ$1,emissions!$A$2:$B$5,2,FALSE)</f>
        <v>1380868</v>
      </c>
      <c r="DW12">
        <f>DR12*VLOOKUP(DR$1,emissions!$A$2:$B$5,2,FALSE)</f>
        <v>3040742</v>
      </c>
      <c r="DY12">
        <f>DT12*VLOOKUP(DT$1,emissions!$A$2:$B$5,2,FALSE)</f>
        <v>106285</v>
      </c>
      <c r="DZ12">
        <f>DU12*VLOOKUP(DU$1,emissions!$A$2:$B$5,2,FALSE)</f>
        <v>282161</v>
      </c>
      <c r="EA12">
        <f t="shared" si="16"/>
        <v>4810056</v>
      </c>
      <c r="EB12">
        <f t="shared" si="17"/>
        <v>143.51949873191109</v>
      </c>
      <c r="ED12" s="77" t="e">
        <f t="shared" si="4"/>
        <v>#DIV/0!</v>
      </c>
      <c r="EE12" s="34" t="e">
        <f>cost!$B$2*BK12</f>
        <v>#DIV/0!</v>
      </c>
      <c r="EF12" s="34" t="e">
        <f>cost!$B$3*BL12</f>
        <v>#DIV/0!</v>
      </c>
      <c r="EG12" s="34"/>
      <c r="EH12" s="34" t="e">
        <f>cost!$B$4*BN12</f>
        <v>#DIV/0!</v>
      </c>
      <c r="EI12" s="34" t="e">
        <f>cost!$B$5*$BO$2</f>
        <v>#DIV/0!</v>
      </c>
      <c r="EJ12" s="34" t="e">
        <f>BP12*(cost!$D$3*production!$B$4+production!$C$4*cost!$D$4+cost!$D$5*production!$D$4+production!$E$4*cost!$D$6)</f>
        <v>#DIV/0!</v>
      </c>
      <c r="EK12" s="34" t="e">
        <f>BQ12*(cost!$D$3*production!$B$4+production!$C$4*cost!$D$4+cost!$D$5*production!$D$4+production!$E$4*cost!$D$6)</f>
        <v>#DIV/0!</v>
      </c>
      <c r="EL12" s="34" t="e">
        <f>BR12*(cost!$D$8*production!$B$6+cost!$D$9*production!$C$6+$D$10*production!$D$6)</f>
        <v>#DIV/0!</v>
      </c>
      <c r="EM12" s="34" t="e">
        <f>BS12*(cost!$D$12*production!$B$8+cost!$D$13*production!$C$8+cost!$D$14*production!$D$8)</f>
        <v>#DIV/0!</v>
      </c>
      <c r="EN12" s="34" t="e">
        <f>BT12*(cost!$D$16*production!$B$10+production!$C$10*cost!$D$17)</f>
        <v>#DIV/0!</v>
      </c>
      <c r="EO12" s="34" t="e">
        <f>BU12*(cost!$D$19*production!$B$12+production!$C$12*cost!$D$20+cost!$D$21*production!$D$12)</f>
        <v>#DIV/0!</v>
      </c>
      <c r="EP12" s="34" t="e">
        <f>BV12*(cost!$D$23*production!$B$14+production!$C$14*cost!$D$24+cost!$D$25*production!$D$14)</f>
        <v>#DIV/0!</v>
      </c>
      <c r="EQ12" s="34" t="e">
        <f>BW12*(cost!$D$27*production!$B$16+production!$C$16*cost!$D$28+cost!$D$29*production!$D$16)</f>
        <v>#DIV/0!</v>
      </c>
      <c r="ER12" s="34" t="e">
        <f>BX12*(re!$H$10*re!$C$10+re!$H$11*re!$C$11+re!$H$12*re!$C$12+re!$H$13*re!$C$13+re!$H$14*re!$C$14)</f>
        <v>#DIV/0!</v>
      </c>
    </row>
    <row r="13" spans="1:148" x14ac:dyDescent="0.2">
      <c r="A13" s="83"/>
      <c r="B13" s="134" t="s">
        <v>176</v>
      </c>
      <c r="C13" s="83"/>
      <c r="D13" s="83"/>
      <c r="E13" s="86"/>
      <c r="F13" s="83"/>
      <c r="G13">
        <v>2036</v>
      </c>
      <c r="H13" s="25">
        <f>'2'!AB19+'6'!AB19+'7'!AB19+'9'!AB19+'11'!AB19+'12'!AB19+'13'!AB19+'16'!AB19+'17'!AB19+'18'!AB19+'22'!AB19</f>
        <v>59.86625934521269</v>
      </c>
      <c r="I13" s="16">
        <f>'1'!AB19+'2'!AC19+'5'!AB19+'6'!AC19+'7'!AC19+'9'!AC19+'11'!AC19+'12'!AC19+'13'!AC19+'15'!AB19+'16'!AC19+'17'!AC19+'18'!AC19+'19'!AB19+'22'!AC19</f>
        <v>229.22427952200403</v>
      </c>
      <c r="J13" s="16"/>
      <c r="K13" s="16">
        <f>'3'!AB19+'4'!AB19+'10'!AB19+'20'!AB19+'21'!AB19+'23'!AB19</f>
        <v>10.937033513664698</v>
      </c>
      <c r="L13" s="16">
        <f>'8'!AB19+'14'!AB19</f>
        <v>100.7804319351381</v>
      </c>
      <c r="M13" s="16">
        <f>'1'!AD19+'2'!AD19+'3'!AD19+'4'!AD19+'5'!AD19+'6'!AD19+'7'!AD19+'8'!AD19+'9'!AD19+'10'!AD19+'11'!AD19+'12'!AD19+'13'!AD19+'14'!AD19+'15'!AD19+'16'!AD19+'17'!AD19+'18'!AD19+'19'!AD19+'20'!AD19+'21'!AD19+'22'!AD19+'23'!AD19</f>
        <v>107.72451933579507</v>
      </c>
      <c r="N13" s="16">
        <f>'1'!AE19+'2'!AE19+'3'!AE19+'4'!AE19+'5'!AE19+'6'!AE19+'7'!AE19+'8'!AE19+'9'!AE19+'10'!AE19+'11'!AE19+'12'!AE19+'13'!AE19+'14'!AE19+'15'!AE19+'16'!AE19+'17'!AE19+'18'!AE19+'19'!AE19+'20'!AE19+'21'!AE19+'22'!AE19+'23'!AE19</f>
        <v>6.3869454207997904</v>
      </c>
      <c r="O13" s="16">
        <f>'1'!AF19+'2'!AF19+'3'!AF19+'4'!AF19+'5'!AF19+'6'!AF19+'7'!AF19+'8'!AF19+'9'!AF19+'10'!AF19+'11'!AF19+'12'!AF19+'13'!AF19+'14'!AF19+'15'!AF19+'16'!AF19+'17'!AF19+'18'!AF19+'19'!AF19+'20'!AF19+'21'!AF19+'22'!AF19+'23'!AF19</f>
        <v>206.35281150613204</v>
      </c>
      <c r="P13" s="16">
        <f>'1'!AG19+'2'!AG19+'3'!AG19+'4'!AG19+'5'!AG19+'6'!AG19+'7'!AG19+'8'!AG19+'9'!AG19+'10'!AG19+'11'!AG19+'12'!AG19+'13'!AG19+'14'!AG19+'15'!AG19+'16'!AG19+'17'!AG19+'18'!AG19+'19'!AG19+'20'!AG19+'21'!AG19+'22'!AG19+'23'!AG19</f>
        <v>187.80370406185409</v>
      </c>
      <c r="Q13" s="16">
        <f>'1'!AH19+'2'!AH19+'3'!AH19+'4'!AH19+'5'!AH19+'6'!AH19+'7'!AH19+'8'!AH19+'9'!AH19+'10'!AH19+'11'!AH19+'12'!AH19+'13'!AH19+'14'!AH19+'15'!AH19+'16'!AH19+'17'!AH19+'18'!AH19+'19'!AH19+'20'!AH19+'21'!AH19+'22'!AH19+'23'!AH19</f>
        <v>4.8095424374848319</v>
      </c>
      <c r="R13" s="16">
        <f>'1'!AI19+'2'!AI19+'3'!AI19+'4'!AI19+'5'!AI19+'6'!AI19+'7'!AI19+'8'!AI19+'9'!AI19+'10'!AI19+'11'!AI19+'12'!AI19+'13'!AI19+'14'!AI19+'15'!AI19+'16'!AI19+'17'!AI19+'18'!AI19+'19'!AI19+'20'!AI19+'21'!AI19+'22'!AI19+'23'!AI19</f>
        <v>32.590037545074239</v>
      </c>
      <c r="S13" s="16">
        <f>'1'!AJ19+'2'!AJ19+'3'!AJ19+'4'!AJ19+'5'!AJ19+'6'!AJ19+'7'!AJ19+'8'!AJ19+'9'!AJ19+'10'!AJ19+'11'!AJ19+'12'!AJ19+'13'!AJ19+'14'!AJ19+'15'!AJ19+'16'!AJ19+'17'!AJ19+'18'!AJ19+'19'!AJ19+'20'!AJ19+'21'!AJ19+'22'!AJ19+'23'!AJ19</f>
        <v>9.2114810171792048</v>
      </c>
      <c r="T13" s="16">
        <f>'1'!AK19+'2'!AK19+'3'!AK19+'4'!AK19+'5'!AK19+'6'!AK19+'7'!AK19+'8'!AK19+'9'!AK19+'10'!AK19+'11'!AK19+'12'!AK19+'13'!AK19+'14'!AK19+'15'!AK19+'16'!AK19+'17'!AK19+'18'!AK19+'19'!AK19+'20'!AK19+'21'!AK19+'22'!AK19+'23'!AK19</f>
        <v>102.22825938190796</v>
      </c>
      <c r="U13" s="16">
        <f>'1'!AL19+'2'!AL19+'3'!AL19+'4'!AL19+'5'!AL19+'6'!AL19+'7'!AL19+'8'!AL19+'9'!AL19+'10'!AL19+'11'!AL19+'12'!AL19+'13'!AL19+'14'!AL19+'15'!AL19+'16'!AL19+'17'!AL19+'18'!AL19+'19'!AL19+'20'!AL19+'21'!AL19+'22'!AL19+'23'!AL19</f>
        <v>0.24934581445138784</v>
      </c>
      <c r="V13" s="25">
        <f t="shared" si="5"/>
        <v>400.80800431601949</v>
      </c>
      <c r="W13" s="16">
        <f t="shared" si="6"/>
        <v>657.35664652067862</v>
      </c>
      <c r="X13" s="9">
        <f t="shared" si="20"/>
        <v>0.24897719310303978</v>
      </c>
      <c r="Y13" s="16">
        <f>((M13+N13)*re!$D$2/re!$C$2+O13*re!$D$3/re!$C$3+P13*re!$D$4/re!$C$4+T13*re!$D$5/re!$C$5+U13*re!$D$6/re!$C$6)</f>
        <v>1115.6270542168065</v>
      </c>
      <c r="Z13">
        <f t="shared" si="18"/>
        <v>86.072782275499364</v>
      </c>
      <c r="AA13">
        <f>((Y13*277.8)/(re!$B$10*8760))*re!$C$10</f>
        <v>48.798802654925034</v>
      </c>
      <c r="AB13">
        <f>((Y13*277.8)/(re!$B$11*8760))*re!$C$11</f>
        <v>18.143144576831101</v>
      </c>
      <c r="AC13">
        <f>((Y13*277.8)/(re!$B$12*8760))*re!$C$12</f>
        <v>6.551691097189007</v>
      </c>
      <c r="AD13">
        <f>((Y13*277.8)/(re!$B$13*8760))*re!$C$13</f>
        <v>1.9227789089576437</v>
      </c>
      <c r="AE13">
        <f>((Y13*277.8)/(re!$B$14*8760))*re!$C$14</f>
        <v>10.656365037596581</v>
      </c>
      <c r="AF13">
        <f>SUM('1'!AD19:AL19)+'1'!AA19</f>
        <v>161.47963120204196</v>
      </c>
      <c r="AG13">
        <f>SUM('2'!AD19:AL19)+'2'!AA19</f>
        <v>3.1491262919062284</v>
      </c>
      <c r="AH13">
        <f>SUM('3'!AD19:AL19)+'3'!AA19</f>
        <v>13.645117666927737</v>
      </c>
      <c r="AI13">
        <f>SUM('4'!AD19:AL19)+'4'!AA19</f>
        <v>1.0254480769426615</v>
      </c>
      <c r="AJ13">
        <f>SUM('5'!AD19:AL19)+'5'!AA19</f>
        <v>6.1617165945031811</v>
      </c>
      <c r="AK13">
        <f>SUM('6'!AD19:AL19)+'6'!AA19</f>
        <v>157.24583728427646</v>
      </c>
      <c r="AL13">
        <f>SUM('7'!AD19:AL19)+'7'!AA19</f>
        <v>140.49141159679078</v>
      </c>
      <c r="AM13">
        <f>SUM('8'!AD19:AL19)+'8'!AA19</f>
        <v>277.91469751849388</v>
      </c>
      <c r="AN13">
        <f>SUM('9'!AD19:AL19)+'9'!AA19</f>
        <v>76.935170501720307</v>
      </c>
      <c r="AO13">
        <f>SUM('10'!AD19:AL19)+'10'!AA19</f>
        <v>5.5652006779879564</v>
      </c>
      <c r="AP13">
        <f>SUM('11'!AD19:AL19)+'11'!AA19</f>
        <v>7.2359767818197724</v>
      </c>
      <c r="AQ13">
        <f>SUM('12'!AD19:AL19)+'12'!AA19</f>
        <v>2.2230410481694745</v>
      </c>
      <c r="AR13">
        <f>SUM('13'!AD19:AL19)+'13'!AA19</f>
        <v>6.4681202074717818</v>
      </c>
      <c r="AS13">
        <f>SUM('14'!AD19:AL19)+'14'!AA19</f>
        <v>5.3982691763862336</v>
      </c>
      <c r="AT13">
        <f>SUM('15'!AD19:AL19)+'15'!AA19</f>
        <v>68.354823269382223</v>
      </c>
      <c r="AU13">
        <f>SUM('16'!AD19:AL19)+'16'!AA19</f>
        <v>27.528814351412201</v>
      </c>
      <c r="AV13">
        <f>SUM('17'!AD19:AL19)+'17'!AA19</f>
        <v>46.851169787837719</v>
      </c>
      <c r="AW13">
        <f>SUM('18'!AD19:AL19)+'18'!AA19</f>
        <v>11.700113933662621</v>
      </c>
      <c r="AX13">
        <f>SUM('19'!AD19:AL19)+'19'!AA19</f>
        <v>30.256039057477384</v>
      </c>
      <c r="AY13">
        <f>SUM('20'!AD19:AL19)+'20'!AA19</f>
        <v>1.9581313849650375</v>
      </c>
      <c r="AZ13">
        <f>SUM('21'!AD19:AL19)+'21'!AA19</f>
        <v>0.17668586385991317</v>
      </c>
      <c r="BA13">
        <f>SUM('22'!AD19:AL19)+'22'!AA19</f>
        <v>0.56697890938893303</v>
      </c>
      <c r="BB13">
        <f>SUM('23'!AD19:AL19)+'23'!AA19</f>
        <v>5.8331296532735744</v>
      </c>
      <c r="BC13">
        <f>('1'!D19+'2'!D19+'3'!D19+'4'!D19+'5'!D19+'6'!D19+'7'!D19+'8'!D19+'9'!D19+'10'!D19+'12'!D19+'13'!D19+'14'!D19+'15'!D19+'16'!D19+'17'!D19+'18'!D19+'19'!D19+'20'!D19+'21'!D19+'22'!D19+'23'!D19)/('1'!D18+'2'!D18+'3'!D18+'4'!D18+'5'!D18+'6'!D18+'7'!D18+'8'!D18+'9'!D18+'10'!D18+'12'!D18+'13'!D18+'14'!D18+'15'!D18+'16'!D18+'17'!D18+'18'!D18+'19'!D18+'20'!D18+'21'!D18+'22'!D18+'23'!D18)-1</f>
        <v>0.12259642589502429</v>
      </c>
      <c r="BD13">
        <f>('1'!E19+'2'!E19+'3'!E19+'4'!E19+'5'!E19+'6'!E19+'7'!E19+'8'!E19+'9'!E19+'10'!E19+'12'!E19+'13'!E19+'14'!E19+'15'!E19+'16'!E19+'17'!E19+'18'!E19+'19'!E19+'20'!E19+'21'!E19+'22'!E19+'23'!E19)/('1'!E18+'2'!E18+'3'!E18+'4'!E18+'5'!E18+'6'!E18+'7'!E18+'8'!E18+'9'!E18+'10'!E18+'12'!E18+'13'!E18+'14'!E18+'15'!E18+'16'!E18+'17'!E18+'18'!E18+'19'!E18+'20'!E18+'21'!E18+'22'!E18+'23'!E18)-1</f>
        <v>0.12259642589502473</v>
      </c>
      <c r="BE13">
        <f>('1'!F19+'2'!F19+'3'!F19+'4'!F19+'5'!F19+'6'!F19+'7'!F19+'8'!F19+'9'!F19+'10'!F19+'12'!F19+'13'!F19+'14'!F19+'15'!F19+'16'!F19+'17'!F19+'18'!F19+'19'!F19+'20'!F19+'21'!F19+'22'!F19+'23'!F19)/('1'!F18+'2'!F18+'3'!F18+'4'!F18+'5'!F18+'6'!F18+'7'!F18+'8'!F18+'9'!F18+'10'!F18+'12'!F18+'13'!F18+'14'!F18+'15'!F18+'16'!F18+'17'!F18+'18'!F18+'19'!F18+'20'!F18+'21'!F18+'22'!F18+'23'!F18)-1</f>
        <v>0.12318421762242471</v>
      </c>
      <c r="BF13">
        <f t="shared" si="19"/>
        <v>0.24897719310303978</v>
      </c>
      <c r="BG13">
        <v>2036</v>
      </c>
      <c r="BH13" s="2">
        <f>BH12+($BH$17-$BH$12)/5</f>
        <v>0.37</v>
      </c>
      <c r="BI13" s="2">
        <f>BH13+$BJ$5</f>
        <v>0.5</v>
      </c>
      <c r="BJ13" s="2">
        <f t="shared" si="21"/>
        <v>0.13</v>
      </c>
      <c r="BK13" t="e">
        <f>'2 (RU)'!AB19+'6 (RU)'!AB19+'7 (RU)'!AB19+'9 (RU)'!AB19+'11 (RU)'!AB19+'12 (RU)'!AB19+'13 (RU)'!AB19+'16 (RU)'!AB19+'17 (RU)'!AB19+'18 (RU)'!AB19+'22 (RU)'!AB19</f>
        <v>#DIV/0!</v>
      </c>
      <c r="BL13" t="e">
        <f>'1 (RU)'!AB19+'2 (RU)'!AC19+'5 (RU)'!AB19+'6 (RU)'!AC19+'7 (RU)'!AC19+'9 (RU)'!AC19+'11 (RU)'!AC19+'12 (RU)'!AC19+'13 (RU)'!AC19+'15 (RU)'!AB19+'16 (RU)'!AC19+'17 (RU)'!AC19+'18 (RU)'!AC19+'19 (RU)'!AB19+'22 (RU)'!AC19</f>
        <v>#DIV/0!</v>
      </c>
      <c r="BN13" t="e">
        <f>'3 (RU)'!AB19+'4 (RU)'!AB19+'10 (RU)'!AB19+'20 (RU)'!AB19+'21 (RU)'!AB19+'23 (RU)'!AB19</f>
        <v>#DIV/0!</v>
      </c>
      <c r="BO13" t="e">
        <f>'8 (RU)'!AB19+'14 (RU)'!AB19</f>
        <v>#DIV/0!</v>
      </c>
      <c r="BP13" t="e">
        <f>'1 (RU)'!AD19+'2 (RU)'!AD19+'3 (RU)'!AD19+'4 (RU)'!AD19+'5 (RU)'!AD19+'6 (RU)'!AD19+'7 (RU)'!AD19+'8 (RU)'!AD19+'9 (RU)'!AD19+'10 (RU)'!AD19+'11 (RU)'!AD19+'12 (RU)'!AD19+'13 (RU)'!AD19+'14 (RU)'!AD19+'15 (RU)'!AD19+'16 (RU)'!AD19+'17 (RU)'!AD19+'18 (RU)'!AD19+'19 (RU)'!AD19+'20 (RU)'!AD19+'21 (RU)'!AD19+'22 (RU)'!AD19+'23 (RU)'!AD19</f>
        <v>#DIV/0!</v>
      </c>
      <c r="BQ13" t="e">
        <f>'1 (RU)'!AE19+'2 (RU)'!AE19+'3 (RU)'!AE19+'4 (RU)'!AE19+'5 (RU)'!AE19+'6 (RU)'!AE19+'7 (RU)'!AE19+'8 (RU)'!AE19+'9 (RU)'!AE19+'10 (RU)'!AE19+'11 (RU)'!AE19+'12 (RU)'!AE19+'13 (RU)'!AE19+'14 (RU)'!AE19+'15 (RU)'!AE19+'16 (RU)'!AE19+'17 (RU)'!AE19+'18 (RU)'!AE19+'19 (RU)'!AE19+'20 (RU)'!AE19+'21 (RU)'!AE19+'22 (RU)'!AE19+'23 (RU)'!AE19</f>
        <v>#DIV/0!</v>
      </c>
      <c r="BR13" t="e">
        <f>'1 (RU)'!AF19+'2 (RU)'!AF19+'3 (RU)'!AF19+'4 (RU)'!AF19+'5 (RU)'!AF19+'6 (RU)'!AF19+'7 (RU)'!AF19+'8 (RU)'!AF19+'9 (RU)'!AF19+'10 (RU)'!AF19+'11 (RU)'!AF19+'12 (RU)'!AF19+'13 (RU)'!AF19+'14 (RU)'!AF19+'15 (RU)'!AF19+'16 (RU)'!AF19+'17 (RU)'!AF19+'18 (RU)'!AF19+'19 (RU)'!AF19+'20 (RU)'!AF19+'21 (RU)'!AF19+'22 (RU)'!AF19+'23 (RU)'!AF19</f>
        <v>#DIV/0!</v>
      </c>
      <c r="BS13" t="e">
        <f>'1 (RU)'!AG19+'2 (RU)'!AG19+'3 (RU)'!AG19+'4 (RU)'!AG19+'5 (RU)'!AG19+'6 (RU)'!AG19+'7 (RU)'!AG19+'8 (RU)'!AG19+'9 (RU)'!AG19+'10 (RU)'!AG19+'11 (RU)'!AG19+'12 (RU)'!AG19+'13 (RU)'!AG19+'14 (RU)'!AG19+'15 (RU)'!AG19+'16 (RU)'!AG19+'17 (RU)'!AG19+'18 (RU)'!AG19+'19 (RU)'!AG19+'20 (RU)'!AG19+'21 (RU)'!AG19+'22 (RU)'!AG19+'23 (RU)'!AG19</f>
        <v>#DIV/0!</v>
      </c>
      <c r="BT13" t="e">
        <f>'1 (RU)'!AH19+'2 (RU)'!AH19+'3 (RU)'!AH19+'4 (RU)'!AH19+'5 (RU)'!AH19+'6 (RU)'!AH19+'7 (RU)'!AH19+'8 (RU)'!AH19+'9 (RU)'!AH19+'10 (RU)'!AH19+'11 (RU)'!AH19+'12 (RU)'!AH19+'13 (RU)'!AH19+'14 (RU)'!AH19+'15 (RU)'!AH19+'16 (RU)'!AH19+'17 (RU)'!AH19+'18 (RU)'!AH19+'19 (RU)'!AH19+'20 (RU)'!AH19+'21 (RU)'!AH19+'22 (RU)'!AH19+'23 (RU)'!AH19</f>
        <v>#DIV/0!</v>
      </c>
      <c r="BU13" t="e">
        <f>'1 (RU)'!AI19+'2 (RU)'!AI19+'3 (RU)'!AI19+'4 (RU)'!AI19+'5 (RU)'!AI19+'6 (RU)'!AI19+'7 (RU)'!AI19+'8 (RU)'!AI19+'9 (RU)'!AI19+'10 (RU)'!AI19+'11 (RU)'!AI19+'12 (RU)'!AI19+'13 (RU)'!AI19+'14 (RU)'!AI19+'15 (RU)'!AI19+'16 (RU)'!AI19+'17 (RU)'!AI19+'18 (RU)'!AI19+'19 (RU)'!AI19+'20 (RU)'!AI19+'21 (RU)'!AI19+'22 (RU)'!AI19+'23 (RU)'!AI19</f>
        <v>#DIV/0!</v>
      </c>
      <c r="BV13" t="e">
        <f>'1 (RU)'!AJ19+'2 (RU)'!AJ19+'3 (RU)'!AJ19+'4 (RU)'!AJ19+'5 (RU)'!AJ19+'6 (RU)'!AJ19+'7 (RU)'!AJ19+'8 (RU)'!AJ19+'9 (RU)'!AJ19+'10 (RU)'!AJ19+'11 (RU)'!AJ19+'12 (RU)'!AJ19+'13 (RU)'!AJ19+'14 (RU)'!AJ19+'15 (RU)'!AJ19+'16 (RU)'!AJ19+'17 (RU)'!AJ19+'18 (RU)'!AJ19+'19 (RU)'!AJ19+'20 (RU)'!AJ19+'21 (RU)'!AJ19+'22 (RU)'!AJ19+'23 (RU)'!AJ19</f>
        <v>#DIV/0!</v>
      </c>
      <c r="BW13" t="e">
        <f>'1 (RU)'!AK19+'2 (RU)'!AK19+'3 (RU)'!AK19+'4 (RU)'!AK19+'5 (RU)'!AK19+'6 (RU)'!AK19+'7 (RU)'!AK19+'8 (RU)'!AK19+'9 (RU)'!AK19+'10 (RU)'!AK19+'11 (RU)'!AK19+'12 (RU)'!AK19+'13 (RU)'!AK19+'14 (RU)'!AK19+'15 (RU)'!AK19+'16 (RU)'!AK19+'17 (RU)'!AK19+'18 (RU)'!AK19+'19 (RU)'!AK19+'20 (RU)'!AK19+'21 (RU)'!AK19+'22 (RU)'!AK19+'23 (RU)'!AK19</f>
        <v>#DIV/0!</v>
      </c>
      <c r="BX13" t="e">
        <f>'1 (RU)'!AL19+'2 (RU)'!AL19+'3 (RU)'!AL19+'4 (RU)'!AL19+'5 (RU)'!AL19+'6 (RU)'!AL19+'7 (RU)'!AL19+'8 (RU)'!AL19+'9 (RU)'!AL19+'10 (RU)'!AL19+'11 (RU)'!AL19+'12 (RU)'!AL19+'13 (RU)'!AL19+'14 (RU)'!AL19+'15 (RU)'!AL19+'16 (RU)'!AL19+'17 (RU)'!AL19+'18 (RU)'!AL19+'19 (RU)'!AL19+'20 (RU)'!AL19+'21 (RU)'!AL19+'22 (RU)'!AL19+'23 (RU)'!AL19</f>
        <v>#DIV/0!</v>
      </c>
      <c r="BY13" s="25" t="e">
        <f t="shared" si="7"/>
        <v>#DIV/0!</v>
      </c>
      <c r="BZ13" s="16" t="e">
        <f t="shared" si="8"/>
        <v>#DIV/0!</v>
      </c>
      <c r="CC13" t="e">
        <f>VLOOKUP(CC$1,emissions!$A$2:$B$5,2,FALSE)*BK13</f>
        <v>#DIV/0!</v>
      </c>
      <c r="CD13" t="e">
        <f>VLOOKUP(CD$1,emissions!$A$2:$B$5,2,FALSE)*BL13</f>
        <v>#DIV/0!</v>
      </c>
      <c r="CF13" t="e">
        <f>VLOOKUP(CF$1,emissions!$A$2:$B$5,2,FALSE)*BN13</f>
        <v>#DIV/0!</v>
      </c>
      <c r="CG13" t="e">
        <f>VLOOKUP(CG$1,emissions!$A$2:$B$5,2,FALSE)*BO13</f>
        <v>#DIV/0!</v>
      </c>
      <c r="CH13" t="e">
        <f>BP13*(emissions!$D$3*production!$B$4+emissions!$D$4*production!$C$4+emissions!$D$5*production!$D$4+emissions!$D$6*production!$E$4)</f>
        <v>#DIV/0!</v>
      </c>
      <c r="CI13" t="e">
        <f>BQ13*(emissions!$D$3*production!$B$4+emissions!$D$4*production!$C$4+emissions!$D$5*production!$D$4+emissions!$D$6*production!$E$4)</f>
        <v>#DIV/0!</v>
      </c>
      <c r="CJ13" t="e">
        <f>BR13*(emissions!$D$8*production!$B$6+emissions!$D$9*production!$C$6+emissions!$D$10*production!$D$6)</f>
        <v>#DIV/0!</v>
      </c>
      <c r="CK13" t="e">
        <f>BS13*(emissions!$D$12*production!$B$8+emissions!$D$13*production!$C$8+emissions!$D$14*production!$D$8)</f>
        <v>#DIV/0!</v>
      </c>
      <c r="CL13" t="e">
        <f>BT13*(emissions!$D$16*production!$B$10+production!$C$10*emissions!$D$17)</f>
        <v>#DIV/0!</v>
      </c>
      <c r="CM13" t="e">
        <f>BU13*(emissions!$D$19*production!$B$12+production!$C$12*emissions!$D$20+emissions!$D$21*production!$D$12)</f>
        <v>#DIV/0!</v>
      </c>
      <c r="CN13" t="e">
        <f>BV13*(emissions!$D$23*production!$B$14+production!$C$14*emissions!$D$24+emissions!$D$25*production!$D$14)</f>
        <v>#DIV/0!</v>
      </c>
      <c r="CO13" t="e">
        <f>BW13*(emissions!$D$27*production!$B$16+production!$C$16*emissions!$D$28+production!$D$16*emissions!$D$29)</f>
        <v>#DIV/0!</v>
      </c>
      <c r="CP13">
        <v>0</v>
      </c>
      <c r="CS13" t="e">
        <f t="shared" si="9"/>
        <v>#DIV/0!</v>
      </c>
      <c r="CT13" s="40" t="e">
        <f t="shared" si="10"/>
        <v>#DIV/0!</v>
      </c>
      <c r="CU13" t="e">
        <f t="shared" si="0"/>
        <v>#DIV/0!</v>
      </c>
      <c r="CV13" t="e">
        <f t="shared" si="1"/>
        <v>#DIV/0!</v>
      </c>
      <c r="CW13">
        <f t="shared" si="2"/>
        <v>58.778999999999996</v>
      </c>
      <c r="CX13">
        <f t="shared" si="3"/>
        <v>46.65</v>
      </c>
      <c r="CY13" t="e">
        <f t="shared" si="11"/>
        <v>#DIV/0!</v>
      </c>
      <c r="CZ13" s="74" t="e">
        <f t="shared" si="12"/>
        <v>#DIV/0!</v>
      </c>
      <c r="DA13" t="e">
        <f t="shared" si="13"/>
        <v>#DIV/0!</v>
      </c>
      <c r="DB13" t="e">
        <f t="shared" si="14"/>
        <v>#DIV/0!</v>
      </c>
      <c r="DC13" s="34" t="e">
        <f t="shared" si="15"/>
        <v>#DIV/0!</v>
      </c>
      <c r="DD13">
        <v>2036</v>
      </c>
      <c r="DE13" t="e">
        <f t="shared" si="22"/>
        <v>#DIV/0!</v>
      </c>
      <c r="DF13" t="e">
        <f t="shared" si="23"/>
        <v>#DIV/0!</v>
      </c>
      <c r="DG13">
        <v>2036</v>
      </c>
      <c r="DH13" t="e">
        <f t="shared" si="24"/>
        <v>#DIV/0!</v>
      </c>
      <c r="DI13" t="e">
        <f t="shared" si="25"/>
        <v>#DIV/0!</v>
      </c>
      <c r="DJ13" t="e">
        <f t="shared" si="26"/>
        <v>#DIV/0!</v>
      </c>
      <c r="DK13" t="e">
        <f t="shared" si="27"/>
        <v>#DIV/0!</v>
      </c>
      <c r="DL13" t="e">
        <f t="shared" si="28"/>
        <v>#DIV/0!</v>
      </c>
      <c r="DM13" s="74" t="e">
        <f t="shared" si="29"/>
        <v>#DIV/0!</v>
      </c>
      <c r="DN13" s="75" t="e">
        <f t="shared" si="30"/>
        <v>#DIV/0!</v>
      </c>
      <c r="DO13" s="76" t="e">
        <f t="shared" si="31"/>
        <v>#DIV/0!</v>
      </c>
      <c r="DP13" s="78" t="e">
        <f t="shared" si="32"/>
        <v>#DIV/0!</v>
      </c>
      <c r="DQ13" s="70">
        <v>8190</v>
      </c>
      <c r="DR13" s="71">
        <v>22641</v>
      </c>
      <c r="DS13" s="71"/>
      <c r="DT13" s="71">
        <v>748</v>
      </c>
      <c r="DU13" s="71">
        <v>2546</v>
      </c>
      <c r="DV13">
        <f>DQ13*VLOOKUP(DQ$1,emissions!$A$2:$B$5,2,FALSE)</f>
        <v>1195740</v>
      </c>
      <c r="DW13">
        <f>DR13*VLOOKUP(DR$1,emissions!$A$2:$B$5,2,FALSE)</f>
        <v>3305586</v>
      </c>
      <c r="DY13">
        <f>DT13*VLOOKUP(DT$1,emissions!$A$2:$B$5,2,FALSE)</f>
        <v>108460</v>
      </c>
      <c r="DZ13">
        <f>DU13*VLOOKUP(DU$1,emissions!$A$2:$B$5,2,FALSE)</f>
        <v>287698</v>
      </c>
      <c r="EA13">
        <f t="shared" si="16"/>
        <v>4897484</v>
      </c>
      <c r="EB13">
        <f t="shared" si="17"/>
        <v>143.51601465201463</v>
      </c>
      <c r="ED13" s="77" t="e">
        <f t="shared" si="4"/>
        <v>#DIV/0!</v>
      </c>
      <c r="EE13" s="34" t="e">
        <f>cost!$B$2*BK13</f>
        <v>#DIV/0!</v>
      </c>
      <c r="EF13" s="34" t="e">
        <f>cost!$B$3*BL13</f>
        <v>#DIV/0!</v>
      </c>
      <c r="EG13" s="34"/>
      <c r="EH13" s="34" t="e">
        <f>cost!$B$4*BN13</f>
        <v>#DIV/0!</v>
      </c>
      <c r="EI13" s="34" t="e">
        <f>cost!$B$5*$BO$2</f>
        <v>#DIV/0!</v>
      </c>
      <c r="EJ13" s="34" t="e">
        <f>BP13*(cost!$D$3*production!$B$4+production!$C$4*cost!$D$4+cost!$D$5*production!$D$4+production!$E$4*cost!$D$6)</f>
        <v>#DIV/0!</v>
      </c>
      <c r="EK13" s="34" t="e">
        <f>BQ13*(cost!$D$3*production!$B$4+production!$C$4*cost!$D$4+cost!$D$5*production!$D$4+production!$E$4*cost!$D$6)</f>
        <v>#DIV/0!</v>
      </c>
      <c r="EL13" s="34" t="e">
        <f>BR13*(cost!$D$8*production!$B$6+cost!$D$9*production!$C$6+$D$10*production!$D$6)</f>
        <v>#DIV/0!</v>
      </c>
      <c r="EM13" s="34" t="e">
        <f>BS13*(cost!$D$12*production!$B$8+cost!$D$13*production!$C$8+cost!$D$14*production!$D$8)</f>
        <v>#DIV/0!</v>
      </c>
      <c r="EN13" s="34" t="e">
        <f>BT13*(cost!$D$16*production!$B$10+production!$C$10*cost!$D$17)</f>
        <v>#DIV/0!</v>
      </c>
      <c r="EO13" s="34" t="e">
        <f>BU13*(cost!$D$19*production!$B$12+production!$C$12*cost!$D$20+cost!$D$21*production!$D$12)</f>
        <v>#DIV/0!</v>
      </c>
      <c r="EP13" s="34" t="e">
        <f>BV13*(cost!$D$23*production!$B$14+production!$C$14*cost!$D$24+cost!$D$25*production!$D$14)</f>
        <v>#DIV/0!</v>
      </c>
      <c r="EQ13" s="34" t="e">
        <f>BW13*(cost!$D$27*production!$B$16+production!$C$16*cost!$D$28+cost!$D$29*production!$D$16)</f>
        <v>#DIV/0!</v>
      </c>
      <c r="ER13" s="34" t="e">
        <f>BX13*(re!$H$10*re!$C$10+re!$H$11*re!$C$11+re!$H$12*re!$C$12+re!$H$13*re!$C$13+re!$H$14*re!$C$14)</f>
        <v>#DIV/0!</v>
      </c>
    </row>
    <row r="14" spans="1:148" x14ac:dyDescent="0.2">
      <c r="A14" s="127" t="s">
        <v>389</v>
      </c>
      <c r="B14" s="128">
        <v>2025</v>
      </c>
      <c r="C14" s="128">
        <v>2050</v>
      </c>
      <c r="D14" s="137">
        <v>2030</v>
      </c>
      <c r="E14" s="129">
        <v>2040</v>
      </c>
      <c r="F14" s="101"/>
      <c r="G14">
        <v>2037</v>
      </c>
      <c r="H14" s="25">
        <f>'2'!AB20+'6'!AB20+'7'!AB20+'9'!AB20+'11'!AB20+'12'!AB20+'13'!AB20+'16'!AB20+'17'!AB20+'18'!AB20+'22'!AB20</f>
        <v>41.046412175065434</v>
      </c>
      <c r="I14" s="16">
        <f>'1'!AB20+'2'!AC20+'5'!AB20+'6'!AC20+'7'!AC20+'9'!AC20+'11'!AC20+'12'!AC20+'13'!AC20+'15'!AB20+'16'!AC20+'17'!AC20+'18'!AC20+'19'!AB20+'22'!AC20</f>
        <v>179.49149889229417</v>
      </c>
      <c r="J14" s="16"/>
      <c r="K14" s="16">
        <f>'3'!AB20+'4'!AB20+'10'!AB20+'20'!AB20+'21'!AB20+'23'!AB20</f>
        <v>8.3622512324005136</v>
      </c>
      <c r="L14" s="16">
        <f>'8'!AB20+'14'!AB20</f>
        <v>77.037714021306812</v>
      </c>
      <c r="M14" s="16">
        <f>'1'!AD20+'2'!AD20+'3'!AD20+'4'!AD20+'5'!AD20+'6'!AD20+'7'!AD20+'8'!AD20+'9'!AD20+'10'!AD20+'11'!AD20+'12'!AD20+'13'!AD20+'14'!AD20+'15'!AD20+'16'!AD20+'17'!AD20+'18'!AD20+'19'!AD20+'20'!AD20+'21'!AD20+'22'!AD20+'23'!AD20</f>
        <v>128.07380469937877</v>
      </c>
      <c r="N14" s="16">
        <f>'1'!AE20+'2'!AE20+'3'!AE20+'4'!AE20+'5'!AE20+'6'!AE20+'7'!AE20+'8'!AE20+'9'!AE20+'10'!AE20+'11'!AE20+'12'!AE20+'13'!AE20+'14'!AE20+'15'!AE20+'16'!AE20+'17'!AE20+'18'!AE20+'19'!AE20+'20'!AE20+'21'!AE20+'22'!AE20+'23'!AE20</f>
        <v>7.5932411755613582</v>
      </c>
      <c r="O14" s="16">
        <f>'1'!AF20+'2'!AF20+'3'!AF20+'4'!AF20+'5'!AF20+'6'!AF20+'7'!AF20+'8'!AF20+'9'!AF20+'10'!AF20+'11'!AF20+'12'!AF20+'13'!AF20+'14'!AF20+'15'!AF20+'16'!AF20+'17'!AF20+'18'!AF20+'19'!AF20+'20'!AF20+'21'!AF20+'22'!AF20+'23'!AF20</f>
        <v>245.3195866262964</v>
      </c>
      <c r="P14" s="16">
        <f>'1'!AG20+'2'!AG20+'3'!AG20+'4'!AG20+'5'!AG20+'6'!AG20+'7'!AG20+'8'!AG20+'9'!AG20+'10'!AG20+'11'!AG20+'12'!AG20+'13'!AG20+'14'!AG20+'15'!AG20+'16'!AG20+'17'!AG20+'18'!AG20+'19'!AG20+'20'!AG20+'21'!AG20+'22'!AG20+'23'!AG20</f>
        <v>223.29033910708731</v>
      </c>
      <c r="Q14" s="16">
        <f>'1'!AH20+'2'!AH20+'3'!AH20+'4'!AH20+'5'!AH20+'6'!AH20+'7'!AH20+'8'!AH20+'9'!AH20+'10'!AH20+'11'!AH20+'12'!AH20+'13'!AH20+'14'!AH20+'15'!AH20+'16'!AH20+'17'!AH20+'18'!AH20+'19'!AH20+'20'!AH20+'21'!AH20+'22'!AH20+'23'!AH20</f>
        <v>5.7119546843238185</v>
      </c>
      <c r="R14" s="16">
        <f>'1'!AI20+'2'!AI20+'3'!AI20+'4'!AI20+'5'!AI20+'6'!AI20+'7'!AI20+'8'!AI20+'9'!AI20+'10'!AI20+'11'!AI20+'12'!AI20+'13'!AI20+'14'!AI20+'15'!AI20+'16'!AI20+'17'!AI20+'18'!AI20+'19'!AI20+'20'!AI20+'21'!AI20+'22'!AI20+'23'!AI20</f>
        <v>38.747006223648128</v>
      </c>
      <c r="S14" s="16">
        <f>'1'!AJ20+'2'!AJ20+'3'!AJ20+'4'!AJ20+'5'!AJ20+'6'!AJ20+'7'!AJ20+'8'!AJ20+'9'!AJ20+'10'!AJ20+'11'!AJ20+'12'!AJ20+'13'!AJ20+'14'!AJ20+'15'!AJ20+'16'!AJ20+'17'!AJ20+'18'!AJ20+'19'!AJ20+'20'!AJ20+'21'!AJ20+'22'!AJ20+'23'!AJ20</f>
        <v>10.940350374782422</v>
      </c>
      <c r="T14" s="16">
        <f>'1'!AK20+'2'!AK20+'3'!AK20+'4'!AK20+'5'!AK20+'6'!AK20+'7'!AK20+'8'!AK20+'9'!AK20+'10'!AK20+'11'!AK20+'12'!AK20+'13'!AK20+'14'!AK20+'15'!AK20+'16'!AK20+'17'!AK20+'18'!AK20+'19'!AK20+'20'!AK20+'21'!AK20+'22'!AK20+'23'!AK20</f>
        <v>121.57052354400179</v>
      </c>
      <c r="U14" s="16">
        <f>'1'!AL20+'2'!AL20+'3'!AL20+'4'!AL20+'5'!AL20+'6'!AL20+'7'!AL20+'8'!AL20+'9'!AL20+'10'!AL20+'11'!AL20+'12'!AL20+'13'!AL20+'14'!AL20+'15'!AL20+'16'!AL20+'17'!AL20+'18'!AL20+'19'!AL20+'20'!AL20+'21'!AL20+'22'!AL20+'23'!AL20</f>
        <v>0.2968786488604569</v>
      </c>
      <c r="V14" s="25">
        <f t="shared" si="5"/>
        <v>305.93787632106694</v>
      </c>
      <c r="W14" s="16">
        <f t="shared" si="6"/>
        <v>781.54368508394032</v>
      </c>
      <c r="X14" s="9">
        <f t="shared" si="20"/>
        <v>0.18891881480254424</v>
      </c>
      <c r="Y14" s="16">
        <f>((M14+N14)*re!$D$2/re!$C$2+O14*re!$D$3/re!$C$3+P14*re!$D$4/re!$C$4+T14*re!$D$5/re!$C$5+U14*re!$D$6/re!$C$6)</f>
        <v>1326.4157777771861</v>
      </c>
      <c r="Z14">
        <f t="shared" si="18"/>
        <v>102.3355394760944</v>
      </c>
      <c r="AA14">
        <f>((Y14*277.8)/(re!$B$10*8760))*re!$C$10</f>
        <v>58.01894238175128</v>
      </c>
      <c r="AB14">
        <f>((Y14*277.8)/(re!$B$11*8760))*re!$C$11</f>
        <v>21.57114524449727</v>
      </c>
      <c r="AC14">
        <f>((Y14*277.8)/(re!$B$12*8760))*re!$C$12</f>
        <v>7.7895802271795676</v>
      </c>
      <c r="AD14">
        <f>((Y14*277.8)/(re!$B$13*8760))*re!$C$13</f>
        <v>2.2860724579766125</v>
      </c>
      <c r="AE14">
        <f>((Y14*277.8)/(re!$B$14*8760))*re!$C$14</f>
        <v>12.669799164689662</v>
      </c>
      <c r="AF14">
        <f>SUM('1'!AD20:AL20)+'1'!AA20</f>
        <v>164.67769467579308</v>
      </c>
      <c r="AG14">
        <f>SUM('2'!AD20:AL20)+'2'!AA20</f>
        <v>3.2296053898661312</v>
      </c>
      <c r="AH14">
        <f>SUM('3'!AD20:AL20)+'3'!AA20</f>
        <v>13.996562358945146</v>
      </c>
      <c r="AI14">
        <f>SUM('4'!AD20:AL20)+'4'!AA20</f>
        <v>1.0534767273170804</v>
      </c>
      <c r="AJ14">
        <f>SUM('5'!AD20:AL20)+'5'!AA20</f>
        <v>6.3141820614894888</v>
      </c>
      <c r="AK14">
        <f>SUM('6'!AD20:AL20)+'6'!AA20</f>
        <v>160.81341705996118</v>
      </c>
      <c r="AL14">
        <f>SUM('7'!AD20:AL20)+'7'!AA20</f>
        <v>144.05407830952277</v>
      </c>
      <c r="AM14">
        <f>SUM('8'!AD20:AL20)+'8'!AA20</f>
        <v>288.75974847825648</v>
      </c>
      <c r="AN14">
        <f>SUM('9'!AD20:AL20)+'9'!AA20</f>
        <v>78.838853755942068</v>
      </c>
      <c r="AO14">
        <f>SUM('10'!AD20:AL20)+'10'!AA20</f>
        <v>5.6830894662227163</v>
      </c>
      <c r="AP14">
        <f>SUM('11'!AD20:AL20)+'11'!AA20</f>
        <v>7.4225283176712207</v>
      </c>
      <c r="AQ14">
        <f>SUM('12'!AD20:AL20)+'12'!AA20</f>
        <v>2.2803535208737511</v>
      </c>
      <c r="AR14">
        <f>SUM('13'!AD20:AL20)+'13'!AA20</f>
        <v>6.634875546130039</v>
      </c>
      <c r="AS14">
        <f>SUM('14'!AD20:AL20)+'14'!AA20</f>
        <v>5.6004523117362588</v>
      </c>
      <c r="AT14">
        <f>SUM('15'!AD20:AL20)+'15'!AA20</f>
        <v>70.046194479124324</v>
      </c>
      <c r="AU14">
        <f>SUM('16'!AD20:AL20)+'16'!AA20</f>
        <v>28.238537827906523</v>
      </c>
      <c r="AV14">
        <f>SUM('17'!AD20:AL20)+'17'!AA20</f>
        <v>48.059045095331442</v>
      </c>
      <c r="AW14">
        <f>SUM('18'!AD20:AL20)+'18'!AA20</f>
        <v>12.001755894350719</v>
      </c>
      <c r="AX14">
        <f>SUM('19'!AD20:AL20)+'19'!AA20</f>
        <v>31.004694250117936</v>
      </c>
      <c r="AY14">
        <f>SUM('20'!AD20:AL20)+'20'!AA20</f>
        <v>2.0116531392209867</v>
      </c>
      <c r="AZ14">
        <f>SUM('21'!AD20:AL20)+'21'!AA20</f>
        <v>0.18133171017616584</v>
      </c>
      <c r="BA14">
        <f>SUM('22'!AD20:AL20)+'22'!AA20</f>
        <v>0.5810082310666761</v>
      </c>
      <c r="BB14">
        <f>SUM('23'!AD20:AL20)+'23'!AA20</f>
        <v>5.9984227979852998</v>
      </c>
      <c r="BC14">
        <f>('1'!D20+'2'!D20+'3'!D20+'4'!D20+'5'!D20+'6'!D20+'7'!D20+'8'!D20+'9'!D20+'10'!D20+'12'!D20+'13'!D20+'14'!D20+'15'!D20+'16'!D20+'17'!D20+'18'!D20+'19'!D20+'20'!D20+'21'!D20+'22'!D20+'23'!D20)/('1'!D19+'2'!D19+'3'!D19+'4'!D19+'5'!D19+'6'!D19+'7'!D19+'8'!D19+'9'!D19+'10'!D19+'12'!D19+'13'!D19+'14'!D19+'15'!D19+'16'!D19+'17'!D19+'18'!D19+'19'!D19+'20'!D19+'21'!D19+'22'!D19+'23'!D19)-1</f>
        <v>0.11315335786110459</v>
      </c>
      <c r="BD14">
        <f>('1'!E20+'2'!E20+'3'!E20+'4'!E20+'5'!E20+'6'!E20+'7'!E20+'8'!E20+'9'!E20+'10'!E20+'12'!E20+'13'!E20+'14'!E20+'15'!E20+'16'!E20+'17'!E20+'18'!E20+'19'!E20+'20'!E20+'21'!E20+'22'!E20+'23'!E20)/('1'!E19+'2'!E19+'3'!E19+'4'!E19+'5'!E19+'6'!E19+'7'!E19+'8'!E19+'9'!E19+'10'!E19+'12'!E19+'13'!E19+'14'!E19+'15'!E19+'16'!E19+'17'!E19+'18'!E19+'19'!E19+'20'!E19+'21'!E19+'22'!E19+'23'!E19)-1</f>
        <v>0.11315335786110414</v>
      </c>
      <c r="BE14">
        <f>('1'!F20+'2'!F20+'3'!F20+'4'!F20+'5'!F20+'6'!F20+'7'!F20+'8'!F20+'9'!F20+'10'!F20+'12'!F20+'13'!F20+'14'!F20+'15'!F20+'16'!F20+'17'!F20+'18'!F20+'19'!F20+'20'!F20+'21'!F20+'22'!F20+'23'!F20)/('1'!F19+'2'!F19+'3'!F19+'4'!F19+'5'!F19+'6'!F19+'7'!F19+'8'!F19+'9'!F19+'10'!F19+'12'!F19+'13'!F19+'14'!F19+'15'!F19+'16'!F19+'17'!F19+'18'!F19+'19'!F19+'20'!F19+'21'!F19+'22'!F19+'23'!F19)-1</f>
        <v>0.11388313374485293</v>
      </c>
      <c r="BF14">
        <f t="shared" si="19"/>
        <v>0.18891881480254424</v>
      </c>
      <c r="BG14">
        <v>2037</v>
      </c>
      <c r="BH14" s="2">
        <f t="shared" ref="BH14:BH16" si="33">BH13+($BH$17-$BH$12)/5</f>
        <v>0.44</v>
      </c>
      <c r="BI14" s="2">
        <f t="shared" ref="BI14:BI27" si="34">BH14+$BJ$5</f>
        <v>0.57000000000000006</v>
      </c>
      <c r="BJ14" s="2">
        <f t="shared" si="21"/>
        <v>0.13000000000000006</v>
      </c>
      <c r="BK14" t="e">
        <f>'2 (RU)'!AB20+'6 (RU)'!AB20+'7 (RU)'!AB20+'9 (RU)'!AB20+'11 (RU)'!AB20+'12 (RU)'!AB20+'13 (RU)'!AB20+'16 (RU)'!AB20+'17 (RU)'!AB20+'18 (RU)'!AB20+'22 (RU)'!AB20</f>
        <v>#DIV/0!</v>
      </c>
      <c r="BL14" t="e">
        <f>'1 (RU)'!AB20+'2 (RU)'!AC20+'5 (RU)'!AB20+'6 (RU)'!AC20+'7 (RU)'!AC20+'9 (RU)'!AC20+'11 (RU)'!AC20+'12 (RU)'!AC20+'13 (RU)'!AC20+'15 (RU)'!AB20+'16 (RU)'!AC20+'17 (RU)'!AC20+'18 (RU)'!AC20+'19 (RU)'!AB20+'22 (RU)'!AC20</f>
        <v>#DIV/0!</v>
      </c>
      <c r="BN14" t="e">
        <f>'3 (RU)'!AB20+'4 (RU)'!AB20+'10 (RU)'!AB20+'20 (RU)'!AB20+'21 (RU)'!AB20+'23 (RU)'!AB20</f>
        <v>#DIV/0!</v>
      </c>
      <c r="BO14" t="e">
        <f>'8 (RU)'!AB20+'14 (RU)'!AB20</f>
        <v>#DIV/0!</v>
      </c>
      <c r="BP14" t="e">
        <f>'1 (RU)'!AD20+'2 (RU)'!AD20+'3 (RU)'!AD20+'4 (RU)'!AD20+'5 (RU)'!AD20+'6 (RU)'!AD20+'7 (RU)'!AD20+'8 (RU)'!AD20+'9 (RU)'!AD20+'10 (RU)'!AD20+'11 (RU)'!AD20+'12 (RU)'!AD20+'13 (RU)'!AD20+'14 (RU)'!AD20+'15 (RU)'!AD20+'16 (RU)'!AD20+'17 (RU)'!AD20+'18 (RU)'!AD20+'19 (RU)'!AD20+'20 (RU)'!AD20+'21 (RU)'!AD20+'22 (RU)'!AD20+'23 (RU)'!AD20</f>
        <v>#DIV/0!</v>
      </c>
      <c r="BQ14" t="e">
        <f>'1 (RU)'!AE20+'2 (RU)'!AE20+'3 (RU)'!AE20+'4 (RU)'!AE20+'5 (RU)'!AE20+'6 (RU)'!AE20+'7 (RU)'!AE20+'8 (RU)'!AE20+'9 (RU)'!AE20+'10 (RU)'!AE20+'11 (RU)'!AE20+'12 (RU)'!AE20+'13 (RU)'!AE20+'14 (RU)'!AE20+'15 (RU)'!AE20+'16 (RU)'!AE20+'17 (RU)'!AE20+'18 (RU)'!AE20+'19 (RU)'!AE20+'20 (RU)'!AE20+'21 (RU)'!AE20+'22 (RU)'!AE20+'23 (RU)'!AE20</f>
        <v>#DIV/0!</v>
      </c>
      <c r="BR14" t="e">
        <f>'1 (RU)'!AF20+'2 (RU)'!AF20+'3 (RU)'!AF20+'4 (RU)'!AF20+'5 (RU)'!AF20+'6 (RU)'!AF20+'7 (RU)'!AF20+'8 (RU)'!AF20+'9 (RU)'!AF20+'10 (RU)'!AF20+'11 (RU)'!AF20+'12 (RU)'!AF20+'13 (RU)'!AF20+'14 (RU)'!AF20+'15 (RU)'!AF20+'16 (RU)'!AF20+'17 (RU)'!AF20+'18 (RU)'!AF20+'19 (RU)'!AF20+'20 (RU)'!AF20+'21 (RU)'!AF20+'22 (RU)'!AF20+'23 (RU)'!AF20</f>
        <v>#DIV/0!</v>
      </c>
      <c r="BS14" t="e">
        <f>'1 (RU)'!AG20+'2 (RU)'!AG20+'3 (RU)'!AG20+'4 (RU)'!AG20+'5 (RU)'!AG20+'6 (RU)'!AG20+'7 (RU)'!AG20+'8 (RU)'!AG20+'9 (RU)'!AG20+'10 (RU)'!AG20+'11 (RU)'!AG20+'12 (RU)'!AG20+'13 (RU)'!AG20+'14 (RU)'!AG20+'15 (RU)'!AG20+'16 (RU)'!AG20+'17 (RU)'!AG20+'18 (RU)'!AG20+'19 (RU)'!AG20+'20 (RU)'!AG20+'21 (RU)'!AG20+'22 (RU)'!AG20+'23 (RU)'!AG20</f>
        <v>#DIV/0!</v>
      </c>
      <c r="BT14" t="e">
        <f>'1 (RU)'!AH20+'2 (RU)'!AH20+'3 (RU)'!AH20+'4 (RU)'!AH20+'5 (RU)'!AH20+'6 (RU)'!AH20+'7 (RU)'!AH20+'8 (RU)'!AH20+'9 (RU)'!AH20+'10 (RU)'!AH20+'11 (RU)'!AH20+'12 (RU)'!AH20+'13 (RU)'!AH20+'14 (RU)'!AH20+'15 (RU)'!AH20+'16 (RU)'!AH20+'17 (RU)'!AH20+'18 (RU)'!AH20+'19 (RU)'!AH20+'20 (RU)'!AH20+'21 (RU)'!AH20+'22 (RU)'!AH20+'23 (RU)'!AH20</f>
        <v>#DIV/0!</v>
      </c>
      <c r="BU14" t="e">
        <f>'1 (RU)'!AI20+'2 (RU)'!AI20+'3 (RU)'!AI20+'4 (RU)'!AI20+'5 (RU)'!AI20+'6 (RU)'!AI20+'7 (RU)'!AI20+'8 (RU)'!AI20+'9 (RU)'!AI20+'10 (RU)'!AI20+'11 (RU)'!AI20+'12 (RU)'!AI20+'13 (RU)'!AI20+'14 (RU)'!AI20+'15 (RU)'!AI20+'16 (RU)'!AI20+'17 (RU)'!AI20+'18 (RU)'!AI20+'19 (RU)'!AI20+'20 (RU)'!AI20+'21 (RU)'!AI20+'22 (RU)'!AI20+'23 (RU)'!AI20</f>
        <v>#DIV/0!</v>
      </c>
      <c r="BV14" t="e">
        <f>'1 (RU)'!AJ20+'2 (RU)'!AJ20+'3 (RU)'!AJ20+'4 (RU)'!AJ20+'5 (RU)'!AJ20+'6 (RU)'!AJ20+'7 (RU)'!AJ20+'8 (RU)'!AJ20+'9 (RU)'!AJ20+'10 (RU)'!AJ20+'11 (RU)'!AJ20+'12 (RU)'!AJ20+'13 (RU)'!AJ20+'14 (RU)'!AJ20+'15 (RU)'!AJ20+'16 (RU)'!AJ20+'17 (RU)'!AJ20+'18 (RU)'!AJ20+'19 (RU)'!AJ20+'20 (RU)'!AJ20+'21 (RU)'!AJ20+'22 (RU)'!AJ20+'23 (RU)'!AJ20</f>
        <v>#DIV/0!</v>
      </c>
      <c r="BW14" t="e">
        <f>'1 (RU)'!AK20+'2 (RU)'!AK20+'3 (RU)'!AK20+'4 (RU)'!AK20+'5 (RU)'!AK20+'6 (RU)'!AK20+'7 (RU)'!AK20+'8 (RU)'!AK20+'9 (RU)'!AK20+'10 (RU)'!AK20+'11 (RU)'!AK20+'12 (RU)'!AK20+'13 (RU)'!AK20+'14 (RU)'!AK20+'15 (RU)'!AK20+'16 (RU)'!AK20+'17 (RU)'!AK20+'18 (RU)'!AK20+'19 (RU)'!AK20+'20 (RU)'!AK20+'21 (RU)'!AK20+'22 (RU)'!AK20+'23 (RU)'!AK20</f>
        <v>#DIV/0!</v>
      </c>
      <c r="BX14" t="e">
        <f>'1 (RU)'!AL20+'2 (RU)'!AL20+'3 (RU)'!AL20+'4 (RU)'!AL20+'5 (RU)'!AL20+'6 (RU)'!AL20+'7 (RU)'!AL20+'8 (RU)'!AL20+'9 (RU)'!AL20+'10 (RU)'!AL20+'11 (RU)'!AL20+'12 (RU)'!AL20+'13 (RU)'!AL20+'14 (RU)'!AL20+'15 (RU)'!AL20+'16 (RU)'!AL20+'17 (RU)'!AL20+'18 (RU)'!AL20+'19 (RU)'!AL20+'20 (RU)'!AL20+'21 (RU)'!AL20+'22 (RU)'!AL20+'23 (RU)'!AL20</f>
        <v>#DIV/0!</v>
      </c>
      <c r="BY14" s="25" t="e">
        <f t="shared" si="7"/>
        <v>#DIV/0!</v>
      </c>
      <c r="BZ14" s="16" t="e">
        <f t="shared" si="8"/>
        <v>#DIV/0!</v>
      </c>
      <c r="CC14" t="e">
        <f>VLOOKUP(CC$1,emissions!$A$2:$B$5,2,FALSE)*BK14</f>
        <v>#DIV/0!</v>
      </c>
      <c r="CD14" t="e">
        <f>VLOOKUP(CD$1,emissions!$A$2:$B$5,2,FALSE)*BL14</f>
        <v>#DIV/0!</v>
      </c>
      <c r="CF14" t="e">
        <f>VLOOKUP(CF$1,emissions!$A$2:$B$5,2,FALSE)*BN14</f>
        <v>#DIV/0!</v>
      </c>
      <c r="CG14" t="e">
        <f>VLOOKUP(CG$1,emissions!$A$2:$B$5,2,FALSE)*BO14</f>
        <v>#DIV/0!</v>
      </c>
      <c r="CH14" t="e">
        <f>BP14*(emissions!$D$3*production!$B$4+emissions!$D$4*production!$C$4+emissions!$D$5*production!$D$4+emissions!$D$6*production!$E$4)</f>
        <v>#DIV/0!</v>
      </c>
      <c r="CI14" t="e">
        <f>BQ14*(emissions!$D$3*production!$B$4+emissions!$D$4*production!$C$4+emissions!$D$5*production!$D$4+emissions!$D$6*production!$E$4)</f>
        <v>#DIV/0!</v>
      </c>
      <c r="CJ14" t="e">
        <f>BR14*(emissions!$D$8*production!$B$6+emissions!$D$9*production!$C$6+emissions!$D$10*production!$D$6)</f>
        <v>#DIV/0!</v>
      </c>
      <c r="CK14" t="e">
        <f>BS14*(emissions!$D$12*production!$B$8+emissions!$D$13*production!$C$8+emissions!$D$14*production!$D$8)</f>
        <v>#DIV/0!</v>
      </c>
      <c r="CL14" t="e">
        <f>BT14*(emissions!$D$16*production!$B$10+production!$C$10*emissions!$D$17)</f>
        <v>#DIV/0!</v>
      </c>
      <c r="CM14" t="e">
        <f>BU14*(emissions!$D$19*production!$B$12+production!$C$12*emissions!$D$20+emissions!$D$21*production!$D$12)</f>
        <v>#DIV/0!</v>
      </c>
      <c r="CN14" t="e">
        <f>BV14*(emissions!$D$23*production!$B$14+production!$C$14*emissions!$D$24+emissions!$D$25*production!$D$14)</f>
        <v>#DIV/0!</v>
      </c>
      <c r="CO14" t="e">
        <f>BW14*(emissions!$D$27*production!$B$16+production!$C$16*emissions!$D$28+production!$D$16*emissions!$D$29)</f>
        <v>#DIV/0!</v>
      </c>
      <c r="CP14">
        <v>0</v>
      </c>
      <c r="CS14" t="e">
        <f t="shared" si="9"/>
        <v>#DIV/0!</v>
      </c>
      <c r="CT14" s="40" t="e">
        <f t="shared" si="10"/>
        <v>#DIV/0!</v>
      </c>
      <c r="CU14" t="e">
        <f t="shared" si="0"/>
        <v>#DIV/0!</v>
      </c>
      <c r="CV14" t="e">
        <f t="shared" si="1"/>
        <v>#DIV/0!</v>
      </c>
      <c r="CW14">
        <f t="shared" si="2"/>
        <v>52.248000000000005</v>
      </c>
      <c r="CX14">
        <f t="shared" si="3"/>
        <v>40.118999999999993</v>
      </c>
      <c r="CY14" t="e">
        <f>IF(G14&lt;2028,0,IF(CT14&gt;=CW14,CU14,IF(AND(CT14&lt;CW14,CT14&gt;=CX14),CV14,0))*SUM(BK14:BX14))</f>
        <v>#DIV/0!</v>
      </c>
      <c r="CZ14" s="74" t="e">
        <f t="shared" si="12"/>
        <v>#DIV/0!</v>
      </c>
      <c r="DA14" t="e">
        <f t="shared" si="13"/>
        <v>#DIV/0!</v>
      </c>
      <c r="DB14" t="e">
        <f t="shared" si="14"/>
        <v>#DIV/0!</v>
      </c>
      <c r="DC14" s="34" t="e">
        <f t="shared" si="15"/>
        <v>#DIV/0!</v>
      </c>
      <c r="DD14">
        <v>2037</v>
      </c>
      <c r="DE14" t="e">
        <f t="shared" si="22"/>
        <v>#DIV/0!</v>
      </c>
      <c r="DF14" t="e">
        <f t="shared" si="23"/>
        <v>#DIV/0!</v>
      </c>
      <c r="DG14">
        <v>2037</v>
      </c>
      <c r="DH14" t="e">
        <f t="shared" si="24"/>
        <v>#DIV/0!</v>
      </c>
      <c r="DI14" t="e">
        <f t="shared" si="25"/>
        <v>#DIV/0!</v>
      </c>
      <c r="DJ14" t="e">
        <f t="shared" si="26"/>
        <v>#DIV/0!</v>
      </c>
      <c r="DK14" t="e">
        <f t="shared" si="27"/>
        <v>#DIV/0!</v>
      </c>
      <c r="DL14" t="e">
        <f t="shared" si="28"/>
        <v>#DIV/0!</v>
      </c>
      <c r="DM14" s="74" t="e">
        <f t="shared" si="29"/>
        <v>#DIV/0!</v>
      </c>
      <c r="DN14" s="75" t="e">
        <f t="shared" si="30"/>
        <v>#DIV/0!</v>
      </c>
      <c r="DO14" s="76" t="e">
        <f t="shared" si="31"/>
        <v>#DIV/0!</v>
      </c>
      <c r="DP14" s="78" t="e">
        <f t="shared" si="32"/>
        <v>#DIV/0!</v>
      </c>
      <c r="DQ14" s="70">
        <v>7046</v>
      </c>
      <c r="DR14" s="71">
        <v>24340</v>
      </c>
      <c r="DS14" s="71"/>
      <c r="DT14" s="71">
        <v>763</v>
      </c>
      <c r="DU14" s="71">
        <v>2597</v>
      </c>
      <c r="DV14">
        <f>DQ14*VLOOKUP(DQ$1,emissions!$A$2:$B$5,2,FALSE)</f>
        <v>1028716</v>
      </c>
      <c r="DW14">
        <f>DR14*VLOOKUP(DR$1,emissions!$A$2:$B$5,2,FALSE)</f>
        <v>3553640</v>
      </c>
      <c r="DY14">
        <f>DT14*VLOOKUP(DT$1,emissions!$A$2:$B$5,2,FALSE)</f>
        <v>110635</v>
      </c>
      <c r="DZ14">
        <f>DU14*VLOOKUP(DU$1,emissions!$A$2:$B$5,2,FALSE)</f>
        <v>293461</v>
      </c>
      <c r="EA14">
        <f t="shared" si="16"/>
        <v>4986452</v>
      </c>
      <c r="EB14">
        <f t="shared" si="17"/>
        <v>143.51154089679389</v>
      </c>
      <c r="ED14" s="77" t="e">
        <f t="shared" si="4"/>
        <v>#DIV/0!</v>
      </c>
      <c r="EE14" s="34" t="e">
        <f>cost!$B$2*BK14</f>
        <v>#DIV/0!</v>
      </c>
      <c r="EF14" s="34" t="e">
        <f>cost!$B$3*BL14</f>
        <v>#DIV/0!</v>
      </c>
      <c r="EG14" s="34"/>
      <c r="EH14" s="34" t="e">
        <f>cost!$B$4*BN14</f>
        <v>#DIV/0!</v>
      </c>
      <c r="EI14" s="34" t="e">
        <f>cost!$B$5*$BO$2</f>
        <v>#DIV/0!</v>
      </c>
      <c r="EJ14" s="34" t="e">
        <f>BP14*(cost!$D$3*production!$B$4+production!$C$4*cost!$D$4+cost!$D$5*production!$D$4+production!$E$4*cost!$D$6)</f>
        <v>#DIV/0!</v>
      </c>
      <c r="EK14" s="34" t="e">
        <f>BQ14*(cost!$D$3*production!$B$4+production!$C$4*cost!$D$4+cost!$D$5*production!$D$4+production!$E$4*cost!$D$6)</f>
        <v>#DIV/0!</v>
      </c>
      <c r="EL14" s="34" t="e">
        <f>BR14*(cost!$D$8*production!$B$6+cost!$D$9*production!$C$6+$D$10*production!$D$6)</f>
        <v>#DIV/0!</v>
      </c>
      <c r="EM14" s="34" t="e">
        <f>BS14*(cost!$D$12*production!$B$8+cost!$D$13*production!$C$8+cost!$D$14*production!$D$8)</f>
        <v>#DIV/0!</v>
      </c>
      <c r="EN14" s="34" t="e">
        <f>BT14*(cost!$D$16*production!$B$10+production!$C$10*cost!$D$17)</f>
        <v>#DIV/0!</v>
      </c>
      <c r="EO14" s="34" t="e">
        <f>BU14*(cost!$D$19*production!$B$12+production!$C$12*cost!$D$20+cost!$D$21*production!$D$12)</f>
        <v>#DIV/0!</v>
      </c>
      <c r="EP14" s="34" t="e">
        <f>BV14*(cost!$D$23*production!$B$14+production!$C$14*cost!$D$24+cost!$D$25*production!$D$14)</f>
        <v>#DIV/0!</v>
      </c>
      <c r="EQ14" s="34" t="e">
        <f>BW14*(cost!$D$27*production!$B$16+production!$C$16*cost!$D$28+cost!$D$29*production!$D$16)</f>
        <v>#DIV/0!</v>
      </c>
      <c r="ER14" s="34" t="e">
        <f>BX14*(re!$H$10*re!$C$10+re!$H$11*re!$C$11+re!$H$12*re!$C$12+re!$H$13*re!$C$13+re!$H$14*re!$C$14)</f>
        <v>#DIV/0!</v>
      </c>
    </row>
    <row r="15" spans="1:148" x14ac:dyDescent="0.2">
      <c r="A15" s="84" t="s">
        <v>178</v>
      </c>
      <c r="B15" s="119">
        <f>SUM(M2:N2)</f>
        <v>0</v>
      </c>
      <c r="C15" s="119">
        <f>SUM(M27:N27)</f>
        <v>243.21336673181273</v>
      </c>
      <c r="D15" s="119">
        <f>SUM(M7:N7)</f>
        <v>14.380638929118083</v>
      </c>
      <c r="E15" s="130">
        <f>SUM(M17:N17)</f>
        <v>183.01863227628738</v>
      </c>
      <c r="F15" s="119"/>
      <c r="G15">
        <v>2038</v>
      </c>
      <c r="H15" s="25">
        <f>'2'!AB21+'6'!AB21+'7'!AB21+'9'!AB21+'11'!AB21+'12'!AB21+'13'!AB21+'16'!AB21+'17'!AB21+'18'!AB21+'22'!AB21</f>
        <v>27.50601035205429</v>
      </c>
      <c r="I15" s="16">
        <f>'1'!AB21+'2'!AC21+'5'!AB21+'6'!AC21+'7'!AC21+'9'!AC21+'11'!AC21+'12'!AC21+'13'!AC21+'15'!AB21+'16'!AC21+'17'!AC21+'18'!AC21+'19'!AB21+'22'!AC21</f>
        <v>134.74773765165349</v>
      </c>
      <c r="J15" s="16"/>
      <c r="K15" s="16">
        <f>'3'!AB21+'4'!AB21+'10'!AB21+'20'!AB21+'21'!AB21+'23'!AB21</f>
        <v>6.1660663950001915</v>
      </c>
      <c r="L15" s="16">
        <f>'8'!AB21+'14'!AB21</f>
        <v>56.792636969438973</v>
      </c>
      <c r="M15" s="16">
        <f>'1'!AD21+'2'!AD21+'3'!AD21+'4'!AD21+'5'!AD21+'6'!AD21+'7'!AD21+'8'!AD21+'9'!AD21+'10'!AD21+'11'!AD21+'12'!AD21+'13'!AD21+'14'!AD21+'15'!AD21+'16'!AD21+'17'!AD21+'18'!AD21+'19'!AD21+'20'!AD21+'21'!AD21+'22'!AD21+'23'!AD21</f>
        <v>145.94818251307771</v>
      </c>
      <c r="N15" s="16">
        <f>'1'!AE21+'2'!AE21+'3'!AE21+'4'!AE21+'5'!AE21+'6'!AE21+'7'!AE21+'8'!AE21+'9'!AE21+'10'!AE21+'11'!AE21+'12'!AE21+'13'!AE21+'14'!AE21+'15'!AE21+'16'!AE21+'17'!AE21+'18'!AE21+'19'!AE21+'20'!AE21+'21'!AE21+'22'!AE21+'23'!AE21</f>
        <v>8.6527277469396235</v>
      </c>
      <c r="O15" s="16">
        <f>'1'!AF21+'2'!AF21+'3'!AF21+'4'!AF21+'5'!AF21+'6'!AF21+'7'!AF21+'8'!AF21+'9'!AF21+'10'!AF21+'11'!AF21+'12'!AF21+'13'!AF21+'14'!AF21+'15'!AF21+'16'!AF21+'17'!AF21+'18'!AF21+'19'!AF21+'20'!AF21+'21'!AF21+'22'!AF21+'23'!AF21</f>
        <v>279.54159066890236</v>
      </c>
      <c r="P15" s="16">
        <f>'1'!AG21+'2'!AG21+'3'!AG21+'4'!AG21+'5'!AG21+'6'!AG21+'7'!AG21+'8'!AG21+'9'!AG21+'10'!AG21+'11'!AG21+'12'!AG21+'13'!AG21+'14'!AG21+'15'!AG21+'16'!AG21+'17'!AG21+'18'!AG21+'19'!AG21+'20'!AG21+'21'!AG21+'22'!AG21+'23'!AG21</f>
        <v>254.46523695789989</v>
      </c>
      <c r="Q15" s="16">
        <f>'1'!AH21+'2'!AH21+'3'!AH21+'4'!AH21+'5'!AH21+'6'!AH21+'7'!AH21+'8'!AH21+'9'!AH21+'10'!AH21+'11'!AH21+'12'!AH21+'13'!AH21+'14'!AH21+'15'!AH21+'16'!AH21+'17'!AH21+'18'!AH21+'19'!AH21+'20'!AH21+'21'!AH21+'22'!AH21+'23'!AH21</f>
        <v>6.5021667159003993</v>
      </c>
      <c r="R15" s="16">
        <f>'1'!AI21+'2'!AI21+'3'!AI21+'4'!AI21+'5'!AI21+'6'!AI21+'7'!AI21+'8'!AI21+'9'!AI21+'10'!AI21+'11'!AI21+'12'!AI21+'13'!AI21+'14'!AI21+'15'!AI21+'16'!AI21+'17'!AI21+'18'!AI21+'19'!AI21+'20'!AI21+'21'!AI21+'22'!AI21+'23'!AI21</f>
        <v>44.155416624111517</v>
      </c>
      <c r="S15" s="16">
        <f>'1'!AJ21+'2'!AJ21+'3'!AJ21+'4'!AJ21+'5'!AJ21+'6'!AJ21+'7'!AJ21+'8'!AJ21+'9'!AJ21+'10'!AJ21+'11'!AJ21+'12'!AJ21+'13'!AJ21+'14'!AJ21+'15'!AJ21+'16'!AJ21+'17'!AJ21+'18'!AJ21+'19'!AJ21+'20'!AJ21+'21'!AJ21+'22'!AJ21+'23'!AJ21</f>
        <v>12.454474113031242</v>
      </c>
      <c r="T15" s="16">
        <f>'1'!AK21+'2'!AK21+'3'!AK21+'4'!AK21+'5'!AK21+'6'!AK21+'7'!AK21+'8'!AK21+'9'!AK21+'10'!AK21+'11'!AK21+'12'!AK21+'13'!AK21+'14'!AK21+'15'!AK21+'16'!AK21+'17'!AK21+'18'!AK21+'19'!AK21+'20'!AK21+'21'!AK21+'22'!AK21+'23'!AK21</f>
        <v>138.57282013821228</v>
      </c>
      <c r="U15" s="16">
        <f>'1'!AL21+'2'!AL21+'3'!AL21+'4'!AL21+'5'!AL21+'6'!AL21+'7'!AL21+'8'!AL21+'9'!AL21+'10'!AL21+'11'!AL21+'12'!AL21+'13'!AL21+'14'!AL21+'15'!AL21+'16'!AL21+'17'!AL21+'18'!AL21+'19'!AL21+'20'!AL21+'21'!AL21+'22'!AL21+'23'!AL21</f>
        <v>0.33880322473299818</v>
      </c>
      <c r="V15" s="25">
        <f t="shared" si="5"/>
        <v>225.21245136814696</v>
      </c>
      <c r="W15" s="16">
        <f t="shared" si="6"/>
        <v>890.63141870280799</v>
      </c>
      <c r="X15" s="9">
        <f t="shared" si="20"/>
        <v>0.13957982861463636</v>
      </c>
      <c r="Y15" s="16">
        <f>((M15+N15)*re!$D$2/re!$C$2+O15*re!$D$3/re!$C$3+P15*re!$D$4/re!$C$4+T15*re!$D$5/re!$C$5+U15*re!$D$6/re!$C$6)</f>
        <v>1511.5861283058098</v>
      </c>
      <c r="Z15">
        <f t="shared" si="18"/>
        <v>116.6217897106022</v>
      </c>
      <c r="AA15">
        <f>((Y15*277.8)/(re!$B$10*8760))*re!$C$10</f>
        <v>66.118505187112902</v>
      </c>
      <c r="AB15">
        <f>((Y15*277.8)/(re!$B$11*8760))*re!$C$11</f>
        <v>24.582521159311202</v>
      </c>
      <c r="AC15">
        <f>((Y15*277.8)/(re!$B$12*8760))*re!$C$12</f>
        <v>8.877021529751266</v>
      </c>
      <c r="AD15">
        <f>((Y15*277.8)/(re!$B$13*8760))*re!$C$13</f>
        <v>2.6052128402530892</v>
      </c>
      <c r="AE15">
        <f>((Y15*277.8)/(re!$B$14*8760))*re!$C$14</f>
        <v>14.438528994173749</v>
      </c>
      <c r="AF15">
        <f>SUM('1'!AD21:AL21)+'1'!AA21</f>
        <v>167.9157827237909</v>
      </c>
      <c r="AG15">
        <f>SUM('2'!AD21:AL21)+'2'!AA21</f>
        <v>3.3075007284801918</v>
      </c>
      <c r="AH15">
        <f>SUM('3'!AD21:AL21)+'3'!AA21</f>
        <v>14.342964269636617</v>
      </c>
      <c r="AI15">
        <f>SUM('4'!AD21:AL21)+'4'!AA21</f>
        <v>1.0809094242503523</v>
      </c>
      <c r="AJ15">
        <f>SUM('5'!AD21:AL21)+'5'!AA21</f>
        <v>6.4622868897102705</v>
      </c>
      <c r="AK15">
        <f>SUM('6'!AD21:AL21)+'6'!AA21</f>
        <v>164.31461430881834</v>
      </c>
      <c r="AL15">
        <f>SUM('7'!AD21:AL21)+'7'!AA21</f>
        <v>147.50532768407513</v>
      </c>
      <c r="AM15">
        <f>SUM('8'!AD21:AL21)+'8'!AA21</f>
        <v>299.00737265992808</v>
      </c>
      <c r="AN15">
        <f>SUM('9'!AD21:AL21)+'9'!AA21</f>
        <v>80.688090090741838</v>
      </c>
      <c r="AO15">
        <f>SUM('10'!AD21:AL21)+'10'!AA21</f>
        <v>5.8023362064791089</v>
      </c>
      <c r="AP15">
        <f>SUM('11'!AD21:AL21)+'11'!AA21</f>
        <v>7.6043258079281149</v>
      </c>
      <c r="AQ15">
        <f>SUM('12'!AD21:AL21)+'12'!AA21</f>
        <v>2.3362054528908169</v>
      </c>
      <c r="AR15">
        <f>SUM('13'!AD21:AL21)+'13'!AA21</f>
        <v>6.7973813219021046</v>
      </c>
      <c r="AS15">
        <f>SUM('14'!AD21:AL21)+'14'!AA21</f>
        <v>5.7904570006788356</v>
      </c>
      <c r="AT15">
        <f>SUM('15'!AD21:AL21)+'15'!AA21</f>
        <v>71.689191069945309</v>
      </c>
      <c r="AU15">
        <f>SUM('16'!AD21:AL21)+'16'!AA21</f>
        <v>28.930174839706886</v>
      </c>
      <c r="AV15">
        <f>SUM('17'!AD21:AL21)+'17'!AA21</f>
        <v>49.236139126980127</v>
      </c>
      <c r="AW15">
        <f>SUM('18'!AD21:AL21)+'18'!AA21</f>
        <v>12.295710865876297</v>
      </c>
      <c r="AX15">
        <f>SUM('19'!AD21:AL21)+'19'!AA21</f>
        <v>31.731937283536009</v>
      </c>
      <c r="AY15">
        <f>SUM('20'!AD21:AL21)+'20'!AA21</f>
        <v>2.0640368981329242</v>
      </c>
      <c r="AZ15">
        <f>SUM('21'!AD21:AL21)+'21'!AA21</f>
        <v>0.18586533399360206</v>
      </c>
      <c r="BA15">
        <f>SUM('22'!AD21:AL21)+'22'!AA21</f>
        <v>0.59463630251266963</v>
      </c>
      <c r="BB15">
        <f>SUM('23'!AD21:AL21)+'23'!AA21</f>
        <v>6.1606237809603517</v>
      </c>
      <c r="BC15">
        <f>('1'!D21+'2'!D21+'3'!D21+'4'!D21+'5'!D21+'6'!D21+'7'!D21+'8'!D21+'9'!D21+'10'!D21+'12'!D21+'13'!D21+'14'!D21+'15'!D21+'16'!D21+'17'!D21+'18'!D21+'19'!D21+'20'!D21+'21'!D21+'22'!D21+'23'!D21)/('1'!D20+'2'!D20+'3'!D20+'4'!D20+'5'!D20+'6'!D20+'7'!D20+'8'!D20+'9'!D20+'10'!D20+'12'!D20+'13'!D20+'14'!D20+'15'!D20+'16'!D20+'17'!D20+'18'!D20+'19'!D20+'20'!D20+'21'!D20+'22'!D20+'23'!D20)-1</f>
        <v>0.10525952079279088</v>
      </c>
      <c r="BD15">
        <f>('1'!E21+'2'!E21+'3'!E21+'4'!E21+'5'!E21+'6'!E21+'7'!E21+'8'!E21+'9'!E21+'10'!E21+'12'!E21+'13'!E21+'14'!E21+'15'!E21+'16'!E21+'17'!E21+'18'!E21+'19'!E21+'20'!E21+'21'!E21+'22'!E21+'23'!E21)/('1'!E20+'2'!E20+'3'!E20+'4'!E20+'5'!E20+'6'!E20+'7'!E20+'8'!E20+'9'!E20+'10'!E20+'12'!E20+'13'!E20+'14'!E20+'15'!E20+'16'!E20+'17'!E20+'18'!E20+'19'!E20+'20'!E20+'21'!E20+'22'!E20+'23'!E20)-1</f>
        <v>0.10525952079279066</v>
      </c>
      <c r="BE15">
        <f>('1'!F21+'2'!F21+'3'!F21+'4'!F21+'5'!F21+'6'!F21+'7'!F21+'8'!F21+'9'!F21+'10'!F21+'12'!F21+'13'!F21+'14'!F21+'15'!F21+'16'!F21+'17'!F21+'18'!F21+'19'!F21+'20'!F21+'21'!F21+'22'!F21+'23'!F21)/('1'!F20+'2'!F20+'3'!F20+'4'!F20+'5'!F20+'6'!F20+'7'!F20+'8'!F20+'9'!F20+'10'!F20+'12'!F20+'13'!F20+'14'!F20+'15'!F20+'16'!F20+'17'!F20+'18'!F20+'19'!F20+'20'!F20+'21'!F20+'22'!F20+'23'!F20)-1</f>
        <v>0.10612939480102535</v>
      </c>
      <c r="BF15">
        <f t="shared" si="19"/>
        <v>0.13957982861463636</v>
      </c>
      <c r="BG15">
        <v>2038</v>
      </c>
      <c r="BH15" s="2">
        <f t="shared" si="33"/>
        <v>0.51</v>
      </c>
      <c r="BI15" s="2">
        <f t="shared" si="34"/>
        <v>0.64</v>
      </c>
      <c r="BJ15" s="2">
        <f t="shared" si="21"/>
        <v>0.13</v>
      </c>
      <c r="BK15" t="e">
        <f>'2 (RU)'!AB21+'6 (RU)'!AB21+'7 (RU)'!AB21+'9 (RU)'!AB21+'11 (RU)'!AB21+'12 (RU)'!AB21+'13 (RU)'!AB21+'16 (RU)'!AB21+'17 (RU)'!AB21+'18 (RU)'!AB21+'22 (RU)'!AB21</f>
        <v>#DIV/0!</v>
      </c>
      <c r="BL15" t="e">
        <f>'1 (RU)'!AB21+'2 (RU)'!AC21+'5 (RU)'!AB21+'6 (RU)'!AC21+'7 (RU)'!AC21+'9 (RU)'!AC21+'11 (RU)'!AC21+'12 (RU)'!AC21+'13 (RU)'!AC21+'15 (RU)'!AB21+'16 (RU)'!AC21+'17 (RU)'!AC21+'18 (RU)'!AC21+'19 (RU)'!AB21+'22 (RU)'!AC21</f>
        <v>#DIV/0!</v>
      </c>
      <c r="BN15" t="e">
        <f>'3 (RU)'!AB21+'4 (RU)'!AB21+'10 (RU)'!AB21+'20 (RU)'!AB21+'21 (RU)'!AB21+'23 (RU)'!AB21</f>
        <v>#DIV/0!</v>
      </c>
      <c r="BO15" t="e">
        <f>'8 (RU)'!AB21+'14 (RU)'!AB21</f>
        <v>#DIV/0!</v>
      </c>
      <c r="BP15" t="e">
        <f>'1 (RU)'!AD21+'2 (RU)'!AD21+'3 (RU)'!AD21+'4 (RU)'!AD21+'5 (RU)'!AD21+'6 (RU)'!AD21+'7 (RU)'!AD21+'8 (RU)'!AD21+'9 (RU)'!AD21+'10 (RU)'!AD21+'11 (RU)'!AD21+'12 (RU)'!AD21+'13 (RU)'!AD21+'14 (RU)'!AD21+'15 (RU)'!AD21+'16 (RU)'!AD21+'17 (RU)'!AD21+'18 (RU)'!AD21+'19 (RU)'!AD21+'20 (RU)'!AD21+'21 (RU)'!AD21+'22 (RU)'!AD21+'23 (RU)'!AD21</f>
        <v>#DIV/0!</v>
      </c>
      <c r="BQ15" t="e">
        <f>'1 (RU)'!AE21+'2 (RU)'!AE21+'3 (RU)'!AE21+'4 (RU)'!AE21+'5 (RU)'!AE21+'6 (RU)'!AE21+'7 (RU)'!AE21+'8 (RU)'!AE21+'9 (RU)'!AE21+'10 (RU)'!AE21+'11 (RU)'!AE21+'12 (RU)'!AE21+'13 (RU)'!AE21+'14 (RU)'!AE21+'15 (RU)'!AE21+'16 (RU)'!AE21+'17 (RU)'!AE21+'18 (RU)'!AE21+'19 (RU)'!AE21+'20 (RU)'!AE21+'21 (RU)'!AE21+'22 (RU)'!AE21+'23 (RU)'!AE21</f>
        <v>#DIV/0!</v>
      </c>
      <c r="BR15" t="e">
        <f>'1 (RU)'!AF21+'2 (RU)'!AF21+'3 (RU)'!AF21+'4 (RU)'!AF21+'5 (RU)'!AF21+'6 (RU)'!AF21+'7 (RU)'!AF21+'8 (RU)'!AF21+'9 (RU)'!AF21+'10 (RU)'!AF21+'11 (RU)'!AF21+'12 (RU)'!AF21+'13 (RU)'!AF21+'14 (RU)'!AF21+'15 (RU)'!AF21+'16 (RU)'!AF21+'17 (RU)'!AF21+'18 (RU)'!AF21+'19 (RU)'!AF21+'20 (RU)'!AF21+'21 (RU)'!AF21+'22 (RU)'!AF21+'23 (RU)'!AF21</f>
        <v>#DIV/0!</v>
      </c>
      <c r="BS15" t="e">
        <f>'1 (RU)'!AG21+'2 (RU)'!AG21+'3 (RU)'!AG21+'4 (RU)'!AG21+'5 (RU)'!AG21+'6 (RU)'!AG21+'7 (RU)'!AG21+'8 (RU)'!AG21+'9 (RU)'!AG21+'10 (RU)'!AG21+'11 (RU)'!AG21+'12 (RU)'!AG21+'13 (RU)'!AG21+'14 (RU)'!AG21+'15 (RU)'!AG21+'16 (RU)'!AG21+'17 (RU)'!AG21+'18 (RU)'!AG21+'19 (RU)'!AG21+'20 (RU)'!AG21+'21 (RU)'!AG21+'22 (RU)'!AG21+'23 (RU)'!AG21</f>
        <v>#DIV/0!</v>
      </c>
      <c r="BT15" t="e">
        <f>'1 (RU)'!AH21+'2 (RU)'!AH21+'3 (RU)'!AH21+'4 (RU)'!AH21+'5 (RU)'!AH21+'6 (RU)'!AH21+'7 (RU)'!AH21+'8 (RU)'!AH21+'9 (RU)'!AH21+'10 (RU)'!AH21+'11 (RU)'!AH21+'12 (RU)'!AH21+'13 (RU)'!AH21+'14 (RU)'!AH21+'15 (RU)'!AH21+'16 (RU)'!AH21+'17 (RU)'!AH21+'18 (RU)'!AH21+'19 (RU)'!AH21+'20 (RU)'!AH21+'21 (RU)'!AH21+'22 (RU)'!AH21+'23 (RU)'!AH21</f>
        <v>#DIV/0!</v>
      </c>
      <c r="BU15" t="e">
        <f>'1 (RU)'!AI21+'2 (RU)'!AI21+'3 (RU)'!AI21+'4 (RU)'!AI21+'5 (RU)'!AI21+'6 (RU)'!AI21+'7 (RU)'!AI21+'8 (RU)'!AI21+'9 (RU)'!AI21+'10 (RU)'!AI21+'11 (RU)'!AI21+'12 (RU)'!AI21+'13 (RU)'!AI21+'14 (RU)'!AI21+'15 (RU)'!AI21+'16 (RU)'!AI21+'17 (RU)'!AI21+'18 (RU)'!AI21+'19 (RU)'!AI21+'20 (RU)'!AI21+'21 (RU)'!AI21+'22 (RU)'!AI21+'23 (RU)'!AI21</f>
        <v>#DIV/0!</v>
      </c>
      <c r="BV15" t="e">
        <f>'1 (RU)'!AJ21+'2 (RU)'!AJ21+'3 (RU)'!AJ21+'4 (RU)'!AJ21+'5 (RU)'!AJ21+'6 (RU)'!AJ21+'7 (RU)'!AJ21+'8 (RU)'!AJ21+'9 (RU)'!AJ21+'10 (RU)'!AJ21+'11 (RU)'!AJ21+'12 (RU)'!AJ21+'13 (RU)'!AJ21+'14 (RU)'!AJ21+'15 (RU)'!AJ21+'16 (RU)'!AJ21+'17 (RU)'!AJ21+'18 (RU)'!AJ21+'19 (RU)'!AJ21+'20 (RU)'!AJ21+'21 (RU)'!AJ21+'22 (RU)'!AJ21+'23 (RU)'!AJ21</f>
        <v>#DIV/0!</v>
      </c>
      <c r="BW15" t="e">
        <f>'1 (RU)'!AK21+'2 (RU)'!AK21+'3 (RU)'!AK21+'4 (RU)'!AK21+'5 (RU)'!AK21+'6 (RU)'!AK21+'7 (RU)'!AK21+'8 (RU)'!AK21+'9 (RU)'!AK21+'10 (RU)'!AK21+'11 (RU)'!AK21+'12 (RU)'!AK21+'13 (RU)'!AK21+'14 (RU)'!AK21+'15 (RU)'!AK21+'16 (RU)'!AK21+'17 (RU)'!AK21+'18 (RU)'!AK21+'19 (RU)'!AK21+'20 (RU)'!AK21+'21 (RU)'!AK21+'22 (RU)'!AK21+'23 (RU)'!AK21</f>
        <v>#DIV/0!</v>
      </c>
      <c r="BX15" t="e">
        <f>'1 (RU)'!AL21+'2 (RU)'!AL21+'3 (RU)'!AL21+'4 (RU)'!AL21+'5 (RU)'!AL21+'6 (RU)'!AL21+'7 (RU)'!AL21+'8 (RU)'!AL21+'9 (RU)'!AL21+'10 (RU)'!AL21+'11 (RU)'!AL21+'12 (RU)'!AL21+'13 (RU)'!AL21+'14 (RU)'!AL21+'15 (RU)'!AL21+'16 (RU)'!AL21+'17 (RU)'!AL21+'18 (RU)'!AL21+'19 (RU)'!AL21+'20 (RU)'!AL21+'21 (RU)'!AL21+'22 (RU)'!AL21+'23 (RU)'!AL21</f>
        <v>#DIV/0!</v>
      </c>
      <c r="BY15" s="25" t="e">
        <f t="shared" si="7"/>
        <v>#DIV/0!</v>
      </c>
      <c r="BZ15" s="16" t="e">
        <f t="shared" si="8"/>
        <v>#DIV/0!</v>
      </c>
      <c r="CC15" t="e">
        <f>VLOOKUP(CC$1,emissions!$A$2:$B$5,2,FALSE)*BK15</f>
        <v>#DIV/0!</v>
      </c>
      <c r="CD15" t="e">
        <f>VLOOKUP(CD$1,emissions!$A$2:$B$5,2,FALSE)*BL15</f>
        <v>#DIV/0!</v>
      </c>
      <c r="CF15" t="e">
        <f>VLOOKUP(CF$1,emissions!$A$2:$B$5,2,FALSE)*BN15</f>
        <v>#DIV/0!</v>
      </c>
      <c r="CG15" t="e">
        <f>VLOOKUP(CG$1,emissions!$A$2:$B$5,2,FALSE)*BO15</f>
        <v>#DIV/0!</v>
      </c>
      <c r="CH15" t="e">
        <f>BP15*(emissions!$D$3*production!$B$4+emissions!$D$4*production!$C$4+emissions!$D$5*production!$D$4+emissions!$D$6*production!$E$4)</f>
        <v>#DIV/0!</v>
      </c>
      <c r="CI15" t="e">
        <f>BQ15*(emissions!$D$3*production!$B$4+emissions!$D$4*production!$C$4+emissions!$D$5*production!$D$4+emissions!$D$6*production!$E$4)</f>
        <v>#DIV/0!</v>
      </c>
      <c r="CJ15" t="e">
        <f>BR15*(emissions!$D$8*production!$B$6+emissions!$D$9*production!$C$6+emissions!$D$10*production!$D$6)</f>
        <v>#DIV/0!</v>
      </c>
      <c r="CK15" t="e">
        <f>BS15*(emissions!$D$12*production!$B$8+emissions!$D$13*production!$C$8+emissions!$D$14*production!$D$8)</f>
        <v>#DIV/0!</v>
      </c>
      <c r="CL15" t="e">
        <f>BT15*(emissions!$D$16*production!$B$10+production!$C$10*emissions!$D$17)</f>
        <v>#DIV/0!</v>
      </c>
      <c r="CM15" t="e">
        <f>BU15*(emissions!$D$19*production!$B$12+production!$C$12*emissions!$D$20+emissions!$D$21*production!$D$12)</f>
        <v>#DIV/0!</v>
      </c>
      <c r="CN15" t="e">
        <f>BV15*(emissions!$D$23*production!$B$14+production!$C$14*emissions!$D$24+emissions!$D$25*production!$D$14)</f>
        <v>#DIV/0!</v>
      </c>
      <c r="CO15" t="e">
        <f>BW15*(emissions!$D$27*production!$B$16+production!$C$16*emissions!$D$28+production!$D$16*emissions!$D$29)</f>
        <v>#DIV/0!</v>
      </c>
      <c r="CP15">
        <v>0</v>
      </c>
      <c r="CS15" t="e">
        <f t="shared" si="9"/>
        <v>#DIV/0!</v>
      </c>
      <c r="CT15" s="40" t="e">
        <f t="shared" si="10"/>
        <v>#DIV/0!</v>
      </c>
      <c r="CU15" t="e">
        <f t="shared" si="0"/>
        <v>#DIV/0!</v>
      </c>
      <c r="CV15" t="e">
        <f t="shared" si="1"/>
        <v>#DIV/0!</v>
      </c>
      <c r="CW15">
        <f t="shared" si="2"/>
        <v>45.716999999999999</v>
      </c>
      <c r="CX15">
        <f t="shared" si="3"/>
        <v>33.588000000000001</v>
      </c>
      <c r="CY15" t="e">
        <f t="shared" si="11"/>
        <v>#DIV/0!</v>
      </c>
      <c r="CZ15" s="74" t="e">
        <f t="shared" si="12"/>
        <v>#DIV/0!</v>
      </c>
      <c r="DA15" t="e">
        <f t="shared" si="13"/>
        <v>#DIV/0!</v>
      </c>
      <c r="DB15" t="e">
        <f t="shared" si="14"/>
        <v>#DIV/0!</v>
      </c>
      <c r="DC15" s="34" t="e">
        <f t="shared" si="15"/>
        <v>#DIV/0!</v>
      </c>
      <c r="DD15">
        <v>2038</v>
      </c>
      <c r="DE15" t="e">
        <f t="shared" si="22"/>
        <v>#DIV/0!</v>
      </c>
      <c r="DF15" t="e">
        <f t="shared" si="23"/>
        <v>#DIV/0!</v>
      </c>
      <c r="DG15">
        <v>2038</v>
      </c>
      <c r="DH15" t="e">
        <f t="shared" si="24"/>
        <v>#DIV/0!</v>
      </c>
      <c r="DI15" t="e">
        <f t="shared" si="25"/>
        <v>#DIV/0!</v>
      </c>
      <c r="DJ15" t="e">
        <f t="shared" si="26"/>
        <v>#DIV/0!</v>
      </c>
      <c r="DK15" t="e">
        <f t="shared" si="27"/>
        <v>#DIV/0!</v>
      </c>
      <c r="DL15" t="e">
        <f t="shared" si="28"/>
        <v>#DIV/0!</v>
      </c>
      <c r="DM15" s="74" t="e">
        <f t="shared" si="29"/>
        <v>#DIV/0!</v>
      </c>
      <c r="DN15" s="75" t="e">
        <f t="shared" si="30"/>
        <v>#DIV/0!</v>
      </c>
      <c r="DO15" s="76" t="e">
        <f t="shared" si="31"/>
        <v>#DIV/0!</v>
      </c>
      <c r="DP15" s="78" t="e">
        <f t="shared" si="32"/>
        <v>#DIV/0!</v>
      </c>
      <c r="DQ15" s="70">
        <v>6054</v>
      </c>
      <c r="DR15" s="71">
        <v>25899</v>
      </c>
      <c r="DS15" s="71"/>
      <c r="DT15" s="71">
        <v>778</v>
      </c>
      <c r="DU15" s="71">
        <v>2649</v>
      </c>
      <c r="DV15">
        <f>DQ15*VLOOKUP(DQ$1,emissions!$A$2:$B$5,2,FALSE)</f>
        <v>883884</v>
      </c>
      <c r="DW15">
        <f>DR15*VLOOKUP(DR$1,emissions!$A$2:$B$5,2,FALSE)</f>
        <v>3781254</v>
      </c>
      <c r="DY15">
        <f>DT15*VLOOKUP(DT$1,emissions!$A$2:$B$5,2,FALSE)</f>
        <v>112810</v>
      </c>
      <c r="DZ15">
        <f>DU15*VLOOKUP(DU$1,emissions!$A$2:$B$5,2,FALSE)</f>
        <v>299337</v>
      </c>
      <c r="EA15">
        <f t="shared" si="16"/>
        <v>5077285</v>
      </c>
      <c r="EB15">
        <f t="shared" si="17"/>
        <v>143.50720746184285</v>
      </c>
      <c r="ED15" s="77" t="e">
        <f t="shared" si="4"/>
        <v>#DIV/0!</v>
      </c>
      <c r="EE15" s="34" t="e">
        <f>cost!$B$2*BK15</f>
        <v>#DIV/0!</v>
      </c>
      <c r="EF15" s="34" t="e">
        <f>cost!$B$3*BL15</f>
        <v>#DIV/0!</v>
      </c>
      <c r="EG15" s="34"/>
      <c r="EH15" s="34" t="e">
        <f>cost!$B$4*BN15</f>
        <v>#DIV/0!</v>
      </c>
      <c r="EI15" s="34" t="e">
        <f>cost!$B$5*$BO$2</f>
        <v>#DIV/0!</v>
      </c>
      <c r="EJ15" s="34" t="e">
        <f>BP15*(cost!$D$3*production!$B$4+production!$C$4*cost!$D$4+cost!$D$5*production!$D$4+production!$E$4*cost!$D$6)</f>
        <v>#DIV/0!</v>
      </c>
      <c r="EK15" s="34" t="e">
        <f>BQ15*(cost!$D$3*production!$B$4+production!$C$4*cost!$D$4+cost!$D$5*production!$D$4+production!$E$4*cost!$D$6)</f>
        <v>#DIV/0!</v>
      </c>
      <c r="EL15" s="34" t="e">
        <f>BR15*(cost!$D$8*production!$B$6+cost!$D$9*production!$C$6+$D$10*production!$D$6)</f>
        <v>#DIV/0!</v>
      </c>
      <c r="EM15" s="34" t="e">
        <f>BS15*(cost!$D$12*production!$B$8+cost!$D$13*production!$C$8+cost!$D$14*production!$D$8)</f>
        <v>#DIV/0!</v>
      </c>
      <c r="EN15" s="34" t="e">
        <f>BT15*(cost!$D$16*production!$B$10+production!$C$10*cost!$D$17)</f>
        <v>#DIV/0!</v>
      </c>
      <c r="EO15" s="34" t="e">
        <f>BU15*(cost!$D$19*production!$B$12+production!$C$12*cost!$D$20+cost!$D$21*production!$D$12)</f>
        <v>#DIV/0!</v>
      </c>
      <c r="EP15" s="34" t="e">
        <f>BV15*(cost!$D$23*production!$B$14+production!$C$14*cost!$D$24+cost!$D$25*production!$D$14)</f>
        <v>#DIV/0!</v>
      </c>
      <c r="EQ15" s="34" t="e">
        <f>BW15*(cost!$D$27*production!$B$16+production!$C$16*cost!$D$28+cost!$D$29*production!$D$16)</f>
        <v>#DIV/0!</v>
      </c>
      <c r="ER15" s="34" t="e">
        <f>BX15*(re!$H$10*re!$C$10+re!$H$11*re!$C$11+re!$H$12*re!$C$12+re!$H$13*re!$C$13+re!$H$14*re!$C$14)</f>
        <v>#DIV/0!</v>
      </c>
    </row>
    <row r="16" spans="1:148" x14ac:dyDescent="0.2">
      <c r="A16" s="84" t="s">
        <v>55</v>
      </c>
      <c r="B16" s="119">
        <f>O2</f>
        <v>0</v>
      </c>
      <c r="C16" s="119">
        <f>O27</f>
        <v>439.45898791019113</v>
      </c>
      <c r="D16" s="119">
        <f>O7</f>
        <v>26.01328041512939</v>
      </c>
      <c r="E16" s="130">
        <f>O17</f>
        <v>330.88878302420687</v>
      </c>
      <c r="F16" s="119"/>
      <c r="G16">
        <v>2039</v>
      </c>
      <c r="H16" s="25">
        <f>'2'!AB22+'6'!AB22+'7'!AB22+'9'!AB22+'11'!AB22+'12'!AB22+'13'!AB22+'16'!AB22+'17'!AB22+'18'!AB22+'22'!AB22</f>
        <v>18.227831746763943</v>
      </c>
      <c r="I16" s="16">
        <f>'1'!AB22+'2'!AC22+'5'!AB22+'6'!AC22+'7'!AC22+'9'!AC22+'11'!AC22+'12'!AC22+'13'!AC22+'15'!AB22+'16'!AC22+'17'!AC22+'18'!AC22+'19'!AB22+'22'!AC22</f>
        <v>98.175899227806696</v>
      </c>
      <c r="J16" s="16"/>
      <c r="K16" s="16">
        <f>'3'!AB22+'4'!AB22+'10'!AB22+'20'!AB22+'21'!AB22+'23'!AB22</f>
        <v>4.4335621054933894</v>
      </c>
      <c r="L16" s="16">
        <f>'8'!AB22+'14'!AB22</f>
        <v>40.826344554223894</v>
      </c>
      <c r="M16" s="16">
        <f>'1'!AD22+'2'!AD22+'3'!AD22+'4'!AD22+'5'!AD22+'6'!AD22+'7'!AD22+'8'!AD22+'9'!AD22+'10'!AD22+'11'!AD22+'12'!AD22+'13'!AD22+'14'!AD22+'15'!AD22+'16'!AD22+'17'!AD22+'18'!AD22+'19'!AD22+'20'!AD22+'21'!AD22+'22'!AD22+'23'!AD22</f>
        <v>160.80471603325967</v>
      </c>
      <c r="N16" s="16">
        <f>'1'!AE22+'2'!AE22+'3'!AE22+'4'!AE22+'5'!AE22+'6'!AE22+'7'!AE22+'8'!AE22+'9'!AE22+'10'!AE22+'11'!AE22+'12'!AE22+'13'!AE22+'14'!AE22+'15'!AE22+'16'!AE22+'17'!AE22+'18'!AE22+'19'!AE22+'20'!AE22+'21'!AE22+'22'!AE22+'23'!AE22</f>
        <v>9.5332229228395331</v>
      </c>
      <c r="O16" s="16">
        <f>'1'!AF22+'2'!AF22+'3'!AF22+'4'!AF22+'5'!AF22+'6'!AF22+'7'!AF22+'8'!AF22+'9'!AF22+'10'!AF22+'11'!AF22+'12'!AF22+'13'!AF22+'14'!AF22+'15'!AF22+'16'!AF22+'17'!AF22+'18'!AF22+'19'!AF22+'20'!AF22+'21'!AF22+'22'!AF22+'23'!AF22</f>
        <v>307.97968674030818</v>
      </c>
      <c r="P16" s="16">
        <f>'1'!AG22+'2'!AG22+'3'!AG22+'4'!AG22+'5'!AG22+'6'!AG22+'7'!AG22+'8'!AG22+'9'!AG22+'10'!AG22+'11'!AG22+'12'!AG22+'13'!AG22+'14'!AG22+'15'!AG22+'16'!AG22+'17'!AG22+'18'!AG22+'19'!AG22+'20'!AG22+'21'!AG22+'22'!AG22+'23'!AG22</f>
        <v>280.3811538768141</v>
      </c>
      <c r="Q16" s="16">
        <f>'1'!AH22+'2'!AH22+'3'!AH22+'4'!AH22+'5'!AH22+'6'!AH22+'7'!AH22+'8'!AH22+'9'!AH22+'10'!AH22+'11'!AH22+'12'!AH22+'13'!AH22+'14'!AH22+'15'!AH22+'16'!AH22+'17'!AH22+'18'!AH22+'19'!AH22+'20'!AH22+'21'!AH22+'22'!AH22+'23'!AH22</f>
        <v>7.1563737126536848</v>
      </c>
      <c r="R16" s="16">
        <f>'1'!AI22+'2'!AI22+'3'!AI22+'4'!AI22+'5'!AI22+'6'!AI22+'7'!AI22+'8'!AI22+'9'!AI22+'10'!AI22+'11'!AI22+'12'!AI22+'13'!AI22+'14'!AI22+'15'!AI22+'16'!AI22+'17'!AI22+'18'!AI22+'19'!AI22+'20'!AI22+'21'!AI22+'22'!AI22+'23'!AI22</f>
        <v>48.650961813460142</v>
      </c>
      <c r="S16" s="16">
        <f>'1'!AJ22+'2'!AJ22+'3'!AJ22+'4'!AJ22+'5'!AJ22+'6'!AJ22+'7'!AJ22+'8'!AJ22+'9'!AJ22+'10'!AJ22+'11'!AJ22+'12'!AJ22+'13'!AJ22+'14'!AJ22+'15'!AJ22+'16'!AJ22+'17'!AJ22+'18'!AJ22+'19'!AJ22+'20'!AJ22+'21'!AJ22+'22'!AJ22+'23'!AJ22</f>
        <v>13.708222798322625</v>
      </c>
      <c r="T16" s="16">
        <f>'1'!AK22+'2'!AK22+'3'!AK22+'4'!AK22+'5'!AK22+'6'!AK22+'7'!AK22+'8'!AK22+'9'!AK22+'10'!AK22+'11'!AK22+'12'!AK22+'13'!AK22+'14'!AK22+'15'!AK22+'16'!AK22+'17'!AK22+'18'!AK22+'19'!AK22+'20'!AK22+'21'!AK22+'22'!AK22+'23'!AK22</f>
        <v>152.71767631031386</v>
      </c>
      <c r="U16" s="16">
        <f>'1'!AL22+'2'!AL22+'3'!AL22+'4'!AL22+'5'!AL22+'6'!AL22+'7'!AL22+'8'!AL22+'9'!AL22+'10'!AL22+'11'!AL22+'12'!AL22+'13'!AL22+'14'!AL22+'15'!AL22+'16'!AL22+'17'!AL22+'18'!AL22+'19'!AL22+'20'!AL22+'21'!AL22+'22'!AL22+'23'!AL22</f>
        <v>0.37383218625598141</v>
      </c>
      <c r="V16" s="25">
        <f t="shared" si="5"/>
        <v>161.66363763428791</v>
      </c>
      <c r="W16" s="16">
        <f t="shared" si="6"/>
        <v>981.30584639422784</v>
      </c>
      <c r="X16" s="9">
        <f t="shared" si="20"/>
        <v>0.10180914998876389</v>
      </c>
      <c r="Y16" s="16">
        <f>((M16+N16)*re!$D$2/re!$C$2+O16*re!$D$3/re!$C$3+P16*re!$D$4/re!$C$4+T16*re!$D$5/re!$C$5+U16*re!$D$6/re!$C$6)</f>
        <v>1665.5119813967824</v>
      </c>
      <c r="Z16">
        <f t="shared" si="18"/>
        <v>128.49746661319466</v>
      </c>
      <c r="AA16">
        <f>((Y16*277.8)/(re!$B$10*8760))*re!$C$10</f>
        <v>72.851397958120955</v>
      </c>
      <c r="AB16">
        <f>((Y16*277.8)/(re!$B$11*8760))*re!$C$11</f>
        <v>27.085776163916762</v>
      </c>
      <c r="AC16">
        <f>((Y16*277.8)/(re!$B$12*8760))*re!$C$12</f>
        <v>9.7809747258588313</v>
      </c>
      <c r="AD16">
        <f>((Y16*277.8)/(re!$B$13*8760))*re!$C$13</f>
        <v>2.8705034521542223</v>
      </c>
      <c r="AE16">
        <f>((Y16*277.8)/(re!$B$14*8760))*re!$C$14</f>
        <v>15.908814313143884</v>
      </c>
      <c r="AF16">
        <f>SUM('1'!AD22:AL22)+'1'!AA22</f>
        <v>171.19107852470415</v>
      </c>
      <c r="AG16">
        <f>SUM('2'!AD22:AL22)+'2'!AA22</f>
        <v>3.3820884796459092</v>
      </c>
      <c r="AH16">
        <f>SUM('3'!AD22:AL22)+'3'!AA22</f>
        <v>14.682061453359388</v>
      </c>
      <c r="AI16">
        <f>SUM('4'!AD22:AL22)+'4'!AA22</f>
        <v>1.1075271660422981</v>
      </c>
      <c r="AJ16">
        <f>SUM('5'!AD22:AL22)+'5'!AA22</f>
        <v>6.6047605072740412</v>
      </c>
      <c r="AK16">
        <f>SUM('6'!AD22:AL22)+'6'!AA22</f>
        <v>167.72641919594628</v>
      </c>
      <c r="AL16">
        <f>SUM('7'!AD22:AL22)+'7'!AA22</f>
        <v>150.81367530167367</v>
      </c>
      <c r="AM16">
        <f>SUM('8'!AD22:AL22)+'8'!AA22</f>
        <v>308.49974930553338</v>
      </c>
      <c r="AN16">
        <f>SUM('9'!AD22:AL22)+'9'!AA22</f>
        <v>82.467015150204006</v>
      </c>
      <c r="AO16">
        <f>SUM('10'!AD22:AL22)+'10'!AA22</f>
        <v>5.9227896889789724</v>
      </c>
      <c r="AP16">
        <f>SUM('11'!AD22:AL22)+'11'!AA22</f>
        <v>7.7798577128791324</v>
      </c>
      <c r="AQ16">
        <f>SUM('12'!AD22:AL22)+'12'!AA22</f>
        <v>2.3901324681004152</v>
      </c>
      <c r="AR16">
        <f>SUM('13'!AD22:AL22)+'13'!AA22</f>
        <v>6.9542863943896602</v>
      </c>
      <c r="AS16">
        <f>SUM('14'!AD22:AL22)+'14'!AA22</f>
        <v>5.965290712570968</v>
      </c>
      <c r="AT16">
        <f>SUM('15'!AD22:AL22)+'15'!AA22</f>
        <v>73.269717989636632</v>
      </c>
      <c r="AU16">
        <f>SUM('16'!AD22:AL22)+'16'!AA22</f>
        <v>29.597974829928958</v>
      </c>
      <c r="AV16">
        <f>SUM('17'!AD22:AL22)+'17'!AA22</f>
        <v>50.372665034954998</v>
      </c>
      <c r="AW16">
        <f>SUM('18'!AD22:AL22)+'18'!AA22</f>
        <v>12.579534784725752</v>
      </c>
      <c r="AX16">
        <f>SUM('19'!AD22:AL22)+'19'!AA22</f>
        <v>32.431529235154663</v>
      </c>
      <c r="AY16">
        <f>SUM('20'!AD22:AL22)+'20'!AA22</f>
        <v>2.1148644697785812</v>
      </c>
      <c r="AZ16">
        <f>SUM('21'!AD22:AL22)+'21'!AA22</f>
        <v>0.19024943801361144</v>
      </c>
      <c r="BA16">
        <f>SUM('22'!AD22:AL22)+'22'!AA22</f>
        <v>0.60774621028984099</v>
      </c>
      <c r="BB16">
        <f>SUM('23'!AD22:AL22)+'23'!AA22</f>
        <v>6.3184699747302453</v>
      </c>
      <c r="BC16">
        <f>('1'!D22+'2'!D22+'3'!D22+'4'!D22+'5'!D22+'6'!D22+'7'!D22+'8'!D22+'9'!D22+'10'!D22+'12'!D22+'13'!D22+'14'!D22+'15'!D22+'16'!D22+'17'!D22+'18'!D22+'19'!D22+'20'!D22+'21'!D22+'22'!D22+'23'!D22)/('1'!D21+'2'!D21+'3'!D21+'4'!D21+'5'!D21+'6'!D21+'7'!D21+'8'!D21+'9'!D21+'10'!D21+'12'!D21+'13'!D21+'14'!D21+'15'!D21+'16'!D21+'17'!D21+'18'!D21+'19'!D21+'20'!D21+'21'!D21+'22'!D21+'23'!D21)-1</f>
        <v>9.8557638811525461E-2</v>
      </c>
      <c r="BD16">
        <f>('1'!E22+'2'!E22+'3'!E22+'4'!E22+'5'!E22+'6'!E22+'7'!E22+'8'!E22+'9'!E22+'10'!E22+'12'!E22+'13'!E22+'14'!E22+'15'!E22+'16'!E22+'17'!E22+'18'!E22+'19'!E22+'20'!E22+'21'!E22+'22'!E22+'23'!E22)/('1'!E21+'2'!E21+'3'!E21+'4'!E21+'5'!E21+'6'!E21+'7'!E21+'8'!E21+'9'!E21+'10'!E21+'12'!E21+'13'!E21+'14'!E21+'15'!E21+'16'!E21+'17'!E21+'18'!E21+'19'!E21+'20'!E21+'21'!E21+'22'!E21+'23'!E21)-1</f>
        <v>9.8557638811525461E-2</v>
      </c>
      <c r="BE16">
        <f>('1'!F22+'2'!F22+'3'!F22+'4'!F22+'5'!F22+'6'!F22+'7'!F22+'8'!F22+'9'!F22+'10'!F22+'12'!F22+'13'!F22+'14'!F22+'15'!F22+'16'!F22+'17'!F22+'18'!F22+'19'!F22+'20'!F22+'21'!F22+'22'!F22+'23'!F22)/('1'!F21+'2'!F21+'3'!F21+'4'!F21+'5'!F21+'6'!F21+'7'!F21+'8'!F21+'9'!F21+'10'!F21+'12'!F21+'13'!F21+'14'!F21+'15'!F21+'16'!F21+'17'!F21+'18'!F21+'19'!F21+'20'!F21+'21'!F21+'22'!F21+'23'!F21)-1</f>
        <v>9.9565922755010083E-2</v>
      </c>
      <c r="BF16">
        <f t="shared" si="19"/>
        <v>0.10180914998876389</v>
      </c>
      <c r="BG16">
        <v>2039</v>
      </c>
      <c r="BH16" s="2">
        <f t="shared" si="33"/>
        <v>0.58000000000000007</v>
      </c>
      <c r="BI16" s="2">
        <f t="shared" si="34"/>
        <v>0.71000000000000008</v>
      </c>
      <c r="BJ16" s="2">
        <f t="shared" si="21"/>
        <v>0.13</v>
      </c>
      <c r="BK16" t="e">
        <f>'2 (RU)'!AB22+'6 (RU)'!AB22+'7 (RU)'!AB22+'9 (RU)'!AB22+'11 (RU)'!AB22+'12 (RU)'!AB22+'13 (RU)'!AB22+'16 (RU)'!AB22+'17 (RU)'!AB22+'18 (RU)'!AB22+'22 (RU)'!AB22</f>
        <v>#DIV/0!</v>
      </c>
      <c r="BL16" t="e">
        <f>'1 (RU)'!AB22+'2 (RU)'!AC22+'5 (RU)'!AB22+'6 (RU)'!AC22+'7 (RU)'!AC22+'9 (RU)'!AC22+'11 (RU)'!AC22+'12 (RU)'!AC22+'13 (RU)'!AC22+'15 (RU)'!AB22+'16 (RU)'!AC22+'17 (RU)'!AC22+'18 (RU)'!AC22+'19 (RU)'!AB22+'22 (RU)'!AC22</f>
        <v>#DIV/0!</v>
      </c>
      <c r="BN16" t="e">
        <f>'3 (RU)'!AB22+'4 (RU)'!AB22+'10 (RU)'!AB22+'20 (RU)'!AB22+'21 (RU)'!AB22+'23 (RU)'!AB22</f>
        <v>#DIV/0!</v>
      </c>
      <c r="BO16" t="e">
        <f>'8 (RU)'!AB22+'14 (RU)'!AB22</f>
        <v>#DIV/0!</v>
      </c>
      <c r="BP16" t="e">
        <f>'1 (RU)'!AD22+'2 (RU)'!AD22+'3 (RU)'!AD22+'4 (RU)'!AD22+'5 (RU)'!AD22+'6 (RU)'!AD22+'7 (RU)'!AD22+'8 (RU)'!AD22+'9 (RU)'!AD22+'10 (RU)'!AD22+'11 (RU)'!AD22+'12 (RU)'!AD22+'13 (RU)'!AD22+'14 (RU)'!AD22+'15 (RU)'!AD22+'16 (RU)'!AD22+'17 (RU)'!AD22+'18 (RU)'!AD22+'19 (RU)'!AD22+'20 (RU)'!AD22+'21 (RU)'!AD22+'22 (RU)'!AD22+'23 (RU)'!AD22</f>
        <v>#DIV/0!</v>
      </c>
      <c r="BQ16" t="e">
        <f>'1 (RU)'!AE22+'2 (RU)'!AE22+'3 (RU)'!AE22+'4 (RU)'!AE22+'5 (RU)'!AE22+'6 (RU)'!AE22+'7 (RU)'!AE22+'8 (RU)'!AE22+'9 (RU)'!AE22+'10 (RU)'!AE22+'11 (RU)'!AE22+'12 (RU)'!AE22+'13 (RU)'!AE22+'14 (RU)'!AE22+'15 (RU)'!AE22+'16 (RU)'!AE22+'17 (RU)'!AE22+'18 (RU)'!AE22+'19 (RU)'!AE22+'20 (RU)'!AE22+'21 (RU)'!AE22+'22 (RU)'!AE22+'23 (RU)'!AE22</f>
        <v>#DIV/0!</v>
      </c>
      <c r="BR16" t="e">
        <f>'1 (RU)'!AF22+'2 (RU)'!AF22+'3 (RU)'!AF22+'4 (RU)'!AF22+'5 (RU)'!AF22+'6 (RU)'!AF22+'7 (RU)'!AF22+'8 (RU)'!AF22+'9 (RU)'!AF22+'10 (RU)'!AF22+'11 (RU)'!AF22+'12 (RU)'!AF22+'13 (RU)'!AF22+'14 (RU)'!AF22+'15 (RU)'!AF22+'16 (RU)'!AF22+'17 (RU)'!AF22+'18 (RU)'!AF22+'19 (RU)'!AF22+'20 (RU)'!AF22+'21 (RU)'!AF22+'22 (RU)'!AF22+'23 (RU)'!AF22</f>
        <v>#DIV/0!</v>
      </c>
      <c r="BS16" t="e">
        <f>'1 (RU)'!AG22+'2 (RU)'!AG22+'3 (RU)'!AG22+'4 (RU)'!AG22+'5 (RU)'!AG22+'6 (RU)'!AG22+'7 (RU)'!AG22+'8 (RU)'!AG22+'9 (RU)'!AG22+'10 (RU)'!AG22+'11 (RU)'!AG22+'12 (RU)'!AG22+'13 (RU)'!AG22+'14 (RU)'!AG22+'15 (RU)'!AG22+'16 (RU)'!AG22+'17 (RU)'!AG22+'18 (RU)'!AG22+'19 (RU)'!AG22+'20 (RU)'!AG22+'21 (RU)'!AG22+'22 (RU)'!AG22+'23 (RU)'!AG22</f>
        <v>#DIV/0!</v>
      </c>
      <c r="BT16" t="e">
        <f>'1 (RU)'!AH22+'2 (RU)'!AH22+'3 (RU)'!AH22+'4 (RU)'!AH22+'5 (RU)'!AH22+'6 (RU)'!AH22+'7 (RU)'!AH22+'8 (RU)'!AH22+'9 (RU)'!AH22+'10 (RU)'!AH22+'11 (RU)'!AH22+'12 (RU)'!AH22+'13 (RU)'!AH22+'14 (RU)'!AH22+'15 (RU)'!AH22+'16 (RU)'!AH22+'17 (RU)'!AH22+'18 (RU)'!AH22+'19 (RU)'!AH22+'20 (RU)'!AH22+'21 (RU)'!AH22+'22 (RU)'!AH22+'23 (RU)'!AH22</f>
        <v>#DIV/0!</v>
      </c>
      <c r="BU16" t="e">
        <f>'1 (RU)'!AI22+'2 (RU)'!AI22+'3 (RU)'!AI22+'4 (RU)'!AI22+'5 (RU)'!AI22+'6 (RU)'!AI22+'7 (RU)'!AI22+'8 (RU)'!AI22+'9 (RU)'!AI22+'10 (RU)'!AI22+'11 (RU)'!AI22+'12 (RU)'!AI22+'13 (RU)'!AI22+'14 (RU)'!AI22+'15 (RU)'!AI22+'16 (RU)'!AI22+'17 (RU)'!AI22+'18 (RU)'!AI22+'19 (RU)'!AI22+'20 (RU)'!AI22+'21 (RU)'!AI22+'22 (RU)'!AI22+'23 (RU)'!AI22</f>
        <v>#DIV/0!</v>
      </c>
      <c r="BV16" t="e">
        <f>'1 (RU)'!AJ22+'2 (RU)'!AJ22+'3 (RU)'!AJ22+'4 (RU)'!AJ22+'5 (RU)'!AJ22+'6 (RU)'!AJ22+'7 (RU)'!AJ22+'8 (RU)'!AJ22+'9 (RU)'!AJ22+'10 (RU)'!AJ22+'11 (RU)'!AJ22+'12 (RU)'!AJ22+'13 (RU)'!AJ22+'14 (RU)'!AJ22+'15 (RU)'!AJ22+'16 (RU)'!AJ22+'17 (RU)'!AJ22+'18 (RU)'!AJ22+'19 (RU)'!AJ22+'20 (RU)'!AJ22+'21 (RU)'!AJ22+'22 (RU)'!AJ22+'23 (RU)'!AJ22</f>
        <v>#DIV/0!</v>
      </c>
      <c r="BW16" t="e">
        <f>'1 (RU)'!AK22+'2 (RU)'!AK22+'3 (RU)'!AK22+'4 (RU)'!AK22+'5 (RU)'!AK22+'6 (RU)'!AK22+'7 (RU)'!AK22+'8 (RU)'!AK22+'9 (RU)'!AK22+'10 (RU)'!AK22+'11 (RU)'!AK22+'12 (RU)'!AK22+'13 (RU)'!AK22+'14 (RU)'!AK22+'15 (RU)'!AK22+'16 (RU)'!AK22+'17 (RU)'!AK22+'18 (RU)'!AK22+'19 (RU)'!AK22+'20 (RU)'!AK22+'21 (RU)'!AK22+'22 (RU)'!AK22+'23 (RU)'!AK22</f>
        <v>#DIV/0!</v>
      </c>
      <c r="BX16" t="e">
        <f>'1 (RU)'!AL22+'2 (RU)'!AL22+'3 (RU)'!AL22+'4 (RU)'!AL22+'5 (RU)'!AL22+'6 (RU)'!AL22+'7 (RU)'!AL22+'8 (RU)'!AL22+'9 (RU)'!AL22+'10 (RU)'!AL22+'11 (RU)'!AL22+'12 (RU)'!AL22+'13 (RU)'!AL22+'14 (RU)'!AL22+'15 (RU)'!AL22+'16 (RU)'!AL22+'17 (RU)'!AL22+'18 (RU)'!AL22+'19 (RU)'!AL22+'20 (RU)'!AL22+'21 (RU)'!AL22+'22 (RU)'!AL22+'23 (RU)'!AL22</f>
        <v>#DIV/0!</v>
      </c>
      <c r="BY16" s="25" t="e">
        <f t="shared" si="7"/>
        <v>#DIV/0!</v>
      </c>
      <c r="BZ16" s="16" t="e">
        <f t="shared" si="8"/>
        <v>#DIV/0!</v>
      </c>
      <c r="CC16" t="e">
        <f>VLOOKUP(CC$1,emissions!$A$2:$B$5,2,FALSE)*BK16</f>
        <v>#DIV/0!</v>
      </c>
      <c r="CD16" t="e">
        <f>VLOOKUP(CD$1,emissions!$A$2:$B$5,2,FALSE)*BL16</f>
        <v>#DIV/0!</v>
      </c>
      <c r="CF16" t="e">
        <f>VLOOKUP(CF$1,emissions!$A$2:$B$5,2,FALSE)*BN16</f>
        <v>#DIV/0!</v>
      </c>
      <c r="CG16" t="e">
        <f>VLOOKUP(CG$1,emissions!$A$2:$B$5,2,FALSE)*BO16</f>
        <v>#DIV/0!</v>
      </c>
      <c r="CH16" t="e">
        <f>BP16*(emissions!$D$3*production!$B$4+emissions!$D$4*production!$C$4+emissions!$D$5*production!$D$4+emissions!$D$6*production!$E$4)</f>
        <v>#DIV/0!</v>
      </c>
      <c r="CI16" t="e">
        <f>BQ16*(emissions!$D$3*production!$B$4+emissions!$D$4*production!$C$4+emissions!$D$5*production!$D$4+emissions!$D$6*production!$E$4)</f>
        <v>#DIV/0!</v>
      </c>
      <c r="CJ16" t="e">
        <f>BR16*(emissions!$D$8*production!$B$6+emissions!$D$9*production!$C$6+emissions!$D$10*production!$D$6)</f>
        <v>#DIV/0!</v>
      </c>
      <c r="CK16" t="e">
        <f>BS16*(emissions!$D$12*production!$B$8+emissions!$D$13*production!$C$8+emissions!$D$14*production!$D$8)</f>
        <v>#DIV/0!</v>
      </c>
      <c r="CL16" t="e">
        <f>BT16*(emissions!$D$16*production!$B$10+production!$C$10*emissions!$D$17)</f>
        <v>#DIV/0!</v>
      </c>
      <c r="CM16" t="e">
        <f>BU16*(emissions!$D$19*production!$B$12+production!$C$12*emissions!$D$20+emissions!$D$21*production!$D$12)</f>
        <v>#DIV/0!</v>
      </c>
      <c r="CN16" t="e">
        <f>BV16*(emissions!$D$23*production!$B$14+production!$C$14*emissions!$D$24+emissions!$D$25*production!$D$14)</f>
        <v>#DIV/0!</v>
      </c>
      <c r="CO16" t="e">
        <f>BW16*(emissions!$D$27*production!$B$16+production!$C$16*emissions!$D$28+production!$D$16*emissions!$D$29)</f>
        <v>#DIV/0!</v>
      </c>
      <c r="CP16">
        <v>0</v>
      </c>
      <c r="CS16" t="e">
        <f t="shared" si="9"/>
        <v>#DIV/0!</v>
      </c>
      <c r="CT16" s="40" t="e">
        <f t="shared" si="10"/>
        <v>#DIV/0!</v>
      </c>
      <c r="CU16" t="e">
        <f t="shared" si="0"/>
        <v>#DIV/0!</v>
      </c>
      <c r="CV16" t="e">
        <f t="shared" si="1"/>
        <v>#DIV/0!</v>
      </c>
      <c r="CW16">
        <f t="shared" si="2"/>
        <v>39.185999999999993</v>
      </c>
      <c r="CX16">
        <f t="shared" si="3"/>
        <v>27.056999999999992</v>
      </c>
      <c r="CY16" t="e">
        <f t="shared" si="11"/>
        <v>#DIV/0!</v>
      </c>
      <c r="CZ16" s="74" t="e">
        <f t="shared" si="12"/>
        <v>#DIV/0!</v>
      </c>
      <c r="DA16" t="e">
        <f t="shared" si="13"/>
        <v>#DIV/0!</v>
      </c>
      <c r="DB16" t="e">
        <f t="shared" si="14"/>
        <v>#DIV/0!</v>
      </c>
      <c r="DC16" s="34" t="e">
        <f t="shared" si="15"/>
        <v>#DIV/0!</v>
      </c>
      <c r="DD16">
        <v>2039</v>
      </c>
      <c r="DE16" t="e">
        <f t="shared" si="22"/>
        <v>#DIV/0!</v>
      </c>
      <c r="DF16" t="e">
        <f t="shared" si="23"/>
        <v>#DIV/0!</v>
      </c>
      <c r="DG16">
        <v>2039</v>
      </c>
      <c r="DH16" t="e">
        <f t="shared" si="24"/>
        <v>#DIV/0!</v>
      </c>
      <c r="DI16" t="e">
        <f t="shared" si="25"/>
        <v>#DIV/0!</v>
      </c>
      <c r="DJ16" t="e">
        <f t="shared" si="26"/>
        <v>#DIV/0!</v>
      </c>
      <c r="DK16" t="e">
        <f t="shared" si="27"/>
        <v>#DIV/0!</v>
      </c>
      <c r="DL16" t="e">
        <f t="shared" si="28"/>
        <v>#DIV/0!</v>
      </c>
      <c r="DM16" s="74" t="e">
        <f t="shared" si="29"/>
        <v>#DIV/0!</v>
      </c>
      <c r="DN16" s="75" t="e">
        <f t="shared" si="30"/>
        <v>#DIV/0!</v>
      </c>
      <c r="DO16" s="76" t="e">
        <f t="shared" si="31"/>
        <v>#DIV/0!</v>
      </c>
      <c r="DP16" s="78" t="e">
        <f t="shared" si="32"/>
        <v>#DIV/0!</v>
      </c>
      <c r="DQ16" s="70">
        <v>5221</v>
      </c>
      <c r="DR16" s="71">
        <v>27309</v>
      </c>
      <c r="DS16" s="71"/>
      <c r="DT16" s="71">
        <v>793</v>
      </c>
      <c r="DU16" s="71">
        <v>2702</v>
      </c>
      <c r="DV16">
        <f>DQ16*VLOOKUP(DQ$1,emissions!$A$2:$B$5,2,FALSE)</f>
        <v>762266</v>
      </c>
      <c r="DW16">
        <f>DR16*VLOOKUP(DR$1,emissions!$A$2:$B$5,2,FALSE)</f>
        <v>3987114</v>
      </c>
      <c r="DY16">
        <f>DT16*VLOOKUP(DT$1,emissions!$A$2:$B$5,2,FALSE)</f>
        <v>114985</v>
      </c>
      <c r="DZ16">
        <f>DU16*VLOOKUP(DU$1,emissions!$A$2:$B$5,2,FALSE)</f>
        <v>305326</v>
      </c>
      <c r="EA16">
        <f t="shared" si="16"/>
        <v>5169691</v>
      </c>
      <c r="EB16">
        <f t="shared" si="17"/>
        <v>143.50287300485775</v>
      </c>
      <c r="ED16" s="77" t="e">
        <f t="shared" si="4"/>
        <v>#DIV/0!</v>
      </c>
      <c r="EE16" s="34" t="e">
        <f>cost!$B$2*BK16</f>
        <v>#DIV/0!</v>
      </c>
      <c r="EF16" s="34" t="e">
        <f>cost!$B$3*BL16</f>
        <v>#DIV/0!</v>
      </c>
      <c r="EG16" s="34"/>
      <c r="EH16" s="34" t="e">
        <f>cost!$B$4*BN16</f>
        <v>#DIV/0!</v>
      </c>
      <c r="EI16" s="34" t="e">
        <f>cost!$B$5*$BO$2</f>
        <v>#DIV/0!</v>
      </c>
      <c r="EJ16" s="34" t="e">
        <f>BP16*(cost!$D$3*production!$B$4+production!$C$4*cost!$D$4+cost!$D$5*production!$D$4+production!$E$4*cost!$D$6)</f>
        <v>#DIV/0!</v>
      </c>
      <c r="EK16" s="34" t="e">
        <f>BQ16*(cost!$D$3*production!$B$4+production!$C$4*cost!$D$4+cost!$D$5*production!$D$4+production!$E$4*cost!$D$6)</f>
        <v>#DIV/0!</v>
      </c>
      <c r="EL16" s="34" t="e">
        <f>BR16*(cost!$D$8*production!$B$6+cost!$D$9*production!$C$6+$D$10*production!$D$6)</f>
        <v>#DIV/0!</v>
      </c>
      <c r="EM16" s="34" t="e">
        <f>BS16*(cost!$D$12*production!$B$8+cost!$D$13*production!$C$8+cost!$D$14*production!$D$8)</f>
        <v>#DIV/0!</v>
      </c>
      <c r="EN16" s="34" t="e">
        <f>BT16*(cost!$D$16*production!$B$10+production!$C$10*cost!$D$17)</f>
        <v>#DIV/0!</v>
      </c>
      <c r="EO16" s="34" t="e">
        <f>BU16*(cost!$D$19*production!$B$12+production!$C$12*cost!$D$20+cost!$D$21*production!$D$12)</f>
        <v>#DIV/0!</v>
      </c>
      <c r="EP16" s="34" t="e">
        <f>BV16*(cost!$D$23*production!$B$14+production!$C$14*cost!$D$24+cost!$D$25*production!$D$14)</f>
        <v>#DIV/0!</v>
      </c>
      <c r="EQ16" s="34" t="e">
        <f>BW16*(cost!$D$27*production!$B$16+production!$C$16*cost!$D$28+cost!$D$29*production!$D$16)</f>
        <v>#DIV/0!</v>
      </c>
      <c r="ER16" s="34" t="e">
        <f>BX16*(re!$H$10*re!$C$10+re!$H$11*re!$C$11+re!$H$12*re!$C$12+re!$H$13*re!$C$13+re!$H$14*re!$C$14)</f>
        <v>#DIV/0!</v>
      </c>
    </row>
    <row r="17" spans="1:148" x14ac:dyDescent="0.2">
      <c r="A17" s="84" t="s">
        <v>56</v>
      </c>
      <c r="B17" s="119">
        <f>P2</f>
        <v>0</v>
      </c>
      <c r="C17" s="119">
        <f>P27</f>
        <v>400.56173179670668</v>
      </c>
      <c r="D17" s="119">
        <f>P7</f>
        <v>23.660924193021302</v>
      </c>
      <c r="E17" s="130">
        <f>P17</f>
        <v>301.26864103661273</v>
      </c>
      <c r="F17" s="119"/>
      <c r="G17">
        <v>2040</v>
      </c>
      <c r="H17" s="25">
        <f>'2'!AB23+'6'!AB23+'7'!AB23+'9'!AB23+'11'!AB23+'12'!AB23+'13'!AB23+'16'!AB23+'17'!AB23+'18'!AB23+'22'!AB23</f>
        <v>12.088311083429391</v>
      </c>
      <c r="I17" s="16">
        <f>'1'!AB23+'2'!AC23+'5'!AB23+'6'!AC23+'7'!AC23+'9'!AC23+'11'!AC23+'12'!AC23+'13'!AC23+'15'!AB23+'16'!AC23+'17'!AC23+'18'!AC23+'19'!AB23+'22'!AC23</f>
        <v>70.351089934228625</v>
      </c>
      <c r="J17" s="16"/>
      <c r="K17" s="16">
        <f>'3'!AB23+'4'!AB23+'10'!AB23+'20'!AB23+'21'!AB23+'23'!AB23</f>
        <v>3.1469642739519532</v>
      </c>
      <c r="L17" s="16">
        <f>'8'!AB23+'14'!AB23</f>
        <v>28.972343150468035</v>
      </c>
      <c r="M17" s="16">
        <f>'1'!AD23+'2'!AD23+'3'!AD23+'4'!AD23+'5'!AD23+'6'!AD23+'7'!AD23+'8'!AD23+'9'!AD23+'10'!AD23+'11'!AD23+'12'!AD23+'13'!AD23+'14'!AD23+'15'!AD23+'16'!AD23+'17'!AD23+'18'!AD23+'19'!AD23+'20'!AD23+'21'!AD23+'22'!AD23+'23'!AD23</f>
        <v>172.77603325125096</v>
      </c>
      <c r="N17" s="16">
        <f>'1'!AE23+'2'!AE23+'3'!AE23+'4'!AE23+'5'!AE23+'6'!AE23+'7'!AE23+'8'!AE23+'9'!AE23+'10'!AE23+'11'!AE23+'12'!AE23+'13'!AE23+'14'!AE23+'15'!AE23+'16'!AE23+'17'!AE23+'18'!AE23+'19'!AE23+'20'!AE23+'21'!AE23+'22'!AE23+'23'!AE23</f>
        <v>10.242599025036421</v>
      </c>
      <c r="O17" s="16">
        <f>'1'!AF23+'2'!AF23+'3'!AF23+'4'!AF23+'5'!AF23+'6'!AF23+'7'!AF23+'8'!AF23+'9'!AF23+'10'!AF23+'11'!AF23+'12'!AF23+'13'!AF23+'14'!AF23+'15'!AF23+'16'!AF23+'17'!AF23+'18'!AF23+'19'!AF23+'20'!AF23+'21'!AF23+'22'!AF23+'23'!AF23</f>
        <v>330.88878302420687</v>
      </c>
      <c r="P17" s="16">
        <f>'1'!AG23+'2'!AG23+'3'!AG23+'4'!AG23+'5'!AG23+'6'!AG23+'7'!AG23+'8'!AG23+'9'!AG23+'10'!AG23+'11'!AG23+'12'!AG23+'13'!AG23+'14'!AG23+'15'!AG23+'16'!AG23+'17'!AG23+'18'!AG23+'19'!AG23+'20'!AG23+'21'!AG23+'22'!AG23+'23'!AG23</f>
        <v>301.26864103661273</v>
      </c>
      <c r="Q17" s="16">
        <f>'1'!AH23+'2'!AH23+'3'!AH23+'4'!AH23+'5'!AH23+'6'!AH23+'7'!AH23+'8'!AH23+'9'!AH23+'10'!AH23+'11'!AH23+'12'!AH23+'13'!AH23+'14'!AH23+'15'!AH23+'16'!AH23+'17'!AH23+'18'!AH23+'19'!AH23+'20'!AH23+'21'!AH23+'22'!AH23+'23'!AH23</f>
        <v>7.6809074871225285</v>
      </c>
      <c r="R17" s="16">
        <f>'1'!AI23+'2'!AI23+'3'!AI23+'4'!AI23+'5'!AI23+'6'!AI23+'7'!AI23+'8'!AI23+'9'!AI23+'10'!AI23+'11'!AI23+'12'!AI23+'13'!AI23+'14'!AI23+'15'!AI23+'16'!AI23+'17'!AI23+'18'!AI23+'19'!AI23+'20'!AI23+'21'!AI23+'22'!AI23+'23'!AI23</f>
        <v>52.273717872003445</v>
      </c>
      <c r="S17" s="16">
        <f>'1'!AJ23+'2'!AJ23+'3'!AJ23+'4'!AJ23+'5'!AJ23+'6'!AJ23+'7'!AJ23+'8'!AJ23+'9'!AJ23+'10'!AJ23+'11'!AJ23+'12'!AJ23+'13'!AJ23+'14'!AJ23+'15'!AJ23+'16'!AJ23+'17'!AJ23+'18'!AJ23+'19'!AJ23+'20'!AJ23+'21'!AJ23+'22'!AJ23+'23'!AJ23</f>
        <v>14.713688341067163</v>
      </c>
      <c r="T17" s="16">
        <f>'1'!AK23+'2'!AK23+'3'!AK23+'4'!AK23+'5'!AK23+'6'!AK23+'7'!AK23+'8'!AK23+'9'!AK23+'10'!AK23+'11'!AK23+'12'!AK23+'13'!AK23+'14'!AK23+'15'!AK23+'16'!AK23+'17'!AK23+'18'!AK23+'19'!AK23+'20'!AK23+'21'!AK23+'22'!AK23+'23'!AK23</f>
        <v>164.12884671286031</v>
      </c>
      <c r="U17" s="16">
        <f>'1'!AL23+'2'!AL23+'3'!AL23+'4'!AL23+'5'!AL23+'6'!AL23+'7'!AL23+'8'!AL23+'9'!AL23+'10'!AL23+'11'!AL23+'12'!AL23+'13'!AL23+'14'!AL23+'15'!AL23+'16'!AL23+'17'!AL23+'18'!AL23+'19'!AL23+'20'!AL23+'21'!AL23+'22'!AL23+'23'!AL23</f>
        <v>0.40224362382955287</v>
      </c>
      <c r="V17" s="25">
        <f t="shared" si="5"/>
        <v>114.558708442078</v>
      </c>
      <c r="W17" s="16">
        <f t="shared" si="6"/>
        <v>1054.3754603739899</v>
      </c>
      <c r="X17" s="9">
        <f t="shared" si="20"/>
        <v>7.446161076921487E-2</v>
      </c>
      <c r="Y17" s="16">
        <f>((M17+N17)*re!$D$2/re!$C$2+O17*re!$D$3/re!$C$3+P17*re!$D$4/re!$C$4+T17*re!$D$5/re!$C$5+U17*re!$D$6/re!$C$6)</f>
        <v>1789.563762755655</v>
      </c>
      <c r="Z17">
        <f t="shared" si="18"/>
        <v>138.06830117428902</v>
      </c>
      <c r="AA17">
        <f>((Y17*277.8)/(re!$B$10*8760))*re!$C$10</f>
        <v>78.277564681706991</v>
      </c>
      <c r="AB17">
        <f>((Y17*277.8)/(re!$B$11*8760))*re!$C$11</f>
        <v>29.103197125250031</v>
      </c>
      <c r="AC17">
        <f>((Y17*277.8)/(re!$B$12*8760))*re!$C$12</f>
        <v>10.509487850784732</v>
      </c>
      <c r="AD17">
        <f>((Y17*277.8)/(re!$B$13*8760))*re!$C$13</f>
        <v>3.0843062170781277</v>
      </c>
      <c r="AE17">
        <f>((Y17*277.8)/(re!$B$14*8760))*re!$C$14</f>
        <v>17.093745299469145</v>
      </c>
      <c r="AF17">
        <f>SUM('1'!AD23:AL23)+'1'!AA23</f>
        <v>174.5057412612386</v>
      </c>
      <c r="AG17">
        <f>SUM('2'!AD23:AL23)+'2'!AA23</f>
        <v>3.4535871457407685</v>
      </c>
      <c r="AH17">
        <f>SUM('3'!AD23:AL23)+'3'!AA23</f>
        <v>15.01448287845923</v>
      </c>
      <c r="AI17">
        <f>SUM('4'!AD23:AL23)+'4'!AA23</f>
        <v>1.1333877073395418</v>
      </c>
      <c r="AJ17">
        <f>SUM('5'!AD23:AL23)+'5'!AA23</f>
        <v>6.7419919450471975</v>
      </c>
      <c r="AK17">
        <f>SUM('6'!AD23:AL23)+'6'!AA23</f>
        <v>171.05627190575942</v>
      </c>
      <c r="AL17">
        <f>SUM('7'!AD23:AL23)+'7'!AA23</f>
        <v>153.98865576998449</v>
      </c>
      <c r="AM17">
        <f>SUM('8'!AD23:AL23)+'8'!AA23</f>
        <v>317.27359888146407</v>
      </c>
      <c r="AN17">
        <f>SUM('9'!AD23:AL23)+'9'!AA23</f>
        <v>84.180486372280754</v>
      </c>
      <c r="AO17">
        <f>SUM('10'!AD23:AL23)+'10'!AA23</f>
        <v>6.0445414074571362</v>
      </c>
      <c r="AP17">
        <f>SUM('11'!AD23:AL23)+'11'!AA23</f>
        <v>7.9495631833590208</v>
      </c>
      <c r="AQ17">
        <f>SUM('12'!AD23:AL23)+'12'!AA23</f>
        <v>2.4422694826806115</v>
      </c>
      <c r="AR17">
        <f>SUM('13'!AD23:AL23)+'13'!AA23</f>
        <v>7.105983313275213</v>
      </c>
      <c r="AS17">
        <f>SUM('14'!AD23:AL23)+'14'!AA23</f>
        <v>6.1257354030095321</v>
      </c>
      <c r="AT17">
        <f>SUM('15'!AD23:AL23)+'15'!AA23</f>
        <v>74.792090940764496</v>
      </c>
      <c r="AU17">
        <f>SUM('16'!AD23:AL23)+'16'!AA23</f>
        <v>30.243608520047701</v>
      </c>
      <c r="AV17">
        <f>SUM('17'!AD23:AL23)+'17'!AA23</f>
        <v>51.471466212890569</v>
      </c>
      <c r="AW17">
        <f>SUM('18'!AD23:AL23)+'18'!AA23</f>
        <v>12.853937729849786</v>
      </c>
      <c r="AX17">
        <f>SUM('19'!AD23:AL23)+'19'!AA23</f>
        <v>33.105380373469323</v>
      </c>
      <c r="AY17">
        <f>SUM('20'!AD23:AL23)+'20'!AA23</f>
        <v>2.1642461388117837</v>
      </c>
      <c r="AZ17">
        <f>SUM('21'!AD23:AL23)+'21'!AA23</f>
        <v>0.19449437093988498</v>
      </c>
      <c r="BA17">
        <f>SUM('22'!AD23:AL23)+'22'!AA23</f>
        <v>0.62037375161361896</v>
      </c>
      <c r="BB17">
        <f>SUM('23'!AD23:AL23)+'23'!AA23</f>
        <v>6.4722741205852854</v>
      </c>
      <c r="BC17">
        <f>('1'!D23+'2'!D23+'3'!D23+'4'!D23+'5'!D23+'6'!D23+'7'!D23+'8'!D23+'9'!D23+'10'!D23+'12'!D23+'13'!D23+'14'!D23+'15'!D23+'16'!D23+'17'!D23+'18'!D23+'19'!D23+'20'!D23+'21'!D23+'22'!D23+'23'!D23)/('1'!D22+'2'!D22+'3'!D22+'4'!D22+'5'!D22+'6'!D22+'7'!D22+'8'!D22+'9'!D22+'10'!D22+'12'!D22+'13'!D22+'14'!D22+'15'!D22+'16'!D22+'17'!D22+'18'!D22+'19'!D22+'20'!D22+'21'!D22+'22'!D22+'23'!D22)-1</f>
        <v>9.2792539641144867E-2</v>
      </c>
      <c r="BD17">
        <f>('1'!E23+'2'!E23+'3'!E23+'4'!E23+'5'!E23+'6'!E23+'7'!E23+'8'!E23+'9'!E23+'10'!E23+'12'!E23+'13'!E23+'14'!E23+'15'!E23+'16'!E23+'17'!E23+'18'!E23+'19'!E23+'20'!E23+'21'!E23+'22'!E23+'23'!E23)/('1'!E22+'2'!E22+'3'!E22+'4'!E22+'5'!E22+'6'!E22+'7'!E22+'8'!E22+'9'!E22+'10'!E22+'12'!E22+'13'!E22+'14'!E22+'15'!E22+'16'!E22+'17'!E22+'18'!E22+'19'!E22+'20'!E22+'21'!E22+'22'!E22+'23'!E22)-1</f>
        <v>9.2792539641144423E-2</v>
      </c>
      <c r="BE17">
        <f>('1'!F23+'2'!F23+'3'!F23+'4'!F23+'5'!F23+'6'!F23+'7'!F23+'8'!F23+'9'!F23+'10'!F23+'12'!F23+'13'!F23+'14'!F23+'15'!F23+'16'!F23+'17'!F23+'18'!F23+'19'!F23+'20'!F23+'21'!F23+'22'!F23+'23'!F23)/('1'!F22+'2'!F22+'3'!F22+'4'!F22+'5'!F22+'6'!F22+'7'!F22+'8'!F22+'9'!F22+'10'!F22+'12'!F22+'13'!F22+'14'!F22+'15'!F22+'16'!F22+'17'!F22+'18'!F22+'19'!F22+'20'!F22+'21'!F22+'22'!F22+'23'!F22)-1</f>
        <v>9.3937662206384109E-2</v>
      </c>
      <c r="BF17">
        <f t="shared" si="19"/>
        <v>7.446161076921487E-2</v>
      </c>
      <c r="BG17">
        <v>2040</v>
      </c>
      <c r="BH17" s="2">
        <v>0.65</v>
      </c>
      <c r="BI17" s="2">
        <f t="shared" si="34"/>
        <v>0.78</v>
      </c>
      <c r="BJ17" s="2">
        <f t="shared" si="21"/>
        <v>0.13</v>
      </c>
      <c r="BK17" t="e">
        <f>'2 (RU)'!AB23+'6 (RU)'!AB23+'7 (RU)'!AB23+'9 (RU)'!AB23+'11 (RU)'!AB23+'12 (RU)'!AB23+'13 (RU)'!AB23+'16 (RU)'!AB23+'17 (RU)'!AB23+'18 (RU)'!AB23+'22 (RU)'!AB23</f>
        <v>#DIV/0!</v>
      </c>
      <c r="BL17" t="e">
        <f>'1 (RU)'!AB23+'2 (RU)'!AC23+'5 (RU)'!AB23+'6 (RU)'!AC23+'7 (RU)'!AC23+'9 (RU)'!AC23+'11 (RU)'!AC23+'12 (RU)'!AC23+'13 (RU)'!AC23+'15 (RU)'!AB23+'16 (RU)'!AC23+'17 (RU)'!AC23+'18 (RU)'!AC23+'19 (RU)'!AB23+'22 (RU)'!AC23</f>
        <v>#DIV/0!</v>
      </c>
      <c r="BN17" t="e">
        <f>'3 (RU)'!AB23+'4 (RU)'!AB23+'10 (RU)'!AB23+'20 (RU)'!AB23+'21 (RU)'!AB23+'23 (RU)'!AB23</f>
        <v>#DIV/0!</v>
      </c>
      <c r="BO17" t="e">
        <f>'8 (RU)'!AB23+'14 (RU)'!AB23</f>
        <v>#DIV/0!</v>
      </c>
      <c r="BP17" t="e">
        <f>'1 (RU)'!AD23+'2 (RU)'!AD23+'3 (RU)'!AD23+'4 (RU)'!AD23+'5 (RU)'!AD23+'6 (RU)'!AD23+'7 (RU)'!AD23+'8 (RU)'!AD23+'9 (RU)'!AD23+'10 (RU)'!AD23+'11 (RU)'!AD23+'12 (RU)'!AD23+'13 (RU)'!AD23+'14 (RU)'!AD23+'15 (RU)'!AD23+'16 (RU)'!AD23+'17 (RU)'!AD23+'18 (RU)'!AD23+'19 (RU)'!AD23+'20 (RU)'!AD23+'21 (RU)'!AD23+'22 (RU)'!AD23+'23 (RU)'!AD23</f>
        <v>#DIV/0!</v>
      </c>
      <c r="BQ17" t="e">
        <f>'1 (RU)'!AE23+'2 (RU)'!AE23+'3 (RU)'!AE23+'4 (RU)'!AE23+'5 (RU)'!AE23+'6 (RU)'!AE23+'7 (RU)'!AE23+'8 (RU)'!AE23+'9 (RU)'!AE23+'10 (RU)'!AE23+'11 (RU)'!AE23+'12 (RU)'!AE23+'13 (RU)'!AE23+'14 (RU)'!AE23+'15 (RU)'!AE23+'16 (RU)'!AE23+'17 (RU)'!AE23+'18 (RU)'!AE23+'19 (RU)'!AE23+'20 (RU)'!AE23+'21 (RU)'!AE23+'22 (RU)'!AE23+'23 (RU)'!AE23</f>
        <v>#DIV/0!</v>
      </c>
      <c r="BR17" t="e">
        <f>'1 (RU)'!AF23+'2 (RU)'!AF23+'3 (RU)'!AF23+'4 (RU)'!AF23+'5 (RU)'!AF23+'6 (RU)'!AF23+'7 (RU)'!AF23+'8 (RU)'!AF23+'9 (RU)'!AF23+'10 (RU)'!AF23+'11 (RU)'!AF23+'12 (RU)'!AF23+'13 (RU)'!AF23+'14 (RU)'!AF23+'15 (RU)'!AF23+'16 (RU)'!AF23+'17 (RU)'!AF23+'18 (RU)'!AF23+'19 (RU)'!AF23+'20 (RU)'!AF23+'21 (RU)'!AF23+'22 (RU)'!AF23+'23 (RU)'!AF23</f>
        <v>#DIV/0!</v>
      </c>
      <c r="BS17" t="e">
        <f>'1 (RU)'!AG23+'2 (RU)'!AG23+'3 (RU)'!AG23+'4 (RU)'!AG23+'5 (RU)'!AG23+'6 (RU)'!AG23+'7 (RU)'!AG23+'8 (RU)'!AG23+'9 (RU)'!AG23+'10 (RU)'!AG23+'11 (RU)'!AG23+'12 (RU)'!AG23+'13 (RU)'!AG23+'14 (RU)'!AG23+'15 (RU)'!AG23+'16 (RU)'!AG23+'17 (RU)'!AG23+'18 (RU)'!AG23+'19 (RU)'!AG23+'20 (RU)'!AG23+'21 (RU)'!AG23+'22 (RU)'!AG23+'23 (RU)'!AG23</f>
        <v>#DIV/0!</v>
      </c>
      <c r="BT17" t="e">
        <f>'1 (RU)'!AH23+'2 (RU)'!AH23+'3 (RU)'!AH23+'4 (RU)'!AH23+'5 (RU)'!AH23+'6 (RU)'!AH23+'7 (RU)'!AH23+'8 (RU)'!AH23+'9 (RU)'!AH23+'10 (RU)'!AH23+'11 (RU)'!AH23+'12 (RU)'!AH23+'13 (RU)'!AH23+'14 (RU)'!AH23+'15 (RU)'!AH23+'16 (RU)'!AH23+'17 (RU)'!AH23+'18 (RU)'!AH23+'19 (RU)'!AH23+'20 (RU)'!AH23+'21 (RU)'!AH23+'22 (RU)'!AH23+'23 (RU)'!AH23</f>
        <v>#DIV/0!</v>
      </c>
      <c r="BU17" t="e">
        <f>'1 (RU)'!AI23+'2 (RU)'!AI23+'3 (RU)'!AI23+'4 (RU)'!AI23+'5 (RU)'!AI23+'6 (RU)'!AI23+'7 (RU)'!AI23+'8 (RU)'!AI23+'9 (RU)'!AI23+'10 (RU)'!AI23+'11 (RU)'!AI23+'12 (RU)'!AI23+'13 (RU)'!AI23+'14 (RU)'!AI23+'15 (RU)'!AI23+'16 (RU)'!AI23+'17 (RU)'!AI23+'18 (RU)'!AI23+'19 (RU)'!AI23+'20 (RU)'!AI23+'21 (RU)'!AI23+'22 (RU)'!AI23+'23 (RU)'!AI23</f>
        <v>#DIV/0!</v>
      </c>
      <c r="BV17" t="e">
        <f>'1 (RU)'!AJ23+'2 (RU)'!AJ23+'3 (RU)'!AJ23+'4 (RU)'!AJ23+'5 (RU)'!AJ23+'6 (RU)'!AJ23+'7 (RU)'!AJ23+'8 (RU)'!AJ23+'9 (RU)'!AJ23+'10 (RU)'!AJ23+'11 (RU)'!AJ23+'12 (RU)'!AJ23+'13 (RU)'!AJ23+'14 (RU)'!AJ23+'15 (RU)'!AJ23+'16 (RU)'!AJ23+'17 (RU)'!AJ23+'18 (RU)'!AJ23+'19 (RU)'!AJ23+'20 (RU)'!AJ23+'21 (RU)'!AJ23+'22 (RU)'!AJ23+'23 (RU)'!AJ23</f>
        <v>#DIV/0!</v>
      </c>
      <c r="BW17" t="e">
        <f>'1 (RU)'!AK23+'2 (RU)'!AK23+'3 (RU)'!AK23+'4 (RU)'!AK23+'5 (RU)'!AK23+'6 (RU)'!AK23+'7 (RU)'!AK23+'8 (RU)'!AK23+'9 (RU)'!AK23+'10 (RU)'!AK23+'11 (RU)'!AK23+'12 (RU)'!AK23+'13 (RU)'!AK23+'14 (RU)'!AK23+'15 (RU)'!AK23+'16 (RU)'!AK23+'17 (RU)'!AK23+'18 (RU)'!AK23+'19 (RU)'!AK23+'20 (RU)'!AK23+'21 (RU)'!AK23+'22 (RU)'!AK23+'23 (RU)'!AK23</f>
        <v>#DIV/0!</v>
      </c>
      <c r="BX17" t="e">
        <f>'1 (RU)'!AL23+'2 (RU)'!AL23+'3 (RU)'!AL23+'4 (RU)'!AL23+'5 (RU)'!AL23+'6 (RU)'!AL23+'7 (RU)'!AL23+'8 (RU)'!AL23+'9 (RU)'!AL23+'10 (RU)'!AL23+'11 (RU)'!AL23+'12 (RU)'!AL23+'13 (RU)'!AL23+'14 (RU)'!AL23+'15 (RU)'!AL23+'16 (RU)'!AL23+'17 (RU)'!AL23+'18 (RU)'!AL23+'19 (RU)'!AL23+'20 (RU)'!AL23+'21 (RU)'!AL23+'22 (RU)'!AL23+'23 (RU)'!AL23</f>
        <v>#DIV/0!</v>
      </c>
      <c r="BY17" s="25" t="e">
        <f t="shared" si="7"/>
        <v>#DIV/0!</v>
      </c>
      <c r="BZ17" s="16" t="e">
        <f t="shared" si="8"/>
        <v>#DIV/0!</v>
      </c>
      <c r="CC17" t="e">
        <f>VLOOKUP(CC$1,emissions!$A$2:$B$5,2,FALSE)*BK17</f>
        <v>#DIV/0!</v>
      </c>
      <c r="CD17" t="e">
        <f>VLOOKUP(CD$1,emissions!$A$2:$B$5,2,FALSE)*BL17</f>
        <v>#DIV/0!</v>
      </c>
      <c r="CF17" t="e">
        <f>VLOOKUP(CF$1,emissions!$A$2:$B$5,2,FALSE)*BN17</f>
        <v>#DIV/0!</v>
      </c>
      <c r="CG17" t="e">
        <f>VLOOKUP(CG$1,emissions!$A$2:$B$5,2,FALSE)*BO17</f>
        <v>#DIV/0!</v>
      </c>
      <c r="CH17" t="e">
        <f>BP17*(emissions!$D$3*production!$B$4+emissions!$D$4*production!$C$4+emissions!$D$5*production!$D$4+emissions!$D$6*production!$E$4)</f>
        <v>#DIV/0!</v>
      </c>
      <c r="CI17" t="e">
        <f>BQ17*(emissions!$D$3*production!$B$4+emissions!$D$4*production!$C$4+emissions!$D$5*production!$D$4+emissions!$D$6*production!$E$4)</f>
        <v>#DIV/0!</v>
      </c>
      <c r="CJ17" t="e">
        <f>BR17*(emissions!$D$8*production!$B$6+emissions!$D$9*production!$C$6+emissions!$D$10*production!$D$6)</f>
        <v>#DIV/0!</v>
      </c>
      <c r="CK17" t="e">
        <f>BS17*(emissions!$D$12*production!$B$8+emissions!$D$13*production!$C$8+emissions!$D$14*production!$D$8)</f>
        <v>#DIV/0!</v>
      </c>
      <c r="CL17" t="e">
        <f>BT17*(emissions!$D$16*production!$B$10+production!$C$10*emissions!$D$17)</f>
        <v>#DIV/0!</v>
      </c>
      <c r="CM17" t="e">
        <f>BU17*(emissions!$D$19*production!$B$12+production!$C$12*emissions!$D$20+emissions!$D$21*production!$D$12)</f>
        <v>#DIV/0!</v>
      </c>
      <c r="CN17" t="e">
        <f>BV17*(emissions!$D$23*production!$B$14+production!$C$14*emissions!$D$24+emissions!$D$25*production!$D$14)</f>
        <v>#DIV/0!</v>
      </c>
      <c r="CO17" t="e">
        <f>BW17*(emissions!$D$27*production!$B$16+production!$C$16*emissions!$D$28+production!$D$16*emissions!$D$29)</f>
        <v>#DIV/0!</v>
      </c>
      <c r="CP17">
        <v>0</v>
      </c>
      <c r="CS17" t="e">
        <f t="shared" si="9"/>
        <v>#DIV/0!</v>
      </c>
      <c r="CT17" s="40" t="e">
        <f t="shared" si="10"/>
        <v>#DIV/0!</v>
      </c>
      <c r="CU17" t="e">
        <f t="shared" si="0"/>
        <v>#DIV/0!</v>
      </c>
      <c r="CV17" t="e">
        <f t="shared" si="1"/>
        <v>#DIV/0!</v>
      </c>
      <c r="CW17">
        <f t="shared" si="2"/>
        <v>32.654999999999994</v>
      </c>
      <c r="CX17">
        <f t="shared" si="3"/>
        <v>20.525999999999996</v>
      </c>
      <c r="CY17" t="e">
        <f t="shared" si="11"/>
        <v>#DIV/0!</v>
      </c>
      <c r="CZ17" s="74" t="e">
        <f t="shared" si="12"/>
        <v>#DIV/0!</v>
      </c>
      <c r="DA17" t="e">
        <f t="shared" si="13"/>
        <v>#DIV/0!</v>
      </c>
      <c r="DB17" t="e">
        <f t="shared" si="14"/>
        <v>#DIV/0!</v>
      </c>
      <c r="DC17" s="34" t="e">
        <f t="shared" si="15"/>
        <v>#DIV/0!</v>
      </c>
      <c r="DD17">
        <v>2040</v>
      </c>
      <c r="DE17" t="e">
        <f t="shared" si="22"/>
        <v>#DIV/0!</v>
      </c>
      <c r="DF17" t="e">
        <f t="shared" si="23"/>
        <v>#DIV/0!</v>
      </c>
      <c r="DG17">
        <v>2040</v>
      </c>
      <c r="DH17" t="e">
        <f t="shared" si="24"/>
        <v>#DIV/0!</v>
      </c>
      <c r="DI17" t="e">
        <f t="shared" si="25"/>
        <v>#DIV/0!</v>
      </c>
      <c r="DJ17" t="e">
        <f t="shared" si="26"/>
        <v>#DIV/0!</v>
      </c>
      <c r="DK17" t="e">
        <f t="shared" si="27"/>
        <v>#DIV/0!</v>
      </c>
      <c r="DL17" t="e">
        <f t="shared" si="28"/>
        <v>#DIV/0!</v>
      </c>
      <c r="DM17" s="74" t="e">
        <f t="shared" si="29"/>
        <v>#DIV/0!</v>
      </c>
      <c r="DN17" s="75" t="e">
        <f t="shared" si="30"/>
        <v>#DIV/0!</v>
      </c>
      <c r="DO17" s="76" t="e">
        <f t="shared" si="31"/>
        <v>#DIV/0!</v>
      </c>
      <c r="DP17" s="78" t="e">
        <f t="shared" si="32"/>
        <v>#DIV/0!</v>
      </c>
      <c r="DQ17" s="70">
        <v>4540</v>
      </c>
      <c r="DR17" s="71">
        <v>28576</v>
      </c>
      <c r="DS17" s="71"/>
      <c r="DT17" s="71">
        <v>809</v>
      </c>
      <c r="DU17" s="71">
        <v>2756</v>
      </c>
      <c r="DV17">
        <f>DQ17*VLOOKUP(DQ$1,emissions!$A$2:$B$5,2,FALSE)</f>
        <v>662840</v>
      </c>
      <c r="DW17">
        <f>DR17*VLOOKUP(DR$1,emissions!$A$2:$B$5,2,FALSE)</f>
        <v>4172096</v>
      </c>
      <c r="DY17">
        <f>DT17*VLOOKUP(DT$1,emissions!$A$2:$B$5,2,FALSE)</f>
        <v>117305</v>
      </c>
      <c r="DZ17">
        <f>DU17*VLOOKUP(DU$1,emissions!$A$2:$B$5,2,FALSE)</f>
        <v>311428</v>
      </c>
      <c r="EA17">
        <f t="shared" si="16"/>
        <v>5263669</v>
      </c>
      <c r="EB17">
        <f t="shared" si="17"/>
        <v>143.49851421716966</v>
      </c>
      <c r="ED17" s="77" t="e">
        <f t="shared" si="4"/>
        <v>#DIV/0!</v>
      </c>
      <c r="EE17" s="34" t="e">
        <f>cost!$B$2*BK17</f>
        <v>#DIV/0!</v>
      </c>
      <c r="EF17" s="34" t="e">
        <f>cost!$B$3*BL17</f>
        <v>#DIV/0!</v>
      </c>
      <c r="EG17" s="34"/>
      <c r="EH17" s="34" t="e">
        <f>cost!$B$4*BN17</f>
        <v>#DIV/0!</v>
      </c>
      <c r="EI17" s="34" t="e">
        <f>cost!$B$5*$BO$2</f>
        <v>#DIV/0!</v>
      </c>
      <c r="EJ17" s="34" t="e">
        <f>BP17*(cost!$D$3*production!$B$4+production!$C$4*cost!$D$4+cost!$D$5*production!$D$4+production!$E$4*cost!$D$6)</f>
        <v>#DIV/0!</v>
      </c>
      <c r="EK17" s="34" t="e">
        <f>BQ17*(cost!$D$3*production!$B$4+production!$C$4*cost!$D$4+cost!$D$5*production!$D$4+production!$E$4*cost!$D$6)</f>
        <v>#DIV/0!</v>
      </c>
      <c r="EL17" s="34" t="e">
        <f>BR17*(cost!$D$8*production!$B$6+cost!$D$9*production!$C$6+$D$10*production!$D$6)</f>
        <v>#DIV/0!</v>
      </c>
      <c r="EM17" s="34" t="e">
        <f>BS17*(cost!$D$12*production!$B$8+cost!$D$13*production!$C$8+cost!$D$14*production!$D$8)</f>
        <v>#DIV/0!</v>
      </c>
      <c r="EN17" s="34" t="e">
        <f>BT17*(cost!$D$16*production!$B$10+production!$C$10*cost!$D$17)</f>
        <v>#DIV/0!</v>
      </c>
      <c r="EO17" s="34" t="e">
        <f>BU17*(cost!$D$19*production!$B$12+production!$C$12*cost!$D$20+cost!$D$21*production!$D$12)</f>
        <v>#DIV/0!</v>
      </c>
      <c r="EP17" s="34" t="e">
        <f>BV17*(cost!$D$23*production!$B$14+production!$C$14*cost!$D$24+cost!$D$25*production!$D$14)</f>
        <v>#DIV/0!</v>
      </c>
      <c r="EQ17" s="34" t="e">
        <f>BW17*(cost!$D$27*production!$B$16+production!$C$16*cost!$D$28+cost!$D$29*production!$D$16)</f>
        <v>#DIV/0!</v>
      </c>
      <c r="ER17" s="34" t="e">
        <f>BX17*(re!$H$10*re!$C$10+re!$H$11*re!$C$11+re!$H$12*re!$C$12+re!$H$13*re!$C$13+re!$H$14*re!$C$14)</f>
        <v>#DIV/0!</v>
      </c>
    </row>
    <row r="18" spans="1:148" x14ac:dyDescent="0.2">
      <c r="A18" s="84" t="s">
        <v>57</v>
      </c>
      <c r="B18" s="119">
        <f>Q2</f>
        <v>0</v>
      </c>
      <c r="C18" s="119">
        <f>Q27</f>
        <v>10.099308337493451</v>
      </c>
      <c r="D18" s="119">
        <f>Q7</f>
        <v>0.60999284796791287</v>
      </c>
      <c r="E18" s="130">
        <f>Q17</f>
        <v>7.6809074871225285</v>
      </c>
      <c r="F18" s="119"/>
      <c r="G18">
        <v>2041</v>
      </c>
      <c r="H18" s="25">
        <f>'2'!AB24+'6'!AB24+'7'!AB24+'9'!AB24+'11'!AB24+'12'!AB24+'13'!AB24+'16'!AB24+'17'!AB24+'18'!AB24+'22'!AB24</f>
        <v>8.1150974244395737</v>
      </c>
      <c r="I18" s="16">
        <f>'1'!AB24+'2'!AC24+'5'!AB24+'6'!AC24+'7'!AC24+'9'!AC24+'11'!AC24+'12'!AC24+'13'!AC24+'15'!AB24+'16'!AC24+'17'!AC24+'18'!AC24+'19'!AB24+'22'!AC24</f>
        <v>50.252480496668369</v>
      </c>
      <c r="J18" s="16"/>
      <c r="K18" s="16">
        <f>'3'!AB24+'4'!AB24+'10'!AB24+'20'!AB24+'21'!AB24+'23'!AB24</f>
        <v>2.2330483220228405</v>
      </c>
      <c r="L18" s="16">
        <f>'8'!AB24+'14'!AB24</f>
        <v>20.553904046195981</v>
      </c>
      <c r="M18" s="16">
        <f>'1'!AD24+'2'!AD24+'3'!AD24+'4'!AD24+'5'!AD24+'6'!AD24+'7'!AD24+'8'!AD24+'9'!AD24+'10'!AD24+'11'!AD24+'12'!AD24+'13'!AD24+'14'!AD24+'15'!AD24+'16'!AD24+'17'!AD24+'18'!AD24+'19'!AD24+'20'!AD24+'21'!AD24+'22'!AD24+'23'!AD24</f>
        <v>182.35560036664404</v>
      </c>
      <c r="N18" s="16">
        <f>'1'!AE24+'2'!AE24+'3'!AE24+'4'!AE24+'5'!AE24+'6'!AE24+'7'!AE24+'8'!AE24+'9'!AE24+'10'!AE24+'11'!AE24+'12'!AE24+'13'!AE24+'14'!AE24+'15'!AE24+'16'!AE24+'17'!AE24+'18'!AE24+'19'!AE24+'20'!AE24+'21'!AE24+'22'!AE24+'23'!AE24</f>
        <v>10.810119707883494</v>
      </c>
      <c r="O18" s="16">
        <f>'1'!AF24+'2'!AF24+'3'!AF24+'4'!AF24+'5'!AF24+'6'!AF24+'7'!AF24+'8'!AF24+'9'!AF24+'10'!AF24+'11'!AF24+'12'!AF24+'13'!AF24+'14'!AF24+'15'!AF24+'16'!AF24+'17'!AF24+'18'!AF24+'19'!AF24+'20'!AF24+'21'!AF24+'22'!AF24+'23'!AF24</f>
        <v>349.21476126613402</v>
      </c>
      <c r="P18" s="16">
        <f>'1'!AG24+'2'!AG24+'3'!AG24+'4'!AG24+'5'!AG24+'6'!AG24+'7'!AG24+'8'!AG24+'9'!AG24+'10'!AG24+'11'!AG24+'12'!AG24+'13'!AG24+'14'!AG24+'15'!AG24+'16'!AG24+'17'!AG24+'18'!AG24+'19'!AG24+'20'!AG24+'21'!AG24+'22'!AG24+'23'!AG24</f>
        <v>317.98750655949112</v>
      </c>
      <c r="Q18" s="16">
        <f>'1'!AH24+'2'!AH24+'3'!AH24+'4'!AH24+'5'!AH24+'6'!AH24+'7'!AH24+'8'!AH24+'9'!AH24+'10'!AH24+'11'!AH24+'12'!AH24+'13'!AH24+'14'!AH24+'15'!AH24+'16'!AH24+'17'!AH24+'18'!AH24+'19'!AH24+'20'!AH24+'21'!AH24+'22'!AH24+'23'!AH24</f>
        <v>8.0980986136388218</v>
      </c>
      <c r="R18" s="16">
        <f>'1'!AI24+'2'!AI24+'3'!AI24+'4'!AI24+'5'!AI24+'6'!AI24+'7'!AI24+'8'!AI24+'9'!AI24+'10'!AI24+'11'!AI24+'12'!AI24+'13'!AI24+'14'!AI24+'15'!AI24+'16'!AI24+'17'!AI24+'18'!AI24+'19'!AI24+'20'!AI24+'21'!AI24+'22'!AI24+'23'!AI24</f>
        <v>55.172938625982788</v>
      </c>
      <c r="S18" s="16">
        <f>'1'!AJ24+'2'!AJ24+'3'!AJ24+'4'!AJ24+'5'!AJ24+'6'!AJ24+'7'!AJ24+'8'!AJ24+'9'!AJ24+'10'!AJ24+'11'!AJ24+'12'!AJ24+'13'!AJ24+'14'!AJ24+'15'!AJ24+'16'!AJ24+'17'!AJ24+'18'!AJ24+'19'!AJ24+'20'!AJ24+'21'!AJ24+'22'!AJ24+'23'!AJ24</f>
        <v>15.513613822586684</v>
      </c>
      <c r="T18" s="16">
        <f>'1'!AK24+'2'!AK24+'3'!AK24+'4'!AK24+'5'!AK24+'6'!AK24+'7'!AK24+'8'!AK24+'9'!AK24+'10'!AK24+'11'!AK24+'12'!AK24+'13'!AK24+'14'!AK24+'15'!AK24+'16'!AK24+'17'!AK24+'18'!AK24+'19'!AK24+'20'!AK24+'21'!AK24+'22'!AK24+'23'!AK24</f>
        <v>173.2730852544573</v>
      </c>
      <c r="U18" s="16">
        <f>'1'!AL24+'2'!AL24+'3'!AL24+'4'!AL24+'5'!AL24+'6'!AL24+'7'!AL24+'8'!AL24+'9'!AL24+'10'!AL24+'11'!AL24+'12'!AL24+'13'!AL24+'14'!AL24+'15'!AL24+'16'!AL24+'17'!AL24+'18'!AL24+'19'!AL24+'20'!AL24+'21'!AL24+'22'!AL24+'23'!AL24</f>
        <v>0.42515868518241517</v>
      </c>
      <c r="V18" s="25">
        <f t="shared" si="5"/>
        <v>81.154530289326772</v>
      </c>
      <c r="W18" s="16">
        <f t="shared" si="6"/>
        <v>1112.8508829020006</v>
      </c>
      <c r="X18" s="9">
        <f t="shared" si="20"/>
        <v>5.5459771898778154E-2</v>
      </c>
      <c r="Y18" s="16">
        <f>((M18+N18)*re!$D$2/re!$C$2+O18*re!$D$3/re!$C$3+P18*re!$D$4/re!$C$4+T18*re!$D$5/re!$C$5+U18*re!$D$6/re!$C$6)</f>
        <v>1888.8496866684538</v>
      </c>
      <c r="Z18">
        <f t="shared" si="18"/>
        <v>145.72840199352515</v>
      </c>
      <c r="AA18">
        <f>((Y18*277.8)/(re!$B$10*8760))*re!$C$10</f>
        <v>82.620444490079763</v>
      </c>
      <c r="AB18">
        <f>((Y18*277.8)/(re!$B$11*8760))*re!$C$11</f>
        <v>30.717857566824524</v>
      </c>
      <c r="AC18">
        <f>((Y18*277.8)/(re!$B$12*8760))*re!$C$12</f>
        <v>11.092559676908856</v>
      </c>
      <c r="AD18">
        <f>((Y18*277.8)/(re!$B$13*8760))*re!$C$13</f>
        <v>3.2554251225710775</v>
      </c>
      <c r="AE18">
        <f>((Y18*277.8)/(re!$B$14*8760))*re!$C$14</f>
        <v>18.042115137140911</v>
      </c>
      <c r="AF18">
        <f>SUM('1'!AD24:AL24)+'1'!AA24</f>
        <v>177.86460757904527</v>
      </c>
      <c r="AG18">
        <f>SUM('2'!AD24:AL24)+'2'!AA24</f>
        <v>3.5227157392650348</v>
      </c>
      <c r="AH18">
        <f>SUM('3'!AD24:AL24)+'3'!AA24</f>
        <v>15.342415640024017</v>
      </c>
      <c r="AI18">
        <f>SUM('4'!AD24:AL24)+'4'!AA24</f>
        <v>1.1586979405599978</v>
      </c>
      <c r="AJ18">
        <f>SUM('5'!AD24:AL24)+'5'!AA24</f>
        <v>6.8752517681120153</v>
      </c>
      <c r="AK18">
        <f>SUM('6'!AD24:AL24)+'6'!AA24</f>
        <v>174.32779051586206</v>
      </c>
      <c r="AL18">
        <f>SUM('7'!AD24:AL24)+'7'!AA24</f>
        <v>157.06159085910735</v>
      </c>
      <c r="AM18">
        <f>SUM('8'!AD24:AL24)+'8'!AA24</f>
        <v>325.47043374174206</v>
      </c>
      <c r="AN18">
        <f>SUM('9'!AD24:AL24)+'9'!AA24</f>
        <v>85.844368027867887</v>
      </c>
      <c r="AO18">
        <f>SUM('10'!AD24:AL24)+'10'!AA24</f>
        <v>6.1678140856071355</v>
      </c>
      <c r="AP18">
        <f>SUM('11'!AD24:AL24)+'11'!AA24</f>
        <v>8.1149236100011386</v>
      </c>
      <c r="AQ18">
        <f>SUM('12'!AD24:AL24)+'12'!AA24</f>
        <v>2.4930716103341788</v>
      </c>
      <c r="AR18">
        <f>SUM('13'!AD24:AL24)+'13'!AA24</f>
        <v>7.2537962691939404</v>
      </c>
      <c r="AS18">
        <f>SUM('14'!AD24:AL24)+'14'!AA24</f>
        <v>6.2745888731142934</v>
      </c>
      <c r="AT18">
        <f>SUM('15'!AD24:AL24)+'15'!AA24</f>
        <v>76.270404899999619</v>
      </c>
      <c r="AU18">
        <f>SUM('16'!AD24:AL24)+'16'!AA24</f>
        <v>30.872711766694167</v>
      </c>
      <c r="AV18">
        <f>SUM('17'!AD24:AL24)+'17'!AA24</f>
        <v>52.542134300751812</v>
      </c>
      <c r="AW18">
        <f>SUM('18'!AD24:AL24)+'18'!AA24</f>
        <v>13.121315015621747</v>
      </c>
      <c r="AX18">
        <f>SUM('19'!AD24:AL24)+'19'!AA24</f>
        <v>33.759729587621514</v>
      </c>
      <c r="AY18">
        <f>SUM('20'!AD24:AL24)+'20'!AA24</f>
        <v>2.2125769740282522</v>
      </c>
      <c r="AZ18">
        <f>SUM('21'!AD24:AL24)+'21'!AA24</f>
        <v>0.19863600873552995</v>
      </c>
      <c r="BA18">
        <f>SUM('22'!AD24:AL24)+'22'!AA24</f>
        <v>0.63263583929451861</v>
      </c>
      <c r="BB18">
        <f>SUM('23'!AD24:AL24)+'23'!AA24</f>
        <v>6.6232025387442244</v>
      </c>
      <c r="BC18">
        <f>('1'!D24+'2'!D24+'3'!D24+'4'!D24+'5'!D24+'6'!D24+'7'!D24+'8'!D24+'9'!D24+'10'!D24+'12'!D24+'13'!D24+'14'!D24+'15'!D24+'16'!D24+'17'!D24+'18'!D24+'19'!D24+'20'!D24+'21'!D24+'22'!D24+'23'!D24)/('1'!D23+'2'!D23+'3'!D23+'4'!D23+'5'!D23+'6'!D23+'7'!D23+'8'!D23+'9'!D23+'10'!D23+'12'!D23+'13'!D23+'14'!D23+'15'!D23+'16'!D23+'17'!D23+'18'!D23+'19'!D23+'20'!D23+'21'!D23+'22'!D23+'23'!D23)-1</f>
        <v>8.7777119450050289E-2</v>
      </c>
      <c r="BD18">
        <f>('1'!E24+'2'!E24+'3'!E24+'4'!E24+'5'!E24+'6'!E24+'7'!E24+'8'!E24+'9'!E24+'10'!E24+'12'!E24+'13'!E24+'14'!E24+'15'!E24+'16'!E24+'17'!E24+'18'!E24+'19'!E24+'20'!E24+'21'!E24+'22'!E24+'23'!E24)/('1'!E23+'2'!E23+'3'!E23+'4'!E23+'5'!E23+'6'!E23+'7'!E23+'8'!E23+'9'!E23+'10'!E23+'12'!E23+'13'!E23+'14'!E23+'15'!E23+'16'!E23+'17'!E23+'18'!E23+'19'!E23+'20'!E23+'21'!E23+'22'!E23+'23'!E23)-1</f>
        <v>8.7777119450050067E-2</v>
      </c>
      <c r="BE18">
        <f>('1'!F24+'2'!F24+'3'!F24+'4'!F24+'5'!F24+'6'!F24+'7'!F24+'8'!F24+'9'!F24+'10'!F24+'12'!F24+'13'!F24+'14'!F24+'15'!F24+'16'!F24+'17'!F24+'18'!F24+'19'!F24+'20'!F24+'21'!F24+'22'!F24+'23'!F24)/('1'!F23+'2'!F23+'3'!F23+'4'!F23+'5'!F23+'6'!F23+'7'!F23+'8'!F23+'9'!F23+'10'!F23+'12'!F23+'13'!F23+'14'!F23+'15'!F23+'16'!F23+'17'!F23+'18'!F23+'19'!F23+'20'!F23+'21'!F23+'22'!F23+'23'!F23)-1</f>
        <v>8.905757284460103E-2</v>
      </c>
      <c r="BF18">
        <f t="shared" si="19"/>
        <v>5.5459771898778154E-2</v>
      </c>
      <c r="BG18">
        <v>2041</v>
      </c>
      <c r="BH18" s="59">
        <f>BH17+($BH$27-$BH$17)/10</f>
        <v>0.67200000000000004</v>
      </c>
      <c r="BI18" s="2">
        <f t="shared" si="34"/>
        <v>0.80200000000000005</v>
      </c>
      <c r="BJ18" s="2">
        <f t="shared" si="21"/>
        <v>0.13</v>
      </c>
      <c r="BK18" t="e">
        <f>'2 (RU)'!AB24+'6 (RU)'!AB24+'7 (RU)'!AB24+'9 (RU)'!AB24+'11 (RU)'!AB24+'12 (RU)'!AB24+'13 (RU)'!AB24+'16 (RU)'!AB24+'17 (RU)'!AB24+'18 (RU)'!AB24+'22 (RU)'!AB24</f>
        <v>#DIV/0!</v>
      </c>
      <c r="BL18" t="e">
        <f>'1 (RU)'!AB24+'2 (RU)'!AC24+'5 (RU)'!AB24+'6 (RU)'!AC24+'7 (RU)'!AC24+'9 (RU)'!AC24+'11 (RU)'!AC24+'12 (RU)'!AC24+'13 (RU)'!AC24+'15 (RU)'!AB24+'16 (RU)'!AC24+'17 (RU)'!AC24+'18 (RU)'!AC24+'19 (RU)'!AB24+'22 (RU)'!AC24</f>
        <v>#DIV/0!</v>
      </c>
      <c r="BN18" t="e">
        <f>'3 (RU)'!AB24+'4 (RU)'!AB24+'10 (RU)'!AB24+'20 (RU)'!AB24+'21 (RU)'!AB24+'23 (RU)'!AB24</f>
        <v>#DIV/0!</v>
      </c>
      <c r="BO18" t="e">
        <f>'8 (RU)'!AB24+'14 (RU)'!AB24</f>
        <v>#DIV/0!</v>
      </c>
      <c r="BP18" t="e">
        <f>'1 (RU)'!AD24+'2 (RU)'!AD24+'3 (RU)'!AD24+'4 (RU)'!AD24+'5 (RU)'!AD24+'6 (RU)'!AD24+'7 (RU)'!AD24+'8 (RU)'!AD24+'9 (RU)'!AD24+'10 (RU)'!AD24+'11 (RU)'!AD24+'12 (RU)'!AD24+'13 (RU)'!AD24+'14 (RU)'!AD24+'15 (RU)'!AD24+'16 (RU)'!AD24+'17 (RU)'!AD24+'18 (RU)'!AD24+'19 (RU)'!AD24+'20 (RU)'!AD24+'21 (RU)'!AD24+'22 (RU)'!AD24+'23 (RU)'!AD24</f>
        <v>#DIV/0!</v>
      </c>
      <c r="BQ18" t="e">
        <f>'1 (RU)'!AE24+'2 (RU)'!AE24+'3 (RU)'!AE24+'4 (RU)'!AE24+'5 (RU)'!AE24+'6 (RU)'!AE24+'7 (RU)'!AE24+'8 (RU)'!AE24+'9 (RU)'!AE24+'10 (RU)'!AE24+'11 (RU)'!AE24+'12 (RU)'!AE24+'13 (RU)'!AE24+'14 (RU)'!AE24+'15 (RU)'!AE24+'16 (RU)'!AE24+'17 (RU)'!AE24+'18 (RU)'!AE24+'19 (RU)'!AE24+'20 (RU)'!AE24+'21 (RU)'!AE24+'22 (RU)'!AE24+'23 (RU)'!AE24</f>
        <v>#DIV/0!</v>
      </c>
      <c r="BR18" t="e">
        <f>'1 (RU)'!AF24+'2 (RU)'!AF24+'3 (RU)'!AF24+'4 (RU)'!AF24+'5 (RU)'!AF24+'6 (RU)'!AF24+'7 (RU)'!AF24+'8 (RU)'!AF24+'9 (RU)'!AF24+'10 (RU)'!AF24+'11 (RU)'!AF24+'12 (RU)'!AF24+'13 (RU)'!AF24+'14 (RU)'!AF24+'15 (RU)'!AF24+'16 (RU)'!AF24+'17 (RU)'!AF24+'18 (RU)'!AF24+'19 (RU)'!AF24+'20 (RU)'!AF24+'21 (RU)'!AF24+'22 (RU)'!AF24+'23 (RU)'!AF24</f>
        <v>#DIV/0!</v>
      </c>
      <c r="BS18" t="e">
        <f>'1 (RU)'!AG24+'2 (RU)'!AG24+'3 (RU)'!AG24+'4 (RU)'!AG24+'5 (RU)'!AG24+'6 (RU)'!AG24+'7 (RU)'!AG24+'8 (RU)'!AG24+'9 (RU)'!AG24+'10 (RU)'!AG24+'11 (RU)'!AG24+'12 (RU)'!AG24+'13 (RU)'!AG24+'14 (RU)'!AG24+'15 (RU)'!AG24+'16 (RU)'!AG24+'17 (RU)'!AG24+'18 (RU)'!AG24+'19 (RU)'!AG24+'20 (RU)'!AG24+'21 (RU)'!AG24+'22 (RU)'!AG24+'23 (RU)'!AG24</f>
        <v>#DIV/0!</v>
      </c>
      <c r="BT18" t="e">
        <f>'1 (RU)'!AH24+'2 (RU)'!AH24+'3 (RU)'!AH24+'4 (RU)'!AH24+'5 (RU)'!AH24+'6 (RU)'!AH24+'7 (RU)'!AH24+'8 (RU)'!AH24+'9 (RU)'!AH24+'10 (RU)'!AH24+'11 (RU)'!AH24+'12 (RU)'!AH24+'13 (RU)'!AH24+'14 (RU)'!AH24+'15 (RU)'!AH24+'16 (RU)'!AH24+'17 (RU)'!AH24+'18 (RU)'!AH24+'19 (RU)'!AH24+'20 (RU)'!AH24+'21 (RU)'!AH24+'22 (RU)'!AH24+'23 (RU)'!AH24</f>
        <v>#DIV/0!</v>
      </c>
      <c r="BU18" t="e">
        <f>'1 (RU)'!AI24+'2 (RU)'!AI24+'3 (RU)'!AI24+'4 (RU)'!AI24+'5 (RU)'!AI24+'6 (RU)'!AI24+'7 (RU)'!AI24+'8 (RU)'!AI24+'9 (RU)'!AI24+'10 (RU)'!AI24+'11 (RU)'!AI24+'12 (RU)'!AI24+'13 (RU)'!AI24+'14 (RU)'!AI24+'15 (RU)'!AI24+'16 (RU)'!AI24+'17 (RU)'!AI24+'18 (RU)'!AI24+'19 (RU)'!AI24+'20 (RU)'!AI24+'21 (RU)'!AI24+'22 (RU)'!AI24+'23 (RU)'!AI24</f>
        <v>#DIV/0!</v>
      </c>
      <c r="BV18" t="e">
        <f>'1 (RU)'!AJ24+'2 (RU)'!AJ24+'3 (RU)'!AJ24+'4 (RU)'!AJ24+'5 (RU)'!AJ24+'6 (RU)'!AJ24+'7 (RU)'!AJ24+'8 (RU)'!AJ24+'9 (RU)'!AJ24+'10 (RU)'!AJ24+'11 (RU)'!AJ24+'12 (RU)'!AJ24+'13 (RU)'!AJ24+'14 (RU)'!AJ24+'15 (RU)'!AJ24+'16 (RU)'!AJ24+'17 (RU)'!AJ24+'18 (RU)'!AJ24+'19 (RU)'!AJ24+'20 (RU)'!AJ24+'21 (RU)'!AJ24+'22 (RU)'!AJ24+'23 (RU)'!AJ24</f>
        <v>#DIV/0!</v>
      </c>
      <c r="BW18" t="e">
        <f>'1 (RU)'!AK24+'2 (RU)'!AK24+'3 (RU)'!AK24+'4 (RU)'!AK24+'5 (RU)'!AK24+'6 (RU)'!AK24+'7 (RU)'!AK24+'8 (RU)'!AK24+'9 (RU)'!AK24+'10 (RU)'!AK24+'11 (RU)'!AK24+'12 (RU)'!AK24+'13 (RU)'!AK24+'14 (RU)'!AK24+'15 (RU)'!AK24+'16 (RU)'!AK24+'17 (RU)'!AK24+'18 (RU)'!AK24+'19 (RU)'!AK24+'20 (RU)'!AK24+'21 (RU)'!AK24+'22 (RU)'!AK24+'23 (RU)'!AK24</f>
        <v>#DIV/0!</v>
      </c>
      <c r="BX18" t="e">
        <f>'1 (RU)'!AL24+'2 (RU)'!AL24+'3 (RU)'!AL24+'4 (RU)'!AL24+'5 (RU)'!AL24+'6 (RU)'!AL24+'7 (RU)'!AL24+'8 (RU)'!AL24+'9 (RU)'!AL24+'10 (RU)'!AL24+'11 (RU)'!AL24+'12 (RU)'!AL24+'13 (RU)'!AL24+'14 (RU)'!AL24+'15 (RU)'!AL24+'16 (RU)'!AL24+'17 (RU)'!AL24+'18 (RU)'!AL24+'19 (RU)'!AL24+'20 (RU)'!AL24+'21 (RU)'!AL24+'22 (RU)'!AL24+'23 (RU)'!AL24</f>
        <v>#DIV/0!</v>
      </c>
      <c r="BY18" s="25" t="e">
        <f t="shared" si="7"/>
        <v>#DIV/0!</v>
      </c>
      <c r="BZ18" s="16" t="e">
        <f t="shared" si="8"/>
        <v>#DIV/0!</v>
      </c>
      <c r="CC18" t="e">
        <f>VLOOKUP(CC$1,emissions!$A$2:$B$5,2,FALSE)*BK18</f>
        <v>#DIV/0!</v>
      </c>
      <c r="CD18" t="e">
        <f>VLOOKUP(CD$1,emissions!$A$2:$B$5,2,FALSE)*BL18</f>
        <v>#DIV/0!</v>
      </c>
      <c r="CF18" t="e">
        <f>VLOOKUP(CF$1,emissions!$A$2:$B$5,2,FALSE)*BN18</f>
        <v>#DIV/0!</v>
      </c>
      <c r="CG18" t="e">
        <f>VLOOKUP(CG$1,emissions!$A$2:$B$5,2,FALSE)*BO18</f>
        <v>#DIV/0!</v>
      </c>
      <c r="CH18" t="e">
        <f>BP18*(emissions!$D$3*production!$B$4+emissions!$D$4*production!$C$4+emissions!$D$5*production!$D$4+emissions!$D$6*production!$E$4)</f>
        <v>#DIV/0!</v>
      </c>
      <c r="CI18" t="e">
        <f>BQ18*(emissions!$D$3*production!$B$4+emissions!$D$4*production!$C$4+emissions!$D$5*production!$D$4+emissions!$D$6*production!$E$4)</f>
        <v>#DIV/0!</v>
      </c>
      <c r="CJ18" t="e">
        <f>BR18*(emissions!$D$8*production!$B$6+emissions!$D$9*production!$C$6+emissions!$D$10*production!$D$6)</f>
        <v>#DIV/0!</v>
      </c>
      <c r="CK18" t="e">
        <f>BS18*(emissions!$D$12*production!$B$8+emissions!$D$13*production!$C$8+emissions!$D$14*production!$D$8)</f>
        <v>#DIV/0!</v>
      </c>
      <c r="CL18" t="e">
        <f>BT18*(emissions!$D$16*production!$B$10+production!$C$10*emissions!$D$17)</f>
        <v>#DIV/0!</v>
      </c>
      <c r="CM18" t="e">
        <f>BU18*(emissions!$D$19*production!$B$12+production!$C$12*emissions!$D$20+emissions!$D$21*production!$D$12)</f>
        <v>#DIV/0!</v>
      </c>
      <c r="CN18" t="e">
        <f>BV18*(emissions!$D$23*production!$B$14+production!$C$14*emissions!$D$24+emissions!$D$25*production!$D$14)</f>
        <v>#DIV/0!</v>
      </c>
      <c r="CO18" t="e">
        <f>BW18*(emissions!$D$27*production!$B$16+production!$C$16*emissions!$D$28+production!$D$16*emissions!$D$29)</f>
        <v>#DIV/0!</v>
      </c>
      <c r="CP18">
        <v>0</v>
      </c>
      <c r="CS18" t="e">
        <f t="shared" si="9"/>
        <v>#DIV/0!</v>
      </c>
      <c r="CT18" s="40" t="e">
        <f t="shared" si="10"/>
        <v>#DIV/0!</v>
      </c>
      <c r="CU18" t="e">
        <f t="shared" si="0"/>
        <v>#DIV/0!</v>
      </c>
      <c r="CV18" t="e">
        <f t="shared" si="1"/>
        <v>#DIV/0!</v>
      </c>
      <c r="CW18">
        <f t="shared" si="2"/>
        <v>30.602399999999996</v>
      </c>
      <c r="CX18">
        <f t="shared" si="3"/>
        <v>18.473399999999994</v>
      </c>
      <c r="CY18" t="e">
        <f t="shared" si="11"/>
        <v>#DIV/0!</v>
      </c>
      <c r="CZ18" s="74" t="e">
        <f t="shared" si="12"/>
        <v>#DIV/0!</v>
      </c>
      <c r="DA18" t="e">
        <f t="shared" si="13"/>
        <v>#DIV/0!</v>
      </c>
      <c r="DB18" t="e">
        <f t="shared" si="14"/>
        <v>#DIV/0!</v>
      </c>
      <c r="DC18" s="34" t="e">
        <f t="shared" si="15"/>
        <v>#DIV/0!</v>
      </c>
      <c r="DD18">
        <v>2041</v>
      </c>
      <c r="DE18" t="e">
        <f t="shared" si="22"/>
        <v>#DIV/0!</v>
      </c>
      <c r="DF18" t="e">
        <f t="shared" si="23"/>
        <v>#DIV/0!</v>
      </c>
      <c r="DG18">
        <v>2041</v>
      </c>
      <c r="DH18" t="e">
        <f t="shared" si="24"/>
        <v>#DIV/0!</v>
      </c>
      <c r="DI18" t="e">
        <f t="shared" si="25"/>
        <v>#DIV/0!</v>
      </c>
      <c r="DJ18" t="e">
        <f t="shared" si="26"/>
        <v>#DIV/0!</v>
      </c>
      <c r="DK18" t="e">
        <f t="shared" si="27"/>
        <v>#DIV/0!</v>
      </c>
      <c r="DL18" t="e">
        <f t="shared" si="28"/>
        <v>#DIV/0!</v>
      </c>
      <c r="DM18" s="74" t="e">
        <f t="shared" si="29"/>
        <v>#DIV/0!</v>
      </c>
      <c r="DN18" s="75" t="e">
        <f t="shared" si="30"/>
        <v>#DIV/0!</v>
      </c>
      <c r="DO18" s="76" t="e">
        <f t="shared" si="31"/>
        <v>#DIV/0!</v>
      </c>
      <c r="DP18" s="78" t="e">
        <f t="shared" si="32"/>
        <v>#DIV/0!</v>
      </c>
      <c r="DQ18" s="70">
        <v>3998</v>
      </c>
      <c r="DR18" s="71">
        <v>29716</v>
      </c>
      <c r="DS18" s="71"/>
      <c r="DT18" s="71">
        <v>825</v>
      </c>
      <c r="DU18" s="71">
        <v>2811</v>
      </c>
      <c r="DV18">
        <f>DQ18*VLOOKUP(DQ$1,emissions!$A$2:$B$5,2,FALSE)</f>
        <v>583708</v>
      </c>
      <c r="DW18">
        <f>DR18*VLOOKUP(DR$1,emissions!$A$2:$B$5,2,FALSE)</f>
        <v>4338536</v>
      </c>
      <c r="DY18">
        <f>DT18*VLOOKUP(DT$1,emissions!$A$2:$B$5,2,FALSE)</f>
        <v>119625</v>
      </c>
      <c r="DZ18">
        <f>DU18*VLOOKUP(DU$1,emissions!$A$2:$B$5,2,FALSE)</f>
        <v>317643</v>
      </c>
      <c r="EA18">
        <f t="shared" si="16"/>
        <v>5359512</v>
      </c>
      <c r="EB18">
        <f t="shared" si="17"/>
        <v>143.49429718875501</v>
      </c>
      <c r="ED18" s="77" t="e">
        <f t="shared" si="4"/>
        <v>#DIV/0!</v>
      </c>
      <c r="EE18" s="34" t="e">
        <f>cost!$B$2*BK18</f>
        <v>#DIV/0!</v>
      </c>
      <c r="EF18" s="34" t="e">
        <f>cost!$B$3*BL18</f>
        <v>#DIV/0!</v>
      </c>
      <c r="EG18" s="34"/>
      <c r="EH18" s="34" t="e">
        <f>cost!$B$4*BN18</f>
        <v>#DIV/0!</v>
      </c>
      <c r="EI18" s="34" t="e">
        <f>cost!$B$5*$BO$2</f>
        <v>#DIV/0!</v>
      </c>
      <c r="EJ18" s="34" t="e">
        <f>BP18*(cost!$D$3*production!$B$4+production!$C$4*cost!$D$4+cost!$D$5*production!$D$4+production!$E$4*cost!$D$6)</f>
        <v>#DIV/0!</v>
      </c>
      <c r="EK18" s="34" t="e">
        <f>BQ18*(cost!$D$3*production!$B$4+production!$C$4*cost!$D$4+cost!$D$5*production!$D$4+production!$E$4*cost!$D$6)</f>
        <v>#DIV/0!</v>
      </c>
      <c r="EL18" s="34" t="e">
        <f>BR18*(cost!$D$8*production!$B$6+cost!$D$9*production!$C$6+$D$10*production!$D$6)</f>
        <v>#DIV/0!</v>
      </c>
      <c r="EM18" s="34" t="e">
        <f>BS18*(cost!$D$12*production!$B$8+cost!$D$13*production!$C$8+cost!$D$14*production!$D$8)</f>
        <v>#DIV/0!</v>
      </c>
      <c r="EN18" s="34" t="e">
        <f>BT18*(cost!$D$16*production!$B$10+production!$C$10*cost!$D$17)</f>
        <v>#DIV/0!</v>
      </c>
      <c r="EO18" s="34" t="e">
        <f>BU18*(cost!$D$19*production!$B$12+production!$C$12*cost!$D$20+cost!$D$21*production!$D$12)</f>
        <v>#DIV/0!</v>
      </c>
      <c r="EP18" s="34" t="e">
        <f>BV18*(cost!$D$23*production!$B$14+production!$C$14*cost!$D$24+cost!$D$25*production!$D$14)</f>
        <v>#DIV/0!</v>
      </c>
      <c r="EQ18" s="34" t="e">
        <f>BW18*(cost!$D$27*production!$B$16+production!$C$16*cost!$D$28+cost!$D$29*production!$D$16)</f>
        <v>#DIV/0!</v>
      </c>
      <c r="ER18" s="34" t="e">
        <f>BX18*(re!$H$10*re!$C$10+re!$H$11*re!$C$11+re!$H$12*re!$C$12+re!$H$13*re!$C$13+re!$H$14*re!$C$14)</f>
        <v>#DIV/0!</v>
      </c>
    </row>
    <row r="19" spans="1:148" x14ac:dyDescent="0.2">
      <c r="A19" s="84" t="s">
        <v>58</v>
      </c>
      <c r="B19" s="119">
        <f>R2</f>
        <v>0</v>
      </c>
      <c r="C19" s="119">
        <f>R27</f>
        <v>69.478626405504571</v>
      </c>
      <c r="D19" s="119">
        <f>R7</f>
        <v>4.1066144612421169</v>
      </c>
      <c r="E19" s="130">
        <f>R17</f>
        <v>52.273717872003445</v>
      </c>
      <c r="F19" s="119"/>
      <c r="G19">
        <v>2042</v>
      </c>
      <c r="H19" s="25">
        <f>'2'!AB25+'6'!AB25+'7'!AB25+'9'!AB25+'11'!AB25+'12'!AB25+'13'!AB25+'16'!AB25+'17'!AB25+'18'!AB25+'22'!AB25</f>
        <v>5.5757934830490319</v>
      </c>
      <c r="I19" s="16">
        <f>'1'!AB25+'2'!AC25+'5'!AB25+'6'!AC25+'7'!AC25+'9'!AC25+'11'!AC25+'12'!AC25+'13'!AC25+'15'!AB25+'16'!AC25+'17'!AC25+'18'!AC25+'19'!AB25+'22'!AC25</f>
        <v>36.260442431175612</v>
      </c>
      <c r="J19" s="16"/>
      <c r="K19" s="16">
        <f>'3'!AB25+'4'!AB25+'10'!AB25+'20'!AB25+'21'!AB25+'23'!AB25</f>
        <v>1.6041560687809953</v>
      </c>
      <c r="L19" s="16">
        <f>'8'!AB25+'14'!AB25</f>
        <v>14.762079805938814</v>
      </c>
      <c r="M19" s="16">
        <f>'1'!AD25+'2'!AD25+'3'!AD25+'4'!AD25+'5'!AD25+'6'!AD25+'7'!AD25+'8'!AD25+'9'!AD25+'10'!AD25+'11'!AD25+'12'!AD25+'13'!AD25+'14'!AD25+'15'!AD25+'16'!AD25+'17'!AD25+'18'!AD25+'19'!AD25+'20'!AD25+'21'!AD25+'22'!AD25+'23'!AD25</f>
        <v>190.12768962596317</v>
      </c>
      <c r="N19" s="16">
        <f>'1'!AE25+'2'!AE25+'3'!AE25+'4'!AE25+'5'!AE25+'6'!AE25+'7'!AE25+'8'!AE25+'9'!AE25+'10'!AE25+'11'!AE25+'12'!AE25+'13'!AE25+'14'!AE25+'15'!AE25+'16'!AE25+'17'!AE25+'18'!AE25+'19'!AE25+'20'!AE25+'21'!AE25+'22'!AE25+'23'!AE25</f>
        <v>11.270429012759216</v>
      </c>
      <c r="O19" s="16">
        <f>'1'!AF25+'2'!AF25+'3'!AF25+'4'!AF25+'5'!AF25+'6'!AF25+'7'!AF25+'8'!AF25+'9'!AF25+'10'!AF25+'11'!AF25+'12'!AF25+'13'!AF25+'14'!AF25+'15'!AF25+'16'!AF25+'17'!AF25+'18'!AF25+'19'!AF25+'20'!AF25+'21'!AF25+'22'!AF25+'23'!AF25</f>
        <v>364.07718836857345</v>
      </c>
      <c r="P19" s="16">
        <f>'1'!AG25+'2'!AG25+'3'!AG25+'4'!AG25+'5'!AG25+'6'!AG25+'7'!AG25+'8'!AG25+'9'!AG25+'10'!AG25+'11'!AG25+'12'!AG25+'13'!AG25+'14'!AG25+'15'!AG25+'16'!AG25+'17'!AG25+'18'!AG25+'19'!AG25+'20'!AG25+'21'!AG25+'22'!AG25+'23'!AG25</f>
        <v>331.55606696566224</v>
      </c>
      <c r="Q19" s="16">
        <f>'1'!AH25+'2'!AH25+'3'!AH25+'4'!AH25+'5'!AH25+'6'!AH25+'7'!AH25+'8'!AH25+'9'!AH25+'10'!AH25+'11'!AH25+'12'!AH25+'13'!AH25+'14'!AH25+'15'!AH25+'16'!AH25+'17'!AH25+'18'!AH25+'19'!AH25+'20'!AH25+'21'!AH25+'22'!AH25+'23'!AH25</f>
        <v>8.4342115714666104</v>
      </c>
      <c r="R19" s="16">
        <f>'1'!AI25+'2'!AI25+'3'!AI25+'4'!AI25+'5'!AI25+'6'!AI25+'7'!AI25+'8'!AI25+'9'!AI25+'10'!AI25+'11'!AI25+'12'!AI25+'13'!AI25+'14'!AI25+'15'!AI25+'16'!AI25+'17'!AI25+'18'!AI25+'19'!AI25+'20'!AI25+'21'!AI25+'22'!AI25+'23'!AI25</f>
        <v>57.525363134541024</v>
      </c>
      <c r="S19" s="16">
        <f>'1'!AJ25+'2'!AJ25+'3'!AJ25+'4'!AJ25+'5'!AJ25+'6'!AJ25+'7'!AJ25+'8'!AJ25+'9'!AJ25+'10'!AJ25+'11'!AJ25+'12'!AJ25+'13'!AJ25+'14'!AJ25+'15'!AJ25+'16'!AJ25+'17'!AJ25+'18'!AJ25+'19'!AJ25+'20'!AJ25+'21'!AJ25+'22'!AJ25+'23'!AJ25</f>
        <v>16.158287026878774</v>
      </c>
      <c r="T19" s="16">
        <f>'1'!AK25+'2'!AK25+'3'!AK25+'4'!AK25+'5'!AK25+'6'!AK25+'7'!AK25+'8'!AK25+'9'!AK25+'10'!AK25+'11'!AK25+'12'!AK25+'13'!AK25+'14'!AK25+'15'!AK25+'16'!AK25+'17'!AK25+'18'!AK25+'19'!AK25+'20'!AK25+'21'!AK25+'22'!AK25+'23'!AK25</f>
        <v>180.70393423910301</v>
      </c>
      <c r="U19" s="16">
        <f>'1'!AL25+'2'!AL25+'3'!AL25+'4'!AL25+'5'!AL25+'6'!AL25+'7'!AL25+'8'!AL25+'9'!AL25+'10'!AL25+'11'!AL25+'12'!AL25+'13'!AL25+'14'!AL25+'15'!AL25+'16'!AL25+'17'!AL25+'18'!AL25+'19'!AL25+'20'!AL25+'21'!AL25+'22'!AL25+'23'!AL25</f>
        <v>0.44391717315214629</v>
      </c>
      <c r="V19" s="25">
        <f t="shared" si="5"/>
        <v>58.20247178894445</v>
      </c>
      <c r="W19" s="16">
        <f t="shared" si="6"/>
        <v>1160.2970871180996</v>
      </c>
      <c r="X19" s="9">
        <f t="shared" si="20"/>
        <v>4.2634826413016524E-2</v>
      </c>
      <c r="Y19" s="16">
        <f>((M19+N19)*re!$D$2/re!$C$2+O19*re!$D$3/re!$C$3+P19*re!$D$4/re!$C$4+T19*re!$D$5/re!$C$5+U19*re!$D$6/re!$C$6)</f>
        <v>1969.4192826503192</v>
      </c>
      <c r="Z19">
        <f t="shared" si="18"/>
        <v>151.94450195879568</v>
      </c>
      <c r="AA19">
        <f>((Y19*277.8)/(re!$B$10*8760))*re!$C$10</f>
        <v>86.144650719612457</v>
      </c>
      <c r="AB19">
        <f>((Y19*277.8)/(re!$B$11*8760))*re!$C$11</f>
        <v>32.028139370112321</v>
      </c>
      <c r="AC19">
        <f>((Y19*277.8)/(re!$B$12*8760))*re!$C$12</f>
        <v>11.565716994762781</v>
      </c>
      <c r="AD19">
        <f>((Y19*277.8)/(re!$B$13*8760))*re!$C$13</f>
        <v>3.3942865093325554</v>
      </c>
      <c r="AE19">
        <f>((Y19*277.8)/(re!$B$14*8760))*re!$C$14</f>
        <v>18.811708364975612</v>
      </c>
      <c r="AF19">
        <f>SUM('1'!AD25:AL25)+'1'!AA25</f>
        <v>181.27321505745917</v>
      </c>
      <c r="AG19">
        <f>SUM('2'!AD25:AL25)+'2'!AA25</f>
        <v>3.5903167469266664</v>
      </c>
      <c r="AH19">
        <f>SUM('3'!AD25:AL25)+'3'!AA25</f>
        <v>15.668452962846716</v>
      </c>
      <c r="AI19">
        <f>SUM('4'!AD25:AL25)+'4'!AA25</f>
        <v>1.18370358838802</v>
      </c>
      <c r="AJ19">
        <f>SUM('5'!AD25:AL25)+'5'!AA25</f>
        <v>7.006028096194683</v>
      </c>
      <c r="AK19">
        <f>SUM('6'!AD25:AL25)+'6'!AA25</f>
        <v>177.56859162220249</v>
      </c>
      <c r="AL19">
        <f>SUM('7'!AD25:AL25)+'7'!AA25</f>
        <v>160.06917762102137</v>
      </c>
      <c r="AM19">
        <f>SUM('8'!AD25:AL25)+'8'!AA25</f>
        <v>333.2589827610642</v>
      </c>
      <c r="AN19">
        <f>SUM('9'!AD25:AL25)+'9'!AA25</f>
        <v>87.477240774336735</v>
      </c>
      <c r="AO19">
        <f>SUM('10'!AD25:AL25)+'10'!AA25</f>
        <v>6.2928653272516044</v>
      </c>
      <c r="AP19">
        <f>SUM('11'!AD25:AL25)+'11'!AA25</f>
        <v>8.2776834231851062</v>
      </c>
      <c r="AQ19">
        <f>SUM('12'!AD25:AL25)+'12'!AA25</f>
        <v>2.5430747759896315</v>
      </c>
      <c r="AR19">
        <f>SUM('13'!AD25:AL25)+'13'!AA25</f>
        <v>7.3992845796684215</v>
      </c>
      <c r="AS19">
        <f>SUM('14'!AD25:AL25)+'14'!AA25</f>
        <v>6.4151563370870281</v>
      </c>
      <c r="AT19">
        <f>SUM('15'!AD25:AL25)+'15'!AA25</f>
        <v>77.72116828010769</v>
      </c>
      <c r="AU19">
        <f>SUM('16'!AD25:AL25)+'16'!AA25</f>
        <v>31.491921144517107</v>
      </c>
      <c r="AV19">
        <f>SUM('17'!AD25:AL25)+'17'!AA25</f>
        <v>53.59596405615919</v>
      </c>
      <c r="AW19">
        <f>SUM('18'!AD25:AL25)+'18'!AA25</f>
        <v>13.384487274943877</v>
      </c>
      <c r="AX19">
        <f>SUM('19'!AD25:AL25)+'19'!AA25</f>
        <v>34.401884031042769</v>
      </c>
      <c r="AY19">
        <f>SUM('20'!AD25:AL25)+'20'!AA25</f>
        <v>2.2603261920670814</v>
      </c>
      <c r="AZ19">
        <f>SUM('21'!AD25:AL25)+'21'!AA25</f>
        <v>0.2027167339472456</v>
      </c>
      <c r="BA19">
        <f>SUM('22'!AD25:AL25)+'22'!AA25</f>
        <v>0.64466940473573786</v>
      </c>
      <c r="BB19">
        <f>SUM('23'!AD25:AL25)+'23'!AA25</f>
        <v>6.7726481159015863</v>
      </c>
      <c r="BC19">
        <f>('1'!D25+'2'!D25+'3'!D25+'4'!D25+'5'!D25+'6'!D25+'7'!D25+'8'!D25+'9'!D25+'10'!D25+'12'!D25+'13'!D25+'14'!D25+'15'!D25+'16'!D25+'17'!D25+'18'!D25+'19'!D25+'20'!D25+'21'!D25+'22'!D25+'23'!D25)/('1'!D24+'2'!D24+'3'!D24+'4'!D24+'5'!D24+'6'!D24+'7'!D24+'8'!D24+'9'!D24+'10'!D24+'12'!D24+'13'!D24+'14'!D24+'15'!D24+'16'!D24+'17'!D24+'18'!D24+'19'!D24+'20'!D24+'21'!D24+'22'!D24+'23'!D24)-1</f>
        <v>8.3371070823895499E-2</v>
      </c>
      <c r="BD19">
        <f>('1'!E25+'2'!E25+'3'!E25+'4'!E25+'5'!E25+'6'!E25+'7'!E25+'8'!E25+'9'!E25+'10'!E25+'12'!E25+'13'!E25+'14'!E25+'15'!E25+'16'!E25+'17'!E25+'18'!E25+'19'!E25+'20'!E25+'21'!E25+'22'!E25+'23'!E25)/('1'!E24+'2'!E24+'3'!E24+'4'!E24+'5'!E24+'6'!E24+'7'!E24+'8'!E24+'9'!E24+'10'!E24+'12'!E24+'13'!E24+'14'!E24+'15'!E24+'16'!E24+'17'!E24+'18'!E24+'19'!E24+'20'!E24+'21'!E24+'22'!E24+'23'!E24)-1</f>
        <v>8.3371070823896165E-2</v>
      </c>
      <c r="BE19">
        <f>('1'!F25+'2'!F25+'3'!F25+'4'!F25+'5'!F25+'6'!F25+'7'!F25+'8'!F25+'9'!F25+'10'!F25+'12'!F25+'13'!F25+'14'!F25+'15'!F25+'16'!F25+'17'!F25+'18'!F25+'19'!F25+'20'!F25+'21'!F25+'22'!F25+'23'!F25)/('1'!F24+'2'!F24+'3'!F24+'4'!F24+'5'!F24+'6'!F24+'7'!F24+'8'!F24+'9'!F24+'10'!F24+'12'!F24+'13'!F24+'14'!F24+'15'!F24+'16'!F24+'17'!F24+'18'!F24+'19'!F24+'20'!F24+'21'!F24+'22'!F24+'23'!F24)-1</f>
        <v>8.4785374732820884E-2</v>
      </c>
      <c r="BF19">
        <f t="shared" si="19"/>
        <v>4.2634826413016524E-2</v>
      </c>
      <c r="BG19">
        <v>2042</v>
      </c>
      <c r="BH19" s="59">
        <f t="shared" ref="BH19:BH26" si="35">BH18+($BH$27-$BH$17)/10</f>
        <v>0.69400000000000006</v>
      </c>
      <c r="BI19" s="2">
        <f t="shared" si="34"/>
        <v>0.82400000000000007</v>
      </c>
      <c r="BJ19" s="2">
        <f t="shared" si="21"/>
        <v>0.13</v>
      </c>
      <c r="BK19" t="e">
        <f>'2 (RU)'!AB25+'6 (RU)'!AB25+'7 (RU)'!AB25+'9 (RU)'!AB25+'11 (RU)'!AB25+'12 (RU)'!AB25+'13 (RU)'!AB25+'16 (RU)'!AB25+'17 (RU)'!AB25+'18 (RU)'!AB25+'22 (RU)'!AB25</f>
        <v>#DIV/0!</v>
      </c>
      <c r="BL19" t="e">
        <f>'1 (RU)'!AB25+'2 (RU)'!AC25+'5 (RU)'!AB25+'6 (RU)'!AC25+'7 (RU)'!AC25+'9 (RU)'!AC25+'11 (RU)'!AC25+'12 (RU)'!AC25+'13 (RU)'!AC25+'15 (RU)'!AB25+'16 (RU)'!AC25+'17 (RU)'!AC25+'18 (RU)'!AC25+'19 (RU)'!AB25+'22 (RU)'!AC25</f>
        <v>#DIV/0!</v>
      </c>
      <c r="BN19" t="e">
        <f>'3 (RU)'!AB25+'4 (RU)'!AB25+'10 (RU)'!AB25+'20 (RU)'!AB25+'21 (RU)'!AB25+'23 (RU)'!AB25</f>
        <v>#DIV/0!</v>
      </c>
      <c r="BO19" t="e">
        <f>'8 (RU)'!AB25+'14 (RU)'!AB25</f>
        <v>#DIV/0!</v>
      </c>
      <c r="BP19" t="e">
        <f>'1 (RU)'!AD25+'2 (RU)'!AD25+'3 (RU)'!AD25+'4 (RU)'!AD25+'5 (RU)'!AD25+'6 (RU)'!AD25+'7 (RU)'!AD25+'8 (RU)'!AD25+'9 (RU)'!AD25+'10 (RU)'!AD25+'11 (RU)'!AD25+'12 (RU)'!AD25+'13 (RU)'!AD25+'14 (RU)'!AD25+'15 (RU)'!AD25+'16 (RU)'!AD25+'17 (RU)'!AD25+'18 (RU)'!AD25+'19 (RU)'!AD25+'20 (RU)'!AD25+'21 (RU)'!AD25+'22 (RU)'!AD25+'23 (RU)'!AD25</f>
        <v>#DIV/0!</v>
      </c>
      <c r="BQ19" t="e">
        <f>'1 (RU)'!AE25+'2 (RU)'!AE25+'3 (RU)'!AE25+'4 (RU)'!AE25+'5 (RU)'!AE25+'6 (RU)'!AE25+'7 (RU)'!AE25+'8 (RU)'!AE25+'9 (RU)'!AE25+'10 (RU)'!AE25+'11 (RU)'!AE25+'12 (RU)'!AE25+'13 (RU)'!AE25+'14 (RU)'!AE25+'15 (RU)'!AE25+'16 (RU)'!AE25+'17 (RU)'!AE25+'18 (RU)'!AE25+'19 (RU)'!AE25+'20 (RU)'!AE25+'21 (RU)'!AE25+'22 (RU)'!AE25+'23 (RU)'!AE25</f>
        <v>#DIV/0!</v>
      </c>
      <c r="BR19" t="e">
        <f>'1 (RU)'!AF25+'2 (RU)'!AF25+'3 (RU)'!AF25+'4 (RU)'!AF25+'5 (RU)'!AF25+'6 (RU)'!AF25+'7 (RU)'!AF25+'8 (RU)'!AF25+'9 (RU)'!AF25+'10 (RU)'!AF25+'11 (RU)'!AF25+'12 (RU)'!AF25+'13 (RU)'!AF25+'14 (RU)'!AF25+'15 (RU)'!AF25+'16 (RU)'!AF25+'17 (RU)'!AF25+'18 (RU)'!AF25+'19 (RU)'!AF25+'20 (RU)'!AF25+'21 (RU)'!AF25+'22 (RU)'!AF25+'23 (RU)'!AF25</f>
        <v>#DIV/0!</v>
      </c>
      <c r="BS19" t="e">
        <f>'1 (RU)'!AG25+'2 (RU)'!AG25+'3 (RU)'!AG25+'4 (RU)'!AG25+'5 (RU)'!AG25+'6 (RU)'!AG25+'7 (RU)'!AG25+'8 (RU)'!AG25+'9 (RU)'!AG25+'10 (RU)'!AG25+'11 (RU)'!AG25+'12 (RU)'!AG25+'13 (RU)'!AG25+'14 (RU)'!AG25+'15 (RU)'!AG25+'16 (RU)'!AG25+'17 (RU)'!AG25+'18 (RU)'!AG25+'19 (RU)'!AG25+'20 (RU)'!AG25+'21 (RU)'!AG25+'22 (RU)'!AG25+'23 (RU)'!AG25</f>
        <v>#DIV/0!</v>
      </c>
      <c r="BT19" t="e">
        <f>'1 (RU)'!AH25+'2 (RU)'!AH25+'3 (RU)'!AH25+'4 (RU)'!AH25+'5 (RU)'!AH25+'6 (RU)'!AH25+'7 (RU)'!AH25+'8 (RU)'!AH25+'9 (RU)'!AH25+'10 (RU)'!AH25+'11 (RU)'!AH25+'12 (RU)'!AH25+'13 (RU)'!AH25+'14 (RU)'!AH25+'15 (RU)'!AH25+'16 (RU)'!AH25+'17 (RU)'!AH25+'18 (RU)'!AH25+'19 (RU)'!AH25+'20 (RU)'!AH25+'21 (RU)'!AH25+'22 (RU)'!AH25+'23 (RU)'!AH25</f>
        <v>#DIV/0!</v>
      </c>
      <c r="BU19" t="e">
        <f>'1 (RU)'!AI25+'2 (RU)'!AI25+'3 (RU)'!AI25+'4 (RU)'!AI25+'5 (RU)'!AI25+'6 (RU)'!AI25+'7 (RU)'!AI25+'8 (RU)'!AI25+'9 (RU)'!AI25+'10 (RU)'!AI25+'11 (RU)'!AI25+'12 (RU)'!AI25+'13 (RU)'!AI25+'14 (RU)'!AI25+'15 (RU)'!AI25+'16 (RU)'!AI25+'17 (RU)'!AI25+'18 (RU)'!AI25+'19 (RU)'!AI25+'20 (RU)'!AI25+'21 (RU)'!AI25+'22 (RU)'!AI25+'23 (RU)'!AI25</f>
        <v>#DIV/0!</v>
      </c>
      <c r="BV19" t="e">
        <f>'1 (RU)'!AJ25+'2 (RU)'!AJ25+'3 (RU)'!AJ25+'4 (RU)'!AJ25+'5 (RU)'!AJ25+'6 (RU)'!AJ25+'7 (RU)'!AJ25+'8 (RU)'!AJ25+'9 (RU)'!AJ25+'10 (RU)'!AJ25+'11 (RU)'!AJ25+'12 (RU)'!AJ25+'13 (RU)'!AJ25+'14 (RU)'!AJ25+'15 (RU)'!AJ25+'16 (RU)'!AJ25+'17 (RU)'!AJ25+'18 (RU)'!AJ25+'19 (RU)'!AJ25+'20 (RU)'!AJ25+'21 (RU)'!AJ25+'22 (RU)'!AJ25+'23 (RU)'!AJ25</f>
        <v>#DIV/0!</v>
      </c>
      <c r="BW19" t="e">
        <f>'1 (RU)'!AK25+'2 (RU)'!AK25+'3 (RU)'!AK25+'4 (RU)'!AK25+'5 (RU)'!AK25+'6 (RU)'!AK25+'7 (RU)'!AK25+'8 (RU)'!AK25+'9 (RU)'!AK25+'10 (RU)'!AK25+'11 (RU)'!AK25+'12 (RU)'!AK25+'13 (RU)'!AK25+'14 (RU)'!AK25+'15 (RU)'!AK25+'16 (RU)'!AK25+'17 (RU)'!AK25+'18 (RU)'!AK25+'19 (RU)'!AK25+'20 (RU)'!AK25+'21 (RU)'!AK25+'22 (RU)'!AK25+'23 (RU)'!AK25</f>
        <v>#DIV/0!</v>
      </c>
      <c r="BX19" t="e">
        <f>'1 (RU)'!AL25+'2 (RU)'!AL25+'3 (RU)'!AL25+'4 (RU)'!AL25+'5 (RU)'!AL25+'6 (RU)'!AL25+'7 (RU)'!AL25+'8 (RU)'!AL25+'9 (RU)'!AL25+'10 (RU)'!AL25+'11 (RU)'!AL25+'12 (RU)'!AL25+'13 (RU)'!AL25+'14 (RU)'!AL25+'15 (RU)'!AL25+'16 (RU)'!AL25+'17 (RU)'!AL25+'18 (RU)'!AL25+'19 (RU)'!AL25+'20 (RU)'!AL25+'21 (RU)'!AL25+'22 (RU)'!AL25+'23 (RU)'!AL25</f>
        <v>#DIV/0!</v>
      </c>
      <c r="BY19" s="25" t="e">
        <f t="shared" si="7"/>
        <v>#DIV/0!</v>
      </c>
      <c r="BZ19" s="16" t="e">
        <f t="shared" si="8"/>
        <v>#DIV/0!</v>
      </c>
      <c r="CC19" t="e">
        <f>VLOOKUP(CC$1,emissions!$A$2:$B$5,2,FALSE)*BK19</f>
        <v>#DIV/0!</v>
      </c>
      <c r="CD19" t="e">
        <f>VLOOKUP(CD$1,emissions!$A$2:$B$5,2,FALSE)*BL19</f>
        <v>#DIV/0!</v>
      </c>
      <c r="CF19" t="e">
        <f>VLOOKUP(CF$1,emissions!$A$2:$B$5,2,FALSE)*BN19</f>
        <v>#DIV/0!</v>
      </c>
      <c r="CG19" t="e">
        <f>VLOOKUP(CG$1,emissions!$A$2:$B$5,2,FALSE)*BO19</f>
        <v>#DIV/0!</v>
      </c>
      <c r="CH19" t="e">
        <f>BP19*(emissions!$D$3*production!$B$4+emissions!$D$4*production!$C$4+emissions!$D$5*production!$D$4+emissions!$D$6*production!$E$4)</f>
        <v>#DIV/0!</v>
      </c>
      <c r="CI19" t="e">
        <f>BQ19*(emissions!$D$3*production!$B$4+emissions!$D$4*production!$C$4+emissions!$D$5*production!$D$4+emissions!$D$6*production!$E$4)</f>
        <v>#DIV/0!</v>
      </c>
      <c r="CJ19" t="e">
        <f>BR19*(emissions!$D$8*production!$B$6+emissions!$D$9*production!$C$6+emissions!$D$10*production!$D$6)</f>
        <v>#DIV/0!</v>
      </c>
      <c r="CK19" t="e">
        <f>BS19*(emissions!$D$12*production!$B$8+emissions!$D$13*production!$C$8+emissions!$D$14*production!$D$8)</f>
        <v>#DIV/0!</v>
      </c>
      <c r="CL19" t="e">
        <f>BT19*(emissions!$D$16*production!$B$10+production!$C$10*emissions!$D$17)</f>
        <v>#DIV/0!</v>
      </c>
      <c r="CM19" t="e">
        <f>BU19*(emissions!$D$19*production!$B$12+production!$C$12*emissions!$D$20+emissions!$D$21*production!$D$12)</f>
        <v>#DIV/0!</v>
      </c>
      <c r="CN19" t="e">
        <f>BV19*(emissions!$D$23*production!$B$14+production!$C$14*emissions!$D$24+emissions!$D$25*production!$D$14)</f>
        <v>#DIV/0!</v>
      </c>
      <c r="CO19" t="e">
        <f>BW19*(emissions!$D$27*production!$B$16+production!$C$16*emissions!$D$28+production!$D$16*emissions!$D$29)</f>
        <v>#DIV/0!</v>
      </c>
      <c r="CP19">
        <v>0</v>
      </c>
      <c r="CS19" t="e">
        <f t="shared" si="9"/>
        <v>#DIV/0!</v>
      </c>
      <c r="CT19" s="40" t="e">
        <f t="shared" si="10"/>
        <v>#DIV/0!</v>
      </c>
      <c r="CU19" t="e">
        <f t="shared" si="0"/>
        <v>#DIV/0!</v>
      </c>
      <c r="CV19" t="e">
        <f t="shared" si="1"/>
        <v>#DIV/0!</v>
      </c>
      <c r="CW19">
        <f t="shared" si="2"/>
        <v>28.549799999999994</v>
      </c>
      <c r="CX19">
        <f t="shared" si="3"/>
        <v>16.420799999999993</v>
      </c>
      <c r="CY19" t="e">
        <f t="shared" si="11"/>
        <v>#DIV/0!</v>
      </c>
      <c r="CZ19" s="74" t="e">
        <f t="shared" si="12"/>
        <v>#DIV/0!</v>
      </c>
      <c r="DA19" t="e">
        <f t="shared" si="13"/>
        <v>#DIV/0!</v>
      </c>
      <c r="DB19" t="e">
        <f t="shared" si="14"/>
        <v>#DIV/0!</v>
      </c>
      <c r="DC19" s="34" t="e">
        <f t="shared" si="15"/>
        <v>#DIV/0!</v>
      </c>
      <c r="DD19">
        <v>2042</v>
      </c>
      <c r="DE19" t="e">
        <f t="shared" si="22"/>
        <v>#DIV/0!</v>
      </c>
      <c r="DF19" t="e">
        <f t="shared" si="23"/>
        <v>#DIV/0!</v>
      </c>
      <c r="DG19">
        <v>2042</v>
      </c>
      <c r="DH19" t="e">
        <f t="shared" si="24"/>
        <v>#DIV/0!</v>
      </c>
      <c r="DI19" t="e">
        <f t="shared" si="25"/>
        <v>#DIV/0!</v>
      </c>
      <c r="DJ19" t="e">
        <f t="shared" si="26"/>
        <v>#DIV/0!</v>
      </c>
      <c r="DK19" t="e">
        <f t="shared" si="27"/>
        <v>#DIV/0!</v>
      </c>
      <c r="DL19" t="e">
        <f t="shared" si="28"/>
        <v>#DIV/0!</v>
      </c>
      <c r="DM19" s="74" t="e">
        <f t="shared" si="29"/>
        <v>#DIV/0!</v>
      </c>
      <c r="DN19" s="75" t="e">
        <f t="shared" si="30"/>
        <v>#DIV/0!</v>
      </c>
      <c r="DO19" s="76" t="e">
        <f t="shared" si="31"/>
        <v>#DIV/0!</v>
      </c>
      <c r="DP19" s="78" t="e">
        <f t="shared" si="32"/>
        <v>#DIV/0!</v>
      </c>
      <c r="DQ19" s="70">
        <v>3575</v>
      </c>
      <c r="DR19" s="71">
        <v>30747</v>
      </c>
      <c r="DS19" s="71"/>
      <c r="DT19" s="71">
        <v>842</v>
      </c>
      <c r="DU19" s="71">
        <v>2867</v>
      </c>
      <c r="DV19">
        <f>DQ19*VLOOKUP(DQ$1,emissions!$A$2:$B$5,2,FALSE)</f>
        <v>521950</v>
      </c>
      <c r="DW19">
        <f>DR19*VLOOKUP(DR$1,emissions!$A$2:$B$5,2,FALSE)</f>
        <v>4489062</v>
      </c>
      <c r="DY19">
        <f>DT19*VLOOKUP(DT$1,emissions!$A$2:$B$5,2,FALSE)</f>
        <v>122090</v>
      </c>
      <c r="DZ19">
        <f>DU19*VLOOKUP(DU$1,emissions!$A$2:$B$5,2,FALSE)</f>
        <v>323971</v>
      </c>
      <c r="EA19">
        <f t="shared" si="16"/>
        <v>5457073</v>
      </c>
      <c r="EB19">
        <f t="shared" si="17"/>
        <v>143.49012647576978</v>
      </c>
      <c r="ED19" s="77" t="e">
        <f t="shared" si="4"/>
        <v>#DIV/0!</v>
      </c>
      <c r="EE19" s="34" t="e">
        <f>cost!$B$2*BK19</f>
        <v>#DIV/0!</v>
      </c>
      <c r="EF19" s="34" t="e">
        <f>cost!$B$3*BL19</f>
        <v>#DIV/0!</v>
      </c>
      <c r="EG19" s="34"/>
      <c r="EH19" s="34" t="e">
        <f>cost!$B$4*BN19</f>
        <v>#DIV/0!</v>
      </c>
      <c r="EI19" s="34" t="e">
        <f>cost!$B$5*$BO$2</f>
        <v>#DIV/0!</v>
      </c>
      <c r="EJ19" s="34" t="e">
        <f>BP19*(cost!$D$3*production!$B$4+production!$C$4*cost!$D$4+cost!$D$5*production!$D$4+production!$E$4*cost!$D$6)</f>
        <v>#DIV/0!</v>
      </c>
      <c r="EK19" s="34" t="e">
        <f>BQ19*(cost!$D$3*production!$B$4+production!$C$4*cost!$D$4+cost!$D$5*production!$D$4+production!$E$4*cost!$D$6)</f>
        <v>#DIV/0!</v>
      </c>
      <c r="EL19" s="34" t="e">
        <f>BR19*(cost!$D$8*production!$B$6+cost!$D$9*production!$C$6+$D$10*production!$D$6)</f>
        <v>#DIV/0!</v>
      </c>
      <c r="EM19" s="34" t="e">
        <f>BS19*(cost!$D$12*production!$B$8+cost!$D$13*production!$C$8+cost!$D$14*production!$D$8)</f>
        <v>#DIV/0!</v>
      </c>
      <c r="EN19" s="34" t="e">
        <f>BT19*(cost!$D$16*production!$B$10+production!$C$10*cost!$D$17)</f>
        <v>#DIV/0!</v>
      </c>
      <c r="EO19" s="34" t="e">
        <f>BU19*(cost!$D$19*production!$B$12+production!$C$12*cost!$D$20+cost!$D$21*production!$D$12)</f>
        <v>#DIV/0!</v>
      </c>
      <c r="EP19" s="34" t="e">
        <f>BV19*(cost!$D$23*production!$B$14+production!$C$14*cost!$D$24+cost!$D$25*production!$D$14)</f>
        <v>#DIV/0!</v>
      </c>
      <c r="EQ19" s="34" t="e">
        <f>BW19*(cost!$D$27*production!$B$16+production!$C$16*cost!$D$28+cost!$D$29*production!$D$16)</f>
        <v>#DIV/0!</v>
      </c>
      <c r="ER19" s="34" t="e">
        <f>BX19*(re!$H$10*re!$C$10+re!$H$11*re!$C$11+re!$H$12*re!$C$12+re!$H$13*re!$C$13+re!$H$14*re!$C$14)</f>
        <v>#DIV/0!</v>
      </c>
    </row>
    <row r="20" spans="1:148" x14ac:dyDescent="0.2">
      <c r="A20" s="84" t="s">
        <v>59</v>
      </c>
      <c r="B20" s="119">
        <f>S2</f>
        <v>0</v>
      </c>
      <c r="C20" s="119">
        <f>S27</f>
        <v>19.35573177267397</v>
      </c>
      <c r="D20" s="119">
        <f>S7</f>
        <v>1.1679571832450251</v>
      </c>
      <c r="E20" s="130">
        <f>S17</f>
        <v>14.713688341067163</v>
      </c>
      <c r="F20" s="119"/>
      <c r="G20">
        <v>2043</v>
      </c>
      <c r="H20" s="25">
        <f>'2'!AB26+'6'!AB26+'7'!AB26+'9'!AB26+'11'!AB26+'12'!AB26+'13'!AB26+'16'!AB26+'17'!AB26+'18'!AB26+'22'!AB26</f>
        <v>3.962768876468822</v>
      </c>
      <c r="I20" s="16">
        <f>'1'!AB26+'2'!AC26+'5'!AB26+'6'!AC26+'7'!AC26+'9'!AC26+'11'!AC26+'12'!AC26+'13'!AC26+'15'!AB26+'16'!AC26+'17'!AC26+'18'!AC26+'19'!AB26+'22'!AC26</f>
        <v>26.771710663245429</v>
      </c>
      <c r="J20" s="16"/>
      <c r="K20" s="16">
        <f>'3'!AB26+'4'!AB26+'10'!AB26+'20'!AB26+'21'!AB26+'23'!AB26</f>
        <v>1.1810962104919487</v>
      </c>
      <c r="L20" s="16">
        <f>'8'!AB26+'14'!AB26</f>
        <v>10.866540565134919</v>
      </c>
      <c r="M20" s="16">
        <f>'1'!AD26+'2'!AD26+'3'!AD26+'4'!AD26+'5'!AD26+'6'!AD26+'7'!AD26+'8'!AD26+'9'!AD26+'10'!AD26+'11'!AD26+'12'!AD26+'13'!AD26+'14'!AD26+'15'!AD26+'16'!AD26+'17'!AD26+'18'!AD26+'19'!AD26+'20'!AD26+'21'!AD26+'22'!AD26+'23'!AD26</f>
        <v>196.61776457141082</v>
      </c>
      <c r="N20" s="16">
        <f>'1'!AE26+'2'!AE26+'3'!AE26+'4'!AE26+'5'!AE26+'6'!AE26+'7'!AE26+'8'!AE26+'9'!AE26+'10'!AE26+'11'!AE26+'12'!AE26+'13'!AE26+'14'!AE26+'15'!AE26+'16'!AE26+'17'!AE26+'18'!AE26+'19'!AE26+'20'!AE26+'21'!AE26+'22'!AE26+'23'!AE26</f>
        <v>11.654681270048613</v>
      </c>
      <c r="O20" s="16">
        <f>'1'!AF26+'2'!AF26+'3'!AF26+'4'!AF26+'5'!AF26+'6'!AF26+'7'!AF26+'8'!AF26+'9'!AF26+'10'!AF26+'11'!AF26+'12'!AF26+'13'!AF26+'14'!AF26+'15'!AF26+'16'!AF26+'17'!AF26+'18'!AF26+'19'!AF26+'20'!AF26+'21'!AF26+'22'!AF26+'23'!AF26</f>
        <v>376.48277801166455</v>
      </c>
      <c r="P20" s="16">
        <f>'1'!AG26+'2'!AG26+'3'!AG26+'4'!AG26+'5'!AG26+'6'!AG26+'7'!AG26+'8'!AG26+'9'!AG26+'10'!AG26+'11'!AG26+'12'!AG26+'13'!AG26+'14'!AG26+'15'!AG26+'16'!AG26+'17'!AG26+'18'!AG26+'19'!AG26+'20'!AG26+'21'!AG26+'22'!AG26+'23'!AG26</f>
        <v>342.89026760367631</v>
      </c>
      <c r="Q20" s="16">
        <f>'1'!AH26+'2'!AH26+'3'!AH26+'4'!AH26+'5'!AH26+'6'!AH26+'7'!AH26+'8'!AH26+'9'!AH26+'10'!AH26+'11'!AH26+'12'!AH26+'13'!AH26+'14'!AH26+'15'!AH26+'16'!AH26+'17'!AH26+'18'!AH26+'19'!AH26+'20'!AH26+'21'!AH26+'22'!AH26+'23'!AH26</f>
        <v>8.7127933328889018</v>
      </c>
      <c r="R20" s="16">
        <f>'1'!AI26+'2'!AI26+'3'!AI26+'4'!AI26+'5'!AI26+'6'!AI26+'7'!AI26+'8'!AI26+'9'!AI26+'10'!AI26+'11'!AI26+'12'!AI26+'13'!AI26+'14'!AI26+'15'!AI26+'16'!AI26+'17'!AI26+'18'!AI26+'19'!AI26+'20'!AI26+'21'!AI26+'22'!AI26+'23'!AI26</f>
        <v>59.489949166397707</v>
      </c>
      <c r="S20" s="16">
        <f>'1'!AJ26+'2'!AJ26+'3'!AJ26+'4'!AJ26+'5'!AJ26+'6'!AJ26+'7'!AJ26+'8'!AJ26+'9'!AJ26+'10'!AJ26+'11'!AJ26+'12'!AJ26+'13'!AJ26+'14'!AJ26+'15'!AJ26+'16'!AJ26+'17'!AJ26+'18'!AJ26+'19'!AJ26+'20'!AJ26+'21'!AJ26+'22'!AJ26+'23'!AJ26</f>
        <v>16.692798892169662</v>
      </c>
      <c r="T20" s="16">
        <f>'1'!AK26+'2'!AK26+'3'!AK26+'4'!AK26+'5'!AK26+'6'!AK26+'7'!AK26+'8'!AK26+'9'!AK26+'10'!AK26+'11'!AK26+'12'!AK26+'13'!AK26+'14'!AK26+'15'!AK26+'16'!AK26+'17'!AK26+'18'!AK26+'19'!AK26+'20'!AK26+'21'!AK26+'22'!AK26+'23'!AK26</f>
        <v>186.91959724934256</v>
      </c>
      <c r="U20" s="16">
        <f>'1'!AL26+'2'!AL26+'3'!AL26+'4'!AL26+'5'!AL26+'6'!AL26+'7'!AL26+'8'!AL26+'9'!AL26+'10'!AL26+'11'!AL26+'12'!AL26+'13'!AL26+'14'!AL26+'15'!AL26+'16'!AL26+'17'!AL26+'18'!AL26+'19'!AL26+'20'!AL26+'21'!AL26+'22'!AL26+'23'!AL26</f>
        <v>0.45972924337576815</v>
      </c>
      <c r="V20" s="25">
        <f t="shared" si="5"/>
        <v>42.782116315341113</v>
      </c>
      <c r="W20" s="16">
        <f t="shared" si="6"/>
        <v>1199.9203593409748</v>
      </c>
      <c r="X20" s="9">
        <f t="shared" si="20"/>
        <v>3.4149247346030975E-2</v>
      </c>
      <c r="Y20" s="16">
        <f>((M20+N20)*re!$D$2/re!$C$2+O20*re!$D$3/re!$C$3+P20*re!$D$4/re!$C$4+T20*re!$D$5/re!$C$5+U20*re!$D$6/re!$C$6)</f>
        <v>2036.713724655523</v>
      </c>
      <c r="Z20">
        <f t="shared" si="18"/>
        <v>157.13639815131984</v>
      </c>
      <c r="AA20">
        <f>((Y20*277.8)/(re!$B$10*8760))*re!$C$10</f>
        <v>89.088186539018167</v>
      </c>
      <c r="AB20">
        <f>((Y20*277.8)/(re!$B$11*8760))*re!$C$11</f>
        <v>33.122530892711879</v>
      </c>
      <c r="AC20">
        <f>((Y20*277.8)/(re!$B$12*8760))*re!$C$12</f>
        <v>11.960913933479288</v>
      </c>
      <c r="AD20">
        <f>((Y20*277.8)/(re!$B$13*8760))*re!$C$13</f>
        <v>3.5102682196080517</v>
      </c>
      <c r="AE20">
        <f>((Y20*277.8)/(re!$B$14*8760))*re!$C$14</f>
        <v>19.454498566502458</v>
      </c>
      <c r="AF20">
        <f>SUM('1'!AD26:AL26)+'1'!AA26</f>
        <v>184.73670503603361</v>
      </c>
      <c r="AG20">
        <f>SUM('2'!AD26:AL26)+'2'!AA26</f>
        <v>3.6571482712948131</v>
      </c>
      <c r="AH20">
        <f>SUM('3'!AD26:AL26)+'3'!AA26</f>
        <v>15.994951621317567</v>
      </c>
      <c r="AI20">
        <f>SUM('4'!AD26:AL26)+'4'!AA26</f>
        <v>1.2086276741110615</v>
      </c>
      <c r="AJ20">
        <f>SUM('5'!AD26:AL26)+'5'!AA26</f>
        <v>7.1356605551436543</v>
      </c>
      <c r="AK20">
        <f>SUM('6'!AD26:AL26)+'6'!AA26</f>
        <v>180.80357596125106</v>
      </c>
      <c r="AL20">
        <f>SUM('7'!AD26:AL26)+'7'!AA26</f>
        <v>163.04444059122929</v>
      </c>
      <c r="AM20">
        <f>SUM('8'!AD26:AL26)+'8'!AA26</f>
        <v>340.79191890277741</v>
      </c>
      <c r="AN20">
        <f>SUM('9'!AD26:AL26)+'9'!AA26</f>
        <v>89.095831175052894</v>
      </c>
      <c r="AO20">
        <f>SUM('10'!AD26:AL26)+'10'!AA26</f>
        <v>6.4199338806721071</v>
      </c>
      <c r="AP20">
        <f>SUM('11'!AD26:AL26)+'11'!AA26</f>
        <v>8.4394184989356837</v>
      </c>
      <c r="AQ20">
        <f>SUM('12'!AD26:AL26)+'12'!AA26</f>
        <v>2.5927631212073337</v>
      </c>
      <c r="AR20">
        <f>SUM('13'!AD26:AL26)+'13'!AA26</f>
        <v>7.5438568942656241</v>
      </c>
      <c r="AS20">
        <f>SUM('14'!AD26:AL26)+'14'!AA26</f>
        <v>6.5504148978982597</v>
      </c>
      <c r="AT20">
        <f>SUM('15'!AD26:AL26)+'15'!AA26</f>
        <v>79.159242181354173</v>
      </c>
      <c r="AU20">
        <f>SUM('16'!AD26:AL26)+'16'!AA26</f>
        <v>32.10723197382157</v>
      </c>
      <c r="AV20">
        <f>SUM('17'!AD26:AL26)+'17'!AA26</f>
        <v>54.643158888745916</v>
      </c>
      <c r="AW20">
        <f>SUM('18'!AD26:AL26)+'18'!AA26</f>
        <v>13.646002599054061</v>
      </c>
      <c r="AX20">
        <f>SUM('19'!AD26:AL26)+'19'!AA26</f>
        <v>35.038421703771142</v>
      </c>
      <c r="AY20">
        <f>SUM('20'!AD26:AL26)+'20'!AA26</f>
        <v>2.3079196642215725</v>
      </c>
      <c r="AZ20">
        <f>SUM('21'!AD26:AL26)+'21'!AA26</f>
        <v>0.20677487534560385</v>
      </c>
      <c r="BA20">
        <f>SUM('22'!AD26:AL26)+'22'!AA26</f>
        <v>0.65659771547009738</v>
      </c>
      <c r="BB20">
        <f>SUM('23'!AD26:AL26)+'23'!AA26</f>
        <v>6.9218789733414869</v>
      </c>
      <c r="BC20">
        <f>('1'!D26+'2'!D26+'3'!D26+'4'!D26+'5'!D26+'6'!D26+'7'!D26+'8'!D26+'9'!D26+'10'!D26+'12'!D26+'13'!D26+'14'!D26+'15'!D26+'16'!D26+'17'!D26+'18'!D26+'19'!D26+'20'!D26+'21'!D26+'22'!D26+'23'!D26)/('1'!D25+'2'!D25+'3'!D25+'4'!D25+'5'!D25+'6'!D25+'7'!D25+'8'!D25+'9'!D25+'10'!D25+'12'!D25+'13'!D25+'14'!D25+'15'!D25+'16'!D25+'17'!D25+'18'!D25+'19'!D25+'20'!D25+'21'!D25+'22'!D25+'23'!D25)-1</f>
        <v>7.9467118465005759E-2</v>
      </c>
      <c r="BD20">
        <f>('1'!E26+'2'!E26+'3'!E26+'4'!E26+'5'!E26+'6'!E26+'7'!E26+'8'!E26+'9'!E26+'10'!E26+'12'!E26+'13'!E26+'14'!E26+'15'!E26+'16'!E26+'17'!E26+'18'!E26+'19'!E26+'20'!E26+'21'!E26+'22'!E26+'23'!E26)/('1'!E25+'2'!E25+'3'!E25+'4'!E25+'5'!E25+'6'!E25+'7'!E25+'8'!E25+'9'!E25+'10'!E25+'12'!E25+'13'!E25+'14'!E25+'15'!E25+'16'!E25+'17'!E25+'18'!E25+'19'!E25+'20'!E25+'21'!E25+'22'!E25+'23'!E25)-1</f>
        <v>7.9467118465005315E-2</v>
      </c>
      <c r="BE20">
        <f>('1'!F26+'2'!F26+'3'!F26+'4'!F26+'5'!F26+'6'!F26+'7'!F26+'8'!F26+'9'!F26+'10'!F26+'12'!F26+'13'!F26+'14'!F26+'15'!F26+'16'!F26+'17'!F26+'18'!F26+'19'!F26+'20'!F26+'21'!F26+'22'!F26+'23'!F26)/('1'!F25+'2'!F25+'3'!F25+'4'!F25+'5'!F25+'6'!F25+'7'!F25+'8'!F25+'9'!F25+'10'!F25+'12'!F25+'13'!F25+'14'!F25+'15'!F25+'16'!F25+'17'!F25+'18'!F25+'19'!F25+'20'!F25+'21'!F25+'22'!F25+'23'!F25)-1</f>
        <v>8.1013795256228649E-2</v>
      </c>
      <c r="BF20">
        <f t="shared" si="19"/>
        <v>3.4149247346030975E-2</v>
      </c>
      <c r="BG20">
        <v>2043</v>
      </c>
      <c r="BH20" s="59">
        <f t="shared" si="35"/>
        <v>0.71600000000000008</v>
      </c>
      <c r="BI20" s="2">
        <f t="shared" si="34"/>
        <v>0.84600000000000009</v>
      </c>
      <c r="BJ20" s="2">
        <f t="shared" si="21"/>
        <v>0.13</v>
      </c>
      <c r="BK20" t="e">
        <f>'2 (RU)'!AB26+'6 (RU)'!AB26+'7 (RU)'!AB26+'9 (RU)'!AB26+'11 (RU)'!AB26+'12 (RU)'!AB26+'13 (RU)'!AB26+'16 (RU)'!AB26+'17 (RU)'!AB26+'18 (RU)'!AB26+'22 (RU)'!AB26</f>
        <v>#DIV/0!</v>
      </c>
      <c r="BL20" t="e">
        <f>'1 (RU)'!AB26+'2 (RU)'!AC26+'5 (RU)'!AB26+'6 (RU)'!AC26+'7 (RU)'!AC26+'9 (RU)'!AC26+'11 (RU)'!AC26+'12 (RU)'!AC26+'13 (RU)'!AC26+'15 (RU)'!AB26+'16 (RU)'!AC26+'17 (RU)'!AC26+'18 (RU)'!AC26+'19 (RU)'!AB26+'22 (RU)'!AC26</f>
        <v>#DIV/0!</v>
      </c>
      <c r="BN20" t="e">
        <f>'3 (RU)'!AB26+'4 (RU)'!AB26+'10 (RU)'!AB26+'20 (RU)'!AB26+'21 (RU)'!AB26+'23 (RU)'!AB26</f>
        <v>#DIV/0!</v>
      </c>
      <c r="BO20" t="e">
        <f>'8 (RU)'!AB26+'14 (RU)'!AB26</f>
        <v>#DIV/0!</v>
      </c>
      <c r="BP20" t="e">
        <f>'1 (RU)'!AD26+'2 (RU)'!AD26+'3 (RU)'!AD26+'4 (RU)'!AD26+'5 (RU)'!AD26+'6 (RU)'!AD26+'7 (RU)'!AD26+'8 (RU)'!AD26+'9 (RU)'!AD26+'10 (RU)'!AD26+'11 (RU)'!AD26+'12 (RU)'!AD26+'13 (RU)'!AD26+'14 (RU)'!AD26+'15 (RU)'!AD26+'16 (RU)'!AD26+'17 (RU)'!AD26+'18 (RU)'!AD26+'19 (RU)'!AD26+'20 (RU)'!AD26+'21 (RU)'!AD26+'22 (RU)'!AD26+'23 (RU)'!AD26</f>
        <v>#DIV/0!</v>
      </c>
      <c r="BQ20" t="e">
        <f>'1 (RU)'!AE26+'2 (RU)'!AE26+'3 (RU)'!AE26+'4 (RU)'!AE26+'5 (RU)'!AE26+'6 (RU)'!AE26+'7 (RU)'!AE26+'8 (RU)'!AE26+'9 (RU)'!AE26+'10 (RU)'!AE26+'11 (RU)'!AE26+'12 (RU)'!AE26+'13 (RU)'!AE26+'14 (RU)'!AE26+'15 (RU)'!AE26+'16 (RU)'!AE26+'17 (RU)'!AE26+'18 (RU)'!AE26+'19 (RU)'!AE26+'20 (RU)'!AE26+'21 (RU)'!AE26+'22 (RU)'!AE26+'23 (RU)'!AE26</f>
        <v>#DIV/0!</v>
      </c>
      <c r="BR20" t="e">
        <f>'1 (RU)'!AF26+'2 (RU)'!AF26+'3 (RU)'!AF26+'4 (RU)'!AF26+'5 (RU)'!AF26+'6 (RU)'!AF26+'7 (RU)'!AF26+'8 (RU)'!AF26+'9 (RU)'!AF26+'10 (RU)'!AF26+'11 (RU)'!AF26+'12 (RU)'!AF26+'13 (RU)'!AF26+'14 (RU)'!AF26+'15 (RU)'!AF26+'16 (RU)'!AF26+'17 (RU)'!AF26+'18 (RU)'!AF26+'19 (RU)'!AF26+'20 (RU)'!AF26+'21 (RU)'!AF26+'22 (RU)'!AF26+'23 (RU)'!AF26</f>
        <v>#DIV/0!</v>
      </c>
      <c r="BS20" t="e">
        <f>'1 (RU)'!AG26+'2 (RU)'!AG26+'3 (RU)'!AG26+'4 (RU)'!AG26+'5 (RU)'!AG26+'6 (RU)'!AG26+'7 (RU)'!AG26+'8 (RU)'!AG26+'9 (RU)'!AG26+'10 (RU)'!AG26+'11 (RU)'!AG26+'12 (RU)'!AG26+'13 (RU)'!AG26+'14 (RU)'!AG26+'15 (RU)'!AG26+'16 (RU)'!AG26+'17 (RU)'!AG26+'18 (RU)'!AG26+'19 (RU)'!AG26+'20 (RU)'!AG26+'21 (RU)'!AG26+'22 (RU)'!AG26+'23 (RU)'!AG26</f>
        <v>#DIV/0!</v>
      </c>
      <c r="BT20" t="e">
        <f>'1 (RU)'!AH26+'2 (RU)'!AH26+'3 (RU)'!AH26+'4 (RU)'!AH26+'5 (RU)'!AH26+'6 (RU)'!AH26+'7 (RU)'!AH26+'8 (RU)'!AH26+'9 (RU)'!AH26+'10 (RU)'!AH26+'11 (RU)'!AH26+'12 (RU)'!AH26+'13 (RU)'!AH26+'14 (RU)'!AH26+'15 (RU)'!AH26+'16 (RU)'!AH26+'17 (RU)'!AH26+'18 (RU)'!AH26+'19 (RU)'!AH26+'20 (RU)'!AH26+'21 (RU)'!AH26+'22 (RU)'!AH26+'23 (RU)'!AH26</f>
        <v>#DIV/0!</v>
      </c>
      <c r="BU20" t="e">
        <f>'1 (RU)'!AI26+'2 (RU)'!AI26+'3 (RU)'!AI26+'4 (RU)'!AI26+'5 (RU)'!AI26+'6 (RU)'!AI26+'7 (RU)'!AI26+'8 (RU)'!AI26+'9 (RU)'!AI26+'10 (RU)'!AI26+'11 (RU)'!AI26+'12 (RU)'!AI26+'13 (RU)'!AI26+'14 (RU)'!AI26+'15 (RU)'!AI26+'16 (RU)'!AI26+'17 (RU)'!AI26+'18 (RU)'!AI26+'19 (RU)'!AI26+'20 (RU)'!AI26+'21 (RU)'!AI26+'22 (RU)'!AI26+'23 (RU)'!AI26</f>
        <v>#DIV/0!</v>
      </c>
      <c r="BV20" t="e">
        <f>'1 (RU)'!AJ26+'2 (RU)'!AJ26+'3 (RU)'!AJ26+'4 (RU)'!AJ26+'5 (RU)'!AJ26+'6 (RU)'!AJ26+'7 (RU)'!AJ26+'8 (RU)'!AJ26+'9 (RU)'!AJ26+'10 (RU)'!AJ26+'11 (RU)'!AJ26+'12 (RU)'!AJ26+'13 (RU)'!AJ26+'14 (RU)'!AJ26+'15 (RU)'!AJ26+'16 (RU)'!AJ26+'17 (RU)'!AJ26+'18 (RU)'!AJ26+'19 (RU)'!AJ26+'20 (RU)'!AJ26+'21 (RU)'!AJ26+'22 (RU)'!AJ26+'23 (RU)'!AJ26</f>
        <v>#DIV/0!</v>
      </c>
      <c r="BW20" t="e">
        <f>'1 (RU)'!AK26+'2 (RU)'!AK26+'3 (RU)'!AK26+'4 (RU)'!AK26+'5 (RU)'!AK26+'6 (RU)'!AK26+'7 (RU)'!AK26+'8 (RU)'!AK26+'9 (RU)'!AK26+'10 (RU)'!AK26+'11 (RU)'!AK26+'12 (RU)'!AK26+'13 (RU)'!AK26+'14 (RU)'!AK26+'15 (RU)'!AK26+'16 (RU)'!AK26+'17 (RU)'!AK26+'18 (RU)'!AK26+'19 (RU)'!AK26+'20 (RU)'!AK26+'21 (RU)'!AK26+'22 (RU)'!AK26+'23 (RU)'!AK26</f>
        <v>#DIV/0!</v>
      </c>
      <c r="BX20" t="e">
        <f>'1 (RU)'!AL26+'2 (RU)'!AL26+'3 (RU)'!AL26+'4 (RU)'!AL26+'5 (RU)'!AL26+'6 (RU)'!AL26+'7 (RU)'!AL26+'8 (RU)'!AL26+'9 (RU)'!AL26+'10 (RU)'!AL26+'11 (RU)'!AL26+'12 (RU)'!AL26+'13 (RU)'!AL26+'14 (RU)'!AL26+'15 (RU)'!AL26+'16 (RU)'!AL26+'17 (RU)'!AL26+'18 (RU)'!AL26+'19 (RU)'!AL26+'20 (RU)'!AL26+'21 (RU)'!AL26+'22 (RU)'!AL26+'23 (RU)'!AL26</f>
        <v>#DIV/0!</v>
      </c>
      <c r="BY20" s="25" t="e">
        <f t="shared" si="7"/>
        <v>#DIV/0!</v>
      </c>
      <c r="BZ20" s="16" t="e">
        <f t="shared" si="8"/>
        <v>#DIV/0!</v>
      </c>
      <c r="CC20" t="e">
        <f>VLOOKUP(CC$1,emissions!$A$2:$B$5,2,FALSE)*BK20</f>
        <v>#DIV/0!</v>
      </c>
      <c r="CD20" t="e">
        <f>VLOOKUP(CD$1,emissions!$A$2:$B$5,2,FALSE)*BL20</f>
        <v>#DIV/0!</v>
      </c>
      <c r="CF20" t="e">
        <f>VLOOKUP(CF$1,emissions!$A$2:$B$5,2,FALSE)*BN20</f>
        <v>#DIV/0!</v>
      </c>
      <c r="CG20" t="e">
        <f>VLOOKUP(CG$1,emissions!$A$2:$B$5,2,FALSE)*BO20</f>
        <v>#DIV/0!</v>
      </c>
      <c r="CH20" t="e">
        <f>BP20*(emissions!$D$3*production!$B$4+emissions!$D$4*production!$C$4+emissions!$D$5*production!$D$4+emissions!$D$6*production!$E$4)</f>
        <v>#DIV/0!</v>
      </c>
      <c r="CI20" t="e">
        <f>BQ20*(emissions!$D$3*production!$B$4+emissions!$D$4*production!$C$4+emissions!$D$5*production!$D$4+emissions!$D$6*production!$E$4)</f>
        <v>#DIV/0!</v>
      </c>
      <c r="CJ20" t="e">
        <f>BR20*(emissions!$D$8*production!$B$6+emissions!$D$9*production!$C$6+emissions!$D$10*production!$D$6)</f>
        <v>#DIV/0!</v>
      </c>
      <c r="CK20" t="e">
        <f>BS20*(emissions!$D$12*production!$B$8+emissions!$D$13*production!$C$8+emissions!$D$14*production!$D$8)</f>
        <v>#DIV/0!</v>
      </c>
      <c r="CL20" t="e">
        <f>BT20*(emissions!$D$16*production!$B$10+production!$C$10*emissions!$D$17)</f>
        <v>#DIV/0!</v>
      </c>
      <c r="CM20" t="e">
        <f>BU20*(emissions!$D$19*production!$B$12+production!$C$12*emissions!$D$20+emissions!$D$21*production!$D$12)</f>
        <v>#DIV/0!</v>
      </c>
      <c r="CN20" t="e">
        <f>BV20*(emissions!$D$23*production!$B$14+production!$C$14*emissions!$D$24+emissions!$D$25*production!$D$14)</f>
        <v>#DIV/0!</v>
      </c>
      <c r="CO20" t="e">
        <f>BW20*(emissions!$D$27*production!$B$16+production!$C$16*emissions!$D$28+production!$D$16*emissions!$D$29)</f>
        <v>#DIV/0!</v>
      </c>
      <c r="CP20">
        <v>0</v>
      </c>
      <c r="CS20" t="e">
        <f t="shared" si="9"/>
        <v>#DIV/0!</v>
      </c>
      <c r="CT20" s="40" t="e">
        <f t="shared" si="10"/>
        <v>#DIV/0!</v>
      </c>
      <c r="CU20" t="e">
        <f t="shared" si="0"/>
        <v>#DIV/0!</v>
      </c>
      <c r="CV20" t="e">
        <f t="shared" si="1"/>
        <v>#DIV/0!</v>
      </c>
      <c r="CW20">
        <f t="shared" si="2"/>
        <v>26.497199999999992</v>
      </c>
      <c r="CX20">
        <f t="shared" si="3"/>
        <v>14.368199999999991</v>
      </c>
      <c r="CY20" t="e">
        <f t="shared" si="11"/>
        <v>#DIV/0!</v>
      </c>
      <c r="CZ20" s="74" t="e">
        <f t="shared" si="12"/>
        <v>#DIV/0!</v>
      </c>
      <c r="DA20" t="e">
        <f t="shared" si="13"/>
        <v>#DIV/0!</v>
      </c>
      <c r="DB20" t="e">
        <f t="shared" si="14"/>
        <v>#DIV/0!</v>
      </c>
      <c r="DC20" s="34" t="e">
        <f t="shared" si="15"/>
        <v>#DIV/0!</v>
      </c>
      <c r="DD20">
        <v>2043</v>
      </c>
      <c r="DE20" t="e">
        <f t="shared" si="22"/>
        <v>#DIV/0!</v>
      </c>
      <c r="DF20" t="e">
        <f t="shared" si="23"/>
        <v>#DIV/0!</v>
      </c>
      <c r="DG20">
        <v>2043</v>
      </c>
      <c r="DH20" t="e">
        <f t="shared" si="24"/>
        <v>#DIV/0!</v>
      </c>
      <c r="DI20" t="e">
        <f t="shared" si="25"/>
        <v>#DIV/0!</v>
      </c>
      <c r="DJ20" t="e">
        <f t="shared" si="26"/>
        <v>#DIV/0!</v>
      </c>
      <c r="DK20" t="e">
        <f t="shared" si="27"/>
        <v>#DIV/0!</v>
      </c>
      <c r="DL20" t="e">
        <f t="shared" si="28"/>
        <v>#DIV/0!</v>
      </c>
      <c r="DM20" s="74" t="e">
        <f t="shared" si="29"/>
        <v>#DIV/0!</v>
      </c>
      <c r="DN20" s="75" t="e">
        <f t="shared" si="30"/>
        <v>#DIV/0!</v>
      </c>
      <c r="DO20" s="76" t="e">
        <f t="shared" si="31"/>
        <v>#DIV/0!</v>
      </c>
      <c r="DP20" s="78" t="e">
        <f t="shared" si="32"/>
        <v>#DIV/0!</v>
      </c>
      <c r="DQ20" s="70">
        <v>3252</v>
      </c>
      <c r="DR20" s="71">
        <v>31691</v>
      </c>
      <c r="DS20" s="71"/>
      <c r="DT20" s="71">
        <v>858</v>
      </c>
      <c r="DU20" s="71">
        <v>2924</v>
      </c>
      <c r="DV20">
        <f>DQ20*VLOOKUP(DQ$1,emissions!$A$2:$B$5,2,FALSE)</f>
        <v>474792</v>
      </c>
      <c r="DW20">
        <f>DR20*VLOOKUP(DR$1,emissions!$A$2:$B$5,2,FALSE)</f>
        <v>4626886</v>
      </c>
      <c r="DY20">
        <f>DT20*VLOOKUP(DT$1,emissions!$A$2:$B$5,2,FALSE)</f>
        <v>124410</v>
      </c>
      <c r="DZ20">
        <f>DU20*VLOOKUP(DU$1,emissions!$A$2:$B$5,2,FALSE)</f>
        <v>330412</v>
      </c>
      <c r="EA20">
        <f t="shared" si="16"/>
        <v>5556500</v>
      </c>
      <c r="EB20">
        <f t="shared" si="17"/>
        <v>143.48612007746934</v>
      </c>
      <c r="ED20" s="77" t="e">
        <f t="shared" si="4"/>
        <v>#DIV/0!</v>
      </c>
      <c r="EE20" s="34" t="e">
        <f>cost!$B$2*BK20</f>
        <v>#DIV/0!</v>
      </c>
      <c r="EF20" s="34" t="e">
        <f>cost!$B$3*BL20</f>
        <v>#DIV/0!</v>
      </c>
      <c r="EG20" s="34"/>
      <c r="EH20" s="34" t="e">
        <f>cost!$B$4*BN20</f>
        <v>#DIV/0!</v>
      </c>
      <c r="EI20" s="34" t="e">
        <f>cost!$B$5*$BO$2</f>
        <v>#DIV/0!</v>
      </c>
      <c r="EJ20" s="34" t="e">
        <f>BP20*(cost!$D$3*production!$B$4+production!$C$4*cost!$D$4+cost!$D$5*production!$D$4+production!$E$4*cost!$D$6)</f>
        <v>#DIV/0!</v>
      </c>
      <c r="EK20" s="34" t="e">
        <f>BQ20*(cost!$D$3*production!$B$4+production!$C$4*cost!$D$4+cost!$D$5*production!$D$4+production!$E$4*cost!$D$6)</f>
        <v>#DIV/0!</v>
      </c>
      <c r="EL20" s="34" t="e">
        <f>BR20*(cost!$D$8*production!$B$6+cost!$D$9*production!$C$6+$D$10*production!$D$6)</f>
        <v>#DIV/0!</v>
      </c>
      <c r="EM20" s="34" t="e">
        <f>BS20*(cost!$D$12*production!$B$8+cost!$D$13*production!$C$8+cost!$D$14*production!$D$8)</f>
        <v>#DIV/0!</v>
      </c>
      <c r="EN20" s="34" t="e">
        <f>BT20*(cost!$D$16*production!$B$10+production!$C$10*cost!$D$17)</f>
        <v>#DIV/0!</v>
      </c>
      <c r="EO20" s="34" t="e">
        <f>BU20*(cost!$D$19*production!$B$12+production!$C$12*cost!$D$20+cost!$D$21*production!$D$12)</f>
        <v>#DIV/0!</v>
      </c>
      <c r="EP20" s="34" t="e">
        <f>BV20*(cost!$D$23*production!$B$14+production!$C$14*cost!$D$24+cost!$D$25*production!$D$14)</f>
        <v>#DIV/0!</v>
      </c>
      <c r="EQ20" s="34" t="e">
        <f>BW20*(cost!$D$27*production!$B$16+production!$C$16*cost!$D$28+cost!$D$29*production!$D$16)</f>
        <v>#DIV/0!</v>
      </c>
      <c r="ER20" s="34" t="e">
        <f>BX20*(re!$H$10*re!$C$10+re!$H$11*re!$C$11+re!$H$12*re!$C$12+re!$H$13*re!$C$13+re!$H$14*re!$C$14)</f>
        <v>#DIV/0!</v>
      </c>
    </row>
    <row r="21" spans="1:148" x14ac:dyDescent="0.2">
      <c r="A21" s="84" t="s">
        <v>60</v>
      </c>
      <c r="B21" s="119">
        <f>T2</f>
        <v>0</v>
      </c>
      <c r="C21" s="119">
        <f>T27</f>
        <v>218.66242107555576</v>
      </c>
      <c r="D21" s="119">
        <f>T27</f>
        <v>218.66242107555576</v>
      </c>
      <c r="E21" s="130">
        <f>T17</f>
        <v>164.12884671286031</v>
      </c>
      <c r="F21" s="119"/>
      <c r="G21">
        <v>2044</v>
      </c>
      <c r="H21" s="25">
        <f>'2'!AB27+'6'!AB27+'7'!AB27+'9'!AB27+'11'!AB27+'12'!AB27+'13'!AB27+'16'!AB27+'17'!AB27+'18'!AB27+'22'!AB27</f>
        <v>2.9408775223334707</v>
      </c>
      <c r="I21" s="16">
        <f>'1'!AB27+'2'!AC27+'5'!AB27+'6'!AC27+'7'!AC27+'9'!AC27+'11'!AC27+'12'!AC27+'13'!AC27+'15'!AB27+'16'!AC27+'17'!AC27+'18'!AC27+'19'!AB27+'22'!AC27</f>
        <v>20.459924977546628</v>
      </c>
      <c r="J21" s="16"/>
      <c r="K21" s="16">
        <f>'3'!AB27+'4'!AB27+'10'!AB27+'20'!AB27+'21'!AB27+'23'!AB27</f>
        <v>0.90126629020378268</v>
      </c>
      <c r="L21" s="16">
        <f>'8'!AB27+'14'!AB27</f>
        <v>8.2901935551802453</v>
      </c>
      <c r="M21" s="16">
        <f>'1'!AD27+'2'!AD27+'3'!AD27+'4'!AD27+'5'!AD27+'6'!AD27+'7'!AD27+'8'!AD27+'9'!AD27+'10'!AD27+'11'!AD27+'12'!AD27+'13'!AD27+'14'!AD27+'15'!AD27+'16'!AD27+'17'!AD27+'18'!AD27+'19'!AD27+'20'!AD27+'21'!AD27+'22'!AD27+'23'!AD27</f>
        <v>202.24024525975588</v>
      </c>
      <c r="N21" s="16">
        <f>'1'!AE27+'2'!AE27+'3'!AE27+'4'!AE27+'5'!AE27+'6'!AE27+'7'!AE27+'8'!AE27+'9'!AE27+'10'!AE27+'11'!AE27+'12'!AE27+'13'!AE27+'14'!AE27+'15'!AE27+'16'!AE27+'17'!AE27+'18'!AE27+'19'!AE27+'20'!AE27+'21'!AE27+'22'!AE27+'23'!AE27</f>
        <v>11.987445002493402</v>
      </c>
      <c r="O21" s="16">
        <f>'1'!AF27+'2'!AF27+'3'!AF27+'4'!AF27+'5'!AF27+'6'!AF27+'7'!AF27+'8'!AF27+'9'!AF27+'10'!AF27+'11'!AF27+'12'!AF27+'13'!AF27+'14'!AF27+'15'!AF27+'16'!AF27+'17'!AF27+'18'!AF27+'19'!AF27+'20'!AF27+'21'!AF27+'22'!AF27+'23'!AF27</f>
        <v>387.22540411765249</v>
      </c>
      <c r="P21" s="16">
        <f>'1'!AG27+'2'!AG27+'3'!AG27+'4'!AG27+'5'!AG27+'6'!AG27+'7'!AG27+'8'!AG27+'9'!AG27+'10'!AG27+'11'!AG27+'12'!AG27+'13'!AG27+'14'!AG27+'15'!AG27+'16'!AG27+'17'!AG27+'18'!AG27+'19'!AG27+'20'!AG27+'21'!AG27+'22'!AG27+'23'!AG27</f>
        <v>352.71256194410932</v>
      </c>
      <c r="Q21" s="16">
        <f>'1'!AH27+'2'!AH27+'3'!AH27+'4'!AH27+'5'!AH27+'6'!AH27+'7'!AH27+'8'!AH27+'9'!AH27+'10'!AH27+'11'!AH27+'12'!AH27+'13'!AH27+'14'!AH27+'15'!AH27+'16'!AH27+'17'!AH27+'18'!AH27+'19'!AH27+'20'!AH27+'21'!AH27+'22'!AH27+'23'!AH27</f>
        <v>8.9523753225864464</v>
      </c>
      <c r="R21" s="16">
        <f>'1'!AI27+'2'!AI27+'3'!AI27+'4'!AI27+'5'!AI27+'6'!AI27+'7'!AI27+'8'!AI27+'9'!AI27+'10'!AI27+'11'!AI27+'12'!AI27+'13'!AI27+'14'!AI27+'15'!AI27+'16'!AI27+'17'!AI27+'18'!AI27+'19'!AI27+'20'!AI27+'21'!AI27+'22'!AI27+'23'!AI27</f>
        <v>61.192066645343317</v>
      </c>
      <c r="S21" s="16">
        <f>'1'!AJ27+'2'!AJ27+'3'!AJ27+'4'!AJ27+'5'!AJ27+'6'!AJ27+'7'!AJ27+'8'!AJ27+'9'!AJ27+'10'!AJ27+'11'!AJ27+'12'!AJ27+'13'!AJ27+'14'!AJ27+'15'!AJ27+'16'!AJ27+'17'!AJ27+'18'!AJ27+'19'!AJ27+'20'!AJ27+'21'!AJ27+'22'!AJ27+'23'!AJ27</f>
        <v>17.152639272967029</v>
      </c>
      <c r="T21" s="16">
        <f>'1'!AK27+'2'!AK27+'3'!AK27+'4'!AK27+'5'!AK27+'6'!AK27+'7'!AK27+'8'!AK27+'9'!AK27+'10'!AK27+'11'!AK27+'12'!AK27+'13'!AK27+'14'!AK27+'15'!AK27+'16'!AK27+'17'!AK27+'18'!AK27+'19'!AK27+'20'!AK27+'21'!AK27+'22'!AK27+'23'!AK27</f>
        <v>192.31319493514499</v>
      </c>
      <c r="U21" s="16">
        <f>'1'!AL27+'2'!AL27+'3'!AL27+'4'!AL27+'5'!AL27+'6'!AL27+'7'!AL27+'8'!AL27+'9'!AL27+'10'!AL27+'11'!AL27+'12'!AL27+'13'!AL27+'14'!AL27+'15'!AL27+'16'!AL27+'17'!AL27+'18'!AL27+'19'!AL27+'20'!AL27+'21'!AL27+'22'!AL27+'23'!AL27</f>
        <v>0.47355210007876275</v>
      </c>
      <c r="V21" s="25">
        <f t="shared" si="5"/>
        <v>32.592262345264125</v>
      </c>
      <c r="W21" s="16">
        <f t="shared" si="6"/>
        <v>1234.2494846001316</v>
      </c>
      <c r="X21" s="9">
        <f t="shared" si="20"/>
        <v>2.8609503115699431E-2</v>
      </c>
      <c r="Y21" s="16">
        <f>((M21+N21)*re!$D$2/re!$C$2+O21*re!$D$3/re!$C$3+P21*re!$D$4/re!$C$4+T21*re!$D$5/re!$C$5+U21*re!$D$6/re!$C$6)</f>
        <v>2095.0246159030626</v>
      </c>
      <c r="Z21">
        <f t="shared" si="18"/>
        <v>161.63519604947876</v>
      </c>
      <c r="AA21">
        <f>((Y21*277.8)/(re!$B$10*8760))*re!$C$10</f>
        <v>91.638771578943619</v>
      </c>
      <c r="AB21">
        <f>((Y21*277.8)/(re!$B$11*8760))*re!$C$11</f>
        <v>34.070825330632879</v>
      </c>
      <c r="AC21">
        <f>((Y21*277.8)/(re!$B$12*8760))*re!$C$12</f>
        <v>12.303353591617428</v>
      </c>
      <c r="AD21">
        <f>((Y21*277.8)/(re!$B$13*8760))*re!$C$13</f>
        <v>3.6107668149312016</v>
      </c>
      <c r="AE21">
        <f>((Y21*277.8)/(re!$B$14*8760))*re!$C$14</f>
        <v>20.011478733353652</v>
      </c>
      <c r="AF21">
        <f>SUM('1'!AD27:AL27)+'1'!AA27</f>
        <v>188.25943824031611</v>
      </c>
      <c r="AG21">
        <f>SUM('2'!AD27:AL27)+'2'!AA27</f>
        <v>3.7238122212641405</v>
      </c>
      <c r="AH21">
        <f>SUM('3'!AD27:AL27)+'3'!AA27</f>
        <v>16.32380449120685</v>
      </c>
      <c r="AI21">
        <f>SUM('4'!AD27:AL27)+'4'!AA27</f>
        <v>1.2336487417858648</v>
      </c>
      <c r="AJ21">
        <f>SUM('5'!AD27:AL27)+'5'!AA27</f>
        <v>7.2652138178837378</v>
      </c>
      <c r="AK21">
        <f>SUM('6'!AD27:AL27)+'6'!AA27</f>
        <v>184.05260886028555</v>
      </c>
      <c r="AL21">
        <f>SUM('7'!AD27:AL27)+'7'!AA27</f>
        <v>166.01360602033446</v>
      </c>
      <c r="AM21">
        <f>SUM('8'!AD27:AL27)+'8'!AA27</f>
        <v>348.19054078301355</v>
      </c>
      <c r="AN21">
        <f>SUM('9'!AD27:AL27)+'9'!AA27</f>
        <v>90.713432732199152</v>
      </c>
      <c r="AO21">
        <f>SUM('10'!AD27:AL27)+'10'!AA27</f>
        <v>6.5492206299350357</v>
      </c>
      <c r="AP21">
        <f>SUM('11'!AD27:AL27)+'11'!AA27</f>
        <v>8.6013855800493513</v>
      </c>
      <c r="AQ21">
        <f>SUM('12'!AD27:AL27)+'12'!AA27</f>
        <v>2.6425227432493106</v>
      </c>
      <c r="AR21">
        <f>SUM('13'!AD27:AL27)+'13'!AA27</f>
        <v>7.6886365946273836</v>
      </c>
      <c r="AS21">
        <f>SUM('14'!AD27:AL27)+'14'!AA27</f>
        <v>6.6827220223719648</v>
      </c>
      <c r="AT21">
        <f>SUM('15'!AD27:AL27)+'15'!AA27</f>
        <v>80.596437521767939</v>
      </c>
      <c r="AU21">
        <f>SUM('16'!AD27:AL27)+'16'!AA27</f>
        <v>32.723425452802978</v>
      </c>
      <c r="AV21">
        <f>SUM('17'!AD27:AL27)+'17'!AA27</f>
        <v>55.691855898990944</v>
      </c>
      <c r="AW21">
        <f>SUM('18'!AD27:AL27)+'18'!AA27</f>
        <v>13.907893061070734</v>
      </c>
      <c r="AX21">
        <f>SUM('19'!AD27:AL27)+'19'!AA27</f>
        <v>35.674570497272029</v>
      </c>
      <c r="AY21">
        <f>SUM('20'!AD27:AL27)+'20'!AA27</f>
        <v>2.3556983270334841</v>
      </c>
      <c r="AZ21">
        <f>SUM('21'!AD27:AL27)+'21'!AA27</f>
        <v>0.21084100542421785</v>
      </c>
      <c r="BA21">
        <f>SUM('22'!AD27:AL27)+'22'!AA27</f>
        <v>0.66851873885531399</v>
      </c>
      <c r="BB21">
        <f>SUM('23'!AD27:AL27)+'23'!AA27</f>
        <v>7.0719129636556435</v>
      </c>
      <c r="BC21">
        <f>('1'!D27+'2'!D27+'3'!D27+'4'!D27+'5'!D27+'6'!D27+'7'!D27+'8'!D27+'9'!D27+'10'!D27+'12'!D27+'13'!D27+'14'!D27+'15'!D27+'16'!D27+'17'!D27+'18'!D27+'19'!D27+'20'!D27+'21'!D27+'22'!D27+'23'!D27)/('1'!D26+'2'!D26+'3'!D26+'4'!D26+'5'!D26+'6'!D26+'7'!D26+'8'!D26+'9'!D26+'10'!D26+'12'!D26+'13'!D26+'14'!D26+'15'!D26+'16'!D26+'17'!D26+'18'!D26+'19'!D26+'20'!D26+'21'!D26+'22'!D26+'23'!D26)-1</f>
        <v>7.598184294995658E-2</v>
      </c>
      <c r="BD21">
        <f>('1'!E27+'2'!E27+'3'!E27+'4'!E27+'5'!E27+'6'!E27+'7'!E27+'8'!E27+'9'!E27+'10'!E27+'12'!E27+'13'!E27+'14'!E27+'15'!E27+'16'!E27+'17'!E27+'18'!E27+'19'!E27+'20'!E27+'21'!E27+'22'!E27+'23'!E27)/('1'!E26+'2'!E26+'3'!E26+'4'!E26+'5'!E26+'6'!E26+'7'!E26+'8'!E26+'9'!E26+'10'!E26+'12'!E26+'13'!E26+'14'!E26+'15'!E26+'16'!E26+'17'!E26+'18'!E26+'19'!E26+'20'!E26+'21'!E26+'22'!E26+'23'!E26)-1</f>
        <v>7.5981842949956802E-2</v>
      </c>
      <c r="BE21">
        <f>('1'!F27+'2'!F27+'3'!F27+'4'!F27+'5'!F27+'6'!F27+'7'!F27+'8'!F27+'9'!F27+'10'!F27+'12'!F27+'13'!F27+'14'!F27+'15'!F27+'16'!F27+'17'!F27+'18'!F27+'19'!F27+'20'!F27+'21'!F27+'22'!F27+'23'!F27)/('1'!F26+'2'!F26+'3'!F26+'4'!F26+'5'!F26+'6'!F26+'7'!F26+'8'!F26+'9'!F26+'10'!F26+'12'!F26+'13'!F26+'14'!F26+'15'!F26+'16'!F26+'17'!F26+'18'!F26+'19'!F26+'20'!F26+'21'!F26+'22'!F26+'23'!F26)-1</f>
        <v>7.7659400420815983E-2</v>
      </c>
      <c r="BF21">
        <f t="shared" si="19"/>
        <v>2.8609503115699431E-2</v>
      </c>
      <c r="BG21">
        <v>2044</v>
      </c>
      <c r="BH21" s="59">
        <f t="shared" si="35"/>
        <v>0.7380000000000001</v>
      </c>
      <c r="BI21" s="2">
        <f t="shared" si="34"/>
        <v>0.8680000000000001</v>
      </c>
      <c r="BJ21" s="2">
        <f t="shared" si="21"/>
        <v>0.13</v>
      </c>
      <c r="BK21" t="e">
        <f>'2 (RU)'!AB27+'6 (RU)'!AB27+'7 (RU)'!AB27+'9 (RU)'!AB27+'11 (RU)'!AB27+'12 (RU)'!AB27+'13 (RU)'!AB27+'16 (RU)'!AB27+'17 (RU)'!AB27+'18 (RU)'!AB27+'22 (RU)'!AB27</f>
        <v>#DIV/0!</v>
      </c>
      <c r="BL21" t="e">
        <f>'1 (RU)'!AB27+'2 (RU)'!AC27+'5 (RU)'!AB27+'6 (RU)'!AC27+'7 (RU)'!AC27+'9 (RU)'!AC27+'11 (RU)'!AC27+'12 (RU)'!AC27+'13 (RU)'!AC27+'15 (RU)'!AB27+'16 (RU)'!AC27+'17 (RU)'!AC27+'18 (RU)'!AC27+'19 (RU)'!AB27+'22 (RU)'!AC27</f>
        <v>#DIV/0!</v>
      </c>
      <c r="BN21" t="e">
        <f>'3 (RU)'!AB27+'4 (RU)'!AB27+'10 (RU)'!AB27+'20 (RU)'!AB27+'21 (RU)'!AB27+'23 (RU)'!AB27</f>
        <v>#DIV/0!</v>
      </c>
      <c r="BO21" t="e">
        <f>'8 (RU)'!AB27+'14 (RU)'!AB27</f>
        <v>#DIV/0!</v>
      </c>
      <c r="BP21" t="e">
        <f>'1 (RU)'!AD27+'2 (RU)'!AD27+'3 (RU)'!AD27+'4 (RU)'!AD27+'5 (RU)'!AD27+'6 (RU)'!AD27+'7 (RU)'!AD27+'8 (RU)'!AD27+'9 (RU)'!AD27+'10 (RU)'!AD27+'11 (RU)'!AD27+'12 (RU)'!AD27+'13 (RU)'!AD27+'14 (RU)'!AD27+'15 (RU)'!AD27+'16 (RU)'!AD27+'17 (RU)'!AD27+'18 (RU)'!AD27+'19 (RU)'!AD27+'20 (RU)'!AD27+'21 (RU)'!AD27+'22 (RU)'!AD27+'23 (RU)'!AD27</f>
        <v>#DIV/0!</v>
      </c>
      <c r="BQ21" t="e">
        <f>'1 (RU)'!AE27+'2 (RU)'!AE27+'3 (RU)'!AE27+'4 (RU)'!AE27+'5 (RU)'!AE27+'6 (RU)'!AE27+'7 (RU)'!AE27+'8 (RU)'!AE27+'9 (RU)'!AE27+'10 (RU)'!AE27+'11 (RU)'!AE27+'12 (RU)'!AE27+'13 (RU)'!AE27+'14 (RU)'!AE27+'15 (RU)'!AE27+'16 (RU)'!AE27+'17 (RU)'!AE27+'18 (RU)'!AE27+'19 (RU)'!AE27+'20 (RU)'!AE27+'21 (RU)'!AE27+'22 (RU)'!AE27+'23 (RU)'!AE27</f>
        <v>#DIV/0!</v>
      </c>
      <c r="BR21" t="e">
        <f>'1 (RU)'!AF27+'2 (RU)'!AF27+'3 (RU)'!AF27+'4 (RU)'!AF27+'5 (RU)'!AF27+'6 (RU)'!AF27+'7 (RU)'!AF27+'8 (RU)'!AF27+'9 (RU)'!AF27+'10 (RU)'!AF27+'11 (RU)'!AF27+'12 (RU)'!AF27+'13 (RU)'!AF27+'14 (RU)'!AF27+'15 (RU)'!AF27+'16 (RU)'!AF27+'17 (RU)'!AF27+'18 (RU)'!AF27+'19 (RU)'!AF27+'20 (RU)'!AF27+'21 (RU)'!AF27+'22 (RU)'!AF27+'23 (RU)'!AF27</f>
        <v>#DIV/0!</v>
      </c>
      <c r="BS21" t="e">
        <f>'1 (RU)'!AG27+'2 (RU)'!AG27+'3 (RU)'!AG27+'4 (RU)'!AG27+'5 (RU)'!AG27+'6 (RU)'!AG27+'7 (RU)'!AG27+'8 (RU)'!AG27+'9 (RU)'!AG27+'10 (RU)'!AG27+'11 (RU)'!AG27+'12 (RU)'!AG27+'13 (RU)'!AG27+'14 (RU)'!AG27+'15 (RU)'!AG27+'16 (RU)'!AG27+'17 (RU)'!AG27+'18 (RU)'!AG27+'19 (RU)'!AG27+'20 (RU)'!AG27+'21 (RU)'!AG27+'22 (RU)'!AG27+'23 (RU)'!AG27</f>
        <v>#DIV/0!</v>
      </c>
      <c r="BT21" t="e">
        <f>'1 (RU)'!AH27+'2 (RU)'!AH27+'3 (RU)'!AH27+'4 (RU)'!AH27+'5 (RU)'!AH27+'6 (RU)'!AH27+'7 (RU)'!AH27+'8 (RU)'!AH27+'9 (RU)'!AH27+'10 (RU)'!AH27+'11 (RU)'!AH27+'12 (RU)'!AH27+'13 (RU)'!AH27+'14 (RU)'!AH27+'15 (RU)'!AH27+'16 (RU)'!AH27+'17 (RU)'!AH27+'18 (RU)'!AH27+'19 (RU)'!AH27+'20 (RU)'!AH27+'21 (RU)'!AH27+'22 (RU)'!AH27+'23 (RU)'!AH27</f>
        <v>#DIV/0!</v>
      </c>
      <c r="BU21" t="e">
        <f>'1 (RU)'!AI27+'2 (RU)'!AI27+'3 (RU)'!AI27+'4 (RU)'!AI27+'5 (RU)'!AI27+'6 (RU)'!AI27+'7 (RU)'!AI27+'8 (RU)'!AI27+'9 (RU)'!AI27+'10 (RU)'!AI27+'11 (RU)'!AI27+'12 (RU)'!AI27+'13 (RU)'!AI27+'14 (RU)'!AI27+'15 (RU)'!AI27+'16 (RU)'!AI27+'17 (RU)'!AI27+'18 (RU)'!AI27+'19 (RU)'!AI27+'20 (RU)'!AI27+'21 (RU)'!AI27+'22 (RU)'!AI27+'23 (RU)'!AI27</f>
        <v>#DIV/0!</v>
      </c>
      <c r="BV21" t="e">
        <f>'1 (RU)'!AJ27+'2 (RU)'!AJ27+'3 (RU)'!AJ27+'4 (RU)'!AJ27+'5 (RU)'!AJ27+'6 (RU)'!AJ27+'7 (RU)'!AJ27+'8 (RU)'!AJ27+'9 (RU)'!AJ27+'10 (RU)'!AJ27+'11 (RU)'!AJ27+'12 (RU)'!AJ27+'13 (RU)'!AJ27+'14 (RU)'!AJ27+'15 (RU)'!AJ27+'16 (RU)'!AJ27+'17 (RU)'!AJ27+'18 (RU)'!AJ27+'19 (RU)'!AJ27+'20 (RU)'!AJ27+'21 (RU)'!AJ27+'22 (RU)'!AJ27+'23 (RU)'!AJ27</f>
        <v>#DIV/0!</v>
      </c>
      <c r="BW21" t="e">
        <f>'1 (RU)'!AK27+'2 (RU)'!AK27+'3 (RU)'!AK27+'4 (RU)'!AK27+'5 (RU)'!AK27+'6 (RU)'!AK27+'7 (RU)'!AK27+'8 (RU)'!AK27+'9 (RU)'!AK27+'10 (RU)'!AK27+'11 (RU)'!AK27+'12 (RU)'!AK27+'13 (RU)'!AK27+'14 (RU)'!AK27+'15 (RU)'!AK27+'16 (RU)'!AK27+'17 (RU)'!AK27+'18 (RU)'!AK27+'19 (RU)'!AK27+'20 (RU)'!AK27+'21 (RU)'!AK27+'22 (RU)'!AK27+'23 (RU)'!AK27</f>
        <v>#DIV/0!</v>
      </c>
      <c r="BX21" t="e">
        <f>'1 (RU)'!AL27+'2 (RU)'!AL27+'3 (RU)'!AL27+'4 (RU)'!AL27+'5 (RU)'!AL27+'6 (RU)'!AL27+'7 (RU)'!AL27+'8 (RU)'!AL27+'9 (RU)'!AL27+'10 (RU)'!AL27+'11 (RU)'!AL27+'12 (RU)'!AL27+'13 (RU)'!AL27+'14 (RU)'!AL27+'15 (RU)'!AL27+'16 (RU)'!AL27+'17 (RU)'!AL27+'18 (RU)'!AL27+'19 (RU)'!AL27+'20 (RU)'!AL27+'21 (RU)'!AL27+'22 (RU)'!AL27+'23 (RU)'!AL27</f>
        <v>#DIV/0!</v>
      </c>
      <c r="BY21" s="25" t="e">
        <f t="shared" si="7"/>
        <v>#DIV/0!</v>
      </c>
      <c r="BZ21" s="16" t="e">
        <f t="shared" si="8"/>
        <v>#DIV/0!</v>
      </c>
      <c r="CC21" t="e">
        <f>VLOOKUP(CC$1,emissions!$A$2:$B$5,2,FALSE)*BK21</f>
        <v>#DIV/0!</v>
      </c>
      <c r="CD21" t="e">
        <f>VLOOKUP(CD$1,emissions!$A$2:$B$5,2,FALSE)*BL21</f>
        <v>#DIV/0!</v>
      </c>
      <c r="CF21" t="e">
        <f>VLOOKUP(CF$1,emissions!$A$2:$B$5,2,FALSE)*BN21</f>
        <v>#DIV/0!</v>
      </c>
      <c r="CG21" t="e">
        <f>VLOOKUP(CG$1,emissions!$A$2:$B$5,2,FALSE)*BO21</f>
        <v>#DIV/0!</v>
      </c>
      <c r="CH21" t="e">
        <f>BP21*(emissions!$D$3*production!$B$4+emissions!$D$4*production!$C$4+emissions!$D$5*production!$D$4+emissions!$D$6*production!$E$4)</f>
        <v>#DIV/0!</v>
      </c>
      <c r="CI21" t="e">
        <f>BQ21*(emissions!$D$3*production!$B$4+emissions!$D$4*production!$C$4+emissions!$D$5*production!$D$4+emissions!$D$6*production!$E$4)</f>
        <v>#DIV/0!</v>
      </c>
      <c r="CJ21" t="e">
        <f>BR21*(emissions!$D$8*production!$B$6+emissions!$D$9*production!$C$6+emissions!$D$10*production!$D$6)</f>
        <v>#DIV/0!</v>
      </c>
      <c r="CK21" t="e">
        <f>BS21*(emissions!$D$12*production!$B$8+emissions!$D$13*production!$C$8+emissions!$D$14*production!$D$8)</f>
        <v>#DIV/0!</v>
      </c>
      <c r="CL21" t="e">
        <f>BT21*(emissions!$D$16*production!$B$10+production!$C$10*emissions!$D$17)</f>
        <v>#DIV/0!</v>
      </c>
      <c r="CM21" t="e">
        <f>BU21*(emissions!$D$19*production!$B$12+production!$C$12*emissions!$D$20+emissions!$D$21*production!$D$12)</f>
        <v>#DIV/0!</v>
      </c>
      <c r="CN21" t="e">
        <f>BV21*(emissions!$D$23*production!$B$14+production!$C$14*emissions!$D$24+emissions!$D$25*production!$D$14)</f>
        <v>#DIV/0!</v>
      </c>
      <c r="CO21" t="e">
        <f>BW21*(emissions!$D$27*production!$B$16+production!$C$16*emissions!$D$28+production!$D$16*emissions!$D$29)</f>
        <v>#DIV/0!</v>
      </c>
      <c r="CP21">
        <v>0</v>
      </c>
      <c r="CS21" t="e">
        <f t="shared" si="9"/>
        <v>#DIV/0!</v>
      </c>
      <c r="CT21" s="40" t="e">
        <f t="shared" si="10"/>
        <v>#DIV/0!</v>
      </c>
      <c r="CU21" t="e">
        <f t="shared" si="0"/>
        <v>#DIV/0!</v>
      </c>
      <c r="CV21" t="e">
        <f t="shared" si="1"/>
        <v>#DIV/0!</v>
      </c>
      <c r="CW21">
        <f t="shared" si="2"/>
        <v>24.444599999999991</v>
      </c>
      <c r="CX21">
        <f t="shared" si="3"/>
        <v>12.315599999999989</v>
      </c>
      <c r="CY21" t="e">
        <f t="shared" si="11"/>
        <v>#DIV/0!</v>
      </c>
      <c r="CZ21" s="74" t="e">
        <f t="shared" si="12"/>
        <v>#DIV/0!</v>
      </c>
      <c r="DA21" t="e">
        <f t="shared" si="13"/>
        <v>#DIV/0!</v>
      </c>
      <c r="DB21" t="e">
        <f t="shared" si="14"/>
        <v>#DIV/0!</v>
      </c>
      <c r="DC21" s="34" t="e">
        <f t="shared" si="15"/>
        <v>#DIV/0!</v>
      </c>
      <c r="DD21">
        <v>2044</v>
      </c>
      <c r="DE21" t="e">
        <f t="shared" si="22"/>
        <v>#DIV/0!</v>
      </c>
      <c r="DF21" t="e">
        <f t="shared" si="23"/>
        <v>#DIV/0!</v>
      </c>
      <c r="DG21">
        <v>2044</v>
      </c>
      <c r="DH21" t="e">
        <f t="shared" si="24"/>
        <v>#DIV/0!</v>
      </c>
      <c r="DI21" t="e">
        <f t="shared" si="25"/>
        <v>#DIV/0!</v>
      </c>
      <c r="DJ21" t="e">
        <f t="shared" si="26"/>
        <v>#DIV/0!</v>
      </c>
      <c r="DK21" t="e">
        <f t="shared" si="27"/>
        <v>#DIV/0!</v>
      </c>
      <c r="DL21" t="e">
        <f t="shared" si="28"/>
        <v>#DIV/0!</v>
      </c>
      <c r="DM21" s="74" t="e">
        <f t="shared" si="29"/>
        <v>#DIV/0!</v>
      </c>
      <c r="DN21" s="75" t="e">
        <f t="shared" si="30"/>
        <v>#DIV/0!</v>
      </c>
      <c r="DO21" s="76" t="e">
        <f t="shared" si="31"/>
        <v>#DIV/0!</v>
      </c>
      <c r="DP21" s="78" t="e">
        <f t="shared" si="32"/>
        <v>#DIV/0!</v>
      </c>
      <c r="DQ21" s="70">
        <v>3010</v>
      </c>
      <c r="DR21" s="71">
        <v>32565</v>
      </c>
      <c r="DS21" s="71"/>
      <c r="DT21" s="71">
        <v>875</v>
      </c>
      <c r="DU21" s="71">
        <v>2983</v>
      </c>
      <c r="DV21">
        <f>DQ21*VLOOKUP(DQ$1,emissions!$A$2:$B$5,2,FALSE)</f>
        <v>439460</v>
      </c>
      <c r="DW21">
        <f>DR21*VLOOKUP(DR$1,emissions!$A$2:$B$5,2,FALSE)</f>
        <v>4754490</v>
      </c>
      <c r="DY21">
        <f>DT21*VLOOKUP(DT$1,emissions!$A$2:$B$5,2,FALSE)</f>
        <v>126875</v>
      </c>
      <c r="DZ21">
        <f>DU21*VLOOKUP(DU$1,emissions!$A$2:$B$5,2,FALSE)</f>
        <v>337079</v>
      </c>
      <c r="EA21">
        <f t="shared" si="16"/>
        <v>5657904</v>
      </c>
      <c r="EB21">
        <f t="shared" si="17"/>
        <v>143.48144954733345</v>
      </c>
      <c r="ED21" s="77" t="e">
        <f t="shared" si="4"/>
        <v>#DIV/0!</v>
      </c>
      <c r="EE21" s="34" t="e">
        <f>cost!$B$2*BK21</f>
        <v>#DIV/0!</v>
      </c>
      <c r="EF21" s="34" t="e">
        <f>cost!$B$3*BL21</f>
        <v>#DIV/0!</v>
      </c>
      <c r="EG21" s="34"/>
      <c r="EH21" s="34" t="e">
        <f>cost!$B$4*BN21</f>
        <v>#DIV/0!</v>
      </c>
      <c r="EI21" s="34" t="e">
        <f>cost!$B$5*$BO$2</f>
        <v>#DIV/0!</v>
      </c>
      <c r="EJ21" s="34" t="e">
        <f>BP21*(cost!$D$3*production!$B$4+production!$C$4*cost!$D$4+cost!$D$5*production!$D$4+production!$E$4*cost!$D$6)</f>
        <v>#DIV/0!</v>
      </c>
      <c r="EK21" s="34" t="e">
        <f>BQ21*(cost!$D$3*production!$B$4+production!$C$4*cost!$D$4+cost!$D$5*production!$D$4+production!$E$4*cost!$D$6)</f>
        <v>#DIV/0!</v>
      </c>
      <c r="EL21" s="34" t="e">
        <f>BR21*(cost!$D$8*production!$B$6+cost!$D$9*production!$C$6+$D$10*production!$D$6)</f>
        <v>#DIV/0!</v>
      </c>
      <c r="EM21" s="34" t="e">
        <f>BS21*(cost!$D$12*production!$B$8+cost!$D$13*production!$C$8+cost!$D$14*production!$D$8)</f>
        <v>#DIV/0!</v>
      </c>
      <c r="EN21" s="34" t="e">
        <f>BT21*(cost!$D$16*production!$B$10+production!$C$10*cost!$D$17)</f>
        <v>#DIV/0!</v>
      </c>
      <c r="EO21" s="34" t="e">
        <f>BU21*(cost!$D$19*production!$B$12+production!$C$12*cost!$D$20+cost!$D$21*production!$D$12)</f>
        <v>#DIV/0!</v>
      </c>
      <c r="EP21" s="34" t="e">
        <f>BV21*(cost!$D$23*production!$B$14+production!$C$14*cost!$D$24+cost!$D$25*production!$D$14)</f>
        <v>#DIV/0!</v>
      </c>
      <c r="EQ21" s="34" t="e">
        <f>BW21*(cost!$D$27*production!$B$16+production!$C$16*cost!$D$28+cost!$D$29*production!$D$16)</f>
        <v>#DIV/0!</v>
      </c>
      <c r="ER21" s="34" t="e">
        <f>BX21*(re!$H$10*re!$C$10+re!$H$11*re!$C$11+re!$H$12*re!$C$12+re!$H$13*re!$C$13+re!$H$14*re!$C$14)</f>
        <v>#DIV/0!</v>
      </c>
    </row>
    <row r="22" spans="1:148" x14ac:dyDescent="0.2">
      <c r="A22" s="84" t="s">
        <v>1</v>
      </c>
      <c r="B22" s="119">
        <f>H2</f>
        <v>380.37772809810554</v>
      </c>
      <c r="C22" s="119">
        <f>H27</f>
        <v>1.3252057885260025</v>
      </c>
      <c r="D22" s="119">
        <f>H7</f>
        <v>259.43241855548604</v>
      </c>
      <c r="E22" s="130">
        <f>H17</f>
        <v>12.088311083429391</v>
      </c>
      <c r="F22" s="119"/>
      <c r="G22">
        <v>2045</v>
      </c>
      <c r="H22" s="25">
        <f>'2'!AB28+'6'!AB28+'7'!AB28+'9'!AB28+'11'!AB28+'12'!AB28+'13'!AB28+'16'!AB28+'17'!AB28+'18'!AB28+'22'!AB28</f>
        <v>2.2946296667311956</v>
      </c>
      <c r="I22" s="16">
        <f>'1'!AB28+'2'!AC28+'5'!AB28+'6'!AC28+'7'!AC28+'9'!AC28+'11'!AC28+'12'!AC28+'13'!AC28+'15'!AB28+'16'!AC28+'17'!AC28+'18'!AC28+'19'!AB28+'22'!AC28</f>
        <v>16.326129933118644</v>
      </c>
      <c r="J22" s="16"/>
      <c r="K22" s="16">
        <f>'3'!AB28+'4'!AB28+'10'!AB28+'20'!AB28+'21'!AB28+'23'!AB28</f>
        <v>0.71875360745740702</v>
      </c>
      <c r="L22" s="16">
        <f>'8'!AB28+'14'!AB28</f>
        <v>6.6099404693306312</v>
      </c>
      <c r="M22" s="16">
        <f>'1'!AD28+'2'!AD28+'3'!AD28+'4'!AD28+'5'!AD28+'6'!AD28+'7'!AD28+'8'!AD28+'9'!AD28+'10'!AD28+'11'!AD28+'12'!AD28+'13'!AD28+'14'!AD28+'15'!AD28+'16'!AD28+'17'!AD28+'18'!AD28+'19'!AD28+'20'!AD28+'21'!AD28+'22'!AD28+'23'!AD28</f>
        <v>207.29875789661358</v>
      </c>
      <c r="N22" s="16">
        <f>'1'!AE28+'2'!AE28+'3'!AE28+'4'!AE28+'5'!AE28+'6'!AE28+'7'!AE28+'8'!AE28+'9'!AE28+'10'!AE28+'11'!AE28+'12'!AE28+'13'!AE28+'14'!AE28+'15'!AE28+'16'!AE28+'17'!AE28+'18'!AE28+'19'!AE28+'20'!AE28+'21'!AE28+'22'!AE28+'23'!AE28</f>
        <v>12.28671850354695</v>
      </c>
      <c r="O22" s="16">
        <f>'1'!AF28+'2'!AF28+'3'!AF28+'4'!AF28+'5'!AF28+'6'!AF28+'7'!AF28+'8'!AF28+'9'!AF28+'10'!AF28+'11'!AF28+'12'!AF28+'13'!AF28+'14'!AF28+'15'!AF28+'16'!AF28+'17'!AF28+'18'!AF28+'19'!AF28+'20'!AF28+'21'!AF28+'22'!AF28+'23'!AF28</f>
        <v>396.88663623503504</v>
      </c>
      <c r="P22" s="16">
        <f>'1'!AG28+'2'!AG28+'3'!AG28+'4'!AG28+'5'!AG28+'6'!AG28+'7'!AG28+'8'!AG28+'9'!AG28+'10'!AG28+'11'!AG28+'12'!AG28+'13'!AG28+'14'!AG28+'15'!AG28+'16'!AG28+'17'!AG28+'18'!AG28+'19'!AG28+'20'!AG28+'21'!AG28+'22'!AG28+'23'!AG28</f>
        <v>361.5523027417683</v>
      </c>
      <c r="Q22" s="16">
        <f>'1'!AH28+'2'!AH28+'3'!AH28+'4'!AH28+'5'!AH28+'6'!AH28+'7'!AH28+'8'!AH28+'9'!AH28+'10'!AH28+'11'!AH28+'12'!AH28+'13'!AH28+'14'!AH28+'15'!AH28+'16'!AH28+'17'!AH28+'18'!AH28+'19'!AH28+'20'!AH28+'21'!AH28+'22'!AH28+'23'!AH28</f>
        <v>9.1665110226693791</v>
      </c>
      <c r="R22" s="16">
        <f>'1'!AI28+'2'!AI28+'3'!AI28+'4'!AI28+'5'!AI28+'6'!AI28+'7'!AI28+'8'!AI28+'9'!AI28+'10'!AI28+'11'!AI28+'12'!AI28+'13'!AI28+'14'!AI28+'15'!AI28+'16'!AI28+'17'!AI28+'18'!AI28+'19'!AI28+'20'!AI28+'21'!AI28+'22'!AI28+'23'!AI28</f>
        <v>62.723570195814894</v>
      </c>
      <c r="S22" s="16">
        <f>'1'!AJ28+'2'!AJ28+'3'!AJ28+'4'!AJ28+'5'!AJ28+'6'!AJ28+'7'!AJ28+'8'!AJ28+'9'!AJ28+'10'!AJ28+'11'!AJ28+'12'!AJ28+'13'!AJ28+'14'!AJ28+'15'!AJ28+'16'!AJ28+'17'!AJ28+'18'!AJ28+'19'!AJ28+'20'!AJ28+'21'!AJ28+'22'!AJ28+'23'!AJ28</f>
        <v>17.563766699489229</v>
      </c>
      <c r="T22" s="16">
        <f>'1'!AK28+'2'!AK28+'3'!AK28+'4'!AK28+'5'!AK28+'6'!AK28+'7'!AK28+'8'!AK28+'9'!AK28+'10'!AK28+'11'!AK28+'12'!AK28+'13'!AK28+'14'!AK28+'15'!AK28+'16'!AK28+'17'!AK28+'18'!AK28+'19'!AK28+'20'!AK28+'21'!AK28+'22'!AK28+'23'!AK28</f>
        <v>197.17286656129414</v>
      </c>
      <c r="U22" s="16">
        <f>'1'!AL28+'2'!AL28+'3'!AL28+'4'!AL28+'5'!AL28+'6'!AL28+'7'!AL28+'8'!AL28+'9'!AL28+'10'!AL28+'11'!AL28+'12'!AL28+'13'!AL28+'14'!AL28+'15'!AL28+'16'!AL28+'17'!AL28+'18'!AL28+'19'!AL28+'20'!AL28+'21'!AL28+'22'!AL28+'23'!AL28</f>
        <v>0.48608870975172536</v>
      </c>
      <c r="V22" s="25">
        <f t="shared" si="5"/>
        <v>25.94945367663788</v>
      </c>
      <c r="W22" s="16">
        <f t="shared" si="6"/>
        <v>1265.1372185659832</v>
      </c>
      <c r="X22" s="9">
        <f t="shared" si="20"/>
        <v>2.502551903099115E-2</v>
      </c>
      <c r="Y22" s="16">
        <f>((M22+N22)*re!$D$2/re!$C$2+O22*re!$D$3/re!$C$3+P22*re!$D$4/re!$C$4+T22*re!$D$5/re!$C$5+U22*re!$D$6/re!$C$6)</f>
        <v>2147.4963760942583</v>
      </c>
      <c r="Z22">
        <f t="shared" si="18"/>
        <v>165.68349370726517</v>
      </c>
      <c r="AA22">
        <f>((Y22*277.8)/(re!$B$10*8760))*re!$C$10</f>
        <v>93.933946351595836</v>
      </c>
      <c r="AB22">
        <f>((Y22*277.8)/(re!$B$11*8760))*re!$C$11</f>
        <v>34.924159540977932</v>
      </c>
      <c r="AC22">
        <f>((Y22*277.8)/(re!$B$12*8760))*re!$C$12</f>
        <v>12.611502056464253</v>
      </c>
      <c r="AD22">
        <f>((Y22*277.8)/(re!$B$13*8760))*re!$C$13</f>
        <v>3.7012016904840745</v>
      </c>
      <c r="AE22">
        <f>((Y22*277.8)/(re!$B$14*8760))*re!$C$14</f>
        <v>20.512684067743063</v>
      </c>
      <c r="AF22">
        <f>SUM('1'!AD28:AL28)+'1'!AA28</f>
        <v>191.84499531592093</v>
      </c>
      <c r="AG22">
        <f>SUM('2'!AD28:AL28)+'2'!AA28</f>
        <v>3.7907554946216204</v>
      </c>
      <c r="AH22">
        <f>SUM('3'!AD28:AL28)+'3'!AA28</f>
        <v>16.656438230397391</v>
      </c>
      <c r="AI22">
        <f>SUM('4'!AD28:AL28)+'4'!AA28</f>
        <v>1.258900633010765</v>
      </c>
      <c r="AJ22">
        <f>SUM('5'!AD28:AL28)+'5'!AA28</f>
        <v>7.3954796884928475</v>
      </c>
      <c r="AK22">
        <f>SUM('6'!AD28:AL28)+'6'!AA28</f>
        <v>187.3305585744466</v>
      </c>
      <c r="AL22">
        <f>SUM('7'!AD28:AL28)+'7'!AA28</f>
        <v>168.99615335803091</v>
      </c>
      <c r="AM22">
        <f>SUM('8'!AD28:AL28)+'8'!AA28</f>
        <v>355.54461386897935</v>
      </c>
      <c r="AN22">
        <f>SUM('9'!AD28:AL28)+'9'!AA28</f>
        <v>92.339931908550028</v>
      </c>
      <c r="AO22">
        <f>SUM('10'!AD28:AL28)+'10'!AA28</f>
        <v>6.6808884190153677</v>
      </c>
      <c r="AP22">
        <f>SUM('11'!AD28:AL28)+'11'!AA28</f>
        <v>8.7645231156896415</v>
      </c>
      <c r="AQ22">
        <f>SUM('12'!AD28:AL28)+'12'!AA28</f>
        <v>2.692641953020237</v>
      </c>
      <c r="AR22">
        <f>SUM('13'!AD28:AL28)+'13'!AA28</f>
        <v>7.8344625449708492</v>
      </c>
      <c r="AS22">
        <f>SUM('14'!AD28:AL28)+'14'!AA28</f>
        <v>6.8138171376081269</v>
      </c>
      <c r="AT22">
        <f>SUM('15'!AD28:AL28)+'15'!AA28</f>
        <v>82.04153815678599</v>
      </c>
      <c r="AU22">
        <f>SUM('16'!AD28:AL28)+'16'!AA28</f>
        <v>33.344071851734476</v>
      </c>
      <c r="AV22">
        <f>SUM('17'!AD28:AL28)+'17'!AA28</f>
        <v>56.748131314392502</v>
      </c>
      <c r="AW22">
        <f>SUM('18'!AD28:AL28)+'18'!AA28</f>
        <v>14.171676073565182</v>
      </c>
      <c r="AX22">
        <f>SUM('19'!AD28:AL28)+'19'!AA28</f>
        <v>36.314218427934982</v>
      </c>
      <c r="AY22">
        <f>SUM('20'!AD28:AL28)+'20'!AA28</f>
        <v>2.4039177560314142</v>
      </c>
      <c r="AZ22">
        <f>SUM('21'!AD28:AL28)+'21'!AA28</f>
        <v>0.21493794108897984</v>
      </c>
      <c r="BA22">
        <f>SUM('22'!AD28:AL28)+'22'!AA28</f>
        <v>0.68050533384321743</v>
      </c>
      <c r="BB22">
        <f>SUM('23'!AD28:AL28)+'23'!AA28</f>
        <v>7.2235151444895322</v>
      </c>
      <c r="BC22">
        <f>('1'!D28+'2'!D28+'3'!D28+'4'!D28+'5'!D28+'6'!D28+'7'!D28+'8'!D28+'9'!D28+'10'!D28+'12'!D28+'13'!D28+'14'!D28+'15'!D28+'16'!D28+'17'!D28+'18'!D28+'19'!D28+'20'!D28+'21'!D28+'22'!D28+'23'!D28)/('1'!D27+'2'!D27+'3'!D27+'4'!D27+'5'!D27+'6'!D27+'7'!D27+'8'!D27+'9'!D27+'10'!D27+'12'!D27+'13'!D27+'14'!D27+'15'!D27+'16'!D27+'17'!D27+'18'!D27+'19'!D27+'20'!D27+'21'!D27+'22'!D27+'23'!D27)-1</f>
        <v>7.2849402211063286E-2</v>
      </c>
      <c r="BD22">
        <f>('1'!E28+'2'!E28+'3'!E28+'4'!E28+'5'!E28+'6'!E28+'7'!E28+'8'!E28+'9'!E28+'10'!E28+'12'!E28+'13'!E28+'14'!E28+'15'!E28+'16'!E28+'17'!E28+'18'!E28+'19'!E28+'20'!E28+'21'!E28+'22'!E28+'23'!E28)/('1'!E27+'2'!E27+'3'!E27+'4'!E27+'5'!E27+'6'!E27+'7'!E27+'8'!E27+'9'!E27+'10'!E27+'12'!E27+'13'!E27+'14'!E27+'15'!E27+'16'!E27+'17'!E27+'18'!E27+'19'!E27+'20'!E27+'21'!E27+'22'!E27+'23'!E27)-1</f>
        <v>7.2849402211063286E-2</v>
      </c>
      <c r="BE22">
        <f>('1'!F28+'2'!F28+'3'!F28+'4'!F28+'5'!F28+'6'!F28+'7'!F28+'8'!F28+'9'!F28+'10'!F28+'12'!F28+'13'!F28+'14'!F28+'15'!F28+'16'!F28+'17'!F28+'18'!F28+'19'!F28+'20'!F28+'21'!F28+'22'!F28+'23'!F28)/('1'!F27+'2'!F27+'3'!F27+'4'!F27+'5'!F27+'6'!F27+'7'!F27+'8'!F27+'9'!F27+'10'!F27+'12'!F27+'13'!F27+'14'!F27+'15'!F27+'16'!F27+'17'!F27+'18'!F27+'19'!F27+'20'!F27+'21'!F27+'22'!F27+'23'!F27)-1</f>
        <v>7.4656321531414438E-2</v>
      </c>
      <c r="BF22">
        <f t="shared" si="19"/>
        <v>2.502551903099115E-2</v>
      </c>
      <c r="BG22">
        <v>2045</v>
      </c>
      <c r="BH22" s="59">
        <f t="shared" si="35"/>
        <v>0.76000000000000012</v>
      </c>
      <c r="BI22" s="2">
        <f t="shared" si="34"/>
        <v>0.89000000000000012</v>
      </c>
      <c r="BJ22" s="2">
        <f t="shared" si="21"/>
        <v>0.13</v>
      </c>
      <c r="BK22" t="e">
        <f>'2 (RU)'!AB28+'6 (RU)'!AB28+'7 (RU)'!AB28+'9 (RU)'!AB28+'11 (RU)'!AB28+'12 (RU)'!AB28+'13 (RU)'!AB28+'16 (RU)'!AB28+'17 (RU)'!AB28+'18 (RU)'!AB28+'22 (RU)'!AB28</f>
        <v>#DIV/0!</v>
      </c>
      <c r="BL22" t="e">
        <f>'1 (RU)'!AB28+'2 (RU)'!AC28+'5 (RU)'!AB28+'6 (RU)'!AC28+'7 (RU)'!AC28+'9 (RU)'!AC28+'11 (RU)'!AC28+'12 (RU)'!AC28+'13 (RU)'!AC28+'15 (RU)'!AB28+'16 (RU)'!AC28+'17 (RU)'!AC28+'18 (RU)'!AC28+'19 (RU)'!AB28+'22 (RU)'!AC28</f>
        <v>#DIV/0!</v>
      </c>
      <c r="BN22" t="e">
        <f>'3 (RU)'!AB28+'4 (RU)'!AB28+'10 (RU)'!AB28+'20 (RU)'!AB28+'21 (RU)'!AB28+'23 (RU)'!AB28</f>
        <v>#DIV/0!</v>
      </c>
      <c r="BO22" t="e">
        <f>'8 (RU)'!AB28+'14 (RU)'!AB28</f>
        <v>#DIV/0!</v>
      </c>
      <c r="BP22" t="e">
        <f>'1 (RU)'!AD28+'2 (RU)'!AD28+'3 (RU)'!AD28+'4 (RU)'!AD28+'5 (RU)'!AD28+'6 (RU)'!AD28+'7 (RU)'!AD28+'8 (RU)'!AD28+'9 (RU)'!AD28+'10 (RU)'!AD28+'11 (RU)'!AD28+'12 (RU)'!AD28+'13 (RU)'!AD28+'14 (RU)'!AD28+'15 (RU)'!AD28+'16 (RU)'!AD28+'17 (RU)'!AD28+'18 (RU)'!AD28+'19 (RU)'!AD28+'20 (RU)'!AD28+'21 (RU)'!AD28+'22 (RU)'!AD28+'23 (RU)'!AD28</f>
        <v>#DIV/0!</v>
      </c>
      <c r="BQ22" t="e">
        <f>'1 (RU)'!AE28+'2 (RU)'!AE28+'3 (RU)'!AE28+'4 (RU)'!AE28+'5 (RU)'!AE28+'6 (RU)'!AE28+'7 (RU)'!AE28+'8 (RU)'!AE28+'9 (RU)'!AE28+'10 (RU)'!AE28+'11 (RU)'!AE28+'12 (RU)'!AE28+'13 (RU)'!AE28+'14 (RU)'!AE28+'15 (RU)'!AE28+'16 (RU)'!AE28+'17 (RU)'!AE28+'18 (RU)'!AE28+'19 (RU)'!AE28+'20 (RU)'!AE28+'21 (RU)'!AE28+'22 (RU)'!AE28+'23 (RU)'!AE28</f>
        <v>#DIV/0!</v>
      </c>
      <c r="BR22" t="e">
        <f>'1 (RU)'!AF28+'2 (RU)'!AF28+'3 (RU)'!AF28+'4 (RU)'!AF28+'5 (RU)'!AF28+'6 (RU)'!AF28+'7 (RU)'!AF28+'8 (RU)'!AF28+'9 (RU)'!AF28+'10 (RU)'!AF28+'11 (RU)'!AF28+'12 (RU)'!AF28+'13 (RU)'!AF28+'14 (RU)'!AF28+'15 (RU)'!AF28+'16 (RU)'!AF28+'17 (RU)'!AF28+'18 (RU)'!AF28+'19 (RU)'!AF28+'20 (RU)'!AF28+'21 (RU)'!AF28+'22 (RU)'!AF28+'23 (RU)'!AF28</f>
        <v>#DIV/0!</v>
      </c>
      <c r="BS22" t="e">
        <f>'1 (RU)'!AG28+'2 (RU)'!AG28+'3 (RU)'!AG28+'4 (RU)'!AG28+'5 (RU)'!AG28+'6 (RU)'!AG28+'7 (RU)'!AG28+'8 (RU)'!AG28+'9 (RU)'!AG28+'10 (RU)'!AG28+'11 (RU)'!AG28+'12 (RU)'!AG28+'13 (RU)'!AG28+'14 (RU)'!AG28+'15 (RU)'!AG28+'16 (RU)'!AG28+'17 (RU)'!AG28+'18 (RU)'!AG28+'19 (RU)'!AG28+'20 (RU)'!AG28+'21 (RU)'!AG28+'22 (RU)'!AG28+'23 (RU)'!AG28</f>
        <v>#DIV/0!</v>
      </c>
      <c r="BT22" t="e">
        <f>'1 (RU)'!AH28+'2 (RU)'!AH28+'3 (RU)'!AH28+'4 (RU)'!AH28+'5 (RU)'!AH28+'6 (RU)'!AH28+'7 (RU)'!AH28+'8 (RU)'!AH28+'9 (RU)'!AH28+'10 (RU)'!AH28+'11 (RU)'!AH28+'12 (RU)'!AH28+'13 (RU)'!AH28+'14 (RU)'!AH28+'15 (RU)'!AH28+'16 (RU)'!AH28+'17 (RU)'!AH28+'18 (RU)'!AH28+'19 (RU)'!AH28+'20 (RU)'!AH28+'21 (RU)'!AH28+'22 (RU)'!AH28+'23 (RU)'!AH28</f>
        <v>#DIV/0!</v>
      </c>
      <c r="BU22" t="e">
        <f>'1 (RU)'!AI28+'2 (RU)'!AI28+'3 (RU)'!AI28+'4 (RU)'!AI28+'5 (RU)'!AI28+'6 (RU)'!AI28+'7 (RU)'!AI28+'8 (RU)'!AI28+'9 (RU)'!AI28+'10 (RU)'!AI28+'11 (RU)'!AI28+'12 (RU)'!AI28+'13 (RU)'!AI28+'14 (RU)'!AI28+'15 (RU)'!AI28+'16 (RU)'!AI28+'17 (RU)'!AI28+'18 (RU)'!AI28+'19 (RU)'!AI28+'20 (RU)'!AI28+'21 (RU)'!AI28+'22 (RU)'!AI28+'23 (RU)'!AI28</f>
        <v>#DIV/0!</v>
      </c>
      <c r="BV22" t="e">
        <f>'1 (RU)'!AJ28+'2 (RU)'!AJ28+'3 (RU)'!AJ28+'4 (RU)'!AJ28+'5 (RU)'!AJ28+'6 (RU)'!AJ28+'7 (RU)'!AJ28+'8 (RU)'!AJ28+'9 (RU)'!AJ28+'10 (RU)'!AJ28+'11 (RU)'!AJ28+'12 (RU)'!AJ28+'13 (RU)'!AJ28+'14 (RU)'!AJ28+'15 (RU)'!AJ28+'16 (RU)'!AJ28+'17 (RU)'!AJ28+'18 (RU)'!AJ28+'19 (RU)'!AJ28+'20 (RU)'!AJ28+'21 (RU)'!AJ28+'22 (RU)'!AJ28+'23 (RU)'!AJ28</f>
        <v>#DIV/0!</v>
      </c>
      <c r="BW22" t="e">
        <f>'1 (RU)'!AK28+'2 (RU)'!AK28+'3 (RU)'!AK28+'4 (RU)'!AK28+'5 (RU)'!AK28+'6 (RU)'!AK28+'7 (RU)'!AK28+'8 (RU)'!AK28+'9 (RU)'!AK28+'10 (RU)'!AK28+'11 (RU)'!AK28+'12 (RU)'!AK28+'13 (RU)'!AK28+'14 (RU)'!AK28+'15 (RU)'!AK28+'16 (RU)'!AK28+'17 (RU)'!AK28+'18 (RU)'!AK28+'19 (RU)'!AK28+'20 (RU)'!AK28+'21 (RU)'!AK28+'22 (RU)'!AK28+'23 (RU)'!AK28</f>
        <v>#DIV/0!</v>
      </c>
      <c r="BX22" t="e">
        <f>'1 (RU)'!AL28+'2 (RU)'!AL28+'3 (RU)'!AL28+'4 (RU)'!AL28+'5 (RU)'!AL28+'6 (RU)'!AL28+'7 (RU)'!AL28+'8 (RU)'!AL28+'9 (RU)'!AL28+'10 (RU)'!AL28+'11 (RU)'!AL28+'12 (RU)'!AL28+'13 (RU)'!AL28+'14 (RU)'!AL28+'15 (RU)'!AL28+'16 (RU)'!AL28+'17 (RU)'!AL28+'18 (RU)'!AL28+'19 (RU)'!AL28+'20 (RU)'!AL28+'21 (RU)'!AL28+'22 (RU)'!AL28+'23 (RU)'!AL28</f>
        <v>#DIV/0!</v>
      </c>
      <c r="BY22" s="25" t="e">
        <f t="shared" si="7"/>
        <v>#DIV/0!</v>
      </c>
      <c r="BZ22" s="16" t="e">
        <f t="shared" si="8"/>
        <v>#DIV/0!</v>
      </c>
      <c r="CC22" t="e">
        <f>VLOOKUP(CC$1,emissions!$A$2:$B$5,2,FALSE)*BK22</f>
        <v>#DIV/0!</v>
      </c>
      <c r="CD22" t="e">
        <f>VLOOKUP(CD$1,emissions!$A$2:$B$5,2,FALSE)*BL22</f>
        <v>#DIV/0!</v>
      </c>
      <c r="CF22" t="e">
        <f>VLOOKUP(CF$1,emissions!$A$2:$B$5,2,FALSE)*BN22</f>
        <v>#DIV/0!</v>
      </c>
      <c r="CG22" t="e">
        <f>VLOOKUP(CG$1,emissions!$A$2:$B$5,2,FALSE)*BO22</f>
        <v>#DIV/0!</v>
      </c>
      <c r="CH22" t="e">
        <f>BP22*(emissions!$D$3*production!$B$4+emissions!$D$4*production!$C$4+emissions!$D$5*production!$D$4+emissions!$D$6*production!$E$4)</f>
        <v>#DIV/0!</v>
      </c>
      <c r="CI22" t="e">
        <f>BQ22*(emissions!$D$3*production!$B$4+emissions!$D$4*production!$C$4+emissions!$D$5*production!$D$4+emissions!$D$6*production!$E$4)</f>
        <v>#DIV/0!</v>
      </c>
      <c r="CJ22" t="e">
        <f>BR22*(emissions!$D$8*production!$B$6+emissions!$D$9*production!$C$6+emissions!$D$10*production!$D$6)</f>
        <v>#DIV/0!</v>
      </c>
      <c r="CK22" t="e">
        <f>BS22*(emissions!$D$12*production!$B$8+emissions!$D$13*production!$C$8+emissions!$D$14*production!$D$8)</f>
        <v>#DIV/0!</v>
      </c>
      <c r="CL22" t="e">
        <f>BT22*(emissions!$D$16*production!$B$10+production!$C$10*emissions!$D$17)</f>
        <v>#DIV/0!</v>
      </c>
      <c r="CM22" t="e">
        <f>BU22*(emissions!$D$19*production!$B$12+production!$C$12*emissions!$D$20+emissions!$D$21*production!$D$12)</f>
        <v>#DIV/0!</v>
      </c>
      <c r="CN22" t="e">
        <f>BV22*(emissions!$D$23*production!$B$14+production!$C$14*emissions!$D$24+emissions!$D$25*production!$D$14)</f>
        <v>#DIV/0!</v>
      </c>
      <c r="CO22" t="e">
        <f>BW22*(emissions!$D$27*production!$B$16+production!$C$16*emissions!$D$28+production!$D$16*emissions!$D$29)</f>
        <v>#DIV/0!</v>
      </c>
      <c r="CP22">
        <v>0</v>
      </c>
      <c r="CS22" t="e">
        <f t="shared" si="9"/>
        <v>#DIV/0!</v>
      </c>
      <c r="CT22" s="40" t="e">
        <f t="shared" si="10"/>
        <v>#DIV/0!</v>
      </c>
      <c r="CU22" t="e">
        <f t="shared" si="0"/>
        <v>#DIV/0!</v>
      </c>
      <c r="CV22" t="e">
        <f t="shared" si="1"/>
        <v>#DIV/0!</v>
      </c>
      <c r="CW22">
        <f t="shared" si="2"/>
        <v>22.391999999999989</v>
      </c>
      <c r="CX22">
        <f t="shared" si="3"/>
        <v>10.262999999999987</v>
      </c>
      <c r="CY22" t="e">
        <f t="shared" si="11"/>
        <v>#DIV/0!</v>
      </c>
      <c r="CZ22" s="74" t="e">
        <f t="shared" si="12"/>
        <v>#DIV/0!</v>
      </c>
      <c r="DA22" t="e">
        <f t="shared" si="13"/>
        <v>#DIV/0!</v>
      </c>
      <c r="DB22" t="e">
        <f t="shared" si="14"/>
        <v>#DIV/0!</v>
      </c>
      <c r="DC22" s="34" t="e">
        <f t="shared" si="15"/>
        <v>#DIV/0!</v>
      </c>
      <c r="DD22">
        <v>2045</v>
      </c>
      <c r="DE22" t="e">
        <f t="shared" si="22"/>
        <v>#DIV/0!</v>
      </c>
      <c r="DF22" t="e">
        <f t="shared" si="23"/>
        <v>#DIV/0!</v>
      </c>
      <c r="DG22">
        <v>2045</v>
      </c>
      <c r="DH22" t="e">
        <f t="shared" si="24"/>
        <v>#DIV/0!</v>
      </c>
      <c r="DI22" t="e">
        <f t="shared" si="25"/>
        <v>#DIV/0!</v>
      </c>
      <c r="DJ22" t="e">
        <f t="shared" si="26"/>
        <v>#DIV/0!</v>
      </c>
      <c r="DK22" t="e">
        <f t="shared" si="27"/>
        <v>#DIV/0!</v>
      </c>
      <c r="DL22" t="e">
        <f t="shared" si="28"/>
        <v>#DIV/0!</v>
      </c>
      <c r="DM22" s="74" t="e">
        <f t="shared" si="29"/>
        <v>#DIV/0!</v>
      </c>
      <c r="DN22" s="75" t="e">
        <f t="shared" si="30"/>
        <v>#DIV/0!</v>
      </c>
      <c r="DO22" s="76" t="e">
        <f t="shared" si="31"/>
        <v>#DIV/0!</v>
      </c>
      <c r="DP22" s="78" t="e">
        <f t="shared" si="32"/>
        <v>#DIV/0!</v>
      </c>
      <c r="DQ22" s="70">
        <v>2832</v>
      </c>
      <c r="DR22" s="71">
        <v>33386</v>
      </c>
      <c r="DS22" s="71"/>
      <c r="DT22" s="71">
        <v>893</v>
      </c>
      <c r="DU22" s="71">
        <v>3042</v>
      </c>
      <c r="DV22">
        <f>DQ22*VLOOKUP(DQ$1,emissions!$A$2:$B$5,2,FALSE)</f>
        <v>413472</v>
      </c>
      <c r="DW22">
        <f>DR22*VLOOKUP(DR$1,emissions!$A$2:$B$5,2,FALSE)</f>
        <v>4874356</v>
      </c>
      <c r="DY22">
        <f>DT22*VLOOKUP(DT$1,emissions!$A$2:$B$5,2,FALSE)</f>
        <v>129485</v>
      </c>
      <c r="DZ22">
        <f>DU22*VLOOKUP(DU$1,emissions!$A$2:$B$5,2,FALSE)</f>
        <v>343746</v>
      </c>
      <c r="EA22">
        <f t="shared" si="16"/>
        <v>5761059</v>
      </c>
      <c r="EB22">
        <f t="shared" si="17"/>
        <v>143.47767290115308</v>
      </c>
      <c r="ED22" s="77" t="e">
        <f t="shared" si="4"/>
        <v>#DIV/0!</v>
      </c>
      <c r="EE22" s="34" t="e">
        <f>cost!$B$2*BK22</f>
        <v>#DIV/0!</v>
      </c>
      <c r="EF22" s="34" t="e">
        <f>cost!$B$3*BL22</f>
        <v>#DIV/0!</v>
      </c>
      <c r="EG22" s="34"/>
      <c r="EH22" s="34" t="e">
        <f>cost!$B$4*BN22</f>
        <v>#DIV/0!</v>
      </c>
      <c r="EI22" s="34" t="e">
        <f>cost!$B$5*$BO$2</f>
        <v>#DIV/0!</v>
      </c>
      <c r="EJ22" s="34" t="e">
        <f>BP22*(cost!$D$3*production!$B$4+production!$C$4*cost!$D$4+cost!$D$5*production!$D$4+production!$E$4*cost!$D$6)</f>
        <v>#DIV/0!</v>
      </c>
      <c r="EK22" s="34" t="e">
        <f>BQ22*(cost!$D$3*production!$B$4+production!$C$4*cost!$D$4+cost!$D$5*production!$D$4+production!$E$4*cost!$D$6)</f>
        <v>#DIV/0!</v>
      </c>
      <c r="EL22" s="34" t="e">
        <f>BR22*(cost!$D$8*production!$B$6+cost!$D$9*production!$C$6+$D$10*production!$D$6)</f>
        <v>#DIV/0!</v>
      </c>
      <c r="EM22" s="34" t="e">
        <f>BS22*(cost!$D$12*production!$B$8+cost!$D$13*production!$C$8+cost!$D$14*production!$D$8)</f>
        <v>#DIV/0!</v>
      </c>
      <c r="EN22" s="34" t="e">
        <f>BT22*(cost!$D$16*production!$B$10+production!$C$10*cost!$D$17)</f>
        <v>#DIV/0!</v>
      </c>
      <c r="EO22" s="34" t="e">
        <f>BU22*(cost!$D$19*production!$B$12+production!$C$12*cost!$D$20+cost!$D$21*production!$D$12)</f>
        <v>#DIV/0!</v>
      </c>
      <c r="EP22" s="34" t="e">
        <f>BV22*(cost!$D$23*production!$B$14+production!$C$14*cost!$D$24+cost!$D$25*production!$D$14)</f>
        <v>#DIV/0!</v>
      </c>
      <c r="EQ22" s="34" t="e">
        <f>BW22*(cost!$D$27*production!$B$16+production!$C$16*cost!$D$28+cost!$D$29*production!$D$16)</f>
        <v>#DIV/0!</v>
      </c>
      <c r="ER22" s="34" t="e">
        <f>BX22*(re!$H$10*re!$C$10+re!$H$11*re!$C$11+re!$H$12*re!$C$12+re!$H$13*re!$C$13+re!$H$14*re!$C$14)</f>
        <v>#DIV/0!</v>
      </c>
    </row>
    <row r="23" spans="1:148" x14ac:dyDescent="0.2">
      <c r="A23" s="84" t="s">
        <v>2</v>
      </c>
      <c r="B23" s="119">
        <f>I2</f>
        <v>213.57532020238992</v>
      </c>
      <c r="C23" s="119">
        <f>I27</f>
        <v>9.937857784791932</v>
      </c>
      <c r="D23" s="119">
        <f>I7</f>
        <v>334.94359427221008</v>
      </c>
      <c r="E23" s="130">
        <f>I17</f>
        <v>70.351089934228625</v>
      </c>
      <c r="F23" s="119"/>
      <c r="G23">
        <v>2046</v>
      </c>
      <c r="H23" s="25">
        <f>'2'!AB29+'6'!AB29+'7'!AB29+'9'!AB29+'11'!AB29+'12'!AB29+'13'!AB29+'16'!AB29+'17'!AB29+'18'!AB29+'22'!AB29</f>
        <v>1.8871931419605696</v>
      </c>
      <c r="I23" s="16">
        <f>'1'!AB29+'2'!AC29+'5'!AB29+'6'!AC29+'7'!AC29+'9'!AC29+'11'!AC29+'12'!AC29+'13'!AC29+'15'!AB29+'16'!AC29+'17'!AC29+'18'!AC29+'19'!AB29+'22'!AC29</f>
        <v>13.658091643796444</v>
      </c>
      <c r="J23" s="16"/>
      <c r="K23" s="16">
        <f>'3'!AB29+'4'!AB29+'10'!AB29+'20'!AB29+'21'!AB29+'23'!AB29</f>
        <v>0.60136568473797847</v>
      </c>
      <c r="L23" s="16">
        <f>'8'!AB29+'14'!AB29</f>
        <v>5.529204028330299</v>
      </c>
      <c r="M23" s="16">
        <f>'1'!AD29+'2'!AD29+'3'!AD29+'4'!AD29+'5'!AD29+'6'!AD29+'7'!AD29+'8'!AD29+'9'!AD29+'10'!AD29+'11'!AD29+'12'!AD29+'13'!AD29+'14'!AD29+'15'!AD29+'16'!AD29+'17'!AD29+'18'!AD29+'19'!AD29+'20'!AD29+'21'!AD29+'22'!AD29+'23'!AD29</f>
        <v>212.00624549695581</v>
      </c>
      <c r="N23" s="16">
        <f>'1'!AE29+'2'!AE29+'3'!AE29+'4'!AE29+'5'!AE29+'6'!AE29+'7'!AE29+'8'!AE29+'9'!AE29+'10'!AE29+'11'!AE29+'12'!AE29+'13'!AE29+'14'!AE29+'15'!AE29+'16'!AE29+'17'!AE29+'18'!AE29+'19'!AE29+'20'!AE29+'21'!AE29+'22'!AE29+'23'!AE29</f>
        <v>12.56512273199494</v>
      </c>
      <c r="O23" s="16">
        <f>'1'!AF29+'2'!AF29+'3'!AF29+'4'!AF29+'5'!AF29+'6'!AF29+'7'!AF29+'8'!AF29+'9'!AF29+'10'!AF29+'11'!AF29+'12'!AF29+'13'!AF29+'14'!AF29+'15'!AF29+'16'!AF29+'17'!AF29+'18'!AF29+'19'!AF29+'20'!AF29+'21'!AF29+'22'!AF29+'23'!AF29</f>
        <v>405.87429971187646</v>
      </c>
      <c r="P23" s="16">
        <f>'1'!AG29+'2'!AG29+'3'!AG29+'4'!AG29+'5'!AG29+'6'!AG29+'7'!AG29+'8'!AG29+'9'!AG29+'10'!AG29+'11'!AG29+'12'!AG29+'13'!AG29+'14'!AG29+'15'!AG29+'16'!AG29+'17'!AG29+'18'!AG29+'19'!AG29+'20'!AG29+'21'!AG29+'22'!AG29+'23'!AG29</f>
        <v>369.78077404760108</v>
      </c>
      <c r="Q23" s="16">
        <f>'1'!AH29+'2'!AH29+'3'!AH29+'4'!AH29+'5'!AH29+'6'!AH29+'7'!AH29+'8'!AH29+'9'!AH29+'10'!AH29+'11'!AH29+'12'!AH29+'13'!AH29+'14'!AH29+'15'!AH29+'16'!AH29+'17'!AH29+'18'!AH29+'19'!AH29+'20'!AH29+'21'!AH29+'22'!AH29+'23'!AH29</f>
        <v>9.3646907280120661</v>
      </c>
      <c r="R23" s="16">
        <f>'1'!AI29+'2'!AI29+'3'!AI29+'4'!AI29+'5'!AI29+'6'!AI29+'7'!AI29+'8'!AI29+'9'!AI29+'10'!AI29+'11'!AI29+'12'!AI29+'13'!AI29+'14'!AI29+'15'!AI29+'16'!AI29+'17'!AI29+'18'!AI29+'19'!AI29+'20'!AI29+'21'!AI29+'22'!AI29+'23'!AI29</f>
        <v>64.148881373335826</v>
      </c>
      <c r="S23" s="16">
        <f>'1'!AJ29+'2'!AJ29+'3'!AJ29+'4'!AJ29+'5'!AJ29+'6'!AJ29+'7'!AJ29+'8'!AJ29+'9'!AJ29+'10'!AJ29+'11'!AJ29+'12'!AJ29+'13'!AJ29+'14'!AJ29+'15'!AJ29+'16'!AJ29+'17'!AJ29+'18'!AJ29+'19'!AJ29+'20'!AJ29+'21'!AJ29+'22'!AJ29+'23'!AJ29</f>
        <v>17.944358919078596</v>
      </c>
      <c r="T23" s="16">
        <f>'1'!AK29+'2'!AK29+'3'!AK29+'4'!AK29+'5'!AK29+'6'!AK29+'7'!AK29+'8'!AK29+'9'!AK29+'10'!AK29+'11'!AK29+'12'!AK29+'13'!AK29+'14'!AK29+'15'!AK29+'16'!AK29+'17'!AK29+'18'!AK29+'19'!AK29+'20'!AK29+'21'!AK29+'22'!AK29+'23'!AK29</f>
        <v>201.70076833649489</v>
      </c>
      <c r="U23" s="16">
        <f>'1'!AL29+'2'!AL29+'3'!AL29+'4'!AL29+'5'!AL29+'6'!AL29+'7'!AL29+'8'!AL29+'9'!AL29+'10'!AL29+'11'!AL29+'12'!AL29+'13'!AL29+'14'!AL29+'15'!AL29+'16'!AL29+'17'!AL29+'18'!AL29+'19'!AL29+'20'!AL29+'21'!AL29+'22'!AL29+'23'!AL29</f>
        <v>0.49783316053179638</v>
      </c>
      <c r="V23" s="25">
        <f t="shared" si="5"/>
        <v>21.675854498825291</v>
      </c>
      <c r="W23" s="16">
        <f t="shared" si="6"/>
        <v>1293.8829745058817</v>
      </c>
      <c r="X23" s="9">
        <f t="shared" si="20"/>
        <v>2.272145307090212E-2</v>
      </c>
      <c r="Y23" s="16">
        <f>((M23+N23)*re!$D$2/re!$C$2+O23*re!$D$3/re!$C$3+P23*re!$D$4/re!$C$4+T23*re!$D$5/re!$C$5+U23*re!$D$6/re!$C$6)</f>
        <v>2196.3343874958409</v>
      </c>
      <c r="Z23">
        <f t="shared" si="18"/>
        <v>169.45144062666625</v>
      </c>
      <c r="AA23">
        <f>((Y23*277.8)/(re!$B$10*8760))*re!$C$10</f>
        <v>96.070176798353771</v>
      </c>
      <c r="AB23">
        <f>((Y23*277.8)/(re!$B$11*8760))*re!$C$11</f>
        <v>35.718399066054602</v>
      </c>
      <c r="AC23">
        <f>((Y23*277.8)/(re!$B$12*8760))*re!$C$12</f>
        <v>12.89831077385305</v>
      </c>
      <c r="AD23">
        <f>((Y23*277.8)/(re!$B$13*8760))*re!$C$13</f>
        <v>3.7853738140655686</v>
      </c>
      <c r="AE23">
        <f>((Y23*277.8)/(re!$B$14*8760))*re!$C$14</f>
        <v>20.979180174339302</v>
      </c>
      <c r="AF23">
        <f>SUM('1'!AD29:AL29)+'1'!AA29</f>
        <v>195.49632348148711</v>
      </c>
      <c r="AG23">
        <f>SUM('2'!AD29:AL29)+'2'!AA29</f>
        <v>3.8582985727301495</v>
      </c>
      <c r="AH23">
        <f>SUM('3'!AD29:AL29)+'3'!AA29</f>
        <v>16.99389702364229</v>
      </c>
      <c r="AI23">
        <f>SUM('4'!AD29:AL29)+'4'!AA29</f>
        <v>1.284480504513978</v>
      </c>
      <c r="AJ23">
        <f>SUM('5'!AD29:AL29)+'5'!AA29</f>
        <v>7.5270274605253809</v>
      </c>
      <c r="AK23">
        <f>SUM('6'!AD29:AL29)+'6'!AA29</f>
        <v>190.64822012557545</v>
      </c>
      <c r="AL23">
        <f>SUM('7'!AD29:AL29)+'7'!AA29</f>
        <v>172.00605995128259</v>
      </c>
      <c r="AM23">
        <f>SUM('8'!AD29:AL29)+'8'!AA29</f>
        <v>362.91800699798091</v>
      </c>
      <c r="AN23">
        <f>SUM('9'!AD29:AL29)+'9'!AA29</f>
        <v>93.982436901310138</v>
      </c>
      <c r="AO23">
        <f>SUM('10'!AD29:AL29)+'10'!AA29</f>
        <v>6.8150690756102756</v>
      </c>
      <c r="AP23">
        <f>SUM('11'!AD29:AL29)+'11'!AA29</f>
        <v>8.929509375961814</v>
      </c>
      <c r="AQ23">
        <f>SUM('12'!AD29:AL29)+'12'!AA29</f>
        <v>2.7433291290612813</v>
      </c>
      <c r="AR23">
        <f>SUM('13'!AD29:AL29)+'13'!AA29</f>
        <v>7.9819410397475075</v>
      </c>
      <c r="AS23">
        <f>SUM('14'!AD29:AL29)+'14'!AA29</f>
        <v>6.9449341023807847</v>
      </c>
      <c r="AT23">
        <f>SUM('15'!AD29:AL29)+'15'!AA29</f>
        <v>83.500859527844582</v>
      </c>
      <c r="AU23">
        <f>SUM('16'!AD29:AL29)+'16'!AA29</f>
        <v>33.971751606177278</v>
      </c>
      <c r="AV23">
        <f>SUM('17'!AD29:AL29)+'17'!AA29</f>
        <v>57.816376767044147</v>
      </c>
      <c r="AW23">
        <f>SUM('18'!AD29:AL29)+'18'!AA29</f>
        <v>14.438448356130172</v>
      </c>
      <c r="AX23">
        <f>SUM('19'!AD29:AL29)+'19'!AA29</f>
        <v>36.960160912873512</v>
      </c>
      <c r="AY23">
        <f>SUM('20'!AD29:AL29)+'20'!AA29</f>
        <v>2.4527634756149466</v>
      </c>
      <c r="AZ23">
        <f>SUM('21'!AD29:AL29)+'21'!AA29</f>
        <v>0.21908215012137949</v>
      </c>
      <c r="BA23">
        <f>SUM('22'!AD29:AL29)+'22'!AA29</f>
        <v>0.69260988477080887</v>
      </c>
      <c r="BB23">
        <f>SUM('23'!AD29:AL29)+'23'!AA29</f>
        <v>7.3772425823202008</v>
      </c>
      <c r="BC23">
        <f>('1'!D29+'2'!D29+'3'!D29+'4'!D29+'5'!D29+'6'!D29+'7'!D29+'8'!D29+'9'!D29+'10'!D29+'12'!D29+'13'!D29+'14'!D29+'15'!D29+'16'!D29+'17'!D29+'18'!D29+'19'!D29+'20'!D29+'21'!D29+'22'!D29+'23'!D29)/('1'!D28+'2'!D28+'3'!D28+'4'!D28+'5'!D28+'6'!D28+'7'!D28+'8'!D28+'9'!D28+'10'!D28+'12'!D28+'13'!D28+'14'!D28+'15'!D28+'16'!D28+'17'!D28+'18'!D28+'19'!D28+'20'!D28+'21'!D28+'22'!D28+'23'!D28)-1</f>
        <v>7.0017136541295377E-2</v>
      </c>
      <c r="BD23">
        <f>('1'!E29+'2'!E29+'3'!E29+'4'!E29+'5'!E29+'6'!E29+'7'!E29+'8'!E29+'9'!E29+'10'!E29+'12'!E29+'13'!E29+'14'!E29+'15'!E29+'16'!E29+'17'!E29+'18'!E29+'19'!E29+'20'!E29+'21'!E29+'22'!E29+'23'!E29)/('1'!E28+'2'!E28+'3'!E28+'4'!E28+'5'!E28+'6'!E28+'7'!E28+'8'!E28+'9'!E28+'10'!E28+'12'!E28+'13'!E28+'14'!E28+'15'!E28+'16'!E28+'17'!E28+'18'!E28+'19'!E28+'20'!E28+'21'!E28+'22'!E28+'23'!E28)-1</f>
        <v>7.0017136541295155E-2</v>
      </c>
      <c r="BE23">
        <f>('1'!F29+'2'!F29+'3'!F29+'4'!F29+'5'!F29+'6'!F29+'7'!F29+'8'!F29+'9'!F29+'10'!F29+'12'!F29+'13'!F29+'14'!F29+'15'!F29+'16'!F29+'17'!F29+'18'!F29+'19'!F29+'20'!F29+'21'!F29+'22'!F29+'23'!F29)/('1'!F28+'2'!F28+'3'!F28+'4'!F28+'5'!F28+'6'!F28+'7'!F28+'8'!F28+'9'!F28+'10'!F28+'12'!F28+'13'!F28+'14'!F28+'15'!F28+'16'!F28+'17'!F28+'18'!F28+'19'!F28+'20'!F28+'21'!F28+'22'!F28+'23'!F28)-1</f>
        <v>7.1951863866238641E-2</v>
      </c>
      <c r="BF23">
        <f t="shared" si="19"/>
        <v>2.272145307090212E-2</v>
      </c>
      <c r="BG23">
        <v>2046</v>
      </c>
      <c r="BH23" s="59">
        <f t="shared" si="35"/>
        <v>0.78200000000000014</v>
      </c>
      <c r="BI23" s="2">
        <f t="shared" si="34"/>
        <v>0.91200000000000014</v>
      </c>
      <c r="BJ23" s="2">
        <f t="shared" si="21"/>
        <v>0.13</v>
      </c>
      <c r="BK23" t="e">
        <f>'2 (RU)'!AB29+'6 (RU)'!AB29+'7 (RU)'!AB29+'9 (RU)'!AB29+'11 (RU)'!AB29+'12 (RU)'!AB29+'13 (RU)'!AB29+'16 (RU)'!AB29+'17 (RU)'!AB29+'18 (RU)'!AB29+'22 (RU)'!AB29</f>
        <v>#DIV/0!</v>
      </c>
      <c r="BL23" t="e">
        <f>'1 (RU)'!AB29+'2 (RU)'!AC29+'5 (RU)'!AB29+'6 (RU)'!AC29+'7 (RU)'!AC29+'9 (RU)'!AC29+'11 (RU)'!AC29+'12 (RU)'!AC29+'13 (RU)'!AC29+'15 (RU)'!AB29+'16 (RU)'!AC29+'17 (RU)'!AC29+'18 (RU)'!AC29+'19 (RU)'!AB29+'22 (RU)'!AC29</f>
        <v>#DIV/0!</v>
      </c>
      <c r="BN23" t="e">
        <f>'3 (RU)'!AB29+'4 (RU)'!AB29+'10 (RU)'!AB29+'20 (RU)'!AB29+'21 (RU)'!AB29+'23 (RU)'!AB29</f>
        <v>#DIV/0!</v>
      </c>
      <c r="BO23" t="e">
        <f>'8 (RU)'!AB29+'14 (RU)'!AB29</f>
        <v>#DIV/0!</v>
      </c>
      <c r="BP23" t="e">
        <f>'1 (RU)'!AD29+'2 (RU)'!AD29+'3 (RU)'!AD29+'4 (RU)'!AD29+'5 (RU)'!AD29+'6 (RU)'!AD29+'7 (RU)'!AD29+'8 (RU)'!AD29+'9 (RU)'!AD29+'10 (RU)'!AD29+'11 (RU)'!AD29+'12 (RU)'!AD29+'13 (RU)'!AD29+'14 (RU)'!AD29+'15 (RU)'!AD29+'16 (RU)'!AD29+'17 (RU)'!AD29+'18 (RU)'!AD29+'19 (RU)'!AD29+'20 (RU)'!AD29+'21 (RU)'!AD29+'22 (RU)'!AD29+'23 (RU)'!AD29</f>
        <v>#DIV/0!</v>
      </c>
      <c r="BQ23" t="e">
        <f>'1 (RU)'!AE29+'2 (RU)'!AE29+'3 (RU)'!AE29+'4 (RU)'!AE29+'5 (RU)'!AE29+'6 (RU)'!AE29+'7 (RU)'!AE29+'8 (RU)'!AE29+'9 (RU)'!AE29+'10 (RU)'!AE29+'11 (RU)'!AE29+'12 (RU)'!AE29+'13 (RU)'!AE29+'14 (RU)'!AE29+'15 (RU)'!AE29+'16 (RU)'!AE29+'17 (RU)'!AE29+'18 (RU)'!AE29+'19 (RU)'!AE29+'20 (RU)'!AE29+'21 (RU)'!AE29+'22 (RU)'!AE29+'23 (RU)'!AE29</f>
        <v>#DIV/0!</v>
      </c>
      <c r="BR23" t="e">
        <f>'1 (RU)'!AF29+'2 (RU)'!AF29+'3 (RU)'!AF29+'4 (RU)'!AF29+'5 (RU)'!AF29+'6 (RU)'!AF29+'7 (RU)'!AF29+'8 (RU)'!AF29+'9 (RU)'!AF29+'10 (RU)'!AF29+'11 (RU)'!AF29+'12 (RU)'!AF29+'13 (RU)'!AF29+'14 (RU)'!AF29+'15 (RU)'!AF29+'16 (RU)'!AF29+'17 (RU)'!AF29+'18 (RU)'!AF29+'19 (RU)'!AF29+'20 (RU)'!AF29+'21 (RU)'!AF29+'22 (RU)'!AF29+'23 (RU)'!AF29</f>
        <v>#DIV/0!</v>
      </c>
      <c r="BS23" t="e">
        <f>'1 (RU)'!AG29+'2 (RU)'!AG29+'3 (RU)'!AG29+'4 (RU)'!AG29+'5 (RU)'!AG29+'6 (RU)'!AG29+'7 (RU)'!AG29+'8 (RU)'!AG29+'9 (RU)'!AG29+'10 (RU)'!AG29+'11 (RU)'!AG29+'12 (RU)'!AG29+'13 (RU)'!AG29+'14 (RU)'!AG29+'15 (RU)'!AG29+'16 (RU)'!AG29+'17 (RU)'!AG29+'18 (RU)'!AG29+'19 (RU)'!AG29+'20 (RU)'!AG29+'21 (RU)'!AG29+'22 (RU)'!AG29+'23 (RU)'!AG29</f>
        <v>#DIV/0!</v>
      </c>
      <c r="BT23" t="e">
        <f>'1 (RU)'!AH29+'2 (RU)'!AH29+'3 (RU)'!AH29+'4 (RU)'!AH29+'5 (RU)'!AH29+'6 (RU)'!AH29+'7 (RU)'!AH29+'8 (RU)'!AH29+'9 (RU)'!AH29+'10 (RU)'!AH29+'11 (RU)'!AH29+'12 (RU)'!AH29+'13 (RU)'!AH29+'14 (RU)'!AH29+'15 (RU)'!AH29+'16 (RU)'!AH29+'17 (RU)'!AH29+'18 (RU)'!AH29+'19 (RU)'!AH29+'20 (RU)'!AH29+'21 (RU)'!AH29+'22 (RU)'!AH29+'23 (RU)'!AH29</f>
        <v>#DIV/0!</v>
      </c>
      <c r="BU23" t="e">
        <f>'1 (RU)'!AI29+'2 (RU)'!AI29+'3 (RU)'!AI29+'4 (RU)'!AI29+'5 (RU)'!AI29+'6 (RU)'!AI29+'7 (RU)'!AI29+'8 (RU)'!AI29+'9 (RU)'!AI29+'10 (RU)'!AI29+'11 (RU)'!AI29+'12 (RU)'!AI29+'13 (RU)'!AI29+'14 (RU)'!AI29+'15 (RU)'!AI29+'16 (RU)'!AI29+'17 (RU)'!AI29+'18 (RU)'!AI29+'19 (RU)'!AI29+'20 (RU)'!AI29+'21 (RU)'!AI29+'22 (RU)'!AI29+'23 (RU)'!AI29</f>
        <v>#DIV/0!</v>
      </c>
      <c r="BV23" t="e">
        <f>'1 (RU)'!AJ29+'2 (RU)'!AJ29+'3 (RU)'!AJ29+'4 (RU)'!AJ29+'5 (RU)'!AJ29+'6 (RU)'!AJ29+'7 (RU)'!AJ29+'8 (RU)'!AJ29+'9 (RU)'!AJ29+'10 (RU)'!AJ29+'11 (RU)'!AJ29+'12 (RU)'!AJ29+'13 (RU)'!AJ29+'14 (RU)'!AJ29+'15 (RU)'!AJ29+'16 (RU)'!AJ29+'17 (RU)'!AJ29+'18 (RU)'!AJ29+'19 (RU)'!AJ29+'20 (RU)'!AJ29+'21 (RU)'!AJ29+'22 (RU)'!AJ29+'23 (RU)'!AJ29</f>
        <v>#DIV/0!</v>
      </c>
      <c r="BW23" t="e">
        <f>'1 (RU)'!AK29+'2 (RU)'!AK29+'3 (RU)'!AK29+'4 (RU)'!AK29+'5 (RU)'!AK29+'6 (RU)'!AK29+'7 (RU)'!AK29+'8 (RU)'!AK29+'9 (RU)'!AK29+'10 (RU)'!AK29+'11 (RU)'!AK29+'12 (RU)'!AK29+'13 (RU)'!AK29+'14 (RU)'!AK29+'15 (RU)'!AK29+'16 (RU)'!AK29+'17 (RU)'!AK29+'18 (RU)'!AK29+'19 (RU)'!AK29+'20 (RU)'!AK29+'21 (RU)'!AK29+'22 (RU)'!AK29+'23 (RU)'!AK29</f>
        <v>#DIV/0!</v>
      </c>
      <c r="BX23" t="e">
        <f>'1 (RU)'!AL29+'2 (RU)'!AL29+'3 (RU)'!AL29+'4 (RU)'!AL29+'5 (RU)'!AL29+'6 (RU)'!AL29+'7 (RU)'!AL29+'8 (RU)'!AL29+'9 (RU)'!AL29+'10 (RU)'!AL29+'11 (RU)'!AL29+'12 (RU)'!AL29+'13 (RU)'!AL29+'14 (RU)'!AL29+'15 (RU)'!AL29+'16 (RU)'!AL29+'17 (RU)'!AL29+'18 (RU)'!AL29+'19 (RU)'!AL29+'20 (RU)'!AL29+'21 (RU)'!AL29+'22 (RU)'!AL29+'23 (RU)'!AL29</f>
        <v>#DIV/0!</v>
      </c>
      <c r="BY23" s="25" t="e">
        <f t="shared" si="7"/>
        <v>#DIV/0!</v>
      </c>
      <c r="BZ23" s="16" t="e">
        <f t="shared" si="8"/>
        <v>#DIV/0!</v>
      </c>
      <c r="CC23" t="e">
        <f>VLOOKUP(CC$1,emissions!$A$2:$B$5,2,FALSE)*BK23</f>
        <v>#DIV/0!</v>
      </c>
      <c r="CD23" t="e">
        <f>VLOOKUP(CD$1,emissions!$A$2:$B$5,2,FALSE)*BL23</f>
        <v>#DIV/0!</v>
      </c>
      <c r="CF23" t="e">
        <f>VLOOKUP(CF$1,emissions!$A$2:$B$5,2,FALSE)*BN23</f>
        <v>#DIV/0!</v>
      </c>
      <c r="CG23" t="e">
        <f>VLOOKUP(CG$1,emissions!$A$2:$B$5,2,FALSE)*BO23</f>
        <v>#DIV/0!</v>
      </c>
      <c r="CH23" t="e">
        <f>BP23*(emissions!$D$3*production!$B$4+emissions!$D$4*production!$C$4+emissions!$D$5*production!$D$4+emissions!$D$6*production!$E$4)</f>
        <v>#DIV/0!</v>
      </c>
      <c r="CI23" t="e">
        <f>BQ23*(emissions!$D$3*production!$B$4+emissions!$D$4*production!$C$4+emissions!$D$5*production!$D$4+emissions!$D$6*production!$E$4)</f>
        <v>#DIV/0!</v>
      </c>
      <c r="CJ23" t="e">
        <f>BR23*(emissions!$D$8*production!$B$6+emissions!$D$9*production!$C$6+emissions!$D$10*production!$D$6)</f>
        <v>#DIV/0!</v>
      </c>
      <c r="CK23" t="e">
        <f>BS23*(emissions!$D$12*production!$B$8+emissions!$D$13*production!$C$8+emissions!$D$14*production!$D$8)</f>
        <v>#DIV/0!</v>
      </c>
      <c r="CL23" t="e">
        <f>BT23*(emissions!$D$16*production!$B$10+production!$C$10*emissions!$D$17)</f>
        <v>#DIV/0!</v>
      </c>
      <c r="CM23" t="e">
        <f>BU23*(emissions!$D$19*production!$B$12+production!$C$12*emissions!$D$20+emissions!$D$21*production!$D$12)</f>
        <v>#DIV/0!</v>
      </c>
      <c r="CN23" t="e">
        <f>BV23*(emissions!$D$23*production!$B$14+production!$C$14*emissions!$D$24+emissions!$D$25*production!$D$14)</f>
        <v>#DIV/0!</v>
      </c>
      <c r="CO23" t="e">
        <f>BW23*(emissions!$D$27*production!$B$16+production!$C$16*emissions!$D$28+production!$D$16*emissions!$D$29)</f>
        <v>#DIV/0!</v>
      </c>
      <c r="CP23">
        <v>0</v>
      </c>
      <c r="CS23" t="e">
        <f t="shared" si="9"/>
        <v>#DIV/0!</v>
      </c>
      <c r="CT23" s="40" t="e">
        <f t="shared" si="10"/>
        <v>#DIV/0!</v>
      </c>
      <c r="CU23" t="e">
        <f t="shared" si="0"/>
        <v>#DIV/0!</v>
      </c>
      <c r="CV23" t="e">
        <f t="shared" si="1"/>
        <v>#DIV/0!</v>
      </c>
      <c r="CW23">
        <f t="shared" si="2"/>
        <v>20.339399999999987</v>
      </c>
      <c r="CX23">
        <f t="shared" si="3"/>
        <v>8.2103999999999857</v>
      </c>
      <c r="CY23" t="e">
        <f t="shared" si="11"/>
        <v>#DIV/0!</v>
      </c>
      <c r="CZ23" s="74" t="e">
        <f t="shared" si="12"/>
        <v>#DIV/0!</v>
      </c>
      <c r="DA23" t="e">
        <f t="shared" si="13"/>
        <v>#DIV/0!</v>
      </c>
      <c r="DB23" t="e">
        <f t="shared" si="14"/>
        <v>#DIV/0!</v>
      </c>
      <c r="DC23" s="34" t="e">
        <f t="shared" si="15"/>
        <v>#DIV/0!</v>
      </c>
      <c r="DD23">
        <v>2046</v>
      </c>
      <c r="DE23" t="e">
        <f t="shared" si="22"/>
        <v>#DIV/0!</v>
      </c>
      <c r="DF23" t="e">
        <f t="shared" si="23"/>
        <v>#DIV/0!</v>
      </c>
      <c r="DG23">
        <v>2046</v>
      </c>
      <c r="DH23" t="e">
        <f t="shared" si="24"/>
        <v>#DIV/0!</v>
      </c>
      <c r="DI23" t="e">
        <f t="shared" si="25"/>
        <v>#DIV/0!</v>
      </c>
      <c r="DJ23" t="e">
        <f t="shared" si="26"/>
        <v>#DIV/0!</v>
      </c>
      <c r="DK23" t="e">
        <f t="shared" si="27"/>
        <v>#DIV/0!</v>
      </c>
      <c r="DL23" t="e">
        <f t="shared" si="28"/>
        <v>#DIV/0!</v>
      </c>
      <c r="DM23" s="74" t="e">
        <f t="shared" si="29"/>
        <v>#DIV/0!</v>
      </c>
      <c r="DN23" s="75" t="e">
        <f t="shared" si="30"/>
        <v>#DIV/0!</v>
      </c>
      <c r="DO23" s="76" t="e">
        <f t="shared" si="31"/>
        <v>#DIV/0!</v>
      </c>
      <c r="DP23" s="78" t="e">
        <f t="shared" si="32"/>
        <v>#DIV/0!</v>
      </c>
      <c r="DQ23" s="70">
        <v>2705</v>
      </c>
      <c r="DR23" s="71">
        <v>34168</v>
      </c>
      <c r="DS23" s="71"/>
      <c r="DT23" s="71">
        <v>911</v>
      </c>
      <c r="DU23" s="71">
        <v>3103</v>
      </c>
      <c r="DV23">
        <f>DQ23*VLOOKUP(DQ$1,emissions!$A$2:$B$5,2,FALSE)</f>
        <v>394930</v>
      </c>
      <c r="DW23">
        <f>DR23*VLOOKUP(DR$1,emissions!$A$2:$B$5,2,FALSE)</f>
        <v>4988528</v>
      </c>
      <c r="DY23">
        <f>DT23*VLOOKUP(DT$1,emissions!$A$2:$B$5,2,FALSE)</f>
        <v>132095</v>
      </c>
      <c r="DZ23">
        <f>DU23*VLOOKUP(DU$1,emissions!$A$2:$B$5,2,FALSE)</f>
        <v>350639</v>
      </c>
      <c r="EA23">
        <f t="shared" si="16"/>
        <v>5866192</v>
      </c>
      <c r="EB23">
        <f t="shared" si="17"/>
        <v>143.4732800156529</v>
      </c>
      <c r="ED23" s="77" t="e">
        <f t="shared" si="4"/>
        <v>#DIV/0!</v>
      </c>
      <c r="EE23" s="34" t="e">
        <f>cost!$B$2*BK23</f>
        <v>#DIV/0!</v>
      </c>
      <c r="EF23" s="34" t="e">
        <f>cost!$B$3*BL23</f>
        <v>#DIV/0!</v>
      </c>
      <c r="EG23" s="34"/>
      <c r="EH23" s="34" t="e">
        <f>cost!$B$4*BN23</f>
        <v>#DIV/0!</v>
      </c>
      <c r="EI23" s="34" t="e">
        <f>cost!$B$5*$BO$2</f>
        <v>#DIV/0!</v>
      </c>
      <c r="EJ23" s="34" t="e">
        <f>BP23*(cost!$D$3*production!$B$4+production!$C$4*cost!$D$4+cost!$D$5*production!$D$4+production!$E$4*cost!$D$6)</f>
        <v>#DIV/0!</v>
      </c>
      <c r="EK23" s="34" t="e">
        <f>BQ23*(cost!$D$3*production!$B$4+production!$C$4*cost!$D$4+cost!$D$5*production!$D$4+production!$E$4*cost!$D$6)</f>
        <v>#DIV/0!</v>
      </c>
      <c r="EL23" s="34" t="e">
        <f>BR23*(cost!$D$8*production!$B$6+cost!$D$9*production!$C$6+$D$10*production!$D$6)</f>
        <v>#DIV/0!</v>
      </c>
      <c r="EM23" s="34" t="e">
        <f>BS23*(cost!$D$12*production!$B$8+cost!$D$13*production!$C$8+cost!$D$14*production!$D$8)</f>
        <v>#DIV/0!</v>
      </c>
      <c r="EN23" s="34" t="e">
        <f>BT23*(cost!$D$16*production!$B$10+production!$C$10*cost!$D$17)</f>
        <v>#DIV/0!</v>
      </c>
      <c r="EO23" s="34" t="e">
        <f>BU23*(cost!$D$19*production!$B$12+production!$C$12*cost!$D$20+cost!$D$21*production!$D$12)</f>
        <v>#DIV/0!</v>
      </c>
      <c r="EP23" s="34" t="e">
        <f>BV23*(cost!$D$23*production!$B$14+production!$C$14*cost!$D$24+cost!$D$25*production!$D$14)</f>
        <v>#DIV/0!</v>
      </c>
      <c r="EQ23" s="34" t="e">
        <f>BW23*(cost!$D$27*production!$B$16+production!$C$16*cost!$D$28+cost!$D$29*production!$D$16)</f>
        <v>#DIV/0!</v>
      </c>
      <c r="ER23" s="34" t="e">
        <f>BX23*(re!$H$10*re!$C$10+re!$H$11*re!$C$11+re!$H$12*re!$C$12+re!$H$13*re!$C$13+re!$H$14*re!$C$14)</f>
        <v>#DIV/0!</v>
      </c>
    </row>
    <row r="24" spans="1:148" x14ac:dyDescent="0.2">
      <c r="A24" s="84" t="s">
        <v>71</v>
      </c>
      <c r="B24" s="119" t="e">
        <f>#REF!</f>
        <v>#REF!</v>
      </c>
      <c r="C24" s="119">
        <f>J27</f>
        <v>0</v>
      </c>
      <c r="D24" s="119">
        <f>J7</f>
        <v>0</v>
      </c>
      <c r="E24" s="130">
        <f>J17</f>
        <v>0</v>
      </c>
      <c r="F24" s="119"/>
      <c r="G24">
        <v>2047</v>
      </c>
      <c r="H24" s="25">
        <f>'2'!AB30+'6'!AB30+'7'!AB30+'9'!AB30+'11'!AB30+'12'!AB30+'13'!AB30+'16'!AB30+'17'!AB30+'18'!AB30+'22'!AB30</f>
        <v>1.6320349055399674</v>
      </c>
      <c r="I24" s="16">
        <f>'1'!AB30+'2'!AC30+'5'!AB30+'6'!AC30+'7'!AC30+'9'!AC30+'11'!AC30+'12'!AC30+'13'!AC30+'15'!AB30+'16'!AC30+'17'!AC30+'18'!AC30+'19'!AB30+'22'!AC30</f>
        <v>11.964809731491201</v>
      </c>
      <c r="J24" s="16"/>
      <c r="K24" s="16">
        <f>'3'!AB30+'4'!AB30+'10'!AB30+'20'!AB30+'21'!AB30+'23'!AB30</f>
        <v>0.52714756886692227</v>
      </c>
      <c r="L24" s="16">
        <f>'8'!AB30+'14'!AB30</f>
        <v>4.8457742396690247</v>
      </c>
      <c r="M24" s="16">
        <f>'1'!AD30+'2'!AD30+'3'!AD30+'4'!AD30+'5'!AD30+'6'!AD30+'7'!AD30+'8'!AD30+'9'!AD30+'10'!AD30+'11'!AD30+'12'!AD30+'13'!AD30+'14'!AD30+'15'!AD30+'16'!AD30+'17'!AD30+'18'!AD30+'19'!AD30+'20'!AD30+'21'!AD30+'22'!AD30+'23'!AD30</f>
        <v>216.50819734384447</v>
      </c>
      <c r="N24" s="16">
        <f>'1'!AE30+'2'!AE30+'3'!AE30+'4'!AE30+'5'!AE30+'6'!AE30+'7'!AE30+'8'!AE30+'9'!AE30+'10'!AE30+'11'!AE30+'12'!AE30+'13'!AE30+'14'!AE30+'15'!AE30+'16'!AE30+'17'!AE30+'18'!AE30+'19'!AE30+'20'!AE30+'21'!AE30+'22'!AE30+'23'!AE30</f>
        <v>12.83127890774005</v>
      </c>
      <c r="O24" s="16">
        <f>'1'!AF30+'2'!AF30+'3'!AF30+'4'!AF30+'5'!AF30+'6'!AF30+'7'!AF30+'8'!AF30+'9'!AF30+'10'!AF30+'11'!AF30+'12'!AF30+'13'!AF30+'14'!AF30+'15'!AF30+'16'!AF30+'17'!AF30+'18'!AF30+'19'!AF30+'20'!AF30+'21'!AF30+'22'!AF30+'23'!AF30</f>
        <v>414.46699415812782</v>
      </c>
      <c r="P24" s="16">
        <f>'1'!AG30+'2'!AG30+'3'!AG30+'4'!AG30+'5'!AG30+'6'!AG30+'7'!AG30+'8'!AG30+'9'!AG30+'10'!AG30+'11'!AG30+'12'!AG30+'13'!AG30+'14'!AG30+'15'!AG30+'16'!AG30+'17'!AG30+'18'!AG30+'19'!AG30+'20'!AG30+'21'!AG30+'22'!AG30+'23'!AG30</f>
        <v>377.65167275427268</v>
      </c>
      <c r="Q24" s="16">
        <f>'1'!AH30+'2'!AH30+'3'!AH30+'4'!AH30+'5'!AH30+'6'!AH30+'7'!AH30+'8'!AH30+'9'!AH30+'10'!AH30+'11'!AH30+'12'!AH30+'13'!AH30+'14'!AH30+'15'!AH30+'16'!AH30+'17'!AH30+'18'!AH30+'19'!AH30+'20'!AH30+'21'!AH30+'22'!AH30+'23'!AH30</f>
        <v>9.5533881284713615</v>
      </c>
      <c r="R24" s="16">
        <f>'1'!AI30+'2'!AI30+'3'!AI30+'4'!AI30+'5'!AI30+'6'!AI30+'7'!AI30+'8'!AI30+'9'!AI30+'10'!AI30+'11'!AI30+'12'!AI30+'13'!AI30+'14'!AI30+'15'!AI30+'16'!AI30+'17'!AI30+'18'!AI30+'19'!AI30+'20'!AI30+'21'!AI30+'22'!AI30+'23'!AI30</f>
        <v>65.512015267263493</v>
      </c>
      <c r="S24" s="16">
        <f>'1'!AJ30+'2'!AJ30+'3'!AJ30+'4'!AJ30+'5'!AJ30+'6'!AJ30+'7'!AJ30+'8'!AJ30+'9'!AJ30+'10'!AJ30+'11'!AJ30+'12'!AJ30+'13'!AJ30+'14'!AJ30+'15'!AJ30+'16'!AJ30+'17'!AJ30+'18'!AJ30+'19'!AJ30+'20'!AJ30+'21'!AJ30+'22'!AJ30+'23'!AJ30</f>
        <v>18.306816553667598</v>
      </c>
      <c r="T24" s="16">
        <f>'1'!AK30+'2'!AK30+'3'!AK30+'4'!AK30+'5'!AK30+'6'!AK30+'7'!AK30+'8'!AK30+'9'!AK30+'10'!AK30+'11'!AK30+'12'!AK30+'13'!AK30+'14'!AK30+'15'!AK30+'16'!AK30+'17'!AK30+'18'!AK30+'19'!AK30+'20'!AK30+'21'!AK30+'22'!AK30+'23'!AK30</f>
        <v>206.0350693707266</v>
      </c>
      <c r="U24" s="16">
        <f>'1'!AL30+'2'!AL30+'3'!AL30+'4'!AL30+'5'!AL30+'6'!AL30+'7'!AL30+'8'!AL30+'9'!AL30+'10'!AL30+'11'!AL30+'12'!AL30+'13'!AL30+'14'!AL30+'15'!AL30+'16'!AL30+'17'!AL30+'18'!AL30+'19'!AL30+'20'!AL30+'21'!AL30+'22'!AL30+'23'!AL30</f>
        <v>0.50912376301512241</v>
      </c>
      <c r="V24" s="25">
        <f t="shared" si="5"/>
        <v>18.969766445567117</v>
      </c>
      <c r="W24" s="16">
        <f t="shared" si="6"/>
        <v>1321.3745562471292</v>
      </c>
      <c r="X24" s="9">
        <f t="shared" si="20"/>
        <v>2.1247347930941185E-2</v>
      </c>
      <c r="Y24" s="16">
        <f>((M24+N24)*re!$D$2/re!$C$2+O24*re!$D$3/re!$C$3+P24*re!$D$4/re!$C$4+T24*re!$D$5/re!$C$5+U24*re!$D$6/re!$C$6)</f>
        <v>2243.0454958189521</v>
      </c>
      <c r="Z24">
        <f t="shared" si="18"/>
        <v>173.05529286505154</v>
      </c>
      <c r="AA24">
        <f>((Y24*277.8)/(re!$B$10*8760))*re!$C$10</f>
        <v>98.113374073138871</v>
      </c>
      <c r="AB24">
        <f>((Y24*277.8)/(re!$B$11*8760))*re!$C$11</f>
        <v>36.478049334884957</v>
      </c>
      <c r="AC24">
        <f>((Y24*277.8)/(re!$B$12*8760))*re!$C$12</f>
        <v>13.172628926486235</v>
      </c>
      <c r="AD24">
        <f>((Y24*277.8)/(re!$B$13*8760))*re!$C$13</f>
        <v>3.8658802284253078</v>
      </c>
      <c r="AE24">
        <f>((Y24*277.8)/(re!$B$14*8760))*re!$C$14</f>
        <v>21.425360302116168</v>
      </c>
      <c r="AF24">
        <f>SUM('1'!AD30:AL30)+'1'!AA30</f>
        <v>199.21590653713926</v>
      </c>
      <c r="AG24">
        <f>SUM('2'!AD30:AL30)+'2'!AA30</f>
        <v>3.9266682349556983</v>
      </c>
      <c r="AH24">
        <f>SUM('3'!AD30:AL30)+'3'!AA30</f>
        <v>17.33694061130679</v>
      </c>
      <c r="AI24">
        <f>SUM('4'!AD30:AL30)+'4'!AA30</f>
        <v>1.3104582134514524</v>
      </c>
      <c r="AJ24">
        <f>SUM('5'!AD30:AL30)+'5'!AA30</f>
        <v>7.6602615304261192</v>
      </c>
      <c r="AK24">
        <f>SUM('6'!AD30:AL30)+'6'!AA30</f>
        <v>194.01337222194027</v>
      </c>
      <c r="AL24">
        <f>SUM('7'!AD30:AL30)+'7'!AA30</f>
        <v>175.05322506961593</v>
      </c>
      <c r="AM24">
        <f>SUM('8'!AD30:AL30)+'8'!AA30</f>
        <v>370.35529071268206</v>
      </c>
      <c r="AN24">
        <f>SUM('9'!AD30:AL30)+'9'!AA30</f>
        <v>95.645997002986348</v>
      </c>
      <c r="AO24">
        <f>SUM('10'!AD30:AL30)+'10'!AA30</f>
        <v>6.9518716300798973</v>
      </c>
      <c r="AP24">
        <f>SUM('11'!AD30:AL30)+'11'!AA30</f>
        <v>9.0968295389193674</v>
      </c>
      <c r="AQ24">
        <f>SUM('12'!AD30:AL30)+'12'!AA30</f>
        <v>2.7947333280597619</v>
      </c>
      <c r="AR24">
        <f>SUM('13'!AD30:AL30)+'13'!AA30</f>
        <v>8.1315057716109855</v>
      </c>
      <c r="AS24">
        <f>SUM('14'!AD30:AL30)+'14'!AA30</f>
        <v>7.0769310476746385</v>
      </c>
      <c r="AT24">
        <f>SUM('15'!AD30:AL30)+'15'!AA30</f>
        <v>84.978887795105351</v>
      </c>
      <c r="AU24">
        <f>SUM('16'!AD30:AL30)+'16'!AA30</f>
        <v>34.608310545238467</v>
      </c>
      <c r="AV24">
        <f>SUM('17'!AD30:AL30)+'17'!AA30</f>
        <v>58.899733665500321</v>
      </c>
      <c r="AW24">
        <f>SUM('18'!AD30:AL30)+'18'!AA30</f>
        <v>14.708994410799802</v>
      </c>
      <c r="AX24">
        <f>SUM('19'!AD30:AL30)+'19'!AA30</f>
        <v>37.614383670586783</v>
      </c>
      <c r="AY24">
        <f>SUM('20'!AD30:AL30)+'20'!AA30</f>
        <v>2.5023688806312747</v>
      </c>
      <c r="AZ24">
        <f>SUM('21'!AD30:AL30)+'21'!AA30</f>
        <v>0.22328538229555958</v>
      </c>
      <c r="BA24">
        <f>SUM('22'!AD30:AL30)+'22'!AA30</f>
        <v>0.70486960273855204</v>
      </c>
      <c r="BB24">
        <f>SUM('23'!AD30:AL30)+'23'!AA30</f>
        <v>7.5334972889516783</v>
      </c>
      <c r="BC24">
        <f>('1'!D30+'2'!D30+'3'!D30+'4'!D30+'5'!D30+'6'!D30+'7'!D30+'8'!D30+'9'!D30+'10'!D30+'12'!D30+'13'!D30+'14'!D30+'15'!D30+'16'!D30+'17'!D30+'18'!D30+'19'!D30+'20'!D30+'21'!D30+'22'!D30+'23'!D30)/('1'!D29+'2'!D29+'3'!D29+'4'!D29+'5'!D29+'6'!D29+'7'!D29+'8'!D29+'9'!D29+'10'!D29+'12'!D29+'13'!D29+'14'!D29+'15'!D29+'16'!D29+'17'!D29+'18'!D29+'19'!D29+'20'!D29+'21'!D29+'22'!D29+'23'!D29)-1</f>
        <v>6.7442429284405359E-2</v>
      </c>
      <c r="BD24">
        <f>('1'!E30+'2'!E30+'3'!E30+'4'!E30+'5'!E30+'6'!E30+'7'!E30+'8'!E30+'9'!E30+'10'!E30+'12'!E30+'13'!E30+'14'!E30+'15'!E30+'16'!E30+'17'!E30+'18'!E30+'19'!E30+'20'!E30+'21'!E30+'22'!E30+'23'!E30)/('1'!E29+'2'!E29+'3'!E29+'4'!E29+'5'!E29+'6'!E29+'7'!E29+'8'!E29+'9'!E29+'10'!E29+'12'!E29+'13'!E29+'14'!E29+'15'!E29+'16'!E29+'17'!E29+'18'!E29+'19'!E29+'20'!E29+'21'!E29+'22'!E29+'23'!E29)-1</f>
        <v>6.7442429284404914E-2</v>
      </c>
      <c r="BE24">
        <f>('1'!F30+'2'!F30+'3'!F30+'4'!F30+'5'!F30+'6'!F30+'7'!F30+'8'!F30+'9'!F30+'10'!F30+'12'!F30+'13'!F30+'14'!F30+'15'!F30+'16'!F30+'17'!F30+'18'!F30+'19'!F30+'20'!F30+'21'!F30+'22'!F30+'23'!F30)/('1'!F29+'2'!F29+'3'!F29+'4'!F29+'5'!F29+'6'!F29+'7'!F29+'8'!F29+'9'!F29+'10'!F29+'12'!F29+'13'!F29+'14'!F29+'15'!F29+'16'!F29+'17'!F29+'18'!F29+'19'!F29+'20'!F29+'21'!F29+'22'!F29+'23'!F29)-1</f>
        <v>6.9503370015800092E-2</v>
      </c>
      <c r="BF24">
        <f t="shared" si="19"/>
        <v>2.1247347930941185E-2</v>
      </c>
      <c r="BG24">
        <v>2047</v>
      </c>
      <c r="BH24" s="59">
        <f t="shared" si="35"/>
        <v>0.80400000000000016</v>
      </c>
      <c r="BI24" s="2">
        <f t="shared" si="34"/>
        <v>0.93400000000000016</v>
      </c>
      <c r="BJ24" s="2">
        <f t="shared" si="21"/>
        <v>0.13</v>
      </c>
      <c r="BK24" t="e">
        <f>'2 (RU)'!AB30+'6 (RU)'!AB30+'7 (RU)'!AB30+'9 (RU)'!AB30+'11 (RU)'!AB30+'12 (RU)'!AB30+'13 (RU)'!AB30+'16 (RU)'!AB30+'17 (RU)'!AB30+'18 (RU)'!AB30+'22 (RU)'!AB30</f>
        <v>#DIV/0!</v>
      </c>
      <c r="BL24" t="e">
        <f>'1 (RU)'!AB30+'2 (RU)'!AC30+'5 (RU)'!AB30+'6 (RU)'!AC30+'7 (RU)'!AC30+'9 (RU)'!AC30+'11 (RU)'!AC30+'12 (RU)'!AC30+'13 (RU)'!AC30+'15 (RU)'!AB30+'16 (RU)'!AC30+'17 (RU)'!AC30+'18 (RU)'!AC30+'19 (RU)'!AB30+'22 (RU)'!AC30</f>
        <v>#DIV/0!</v>
      </c>
      <c r="BN24" t="e">
        <f>'3 (RU)'!AB30+'4 (RU)'!AB30+'10 (RU)'!AB30+'20 (RU)'!AB30+'21 (RU)'!AB30+'23 (RU)'!AB30</f>
        <v>#DIV/0!</v>
      </c>
      <c r="BO24" t="e">
        <f>'8 (RU)'!AB30+'14 (RU)'!AB30</f>
        <v>#DIV/0!</v>
      </c>
      <c r="BP24" t="e">
        <f>'1 (RU)'!AD30+'2 (RU)'!AD30+'3 (RU)'!AD30+'4 (RU)'!AD30+'5 (RU)'!AD30+'6 (RU)'!AD30+'7 (RU)'!AD30+'8 (RU)'!AD30+'9 (RU)'!AD30+'10 (RU)'!AD30+'11 (RU)'!AD30+'12 (RU)'!AD30+'13 (RU)'!AD30+'14 (RU)'!AD30+'15 (RU)'!AD30+'16 (RU)'!AD30+'17 (RU)'!AD30+'18 (RU)'!AD30+'19 (RU)'!AD30+'20 (RU)'!AD30+'21 (RU)'!AD30+'22 (RU)'!AD30+'23 (RU)'!AD30</f>
        <v>#DIV/0!</v>
      </c>
      <c r="BQ24" t="e">
        <f>'1 (RU)'!AE30+'2 (RU)'!AE30+'3 (RU)'!AE30+'4 (RU)'!AE30+'5 (RU)'!AE30+'6 (RU)'!AE30+'7 (RU)'!AE30+'8 (RU)'!AE30+'9 (RU)'!AE30+'10 (RU)'!AE30+'11 (RU)'!AE30+'12 (RU)'!AE30+'13 (RU)'!AE30+'14 (RU)'!AE30+'15 (RU)'!AE30+'16 (RU)'!AE30+'17 (RU)'!AE30+'18 (RU)'!AE30+'19 (RU)'!AE30+'20 (RU)'!AE30+'21 (RU)'!AE30+'22 (RU)'!AE30+'23 (RU)'!AE30</f>
        <v>#DIV/0!</v>
      </c>
      <c r="BR24" t="e">
        <f>'1 (RU)'!AF30+'2 (RU)'!AF30+'3 (RU)'!AF30+'4 (RU)'!AF30+'5 (RU)'!AF30+'6 (RU)'!AF30+'7 (RU)'!AF30+'8 (RU)'!AF30+'9 (RU)'!AF30+'10 (RU)'!AF30+'11 (RU)'!AF30+'12 (RU)'!AF30+'13 (RU)'!AF30+'14 (RU)'!AF30+'15 (RU)'!AF30+'16 (RU)'!AF30+'17 (RU)'!AF30+'18 (RU)'!AF30+'19 (RU)'!AF30+'20 (RU)'!AF30+'21 (RU)'!AF30+'22 (RU)'!AF30+'23 (RU)'!AF30</f>
        <v>#DIV/0!</v>
      </c>
      <c r="BS24" t="e">
        <f>'1 (RU)'!AG30+'2 (RU)'!AG30+'3 (RU)'!AG30+'4 (RU)'!AG30+'5 (RU)'!AG30+'6 (RU)'!AG30+'7 (RU)'!AG30+'8 (RU)'!AG30+'9 (RU)'!AG30+'10 (RU)'!AG30+'11 (RU)'!AG30+'12 (RU)'!AG30+'13 (RU)'!AG30+'14 (RU)'!AG30+'15 (RU)'!AG30+'16 (RU)'!AG30+'17 (RU)'!AG30+'18 (RU)'!AG30+'19 (RU)'!AG30+'20 (RU)'!AG30+'21 (RU)'!AG30+'22 (RU)'!AG30+'23 (RU)'!AG30</f>
        <v>#DIV/0!</v>
      </c>
      <c r="BT24" t="e">
        <f>'1 (RU)'!AH30+'2 (RU)'!AH30+'3 (RU)'!AH30+'4 (RU)'!AH30+'5 (RU)'!AH30+'6 (RU)'!AH30+'7 (RU)'!AH30+'8 (RU)'!AH30+'9 (RU)'!AH30+'10 (RU)'!AH30+'11 (RU)'!AH30+'12 (RU)'!AH30+'13 (RU)'!AH30+'14 (RU)'!AH30+'15 (RU)'!AH30+'16 (RU)'!AH30+'17 (RU)'!AH30+'18 (RU)'!AH30+'19 (RU)'!AH30+'20 (RU)'!AH30+'21 (RU)'!AH30+'22 (RU)'!AH30+'23 (RU)'!AH30</f>
        <v>#DIV/0!</v>
      </c>
      <c r="BU24" t="e">
        <f>'1 (RU)'!AI30+'2 (RU)'!AI30+'3 (RU)'!AI30+'4 (RU)'!AI30+'5 (RU)'!AI30+'6 (RU)'!AI30+'7 (RU)'!AI30+'8 (RU)'!AI30+'9 (RU)'!AI30+'10 (RU)'!AI30+'11 (RU)'!AI30+'12 (RU)'!AI30+'13 (RU)'!AI30+'14 (RU)'!AI30+'15 (RU)'!AI30+'16 (RU)'!AI30+'17 (RU)'!AI30+'18 (RU)'!AI30+'19 (RU)'!AI30+'20 (RU)'!AI30+'21 (RU)'!AI30+'22 (RU)'!AI30+'23 (RU)'!AI30</f>
        <v>#DIV/0!</v>
      </c>
      <c r="BV24" t="e">
        <f>'1 (RU)'!AJ30+'2 (RU)'!AJ30+'3 (RU)'!AJ30+'4 (RU)'!AJ30+'5 (RU)'!AJ30+'6 (RU)'!AJ30+'7 (RU)'!AJ30+'8 (RU)'!AJ30+'9 (RU)'!AJ30+'10 (RU)'!AJ30+'11 (RU)'!AJ30+'12 (RU)'!AJ30+'13 (RU)'!AJ30+'14 (RU)'!AJ30+'15 (RU)'!AJ30+'16 (RU)'!AJ30+'17 (RU)'!AJ30+'18 (RU)'!AJ30+'19 (RU)'!AJ30+'20 (RU)'!AJ30+'21 (RU)'!AJ30+'22 (RU)'!AJ30+'23 (RU)'!AJ30</f>
        <v>#DIV/0!</v>
      </c>
      <c r="BW24" t="e">
        <f>'1 (RU)'!AK30+'2 (RU)'!AK30+'3 (RU)'!AK30+'4 (RU)'!AK30+'5 (RU)'!AK30+'6 (RU)'!AK30+'7 (RU)'!AK30+'8 (RU)'!AK30+'9 (RU)'!AK30+'10 (RU)'!AK30+'11 (RU)'!AK30+'12 (RU)'!AK30+'13 (RU)'!AK30+'14 (RU)'!AK30+'15 (RU)'!AK30+'16 (RU)'!AK30+'17 (RU)'!AK30+'18 (RU)'!AK30+'19 (RU)'!AK30+'20 (RU)'!AK30+'21 (RU)'!AK30+'22 (RU)'!AK30+'23 (RU)'!AK30</f>
        <v>#DIV/0!</v>
      </c>
      <c r="BX24" t="e">
        <f>'1 (RU)'!AL30+'2 (RU)'!AL30+'3 (RU)'!AL30+'4 (RU)'!AL30+'5 (RU)'!AL30+'6 (RU)'!AL30+'7 (RU)'!AL30+'8 (RU)'!AL30+'9 (RU)'!AL30+'10 (RU)'!AL30+'11 (RU)'!AL30+'12 (RU)'!AL30+'13 (RU)'!AL30+'14 (RU)'!AL30+'15 (RU)'!AL30+'16 (RU)'!AL30+'17 (RU)'!AL30+'18 (RU)'!AL30+'19 (RU)'!AL30+'20 (RU)'!AL30+'21 (RU)'!AL30+'22 (RU)'!AL30+'23 (RU)'!AL30</f>
        <v>#DIV/0!</v>
      </c>
      <c r="BY24" s="25" t="e">
        <f t="shared" si="7"/>
        <v>#DIV/0!</v>
      </c>
      <c r="BZ24" s="16" t="e">
        <f t="shared" si="8"/>
        <v>#DIV/0!</v>
      </c>
      <c r="CC24" t="e">
        <f>VLOOKUP(CC$1,emissions!$A$2:$B$5,2,FALSE)*BK24</f>
        <v>#DIV/0!</v>
      </c>
      <c r="CD24" t="e">
        <f>VLOOKUP(CD$1,emissions!$A$2:$B$5,2,FALSE)*BL24</f>
        <v>#DIV/0!</v>
      </c>
      <c r="CF24" t="e">
        <f>VLOOKUP(CF$1,emissions!$A$2:$B$5,2,FALSE)*BN24</f>
        <v>#DIV/0!</v>
      </c>
      <c r="CG24" t="e">
        <f>VLOOKUP(CG$1,emissions!$A$2:$B$5,2,FALSE)*BO24</f>
        <v>#DIV/0!</v>
      </c>
      <c r="CH24" t="e">
        <f>BP24*(emissions!$D$3*production!$B$4+emissions!$D$4*production!$C$4+emissions!$D$5*production!$D$4+emissions!$D$6*production!$E$4)</f>
        <v>#DIV/0!</v>
      </c>
      <c r="CI24" t="e">
        <f>BQ24*(emissions!$D$3*production!$B$4+emissions!$D$4*production!$C$4+emissions!$D$5*production!$D$4+emissions!$D$6*production!$E$4)</f>
        <v>#DIV/0!</v>
      </c>
      <c r="CJ24" t="e">
        <f>BR24*(emissions!$D$8*production!$B$6+emissions!$D$9*production!$C$6+emissions!$D$10*production!$D$6)</f>
        <v>#DIV/0!</v>
      </c>
      <c r="CK24" t="e">
        <f>BS24*(emissions!$D$12*production!$B$8+emissions!$D$13*production!$C$8+emissions!$D$14*production!$D$8)</f>
        <v>#DIV/0!</v>
      </c>
      <c r="CL24" t="e">
        <f>BT24*(emissions!$D$16*production!$B$10+production!$C$10*emissions!$D$17)</f>
        <v>#DIV/0!</v>
      </c>
      <c r="CM24" t="e">
        <f>BU24*(emissions!$D$19*production!$B$12+production!$C$12*emissions!$D$20+emissions!$D$21*production!$D$12)</f>
        <v>#DIV/0!</v>
      </c>
      <c r="CN24" t="e">
        <f>BV24*(emissions!$D$23*production!$B$14+production!$C$14*emissions!$D$24+emissions!$D$25*production!$D$14)</f>
        <v>#DIV/0!</v>
      </c>
      <c r="CO24" t="e">
        <f>BW24*(emissions!$D$27*production!$B$16+production!$C$16*emissions!$D$28+production!$D$16*emissions!$D$29)</f>
        <v>#DIV/0!</v>
      </c>
      <c r="CP24">
        <v>0</v>
      </c>
      <c r="CS24" t="e">
        <f t="shared" si="9"/>
        <v>#DIV/0!</v>
      </c>
      <c r="CT24" s="40" t="e">
        <f t="shared" si="10"/>
        <v>#DIV/0!</v>
      </c>
      <c r="CU24" t="e">
        <f t="shared" si="0"/>
        <v>#DIV/0!</v>
      </c>
      <c r="CV24" t="e">
        <f t="shared" si="1"/>
        <v>#DIV/0!</v>
      </c>
      <c r="CW24">
        <f t="shared" si="2"/>
        <v>18.286799999999985</v>
      </c>
      <c r="CX24">
        <f t="shared" si="3"/>
        <v>6.1577999999999848</v>
      </c>
      <c r="CY24" t="e">
        <f t="shared" si="11"/>
        <v>#DIV/0!</v>
      </c>
      <c r="CZ24" s="74" t="e">
        <f t="shared" si="12"/>
        <v>#DIV/0!</v>
      </c>
      <c r="DA24" t="e">
        <f t="shared" si="13"/>
        <v>#DIV/0!</v>
      </c>
      <c r="DB24" t="e">
        <f t="shared" si="14"/>
        <v>#DIV/0!</v>
      </c>
      <c r="DC24" s="34" t="e">
        <f t="shared" si="15"/>
        <v>#DIV/0!</v>
      </c>
      <c r="DD24">
        <v>2047</v>
      </c>
      <c r="DE24" t="e">
        <f t="shared" si="22"/>
        <v>#DIV/0!</v>
      </c>
      <c r="DF24" t="e">
        <f t="shared" si="23"/>
        <v>#DIV/0!</v>
      </c>
      <c r="DG24">
        <v>2047</v>
      </c>
      <c r="DH24" t="e">
        <f t="shared" si="24"/>
        <v>#DIV/0!</v>
      </c>
      <c r="DI24" t="e">
        <f t="shared" si="25"/>
        <v>#DIV/0!</v>
      </c>
      <c r="DJ24" t="e">
        <f t="shared" si="26"/>
        <v>#DIV/0!</v>
      </c>
      <c r="DK24" t="e">
        <f t="shared" si="27"/>
        <v>#DIV/0!</v>
      </c>
      <c r="DL24" t="e">
        <f t="shared" si="28"/>
        <v>#DIV/0!</v>
      </c>
      <c r="DM24" s="74" t="e">
        <f t="shared" si="29"/>
        <v>#DIV/0!</v>
      </c>
      <c r="DN24" s="75" t="e">
        <f t="shared" si="30"/>
        <v>#DIV/0!</v>
      </c>
      <c r="DO24" s="76" t="e">
        <f t="shared" si="31"/>
        <v>#DIV/0!</v>
      </c>
      <c r="DP24" s="78" t="e">
        <f t="shared" si="32"/>
        <v>#DIV/0!</v>
      </c>
      <c r="DQ24" s="70">
        <v>2618</v>
      </c>
      <c r="DR24" s="71">
        <v>34923</v>
      </c>
      <c r="DS24" s="71"/>
      <c r="DT24" s="71">
        <v>929</v>
      </c>
      <c r="DU24" s="71">
        <v>3165</v>
      </c>
      <c r="DV24">
        <f>DQ24*VLOOKUP(DQ$1,emissions!$A$2:$B$5,2,FALSE)</f>
        <v>382228</v>
      </c>
      <c r="DW24">
        <f>DR24*VLOOKUP(DR$1,emissions!$A$2:$B$5,2,FALSE)</f>
        <v>5098758</v>
      </c>
      <c r="DY24">
        <f>DT24*VLOOKUP(DT$1,emissions!$A$2:$B$5,2,FALSE)</f>
        <v>134705</v>
      </c>
      <c r="DZ24">
        <f>DU24*VLOOKUP(DU$1,emissions!$A$2:$B$5,2,FALSE)</f>
        <v>357645</v>
      </c>
      <c r="EA24">
        <f t="shared" si="16"/>
        <v>5973336</v>
      </c>
      <c r="EB24">
        <f t="shared" si="17"/>
        <v>143.46910051639247</v>
      </c>
      <c r="ED24" s="77" t="e">
        <f t="shared" si="4"/>
        <v>#DIV/0!</v>
      </c>
      <c r="EE24" s="34" t="e">
        <f>cost!$B$2*BK24</f>
        <v>#DIV/0!</v>
      </c>
      <c r="EF24" s="34" t="e">
        <f>cost!$B$3*BL24</f>
        <v>#DIV/0!</v>
      </c>
      <c r="EG24" s="34"/>
      <c r="EH24" s="34" t="e">
        <f>cost!$B$4*BN24</f>
        <v>#DIV/0!</v>
      </c>
      <c r="EI24" s="34" t="e">
        <f>cost!$B$5*$BO$2</f>
        <v>#DIV/0!</v>
      </c>
      <c r="EJ24" s="34" t="e">
        <f>BP24*(cost!$D$3*production!$B$4+production!$C$4*cost!$D$4+cost!$D$5*production!$D$4+production!$E$4*cost!$D$6)</f>
        <v>#DIV/0!</v>
      </c>
      <c r="EK24" s="34" t="e">
        <f>BQ24*(cost!$D$3*production!$B$4+production!$C$4*cost!$D$4+cost!$D$5*production!$D$4+production!$E$4*cost!$D$6)</f>
        <v>#DIV/0!</v>
      </c>
      <c r="EL24" s="34" t="e">
        <f>BR24*(cost!$D$8*production!$B$6+cost!$D$9*production!$C$6+$D$10*production!$D$6)</f>
        <v>#DIV/0!</v>
      </c>
      <c r="EM24" s="34" t="e">
        <f>BS24*(cost!$D$12*production!$B$8+cost!$D$13*production!$C$8+cost!$D$14*production!$D$8)</f>
        <v>#DIV/0!</v>
      </c>
      <c r="EN24" s="34" t="e">
        <f>BT24*(cost!$D$16*production!$B$10+production!$C$10*cost!$D$17)</f>
        <v>#DIV/0!</v>
      </c>
      <c r="EO24" s="34" t="e">
        <f>BU24*(cost!$D$19*production!$B$12+production!$C$12*cost!$D$20+cost!$D$21*production!$D$12)</f>
        <v>#DIV/0!</v>
      </c>
      <c r="EP24" s="34" t="e">
        <f>BV24*(cost!$D$23*production!$B$14+production!$C$14*cost!$D$24+cost!$D$25*production!$D$14)</f>
        <v>#DIV/0!</v>
      </c>
      <c r="EQ24" s="34" t="e">
        <f>BW24*(cost!$D$27*production!$B$16+production!$C$16*cost!$D$28+cost!$D$29*production!$D$16)</f>
        <v>#DIV/0!</v>
      </c>
      <c r="ER24" s="34" t="e">
        <f>BX24*(re!$H$10*re!$C$10+re!$H$11*re!$C$11+re!$H$12*re!$C$12+re!$H$13*re!$C$13+re!$H$14*re!$C$14)</f>
        <v>#DIV/0!</v>
      </c>
    </row>
    <row r="25" spans="1:148" x14ac:dyDescent="0.2">
      <c r="A25" s="84" t="s">
        <v>70</v>
      </c>
      <c r="B25" s="119">
        <f>K2</f>
        <v>21.924534260915191</v>
      </c>
      <c r="C25" s="119">
        <f>K27</f>
        <v>0.43953281376867936</v>
      </c>
      <c r="D25" s="119">
        <f>K7</f>
        <v>22.18608528784803</v>
      </c>
      <c r="E25" s="130">
        <f>K17</f>
        <v>3.1469642739519532</v>
      </c>
      <c r="F25" s="119"/>
      <c r="G25">
        <v>2048</v>
      </c>
      <c r="H25" s="25">
        <f>'2'!AB31+'6'!AB31+'7'!AB31+'9'!AB31+'11'!AB31+'12'!AB31+'13'!AB31+'16'!AB31+'17'!AB31+'18'!AB31+'22'!AB31</f>
        <v>1.4743930008324762</v>
      </c>
      <c r="I25" s="16">
        <f>'1'!AB31+'2'!AC31+'5'!AB31+'6'!AC31+'7'!AC31+'9'!AC31+'11'!AC31+'12'!AC31+'13'!AC31+'15'!AB31+'16'!AC31+'17'!AC31+'18'!AC31+'19'!AB31+'22'!AC31</f>
        <v>10.914910967762403</v>
      </c>
      <c r="J25" s="16"/>
      <c r="K25" s="16">
        <f>'3'!AB31+'4'!AB31+'10'!AB31+'20'!AB31+'21'!AB31+'23'!AB31</f>
        <v>0.48138399339230742</v>
      </c>
      <c r="L25" s="16">
        <f>'8'!AB31+'14'!AB31</f>
        <v>4.4241534472298527</v>
      </c>
      <c r="M25" s="16">
        <f>'1'!AD31+'2'!AD31+'3'!AD31+'4'!AD31+'5'!AD31+'6'!AD31+'7'!AD31+'8'!AD31+'9'!AD31+'10'!AD31+'11'!AD31+'12'!AD31+'13'!AD31+'14'!AD31+'15'!AD31+'16'!AD31+'17'!AD31+'18'!AD31+'19'!AD31+'20'!AD31+'21'!AD31+'22'!AD31+'23'!AD31</f>
        <v>220.90252635562825</v>
      </c>
      <c r="N25" s="16">
        <f>'1'!AE31+'2'!AE31+'3'!AE31+'4'!AE31+'5'!AE31+'6'!AE31+'7'!AE31+'8'!AE31+'9'!AE31+'10'!AE31+'11'!AE31+'12'!AE31+'13'!AE31+'14'!AE31+'15'!AE31+'16'!AE31+'17'!AE31+'18'!AE31+'19'!AE31+'20'!AE31+'21'!AE31+'22'!AE31+'23'!AE31</f>
        <v>13.090987215525782</v>
      </c>
      <c r="O25" s="16">
        <f>'1'!AF31+'2'!AF31+'3'!AF31+'4'!AF31+'5'!AF31+'6'!AF31+'7'!AF31+'8'!AF31+'9'!AF31+'10'!AF31+'11'!AF31+'12'!AF31+'13'!AF31+'14'!AF31+'15'!AF31+'16'!AF31+'17'!AF31+'18'!AF31+'19'!AF31+'20'!AF31+'21'!AF31+'22'!AF31+'23'!AF31</f>
        <v>422.85218042572291</v>
      </c>
      <c r="P25" s="16">
        <f>'1'!AG31+'2'!AG31+'3'!AG31+'4'!AG31+'5'!AG31+'6'!AG31+'7'!AG31+'8'!AG31+'9'!AG31+'10'!AG31+'11'!AG31+'12'!AG31+'13'!AG31+'14'!AG31+'15'!AG31+'16'!AG31+'17'!AG31+'18'!AG31+'19'!AG31+'20'!AG31+'21'!AG31+'22'!AG31+'23'!AG31</f>
        <v>385.33575414293659</v>
      </c>
      <c r="Q25" s="16">
        <f>'1'!AH31+'2'!AH31+'3'!AH31+'4'!AH31+'5'!AH31+'6'!AH31+'7'!AH31+'8'!AH31+'9'!AH31+'10'!AH31+'11'!AH31+'12'!AH31+'13'!AH31+'14'!AH31+'15'!AH31+'16'!AH31+'17'!AH31+'18'!AH31+'19'!AH31+'20'!AH31+'21'!AH31+'22'!AH31+'23'!AH31</f>
        <v>9.7369524867672332</v>
      </c>
      <c r="R25" s="16">
        <f>'1'!AI31+'2'!AI31+'3'!AI31+'4'!AI31+'5'!AI31+'6'!AI31+'7'!AI31+'8'!AI31+'9'!AI31+'10'!AI31+'11'!AI31+'12'!AI31+'13'!AI31+'14'!AI31+'15'!AI31+'16'!AI31+'17'!AI31+'18'!AI31+'19'!AI31+'20'!AI31+'21'!AI31+'22'!AI31+'23'!AI31</f>
        <v>66.842593520002097</v>
      </c>
      <c r="S25" s="16">
        <f>'1'!AJ31+'2'!AJ31+'3'!AJ31+'4'!AJ31+'5'!AJ31+'6'!AJ31+'7'!AJ31+'8'!AJ31+'9'!AJ31+'10'!AJ31+'11'!AJ31+'12'!AJ31+'13'!AJ31+'14'!AJ31+'15'!AJ31+'16'!AJ31+'17'!AJ31+'18'!AJ31+'19'!AJ31+'20'!AJ31+'21'!AJ31+'22'!AJ31+'23'!AJ31</f>
        <v>18.659471440182408</v>
      </c>
      <c r="T25" s="16">
        <f>'1'!AK31+'2'!AK31+'3'!AK31+'4'!AK31+'5'!AK31+'6'!AK31+'7'!AK31+'8'!AK31+'9'!AK31+'10'!AK31+'11'!AK31+'12'!AK31+'13'!AK31+'14'!AK31+'15'!AK31+'16'!AK31+'17'!AK31+'18'!AK31+'19'!AK31+'20'!AK31+'21'!AK31+'22'!AK31+'23'!AK31</f>
        <v>210.26879082198596</v>
      </c>
      <c r="U25" s="16">
        <f>'1'!AL31+'2'!AL31+'3'!AL31+'4'!AL31+'5'!AL31+'6'!AL31+'7'!AL31+'8'!AL31+'9'!AL31+'10'!AL31+'11'!AL31+'12'!AL31+'13'!AL31+'14'!AL31+'15'!AL31+'16'!AL31+'17'!AL31+'18'!AL31+'19'!AL31+'20'!AL31+'21'!AL31+'22'!AL31+'23'!AL31</f>
        <v>0.52018872651934822</v>
      </c>
      <c r="V25" s="25">
        <f t="shared" si="5"/>
        <v>17.294841409217039</v>
      </c>
      <c r="W25" s="16">
        <f t="shared" si="6"/>
        <v>1348.2094451352705</v>
      </c>
      <c r="X25" s="9">
        <f t="shared" si="20"/>
        <v>2.0308313612724449E-2</v>
      </c>
      <c r="Y25" s="16">
        <f>((M25+N25)*re!$D$2/re!$C$2+O25*re!$D$3/re!$C$3+P25*re!$D$4/re!$C$4+T25*re!$D$5/re!$C$5+U25*re!$D$6/re!$C$6)</f>
        <v>2288.643831271193</v>
      </c>
      <c r="Z25">
        <f t="shared" si="18"/>
        <v>176.57329252691991</v>
      </c>
      <c r="AA25">
        <f>((Y25*277.8)/(re!$B$10*8760))*re!$C$10</f>
        <v>100.10789739051135</v>
      </c>
      <c r="AB25">
        <f>((Y25*277.8)/(re!$B$11*8760))*re!$C$11</f>
        <v>37.219602875959339</v>
      </c>
      <c r="AC25">
        <f>((Y25*277.8)/(re!$B$12*8760))*re!$C$12</f>
        <v>13.440412149651983</v>
      </c>
      <c r="AD25">
        <f>((Y25*277.8)/(re!$B$13*8760))*re!$C$13</f>
        <v>3.9444687830500387</v>
      </c>
      <c r="AE25">
        <f>((Y25*277.8)/(re!$B$14*8760))*re!$C$14</f>
        <v>21.860911327747207</v>
      </c>
      <c r="AF25">
        <f>SUM('1'!AD31:AL31)+'1'!AA31</f>
        <v>203.00591065460347</v>
      </c>
      <c r="AG25">
        <f>SUM('2'!AD31:AL31)+'2'!AA31</f>
        <v>3.9960254477331629</v>
      </c>
      <c r="AH25">
        <f>SUM('3'!AD31:AL31)+'3'!AA31</f>
        <v>17.686128620239067</v>
      </c>
      <c r="AI25">
        <f>SUM('4'!AD31:AL31)+'4'!AA31</f>
        <v>1.3368843910858508</v>
      </c>
      <c r="AJ25">
        <f>SUM('5'!AD31:AL31)+'5'!AA31</f>
        <v>7.7954705132131981</v>
      </c>
      <c r="AK25">
        <f>SUM('6'!AD31:AL31)+'6'!AA31</f>
        <v>197.43167830251127</v>
      </c>
      <c r="AL25">
        <f>SUM('7'!AD31:AL31)+'7'!AA31</f>
        <v>178.14468388861746</v>
      </c>
      <c r="AM25">
        <f>SUM('8'!AD31:AL31)+'8'!AA31</f>
        <v>377.88741317696929</v>
      </c>
      <c r="AN25">
        <f>SUM('9'!AD31:AL31)+'9'!AA31</f>
        <v>97.334215859622475</v>
      </c>
      <c r="AO25">
        <f>SUM('10'!AD31:AL31)+'10'!AA31</f>
        <v>7.0913893887784516</v>
      </c>
      <c r="AP25">
        <f>SUM('11'!AD31:AL31)+'11'!AA31</f>
        <v>9.2668330877561687</v>
      </c>
      <c r="AQ25">
        <f>SUM('12'!AD31:AL31)+'12'!AA31</f>
        <v>2.8469619184483079</v>
      </c>
      <c r="AR25">
        <f>SUM('13'!AD31:AL31)+'13'!AA31</f>
        <v>8.2834691378196723</v>
      </c>
      <c r="AS25">
        <f>SUM('14'!AD31:AL31)+'14'!AA31</f>
        <v>7.2104014592707566</v>
      </c>
      <c r="AT25">
        <f>SUM('15'!AD31:AL31)+'15'!AA31</f>
        <v>86.478824700851476</v>
      </c>
      <c r="AU25">
        <f>SUM('16'!AD31:AL31)+'16'!AA31</f>
        <v>35.255078255545101</v>
      </c>
      <c r="AV25">
        <f>SUM('17'!AD31:AL31)+'17'!AA31</f>
        <v>60.000464827476883</v>
      </c>
      <c r="AW25">
        <f>SUM('18'!AD31:AL31)+'18'!AA31</f>
        <v>14.983879329656233</v>
      </c>
      <c r="AX25">
        <f>SUM('19'!AD31:AL31)+'19'!AA31</f>
        <v>38.278303894989364</v>
      </c>
      <c r="AY25">
        <f>SUM('20'!AD31:AL31)+'20'!AA31</f>
        <v>2.5528306533666196</v>
      </c>
      <c r="AZ25">
        <f>SUM('21'!AD31:AL31)+'21'!AA31</f>
        <v>0.22755606743316009</v>
      </c>
      <c r="BA25">
        <f>SUM('22'!AD31:AL31)+'22'!AA31</f>
        <v>0.71731104505814736</v>
      </c>
      <c r="BB25">
        <f>SUM('23'!AD31:AL31)+'23'!AA31</f>
        <v>7.6925719234419354</v>
      </c>
      <c r="BC25">
        <f>('1'!D31+'2'!D31+'3'!D31+'4'!D31+'5'!D31+'6'!D31+'7'!D31+'8'!D31+'9'!D31+'10'!D31+'12'!D31+'13'!D31+'14'!D31+'15'!D31+'16'!D31+'17'!D31+'18'!D31+'19'!D31+'20'!D31+'21'!D31+'22'!D31+'23'!D31)/('1'!D30+'2'!D30+'3'!D30+'4'!D30+'5'!D30+'6'!D30+'7'!D30+'8'!D30+'9'!D30+'10'!D30+'12'!D30+'13'!D30+'14'!D30+'15'!D30+'16'!D30+'17'!D30+'18'!D30+'19'!D30+'20'!D30+'21'!D30+'22'!D30+'23'!D30)-1</f>
        <v>6.5090423676859466E-2</v>
      </c>
      <c r="BD25">
        <f>('1'!E31+'2'!E31+'3'!E31+'4'!E31+'5'!E31+'6'!E31+'7'!E31+'8'!E31+'9'!E31+'10'!E31+'12'!E31+'13'!E31+'14'!E31+'15'!E31+'16'!E31+'17'!E31+'18'!E31+'19'!E31+'20'!E31+'21'!E31+'22'!E31+'23'!E31)/('1'!E30+'2'!E30+'3'!E30+'4'!E30+'5'!E30+'6'!E30+'7'!E30+'8'!E30+'9'!E30+'10'!E30+'12'!E30+'13'!E30+'14'!E30+'15'!E30+'16'!E30+'17'!E30+'18'!E30+'19'!E30+'20'!E30+'21'!E30+'22'!E30+'23'!E30)-1</f>
        <v>6.509042367685991E-2</v>
      </c>
      <c r="BE25">
        <f>('1'!F31+'2'!F31+'3'!F31+'4'!F31+'5'!F31+'6'!F31+'7'!F31+'8'!F31+'9'!F31+'10'!F31+'12'!F31+'13'!F31+'14'!F31+'15'!F31+'16'!F31+'17'!F31+'18'!F31+'19'!F31+'20'!F31+'21'!F31+'22'!F31+'23'!F31)/('1'!F30+'2'!F30+'3'!F30+'4'!F30+'5'!F30+'6'!F30+'7'!F30+'8'!F30+'9'!F30+'10'!F30+'12'!F30+'13'!F30+'14'!F30+'15'!F30+'16'!F30+'17'!F30+'18'!F30+'19'!F30+'20'!F30+'21'!F30+'22'!F30+'23'!F30)-1</f>
        <v>6.7275938674746349E-2</v>
      </c>
      <c r="BF25">
        <f t="shared" si="19"/>
        <v>2.0308313612724449E-2</v>
      </c>
      <c r="BG25">
        <v>2048</v>
      </c>
      <c r="BH25" s="59">
        <f t="shared" si="35"/>
        <v>0.82600000000000018</v>
      </c>
      <c r="BI25" s="2">
        <f t="shared" si="34"/>
        <v>0.95600000000000018</v>
      </c>
      <c r="BJ25" s="2">
        <f t="shared" si="21"/>
        <v>0.13</v>
      </c>
      <c r="BK25" t="e">
        <f>'2 (RU)'!AB31+'6 (RU)'!AB31+'7 (RU)'!AB31+'9 (RU)'!AB31+'11 (RU)'!AB31+'12 (RU)'!AB31+'13 (RU)'!AB31+'16 (RU)'!AB31+'17 (RU)'!AB31+'18 (RU)'!AB31+'22 (RU)'!AB31</f>
        <v>#DIV/0!</v>
      </c>
      <c r="BL25" t="e">
        <f>'1 (RU)'!AB31+'2 (RU)'!AC31+'5 (RU)'!AB31+'6 (RU)'!AC31+'7 (RU)'!AC31+'9 (RU)'!AC31+'11 (RU)'!AC31+'12 (RU)'!AC31+'13 (RU)'!AC31+'15 (RU)'!AB31+'16 (RU)'!AC31+'17 (RU)'!AC31+'18 (RU)'!AC31+'19 (RU)'!AB31+'22 (RU)'!AC31</f>
        <v>#DIV/0!</v>
      </c>
      <c r="BN25" t="e">
        <f>'3 (RU)'!AB31+'4 (RU)'!AB31+'10 (RU)'!AB31+'20 (RU)'!AB31+'21 (RU)'!AB31+'23 (RU)'!AB31</f>
        <v>#DIV/0!</v>
      </c>
      <c r="BO25" t="e">
        <f>'8 (RU)'!AB31+'14 (RU)'!AB31</f>
        <v>#DIV/0!</v>
      </c>
      <c r="BP25" t="e">
        <f>'1 (RU)'!AD31+'2 (RU)'!AD31+'3 (RU)'!AD31+'4 (RU)'!AD31+'5 (RU)'!AD31+'6 (RU)'!AD31+'7 (RU)'!AD31+'8 (RU)'!AD31+'9 (RU)'!AD31+'10 (RU)'!AD31+'11 (RU)'!AD31+'12 (RU)'!AD31+'13 (RU)'!AD31+'14 (RU)'!AD31+'15 (RU)'!AD31+'16 (RU)'!AD31+'17 (RU)'!AD31+'18 (RU)'!AD31+'19 (RU)'!AD31+'20 (RU)'!AD31+'21 (RU)'!AD31+'22 (RU)'!AD31+'23 (RU)'!AD31</f>
        <v>#DIV/0!</v>
      </c>
      <c r="BQ25" t="e">
        <f>'1 (RU)'!AE31+'2 (RU)'!AE31+'3 (RU)'!AE31+'4 (RU)'!AE31+'5 (RU)'!AE31+'6 (RU)'!AE31+'7 (RU)'!AE31+'8 (RU)'!AE31+'9 (RU)'!AE31+'10 (RU)'!AE31+'11 (RU)'!AE31+'12 (RU)'!AE31+'13 (RU)'!AE31+'14 (RU)'!AE31+'15 (RU)'!AE31+'16 (RU)'!AE31+'17 (RU)'!AE31+'18 (RU)'!AE31+'19 (RU)'!AE31+'20 (RU)'!AE31+'21 (RU)'!AE31+'22 (RU)'!AE31+'23 (RU)'!AE31</f>
        <v>#DIV/0!</v>
      </c>
      <c r="BR25" t="e">
        <f>'1 (RU)'!AF31+'2 (RU)'!AF31+'3 (RU)'!AF31+'4 (RU)'!AF31+'5 (RU)'!AF31+'6 (RU)'!AF31+'7 (RU)'!AF31+'8 (RU)'!AF31+'9 (RU)'!AF31+'10 (RU)'!AF31+'11 (RU)'!AF31+'12 (RU)'!AF31+'13 (RU)'!AF31+'14 (RU)'!AF31+'15 (RU)'!AF31+'16 (RU)'!AF31+'17 (RU)'!AF31+'18 (RU)'!AF31+'19 (RU)'!AF31+'20 (RU)'!AF31+'21 (RU)'!AF31+'22 (RU)'!AF31+'23 (RU)'!AF31</f>
        <v>#DIV/0!</v>
      </c>
      <c r="BS25" t="e">
        <f>'1 (RU)'!AG31+'2 (RU)'!AG31+'3 (RU)'!AG31+'4 (RU)'!AG31+'5 (RU)'!AG31+'6 (RU)'!AG31+'7 (RU)'!AG31+'8 (RU)'!AG31+'9 (RU)'!AG31+'10 (RU)'!AG31+'11 (RU)'!AG31+'12 (RU)'!AG31+'13 (RU)'!AG31+'14 (RU)'!AG31+'15 (RU)'!AG31+'16 (RU)'!AG31+'17 (RU)'!AG31+'18 (RU)'!AG31+'19 (RU)'!AG31+'20 (RU)'!AG31+'21 (RU)'!AG31+'22 (RU)'!AG31+'23 (RU)'!AG31</f>
        <v>#DIV/0!</v>
      </c>
      <c r="BT25" t="e">
        <f>'1 (RU)'!AH31+'2 (RU)'!AH31+'3 (RU)'!AH31+'4 (RU)'!AH31+'5 (RU)'!AH31+'6 (RU)'!AH31+'7 (RU)'!AH31+'8 (RU)'!AH31+'9 (RU)'!AH31+'10 (RU)'!AH31+'11 (RU)'!AH31+'12 (RU)'!AH31+'13 (RU)'!AH31+'14 (RU)'!AH31+'15 (RU)'!AH31+'16 (RU)'!AH31+'17 (RU)'!AH31+'18 (RU)'!AH31+'19 (RU)'!AH31+'20 (RU)'!AH31+'21 (RU)'!AH31+'22 (RU)'!AH31+'23 (RU)'!AH31</f>
        <v>#DIV/0!</v>
      </c>
      <c r="BU25" t="e">
        <f>'1 (RU)'!AI31+'2 (RU)'!AI31+'3 (RU)'!AI31+'4 (RU)'!AI31+'5 (RU)'!AI31+'6 (RU)'!AI31+'7 (RU)'!AI31+'8 (RU)'!AI31+'9 (RU)'!AI31+'10 (RU)'!AI31+'11 (RU)'!AI31+'12 (RU)'!AI31+'13 (RU)'!AI31+'14 (RU)'!AI31+'15 (RU)'!AI31+'16 (RU)'!AI31+'17 (RU)'!AI31+'18 (RU)'!AI31+'19 (RU)'!AI31+'20 (RU)'!AI31+'21 (RU)'!AI31+'22 (RU)'!AI31+'23 (RU)'!AI31</f>
        <v>#DIV/0!</v>
      </c>
      <c r="BV25" t="e">
        <f>'1 (RU)'!AJ31+'2 (RU)'!AJ31+'3 (RU)'!AJ31+'4 (RU)'!AJ31+'5 (RU)'!AJ31+'6 (RU)'!AJ31+'7 (RU)'!AJ31+'8 (RU)'!AJ31+'9 (RU)'!AJ31+'10 (RU)'!AJ31+'11 (RU)'!AJ31+'12 (RU)'!AJ31+'13 (RU)'!AJ31+'14 (RU)'!AJ31+'15 (RU)'!AJ31+'16 (RU)'!AJ31+'17 (RU)'!AJ31+'18 (RU)'!AJ31+'19 (RU)'!AJ31+'20 (RU)'!AJ31+'21 (RU)'!AJ31+'22 (RU)'!AJ31+'23 (RU)'!AJ31</f>
        <v>#DIV/0!</v>
      </c>
      <c r="BW25" t="e">
        <f>'1 (RU)'!AK31+'2 (RU)'!AK31+'3 (RU)'!AK31+'4 (RU)'!AK31+'5 (RU)'!AK31+'6 (RU)'!AK31+'7 (RU)'!AK31+'8 (RU)'!AK31+'9 (RU)'!AK31+'10 (RU)'!AK31+'11 (RU)'!AK31+'12 (RU)'!AK31+'13 (RU)'!AK31+'14 (RU)'!AK31+'15 (RU)'!AK31+'16 (RU)'!AK31+'17 (RU)'!AK31+'18 (RU)'!AK31+'19 (RU)'!AK31+'20 (RU)'!AK31+'21 (RU)'!AK31+'22 (RU)'!AK31+'23 (RU)'!AK31</f>
        <v>#DIV/0!</v>
      </c>
      <c r="BX25" t="e">
        <f>'1 (RU)'!AL31+'2 (RU)'!AL31+'3 (RU)'!AL31+'4 (RU)'!AL31+'5 (RU)'!AL31+'6 (RU)'!AL31+'7 (RU)'!AL31+'8 (RU)'!AL31+'9 (RU)'!AL31+'10 (RU)'!AL31+'11 (RU)'!AL31+'12 (RU)'!AL31+'13 (RU)'!AL31+'14 (RU)'!AL31+'15 (RU)'!AL31+'16 (RU)'!AL31+'17 (RU)'!AL31+'18 (RU)'!AL31+'19 (RU)'!AL31+'20 (RU)'!AL31+'21 (RU)'!AL31+'22 (RU)'!AL31+'23 (RU)'!AL31</f>
        <v>#DIV/0!</v>
      </c>
      <c r="BY25" s="25" t="e">
        <f t="shared" si="7"/>
        <v>#DIV/0!</v>
      </c>
      <c r="BZ25" s="16" t="e">
        <f t="shared" si="8"/>
        <v>#DIV/0!</v>
      </c>
      <c r="CC25" t="e">
        <f>VLOOKUP(CC$1,emissions!$A$2:$B$5,2,FALSE)*BK25</f>
        <v>#DIV/0!</v>
      </c>
      <c r="CD25" t="e">
        <f>VLOOKUP(CD$1,emissions!$A$2:$B$5,2,FALSE)*BL25</f>
        <v>#DIV/0!</v>
      </c>
      <c r="CF25" t="e">
        <f>VLOOKUP(CF$1,emissions!$A$2:$B$5,2,FALSE)*BN25</f>
        <v>#DIV/0!</v>
      </c>
      <c r="CG25" t="e">
        <f>VLOOKUP(CG$1,emissions!$A$2:$B$5,2,FALSE)*BO25</f>
        <v>#DIV/0!</v>
      </c>
      <c r="CH25" t="e">
        <f>BP25*(emissions!$D$3*production!$B$4+emissions!$D$4*production!$C$4+emissions!$D$5*production!$D$4+emissions!$D$6*production!$E$4)</f>
        <v>#DIV/0!</v>
      </c>
      <c r="CI25" t="e">
        <f>BQ25*(emissions!$D$3*production!$B$4+emissions!$D$4*production!$C$4+emissions!$D$5*production!$D$4+emissions!$D$6*production!$E$4)</f>
        <v>#DIV/0!</v>
      </c>
      <c r="CJ25" t="e">
        <f>BR25*(emissions!$D$8*production!$B$6+emissions!$D$9*production!$C$6+emissions!$D$10*production!$D$6)</f>
        <v>#DIV/0!</v>
      </c>
      <c r="CK25" t="e">
        <f>BS25*(emissions!$D$12*production!$B$8+emissions!$D$13*production!$C$8+emissions!$D$14*production!$D$8)</f>
        <v>#DIV/0!</v>
      </c>
      <c r="CL25" t="e">
        <f>BT25*(emissions!$D$16*production!$B$10+production!$C$10*emissions!$D$17)</f>
        <v>#DIV/0!</v>
      </c>
      <c r="CM25" t="e">
        <f>BU25*(emissions!$D$19*production!$B$12+production!$C$12*emissions!$D$20+emissions!$D$21*production!$D$12)</f>
        <v>#DIV/0!</v>
      </c>
      <c r="CN25" t="e">
        <f>BV25*(emissions!$D$23*production!$B$14+production!$C$14*emissions!$D$24+emissions!$D$25*production!$D$14)</f>
        <v>#DIV/0!</v>
      </c>
      <c r="CO25" t="e">
        <f>BW25*(emissions!$D$27*production!$B$16+production!$C$16*emissions!$D$28+production!$D$16*emissions!$D$29)</f>
        <v>#DIV/0!</v>
      </c>
      <c r="CP25">
        <v>0</v>
      </c>
      <c r="CS25" t="e">
        <f t="shared" si="9"/>
        <v>#DIV/0!</v>
      </c>
      <c r="CT25" s="40" t="e">
        <f t="shared" si="10"/>
        <v>#DIV/0!</v>
      </c>
      <c r="CU25" t="e">
        <f t="shared" si="0"/>
        <v>#DIV/0!</v>
      </c>
      <c r="CV25" t="e">
        <f t="shared" si="1"/>
        <v>#DIV/0!</v>
      </c>
      <c r="CW25">
        <f t="shared" si="2"/>
        <v>16.234199999999984</v>
      </c>
      <c r="CX25">
        <f t="shared" si="3"/>
        <v>4.1051999999999831</v>
      </c>
      <c r="CY25" t="e">
        <f t="shared" si="11"/>
        <v>#DIV/0!</v>
      </c>
      <c r="CZ25" s="74" t="e">
        <f t="shared" si="12"/>
        <v>#DIV/0!</v>
      </c>
      <c r="DA25" t="e">
        <f t="shared" si="13"/>
        <v>#DIV/0!</v>
      </c>
      <c r="DB25" t="e">
        <f t="shared" si="14"/>
        <v>#DIV/0!</v>
      </c>
      <c r="DC25" s="34" t="e">
        <f t="shared" si="15"/>
        <v>#DIV/0!</v>
      </c>
      <c r="DD25">
        <v>2048</v>
      </c>
      <c r="DE25" t="e">
        <f t="shared" si="22"/>
        <v>#DIV/0!</v>
      </c>
      <c r="DF25" t="e">
        <f t="shared" si="23"/>
        <v>#DIV/0!</v>
      </c>
      <c r="DG25">
        <v>2048</v>
      </c>
      <c r="DH25" t="e">
        <f t="shared" si="24"/>
        <v>#DIV/0!</v>
      </c>
      <c r="DI25" t="e">
        <f t="shared" si="25"/>
        <v>#DIV/0!</v>
      </c>
      <c r="DJ25" t="e">
        <f t="shared" si="26"/>
        <v>#DIV/0!</v>
      </c>
      <c r="DK25" t="e">
        <f t="shared" si="27"/>
        <v>#DIV/0!</v>
      </c>
      <c r="DL25" t="e">
        <f t="shared" si="28"/>
        <v>#DIV/0!</v>
      </c>
      <c r="DM25" s="74" t="e">
        <f t="shared" si="29"/>
        <v>#DIV/0!</v>
      </c>
      <c r="DN25" s="75" t="e">
        <f t="shared" si="30"/>
        <v>#DIV/0!</v>
      </c>
      <c r="DO25" s="76" t="e">
        <f t="shared" si="31"/>
        <v>#DIV/0!</v>
      </c>
      <c r="DP25" s="78" t="e">
        <f t="shared" si="32"/>
        <v>#DIV/0!</v>
      </c>
      <c r="DQ25" s="70">
        <v>2562</v>
      </c>
      <c r="DR25" s="71">
        <v>35660</v>
      </c>
      <c r="DS25" s="71"/>
      <c r="DT25" s="71">
        <v>947</v>
      </c>
      <c r="DU25" s="71">
        <v>3228</v>
      </c>
      <c r="DV25">
        <f>DQ25*VLOOKUP(DQ$1,emissions!$A$2:$B$5,2,FALSE)</f>
        <v>374052</v>
      </c>
      <c r="DW25">
        <f>DR25*VLOOKUP(DR$1,emissions!$A$2:$B$5,2,FALSE)</f>
        <v>5206360</v>
      </c>
      <c r="DY25">
        <f>DT25*VLOOKUP(DT$1,emissions!$A$2:$B$5,2,FALSE)</f>
        <v>137315</v>
      </c>
      <c r="DZ25">
        <f>DU25*VLOOKUP(DU$1,emissions!$A$2:$B$5,2,FALSE)</f>
        <v>364764</v>
      </c>
      <c r="EA25">
        <f t="shared" si="16"/>
        <v>6082491</v>
      </c>
      <c r="EB25">
        <f t="shared" si="17"/>
        <v>143.46512724956955</v>
      </c>
      <c r="ED25" s="77" t="e">
        <f t="shared" si="4"/>
        <v>#DIV/0!</v>
      </c>
      <c r="EE25" s="34" t="e">
        <f>cost!$B$2*BK25</f>
        <v>#DIV/0!</v>
      </c>
      <c r="EF25" s="34" t="e">
        <f>cost!$B$3*BL25</f>
        <v>#DIV/0!</v>
      </c>
      <c r="EG25" s="34"/>
      <c r="EH25" s="34" t="e">
        <f>cost!$B$4*BN25</f>
        <v>#DIV/0!</v>
      </c>
      <c r="EI25" s="34" t="e">
        <f>cost!$B$5*$BO$2</f>
        <v>#DIV/0!</v>
      </c>
      <c r="EJ25" s="34" t="e">
        <f>BP25*(cost!$D$3*production!$B$4+production!$C$4*cost!$D$4+cost!$D$5*production!$D$4+production!$E$4*cost!$D$6)</f>
        <v>#DIV/0!</v>
      </c>
      <c r="EK25" s="34" t="e">
        <f>BQ25*(cost!$D$3*production!$B$4+production!$C$4*cost!$D$4+cost!$D$5*production!$D$4+production!$E$4*cost!$D$6)</f>
        <v>#DIV/0!</v>
      </c>
      <c r="EL25" s="34" t="e">
        <f>BR25*(cost!$D$8*production!$B$6+cost!$D$9*production!$C$6+$D$10*production!$D$6)</f>
        <v>#DIV/0!</v>
      </c>
      <c r="EM25" s="34" t="e">
        <f>BS25*(cost!$D$12*production!$B$8+cost!$D$13*production!$C$8+cost!$D$14*production!$D$8)</f>
        <v>#DIV/0!</v>
      </c>
      <c r="EN25" s="34" t="e">
        <f>BT25*(cost!$D$16*production!$B$10+production!$C$10*cost!$D$17)</f>
        <v>#DIV/0!</v>
      </c>
      <c r="EO25" s="34" t="e">
        <f>BU25*(cost!$D$19*production!$B$12+production!$C$12*cost!$D$20+cost!$D$21*production!$D$12)</f>
        <v>#DIV/0!</v>
      </c>
      <c r="EP25" s="34" t="e">
        <f>BV25*(cost!$D$23*production!$B$14+production!$C$14*cost!$D$24+cost!$D$25*production!$D$14)</f>
        <v>#DIV/0!</v>
      </c>
      <c r="EQ25" s="34" t="e">
        <f>BW25*(cost!$D$27*production!$B$16+production!$C$16*cost!$D$28+cost!$D$29*production!$D$16)</f>
        <v>#DIV/0!</v>
      </c>
      <c r="ER25" s="34" t="e">
        <f>BX25*(re!$H$10*re!$C$10+re!$H$11*re!$C$11+re!$H$12*re!$C$12+re!$H$13*re!$C$13+re!$H$14*re!$C$14)</f>
        <v>#DIV/0!</v>
      </c>
    </row>
    <row r="26" spans="1:148" x14ac:dyDescent="0.2">
      <c r="A26" s="84" t="s">
        <v>72</v>
      </c>
      <c r="B26" s="119">
        <f>L2</f>
        <v>202.51921531880922</v>
      </c>
      <c r="C26" s="119">
        <f>L27</f>
        <v>4.0378188961497559</v>
      </c>
      <c r="D26" s="119">
        <f>L7</f>
        <v>204.70910314422522</v>
      </c>
      <c r="E26" s="130">
        <f>L17</f>
        <v>28.972343150468035</v>
      </c>
      <c r="F26" s="119"/>
      <c r="G26">
        <v>2049</v>
      </c>
      <c r="H26" s="25">
        <f>'2'!AB32+'6'!AB32+'7'!AB32+'9'!AB32+'11'!AB32+'12'!AB32+'13'!AB32+'16'!AB32+'17'!AB32+'18'!AB32+'22'!AB32</f>
        <v>1.379503306025877</v>
      </c>
      <c r="I26" s="16">
        <f>'1'!AB32+'2'!AC32+'5'!AB32+'6'!AC32+'7'!AC32+'9'!AC32+'11'!AC32+'12'!AC32+'13'!AC32+'15'!AB32+'16'!AC32+'17'!AC32+'18'!AC32+'19'!AB32+'22'!AC32</f>
        <v>10.287784045660221</v>
      </c>
      <c r="J26" s="16"/>
      <c r="K26" s="16">
        <f>'3'!AB32+'4'!AB32+'10'!AB32+'20'!AB32+'21'!AB32+'23'!AB32</f>
        <v>0.45431974009618498</v>
      </c>
      <c r="L26" s="16">
        <f>'8'!AB32+'14'!AB32</f>
        <v>4.1745370456609203</v>
      </c>
      <c r="M26" s="16">
        <f>'1'!AD32+'2'!AD32+'3'!AD32+'4'!AD32+'5'!AD32+'6'!AD32+'7'!AD32+'8'!AD32+'9'!AD32+'10'!AD32+'11'!AD32+'12'!AD32+'13'!AD32+'14'!AD32+'15'!AD32+'16'!AD32+'17'!AD32+'18'!AD32+'19'!AD32+'20'!AD32+'21'!AD32+'22'!AD32+'23'!AD32</f>
        <v>225.25463009573707</v>
      </c>
      <c r="N26" s="16">
        <f>'1'!AE32+'2'!AE32+'3'!AE32+'4'!AE32+'5'!AE32+'6'!AE32+'7'!AE32+'8'!AE32+'9'!AE32+'10'!AE32+'11'!AE32+'12'!AE32+'13'!AE32+'14'!AE32+'15'!AE32+'16'!AE32+'17'!AE32+'18'!AE32+'19'!AE32+'20'!AE32+'21'!AE32+'22'!AE32+'23'!AE32</f>
        <v>13.3481198571133</v>
      </c>
      <c r="O26" s="16">
        <f>'1'!AF32+'2'!AF32+'3'!AF32+'4'!AF32+'5'!AF32+'6'!AF32+'7'!AF32+'8'!AF32+'9'!AF32+'10'!AF32+'11'!AF32+'12'!AF32+'13'!AF32+'14'!AF32+'15'!AF32+'16'!AF32+'17'!AF32+'18'!AF32+'19'!AF32+'20'!AF32+'21'!AF32+'22'!AF32+'23'!AF32</f>
        <v>431.15503557575829</v>
      </c>
      <c r="P26" s="16">
        <f>'1'!AG32+'2'!AG32+'3'!AG32+'4'!AG32+'5'!AG32+'6'!AG32+'7'!AG32+'8'!AG32+'9'!AG32+'10'!AG32+'11'!AG32+'12'!AG32+'13'!AG32+'14'!AG32+'15'!AG32+'16'!AG32+'17'!AG32+'18'!AG32+'19'!AG32+'20'!AG32+'21'!AG32+'22'!AG32+'23'!AG32</f>
        <v>392.94708530365261</v>
      </c>
      <c r="Q26" s="16">
        <f>'1'!AH32+'2'!AH32+'3'!AH32+'4'!AH32+'5'!AH32+'6'!AH32+'7'!AH32+'8'!AH32+'9'!AH32+'10'!AH32+'11'!AH32+'12'!AH32+'13'!AH32+'14'!AH32+'15'!AH32+'16'!AH32+'17'!AH32+'18'!AH32+'19'!AH32+'20'!AH32+'21'!AH32+'22'!AH32+'23'!AH32</f>
        <v>9.9182830720589159</v>
      </c>
      <c r="R26" s="16">
        <f>'1'!AI32+'2'!AI32+'3'!AI32+'4'!AI32+'5'!AI32+'6'!AI32+'7'!AI32+'8'!AI32+'9'!AI32+'10'!AI32+'11'!AI32+'12'!AI32+'13'!AI32+'14'!AI32+'15'!AI32+'16'!AI32+'17'!AI32+'18'!AI32+'19'!AI32+'20'!AI32+'21'!AI32+'22'!AI32+'23'!AI32</f>
        <v>68.160400545547105</v>
      </c>
      <c r="S26" s="16">
        <f>'1'!AJ32+'2'!AJ32+'3'!AJ32+'4'!AJ32+'5'!AJ32+'6'!AJ32+'7'!AJ32+'8'!AJ32+'9'!AJ32+'10'!AJ32+'11'!AJ32+'12'!AJ32+'13'!AJ32+'14'!AJ32+'15'!AJ32+'16'!AJ32+'17'!AJ32+'18'!AJ32+'19'!AJ32+'20'!AJ32+'21'!AJ32+'22'!AJ32+'23'!AJ32</f>
        <v>19.007878167912697</v>
      </c>
      <c r="T26" s="16">
        <f>'1'!AK32+'2'!AK32+'3'!AK32+'4'!AK32+'5'!AK32+'6'!AK32+'7'!AK32+'8'!AK32+'9'!AK32+'10'!AK32+'11'!AK32+'12'!AK32+'13'!AK32+'14'!AK32+'15'!AK32+'16'!AK32+'17'!AK32+'18'!AK32+'19'!AK32+'20'!AK32+'21'!AK32+'22'!AK32+'23'!AK32</f>
        <v>214.46408826005077</v>
      </c>
      <c r="U26" s="16">
        <f>'1'!AL32+'2'!AL32+'3'!AL32+'4'!AL32+'5'!AL32+'6'!AL32+'7'!AL32+'8'!AL32+'9'!AL32+'10'!AL32+'11'!AL32+'12'!AL32+'13'!AL32+'14'!AL32+'15'!AL32+'16'!AL32+'17'!AL32+'18'!AL32+'19'!AL32+'20'!AL32+'21'!AL32+'22'!AL32+'23'!AL32</f>
        <v>0.53118087821367665</v>
      </c>
      <c r="V26" s="25">
        <f t="shared" si="5"/>
        <v>16.296144137443203</v>
      </c>
      <c r="W26" s="16">
        <f t="shared" si="6"/>
        <v>1374.7867017560447</v>
      </c>
      <c r="X26" s="9">
        <f t="shared" si="20"/>
        <v>1.9713002839931715E-2</v>
      </c>
      <c r="Y26" s="16">
        <f>((M26+N26)*re!$D$2/re!$C$2+O26*re!$D$3/re!$C$3+P26*re!$D$4/re!$C$4+T26*re!$D$5/re!$C$5+U26*re!$D$6/re!$C$6)</f>
        <v>2333.8067701408372</v>
      </c>
      <c r="Z26">
        <f t="shared" si="18"/>
        <v>180.05770050139083</v>
      </c>
      <c r="AA26">
        <f>((Y26*277.8)/(re!$B$10*8760))*re!$C$10</f>
        <v>102.08337596364741</v>
      </c>
      <c r="AB26">
        <f>((Y26*277.8)/(re!$B$11*8760))*re!$C$11</f>
        <v>37.954075678791973</v>
      </c>
      <c r="AC26">
        <f>((Y26*277.8)/(re!$B$12*8760))*re!$C$12</f>
        <v>13.705638439563769</v>
      </c>
      <c r="AD26">
        <f>((Y26*277.8)/(re!$B$13*8760))*re!$C$13</f>
        <v>4.0223069333502366</v>
      </c>
      <c r="AE26">
        <f>((Y26*277.8)/(re!$B$14*8760))*re!$C$14</f>
        <v>22.292303486037458</v>
      </c>
      <c r="AF26">
        <f>SUM('1'!AD32:AL32)+'1'!AA32</f>
        <v>206.8682950861149</v>
      </c>
      <c r="AG26">
        <f>SUM('2'!AD32:AL32)+'2'!AA32</f>
        <v>4.0664864488274617</v>
      </c>
      <c r="AH26">
        <f>SUM('3'!AD32:AL32)+'3'!AA32</f>
        <v>18.041884679044475</v>
      </c>
      <c r="AI26">
        <f>SUM('4'!AD32:AL32)+'4'!AA32</f>
        <v>1.3637965807583781</v>
      </c>
      <c r="AJ26">
        <f>SUM('5'!AD32:AL32)+'5'!AA32</f>
        <v>7.9328643745243426</v>
      </c>
      <c r="AK26">
        <f>SUM('6'!AD32:AL32)+'6'!AA32</f>
        <v>200.90736776350974</v>
      </c>
      <c r="AL26">
        <f>SUM('7'!AD32:AL32)+'7'!AA32</f>
        <v>181.28552526902683</v>
      </c>
      <c r="AM26">
        <f>SUM('8'!AD32:AL32)+'8'!AA32</f>
        <v>385.53601478170486</v>
      </c>
      <c r="AN26">
        <f>SUM('9'!AD32:AL32)+'9'!AA32</f>
        <v>99.049715101391001</v>
      </c>
      <c r="AO26">
        <f>SUM('10'!AD32:AL32)+'10'!AA32</f>
        <v>7.2337053165664686</v>
      </c>
      <c r="AP26">
        <f>SUM('11'!AD32:AL32)+'11'!AA32</f>
        <v>9.439777300453521</v>
      </c>
      <c r="AQ26">
        <f>SUM('12'!AD32:AL32)+'12'!AA32</f>
        <v>2.9000939413198461</v>
      </c>
      <c r="AR26">
        <f>SUM('13'!AD32:AL32)+'13'!AA32</f>
        <v>8.4380611149144009</v>
      </c>
      <c r="AS26">
        <f>SUM('14'!AD32:AL32)+'14'!AA32</f>
        <v>7.3457583374973918</v>
      </c>
      <c r="AT26">
        <f>SUM('15'!AD32:AL32)+'15'!AA32</f>
        <v>88.002999492759258</v>
      </c>
      <c r="AU26">
        <f>SUM('16'!AD32:AL32)+'16'!AA32</f>
        <v>35.91303353484593</v>
      </c>
      <c r="AV26">
        <f>SUM('17'!AD32:AL32)+'17'!AA32</f>
        <v>61.120236064618673</v>
      </c>
      <c r="AW26">
        <f>SUM('18'!AD32:AL32)+'18'!AA32</f>
        <v>15.263519114821181</v>
      </c>
      <c r="AX26">
        <f>SUM('19'!AD32:AL32)+'19'!AA32</f>
        <v>38.952952585874641</v>
      </c>
      <c r="AY26">
        <f>SUM('20'!AD32:AL32)+'20'!AA32</f>
        <v>2.60422048423258</v>
      </c>
      <c r="AZ26">
        <f>SUM('21'!AD32:AL32)+'21'!AA32</f>
        <v>0.23190037587914553</v>
      </c>
      <c r="BA26">
        <f>SUM('22'!AD32:AL32)+'22'!AA32</f>
        <v>0.72995353200933555</v>
      </c>
      <c r="BB26">
        <f>SUM('23'!AD32:AL32)+'23'!AA32</f>
        <v>7.8546846127935721</v>
      </c>
      <c r="BC26">
        <f>('1'!D32+'2'!D32+'3'!D32+'4'!D32+'5'!D32+'6'!D32+'7'!D32+'8'!D32+'9'!D32+'10'!D32+'12'!D32+'13'!D32+'14'!D32+'15'!D32+'16'!D32+'17'!D32+'18'!D32+'19'!D32+'20'!D32+'21'!D32+'22'!D32+'23'!D32)/('1'!D31+'2'!D31+'3'!D31+'4'!D31+'5'!D31+'6'!D31+'7'!D31+'8'!D31+'9'!D31+'10'!D31+'12'!D31+'13'!D31+'14'!D31+'15'!D31+'16'!D31+'17'!D31+'18'!D31+'19'!D31+'20'!D31+'21'!D31+'22'!D31+'23'!D31)-1</f>
        <v>6.2932335276439932E-2</v>
      </c>
      <c r="BD26">
        <f>('1'!E32+'2'!E32+'3'!E32+'4'!E32+'5'!E32+'6'!E32+'7'!E32+'8'!E32+'9'!E32+'10'!E32+'12'!E32+'13'!E32+'14'!E32+'15'!E32+'16'!E32+'17'!E32+'18'!E32+'19'!E32+'20'!E32+'21'!E32+'22'!E32+'23'!E32)/('1'!E31+'2'!E31+'3'!E31+'4'!E31+'5'!E31+'6'!E31+'7'!E31+'8'!E31+'9'!E31+'10'!E31+'12'!E31+'13'!E31+'14'!E31+'15'!E31+'16'!E31+'17'!E31+'18'!E31+'19'!E31+'20'!E31+'21'!E31+'22'!E31+'23'!E31)-1</f>
        <v>6.2932335276439932E-2</v>
      </c>
      <c r="BE26">
        <f>('1'!F32+'2'!F32+'3'!F32+'4'!F32+'5'!F32+'6'!F32+'7'!F32+'8'!F32+'9'!F32+'10'!F32+'12'!F32+'13'!F32+'14'!F32+'15'!F32+'16'!F32+'17'!F32+'18'!F32+'19'!F32+'20'!F32+'21'!F32+'22'!F32+'23'!F32)/('1'!F31+'2'!F31+'3'!F31+'4'!F31+'5'!F31+'6'!F31+'7'!F31+'8'!F31+'9'!F31+'10'!F31+'12'!F31+'13'!F31+'14'!F31+'15'!F31+'16'!F31+'17'!F31+'18'!F31+'19'!F31+'20'!F31+'21'!F31+'22'!F31+'23'!F31)-1</f>
        <v>6.5240738531444853E-2</v>
      </c>
      <c r="BF26">
        <f t="shared" si="19"/>
        <v>1.9713002839931715E-2</v>
      </c>
      <c r="BG26">
        <v>2049</v>
      </c>
      <c r="BH26" s="59">
        <f t="shared" si="35"/>
        <v>0.8480000000000002</v>
      </c>
      <c r="BI26" s="2">
        <f t="shared" si="34"/>
        <v>0.9780000000000002</v>
      </c>
      <c r="BJ26" s="2">
        <f t="shared" si="21"/>
        <v>0.13</v>
      </c>
      <c r="BK26" t="e">
        <f>'2 (RU)'!AB32+'6 (RU)'!AB32+'7 (RU)'!AB32+'9 (RU)'!AB32+'11 (RU)'!AB32+'12 (RU)'!AB32+'13 (RU)'!AB32+'16 (RU)'!AB32+'17 (RU)'!AB32+'18 (RU)'!AB32+'22 (RU)'!AB32</f>
        <v>#DIV/0!</v>
      </c>
      <c r="BL26" t="e">
        <f>'1 (RU)'!AB32+'2 (RU)'!AC32+'5 (RU)'!AB32+'6 (RU)'!AC32+'7 (RU)'!AC32+'9 (RU)'!AC32+'11 (RU)'!AC32+'12 (RU)'!AC32+'13 (RU)'!AC32+'15 (RU)'!AB32+'16 (RU)'!AC32+'17 (RU)'!AC32+'18 (RU)'!AC32+'19 (RU)'!AB32+'22 (RU)'!AC32</f>
        <v>#DIV/0!</v>
      </c>
      <c r="BN26" t="e">
        <f>'3 (RU)'!AB32+'4 (RU)'!AB32+'10 (RU)'!AB32+'20 (RU)'!AB32+'21 (RU)'!AB32+'23 (RU)'!AB32</f>
        <v>#DIV/0!</v>
      </c>
      <c r="BO26" t="e">
        <f>'8 (RU)'!AB32+'14 (RU)'!AB32</f>
        <v>#DIV/0!</v>
      </c>
      <c r="BP26" t="e">
        <f>'1 (RU)'!AD32+'2 (RU)'!AD32+'3 (RU)'!AD32+'4 (RU)'!AD32+'5 (RU)'!AD32+'6 (RU)'!AD32+'7 (RU)'!AD32+'8 (RU)'!AD32+'9 (RU)'!AD32+'10 (RU)'!AD32+'11 (RU)'!AD32+'12 (RU)'!AD32+'13 (RU)'!AD32+'14 (RU)'!AD32+'15 (RU)'!AD32+'16 (RU)'!AD32+'17 (RU)'!AD32+'18 (RU)'!AD32+'19 (RU)'!AD32+'20 (RU)'!AD32+'21 (RU)'!AD32+'22 (RU)'!AD32+'23 (RU)'!AD32</f>
        <v>#DIV/0!</v>
      </c>
      <c r="BQ26" t="e">
        <f>'1 (RU)'!AE32+'2 (RU)'!AE32+'3 (RU)'!AE32+'4 (RU)'!AE32+'5 (RU)'!AE32+'6 (RU)'!AE32+'7 (RU)'!AE32+'8 (RU)'!AE32+'9 (RU)'!AE32+'10 (RU)'!AE32+'11 (RU)'!AE32+'12 (RU)'!AE32+'13 (RU)'!AE32+'14 (RU)'!AE32+'15 (RU)'!AE32+'16 (RU)'!AE32+'17 (RU)'!AE32+'18 (RU)'!AE32+'19 (RU)'!AE32+'20 (RU)'!AE32+'21 (RU)'!AE32+'22 (RU)'!AE32+'23 (RU)'!AE32</f>
        <v>#DIV/0!</v>
      </c>
      <c r="BR26" t="e">
        <f>'1 (RU)'!AF32+'2 (RU)'!AF32+'3 (RU)'!AF32+'4 (RU)'!AF32+'5 (RU)'!AF32+'6 (RU)'!AF32+'7 (RU)'!AF32+'8 (RU)'!AF32+'9 (RU)'!AF32+'10 (RU)'!AF32+'11 (RU)'!AF32+'12 (RU)'!AF32+'13 (RU)'!AF32+'14 (RU)'!AF32+'15 (RU)'!AF32+'16 (RU)'!AF32+'17 (RU)'!AF32+'18 (RU)'!AF32+'19 (RU)'!AF32+'20 (RU)'!AF32+'21 (RU)'!AF32+'22 (RU)'!AF32+'23 (RU)'!AF32</f>
        <v>#DIV/0!</v>
      </c>
      <c r="BS26" t="e">
        <f>'1 (RU)'!AG32+'2 (RU)'!AG32+'3 (RU)'!AG32+'4 (RU)'!AG32+'5 (RU)'!AG32+'6 (RU)'!AG32+'7 (RU)'!AG32+'8 (RU)'!AG32+'9 (RU)'!AG32+'10 (RU)'!AG32+'11 (RU)'!AG32+'12 (RU)'!AG32+'13 (RU)'!AG32+'14 (RU)'!AG32+'15 (RU)'!AG32+'16 (RU)'!AG32+'17 (RU)'!AG32+'18 (RU)'!AG32+'19 (RU)'!AG32+'20 (RU)'!AG32+'21 (RU)'!AG32+'22 (RU)'!AG32+'23 (RU)'!AG32</f>
        <v>#DIV/0!</v>
      </c>
      <c r="BT26" t="e">
        <f>'1 (RU)'!AH32+'2 (RU)'!AH32+'3 (RU)'!AH32+'4 (RU)'!AH32+'5 (RU)'!AH32+'6 (RU)'!AH32+'7 (RU)'!AH32+'8 (RU)'!AH32+'9 (RU)'!AH32+'10 (RU)'!AH32+'11 (RU)'!AH32+'12 (RU)'!AH32+'13 (RU)'!AH32+'14 (RU)'!AH32+'15 (RU)'!AH32+'16 (RU)'!AH32+'17 (RU)'!AH32+'18 (RU)'!AH32+'19 (RU)'!AH32+'20 (RU)'!AH32+'21 (RU)'!AH32+'22 (RU)'!AH32+'23 (RU)'!AH32</f>
        <v>#DIV/0!</v>
      </c>
      <c r="BU26" t="e">
        <f>'1 (RU)'!AI32+'2 (RU)'!AI32+'3 (RU)'!AI32+'4 (RU)'!AI32+'5 (RU)'!AI32+'6 (RU)'!AI32+'7 (RU)'!AI32+'8 (RU)'!AI32+'9 (RU)'!AI32+'10 (RU)'!AI32+'11 (RU)'!AI32+'12 (RU)'!AI32+'13 (RU)'!AI32+'14 (RU)'!AI32+'15 (RU)'!AI32+'16 (RU)'!AI32+'17 (RU)'!AI32+'18 (RU)'!AI32+'19 (RU)'!AI32+'20 (RU)'!AI32+'21 (RU)'!AI32+'22 (RU)'!AI32+'23 (RU)'!AI32</f>
        <v>#DIV/0!</v>
      </c>
      <c r="BV26" t="e">
        <f>'1 (RU)'!AJ32+'2 (RU)'!AJ32+'3 (RU)'!AJ32+'4 (RU)'!AJ32+'5 (RU)'!AJ32+'6 (RU)'!AJ32+'7 (RU)'!AJ32+'8 (RU)'!AJ32+'9 (RU)'!AJ32+'10 (RU)'!AJ32+'11 (RU)'!AJ32+'12 (RU)'!AJ32+'13 (RU)'!AJ32+'14 (RU)'!AJ32+'15 (RU)'!AJ32+'16 (RU)'!AJ32+'17 (RU)'!AJ32+'18 (RU)'!AJ32+'19 (RU)'!AJ32+'20 (RU)'!AJ32+'21 (RU)'!AJ32+'22 (RU)'!AJ32+'23 (RU)'!AJ32</f>
        <v>#DIV/0!</v>
      </c>
      <c r="BW26" t="e">
        <f>'1 (RU)'!AK32+'2 (RU)'!AK32+'3 (RU)'!AK32+'4 (RU)'!AK32+'5 (RU)'!AK32+'6 (RU)'!AK32+'7 (RU)'!AK32+'8 (RU)'!AK32+'9 (RU)'!AK32+'10 (RU)'!AK32+'11 (RU)'!AK32+'12 (RU)'!AK32+'13 (RU)'!AK32+'14 (RU)'!AK32+'15 (RU)'!AK32+'16 (RU)'!AK32+'17 (RU)'!AK32+'18 (RU)'!AK32+'19 (RU)'!AK32+'20 (RU)'!AK32+'21 (RU)'!AK32+'22 (RU)'!AK32+'23 (RU)'!AK32</f>
        <v>#DIV/0!</v>
      </c>
      <c r="BX26" t="e">
        <f>'1 (RU)'!AL32+'2 (RU)'!AL32+'3 (RU)'!AL32+'4 (RU)'!AL32+'5 (RU)'!AL32+'6 (RU)'!AL32+'7 (RU)'!AL32+'8 (RU)'!AL32+'9 (RU)'!AL32+'10 (RU)'!AL32+'11 (RU)'!AL32+'12 (RU)'!AL32+'13 (RU)'!AL32+'14 (RU)'!AL32+'15 (RU)'!AL32+'16 (RU)'!AL32+'17 (RU)'!AL32+'18 (RU)'!AL32+'19 (RU)'!AL32+'20 (RU)'!AL32+'21 (RU)'!AL32+'22 (RU)'!AL32+'23 (RU)'!AL32</f>
        <v>#DIV/0!</v>
      </c>
      <c r="BY26" s="25" t="e">
        <f t="shared" si="7"/>
        <v>#DIV/0!</v>
      </c>
      <c r="BZ26" s="16" t="e">
        <f t="shared" si="8"/>
        <v>#DIV/0!</v>
      </c>
      <c r="CC26" t="e">
        <f>VLOOKUP(CC$1,emissions!$A$2:$B$5,2,FALSE)*BK26</f>
        <v>#DIV/0!</v>
      </c>
      <c r="CD26" t="e">
        <f>VLOOKUP(CD$1,emissions!$A$2:$B$5,2,FALSE)*BL26</f>
        <v>#DIV/0!</v>
      </c>
      <c r="CF26" t="e">
        <f>VLOOKUP(CF$1,emissions!$A$2:$B$5,2,FALSE)*BN26</f>
        <v>#DIV/0!</v>
      </c>
      <c r="CG26" t="e">
        <f>VLOOKUP(CG$1,emissions!$A$2:$B$5,2,FALSE)*BO26</f>
        <v>#DIV/0!</v>
      </c>
      <c r="CH26" t="e">
        <f>BP26*(emissions!$D$3*production!$B$4+emissions!$D$4*production!$C$4+emissions!$D$5*production!$D$4+emissions!$D$6*production!$E$4)</f>
        <v>#DIV/0!</v>
      </c>
      <c r="CI26" t="e">
        <f>BQ26*(emissions!$D$3*production!$B$4+emissions!$D$4*production!$C$4+emissions!$D$5*production!$D$4+emissions!$D$6*production!$E$4)</f>
        <v>#DIV/0!</v>
      </c>
      <c r="CJ26" t="e">
        <f>BR26*(emissions!$D$8*production!$B$6+emissions!$D$9*production!$C$6+emissions!$D$10*production!$D$6)</f>
        <v>#DIV/0!</v>
      </c>
      <c r="CK26" t="e">
        <f>BS26*(emissions!$D$12*production!$B$8+emissions!$D$13*production!$C$8+emissions!$D$14*production!$D$8)</f>
        <v>#DIV/0!</v>
      </c>
      <c r="CL26" t="e">
        <f>BT26*(emissions!$D$16*production!$B$10+production!$C$10*emissions!$D$17)</f>
        <v>#DIV/0!</v>
      </c>
      <c r="CM26" t="e">
        <f>BU26*(emissions!$D$19*production!$B$12+production!$C$12*emissions!$D$20+emissions!$D$21*production!$D$12)</f>
        <v>#DIV/0!</v>
      </c>
      <c r="CN26" t="e">
        <f>BV26*(emissions!$D$23*production!$B$14+production!$C$14*emissions!$D$24+emissions!$D$25*production!$D$14)</f>
        <v>#DIV/0!</v>
      </c>
      <c r="CO26" t="e">
        <f>BW26*(emissions!$D$27*production!$B$16+production!$C$16*emissions!$D$28+production!$D$16*emissions!$D$29)</f>
        <v>#DIV/0!</v>
      </c>
      <c r="CP26">
        <v>0</v>
      </c>
      <c r="CS26" t="e">
        <f t="shared" si="9"/>
        <v>#DIV/0!</v>
      </c>
      <c r="CT26" s="40" t="e">
        <f t="shared" si="10"/>
        <v>#DIV/0!</v>
      </c>
      <c r="CU26" t="e">
        <f t="shared" si="0"/>
        <v>#DIV/0!</v>
      </c>
      <c r="CV26" t="e">
        <f t="shared" si="1"/>
        <v>#DIV/0!</v>
      </c>
      <c r="CW26">
        <f t="shared" si="2"/>
        <v>14.181599999999982</v>
      </c>
      <c r="CX26">
        <f t="shared" si="3"/>
        <v>2.0525999999999809</v>
      </c>
      <c r="CY26" t="e">
        <f t="shared" si="11"/>
        <v>#DIV/0!</v>
      </c>
      <c r="CZ26" s="74" t="e">
        <f t="shared" si="12"/>
        <v>#DIV/0!</v>
      </c>
      <c r="DA26" t="e">
        <f t="shared" si="13"/>
        <v>#DIV/0!</v>
      </c>
      <c r="DB26" t="e">
        <f t="shared" si="14"/>
        <v>#DIV/0!</v>
      </c>
      <c r="DC26" s="34" t="e">
        <f t="shared" si="15"/>
        <v>#DIV/0!</v>
      </c>
      <c r="DD26">
        <v>2049</v>
      </c>
      <c r="DE26" t="e">
        <f t="shared" si="22"/>
        <v>#DIV/0!</v>
      </c>
      <c r="DF26" t="e">
        <f t="shared" si="23"/>
        <v>#DIV/0!</v>
      </c>
      <c r="DG26">
        <v>2049</v>
      </c>
      <c r="DH26" t="e">
        <f t="shared" si="24"/>
        <v>#DIV/0!</v>
      </c>
      <c r="DI26" t="e">
        <f t="shared" si="25"/>
        <v>#DIV/0!</v>
      </c>
      <c r="DJ26" t="e">
        <f t="shared" si="26"/>
        <v>#DIV/0!</v>
      </c>
      <c r="DK26" t="e">
        <f t="shared" si="27"/>
        <v>#DIV/0!</v>
      </c>
      <c r="DL26" t="e">
        <f t="shared" si="28"/>
        <v>#DIV/0!</v>
      </c>
      <c r="DM26" s="74" t="e">
        <f t="shared" si="29"/>
        <v>#DIV/0!</v>
      </c>
      <c r="DN26" s="75" t="e">
        <f t="shared" si="30"/>
        <v>#DIV/0!</v>
      </c>
      <c r="DO26" s="76" t="e">
        <f t="shared" si="31"/>
        <v>#DIV/0!</v>
      </c>
      <c r="DP26" s="78" t="e">
        <f t="shared" si="32"/>
        <v>#DIV/0!</v>
      </c>
      <c r="DQ26" s="70">
        <v>2530</v>
      </c>
      <c r="DR26" s="71">
        <v>36385</v>
      </c>
      <c r="DS26" s="71"/>
      <c r="DT26" s="71">
        <v>966</v>
      </c>
      <c r="DU26" s="71">
        <v>3293</v>
      </c>
      <c r="DV26">
        <f>DQ26*VLOOKUP(DQ$1,emissions!$A$2:$B$5,2,FALSE)</f>
        <v>369380</v>
      </c>
      <c r="DW26">
        <f>DR26*VLOOKUP(DR$1,emissions!$A$2:$B$5,2,FALSE)</f>
        <v>5312210</v>
      </c>
      <c r="DY26">
        <f>DT26*VLOOKUP(DT$1,emissions!$A$2:$B$5,2,FALSE)</f>
        <v>140070</v>
      </c>
      <c r="DZ26">
        <f>DU26*VLOOKUP(DU$1,emissions!$A$2:$B$5,2,FALSE)</f>
        <v>372109</v>
      </c>
      <c r="EA26">
        <f t="shared" si="16"/>
        <v>6193769</v>
      </c>
      <c r="EB26">
        <f t="shared" si="17"/>
        <v>143.46062444990039</v>
      </c>
      <c r="ED26" s="77" t="e">
        <f t="shared" si="4"/>
        <v>#DIV/0!</v>
      </c>
      <c r="EE26" s="34" t="e">
        <f>cost!$B$2*BK26</f>
        <v>#DIV/0!</v>
      </c>
      <c r="EF26" s="34" t="e">
        <f>cost!$B$3*BL26</f>
        <v>#DIV/0!</v>
      </c>
      <c r="EG26" s="34"/>
      <c r="EH26" s="34" t="e">
        <f>cost!$B$4*BN26</f>
        <v>#DIV/0!</v>
      </c>
      <c r="EI26" s="34" t="e">
        <f>cost!$B$5*$BO$2</f>
        <v>#DIV/0!</v>
      </c>
      <c r="EJ26" s="34" t="e">
        <f>BP26*(cost!$D$3*production!$B$4+production!$C$4*cost!$D$4+cost!$D$5*production!$D$4+production!$E$4*cost!$D$6)</f>
        <v>#DIV/0!</v>
      </c>
      <c r="EK26" s="34" t="e">
        <f>BQ26*(cost!$D$3*production!$B$4+production!$C$4*cost!$D$4+cost!$D$5*production!$D$4+production!$E$4*cost!$D$6)</f>
        <v>#DIV/0!</v>
      </c>
      <c r="EL26" s="34" t="e">
        <f>BR26*(cost!$D$8*production!$B$6+cost!$D$9*production!$C$6+$D$10*production!$D$6)</f>
        <v>#DIV/0!</v>
      </c>
      <c r="EM26" s="34" t="e">
        <f>BS26*(cost!$D$12*production!$B$8+cost!$D$13*production!$C$8+cost!$D$14*production!$D$8)</f>
        <v>#DIV/0!</v>
      </c>
      <c r="EN26" s="34" t="e">
        <f>BT26*(cost!$D$16*production!$B$10+production!$C$10*cost!$D$17)</f>
        <v>#DIV/0!</v>
      </c>
      <c r="EO26" s="34" t="e">
        <f>BU26*(cost!$D$19*production!$B$12+production!$C$12*cost!$D$20+cost!$D$21*production!$D$12)</f>
        <v>#DIV/0!</v>
      </c>
      <c r="EP26" s="34" t="e">
        <f>BV26*(cost!$D$23*production!$B$14+production!$C$14*cost!$D$24+cost!$D$25*production!$D$14)</f>
        <v>#DIV/0!</v>
      </c>
      <c r="EQ26" s="34" t="e">
        <f>BW26*(cost!$D$27*production!$B$16+production!$C$16*cost!$D$28+cost!$D$29*production!$D$16)</f>
        <v>#DIV/0!</v>
      </c>
      <c r="ER26" s="34" t="e">
        <f>BX26*(re!$H$10*re!$C$10+re!$H$11*re!$C$11+re!$H$12*re!$C$12+re!$H$13*re!$C$13+re!$H$14*re!$C$14)</f>
        <v>#DIV/0!</v>
      </c>
    </row>
    <row r="27" spans="1:148" x14ac:dyDescent="0.2">
      <c r="A27" s="84" t="s">
        <v>179</v>
      </c>
      <c r="B27" s="119">
        <f>U2</f>
        <v>0</v>
      </c>
      <c r="C27" s="119">
        <f>U27</f>
        <v>0.54220243250944489</v>
      </c>
      <c r="D27" s="119">
        <f>U7</f>
        <v>3.1149519799890227E-2</v>
      </c>
      <c r="E27" s="130">
        <f>U17</f>
        <v>0.40224362382955287</v>
      </c>
      <c r="F27" s="119"/>
      <c r="G27">
        <v>2050</v>
      </c>
      <c r="H27" s="25">
        <f>'2'!AB33+'6'!AB33+'7'!AB33+'9'!AB33+'11'!AB33+'12'!AB33+'13'!AB33+'16'!AB33+'17'!AB33+'18'!AB33+'22'!AB33</f>
        <v>1.3252057885260025</v>
      </c>
      <c r="I27" s="16">
        <f>'1'!AB33+'2'!AC33+'5'!AB33+'6'!AC33+'7'!AC33+'9'!AC33+'11'!AC33+'12'!AC33+'13'!AC33+'15'!AB33+'16'!AC33+'17'!AC33+'18'!AC33+'19'!AB33+'22'!AC33</f>
        <v>9.937857784791932</v>
      </c>
      <c r="J27" s="16"/>
      <c r="K27" s="16">
        <f>'3'!AB33+'4'!AB33+'10'!AB33+'20'!AB33+'21'!AB33+'23'!AB33</f>
        <v>0.43953281376867936</v>
      </c>
      <c r="L27" s="16">
        <f>'8'!AB33+'14'!AB33</f>
        <v>4.0378188961497559</v>
      </c>
      <c r="M27" s="16">
        <f>'1'!AD33+'2'!AD33+'3'!AD33+'4'!AD33+'5'!AD33+'6'!AD33+'7'!AD33+'8'!AD33+'9'!AD33+'10'!AD33+'11'!AD33+'12'!AD33+'13'!AD33+'14'!AD33+'15'!AD33+'16'!AD33+'17'!AD33+'18'!AD33+'19'!AD33+'20'!AD33+'21'!AD33+'22'!AD33+'23'!AD33</f>
        <v>229.60811009749796</v>
      </c>
      <c r="N27" s="16">
        <f>'1'!AE33+'2'!AE33+'3'!AE33+'4'!AE33+'5'!AE33+'6'!AE33+'7'!AE33+'8'!AE33+'9'!AE33+'10'!AE33+'11'!AE33+'12'!AE33+'13'!AE33+'14'!AE33+'15'!AE33+'16'!AE33+'17'!AE33+'18'!AE33+'19'!AE33+'20'!AE33+'21'!AE33+'22'!AE33+'23'!AE33</f>
        <v>13.605256634314763</v>
      </c>
      <c r="O27" s="16">
        <f>'1'!AF33+'2'!AF33+'3'!AF33+'4'!AF33+'5'!AF33+'6'!AF33+'7'!AF33+'8'!AF33+'9'!AF33+'10'!AF33+'11'!AF33+'12'!AF33+'13'!AF33+'14'!AF33+'15'!AF33+'16'!AF33+'17'!AF33+'18'!AF33+'19'!AF33+'20'!AF33+'21'!AF33+'22'!AF33+'23'!AF33</f>
        <v>439.45898791019113</v>
      </c>
      <c r="P27" s="16">
        <f>'1'!AG33+'2'!AG33+'3'!AG33+'4'!AG33+'5'!AG33+'6'!AG33+'7'!AG33+'8'!AG33+'9'!AG33+'10'!AG33+'11'!AG33+'12'!AG33+'13'!AG33+'14'!AG33+'15'!AG33+'16'!AG33+'17'!AG33+'18'!AG33+'19'!AG33+'20'!AG33+'21'!AG33+'22'!AG33+'23'!AG33</f>
        <v>400.56173179670668</v>
      </c>
      <c r="Q27" s="16">
        <f>'1'!AH33+'2'!AH33+'3'!AH33+'4'!AH33+'5'!AH33+'6'!AH33+'7'!AH33+'8'!AH33+'9'!AH33+'10'!AH33+'11'!AH33+'12'!AH33+'13'!AH33+'14'!AH33+'15'!AH33+'16'!AH33+'17'!AH33+'18'!AH33+'19'!AH33+'20'!AH33+'21'!AH33+'22'!AH33+'23'!AH33</f>
        <v>10.099308337493451</v>
      </c>
      <c r="R27" s="16">
        <f>'1'!AI33+'2'!AI33+'3'!AI33+'4'!AI33+'5'!AI33+'6'!AI33+'7'!AI33+'8'!AI33+'9'!AI33+'10'!AI33+'11'!AI33+'12'!AI33+'13'!AI33+'14'!AI33+'15'!AI33+'16'!AI33+'17'!AI33+'18'!AI33+'19'!AI33+'20'!AI33+'21'!AI33+'22'!AI33+'23'!AI33</f>
        <v>69.478626405504571</v>
      </c>
      <c r="S27" s="16">
        <f>'1'!AJ33+'2'!AJ33+'3'!AJ33+'4'!AJ33+'5'!AJ33+'6'!AJ33+'7'!AJ33+'8'!AJ33+'9'!AJ33+'10'!AJ33+'11'!AJ33+'12'!AJ33+'13'!AJ33+'14'!AJ33+'15'!AJ33+'16'!AJ33+'17'!AJ33+'18'!AJ33+'19'!AJ33+'20'!AJ33+'21'!AJ33+'22'!AJ33+'23'!AJ33</f>
        <v>19.35573177267397</v>
      </c>
      <c r="T27" s="16">
        <f>'1'!AK33+'2'!AK33+'3'!AK33+'4'!AK33+'5'!AK33+'6'!AK33+'7'!AK33+'8'!AK33+'9'!AK33+'10'!AK33+'11'!AK33+'12'!AK33+'13'!AK33+'14'!AK33+'15'!AK33+'16'!AK33+'17'!AK33+'18'!AK33+'19'!AK33+'20'!AK33+'21'!AK33+'22'!AK33+'23'!AK33</f>
        <v>218.66242107555576</v>
      </c>
      <c r="U27" s="16">
        <f>'1'!AL33+'2'!AL33+'3'!AL33+'4'!AL33+'5'!AL33+'6'!AL33+'7'!AL33+'8'!AL33+'9'!AL33+'10'!AL33+'11'!AL33+'12'!AL33+'13'!AL33+'14'!AL33+'15'!AL33+'16'!AL33+'17'!AL33+'18'!AL33+'19'!AL33+'20'!AL33+'21'!AL33+'22'!AL33+'23'!AL33</f>
        <v>0.54220243250944489</v>
      </c>
      <c r="V27" s="25">
        <f t="shared" si="5"/>
        <v>15.74041528323637</v>
      </c>
      <c r="W27" s="16">
        <f t="shared" si="6"/>
        <v>1401.3723764624481</v>
      </c>
      <c r="X27" s="9">
        <f t="shared" si="20"/>
        <v>1.9338035982196189E-2</v>
      </c>
      <c r="Y27" s="16">
        <f>((M27+N27)*re!$D$2/re!$C$2+O27*re!$D$3/re!$C$3+P27*re!$D$4/re!$C$4+T27*re!$D$5/re!$C$5+U27*re!$D$6/re!$C$6)</f>
        <v>2378.9859430742654</v>
      </c>
      <c r="Z27">
        <f t="shared" si="18"/>
        <v>183.54336096524187</v>
      </c>
      <c r="AA27">
        <f>((Y27*277.8)/(re!$B$10*8760))*re!$C$10</f>
        <v>104.05956463329099</v>
      </c>
      <c r="AB27">
        <f>((Y27*277.8)/(re!$B$11*8760))*re!$C$11</f>
        <v>38.688812491864589</v>
      </c>
      <c r="AC27">
        <f>((Y27*277.8)/(re!$B$12*8760))*re!$C$12</f>
        <v>13.970960066506656</v>
      </c>
      <c r="AD27">
        <f>((Y27*277.8)/(re!$B$13*8760))*re!$C$13</f>
        <v>4.100173062996519</v>
      </c>
      <c r="AE27">
        <f>((Y27*277.8)/(re!$B$14*8760))*re!$C$14</f>
        <v>22.723850710583118</v>
      </c>
      <c r="AF27">
        <f>SUM('1'!AD33:AL33)+'1'!AA33</f>
        <v>210.80489118023957</v>
      </c>
      <c r="AG27">
        <f>SUM('2'!AD33:AL33)+'2'!AA33</f>
        <v>4.1381377295987427</v>
      </c>
      <c r="AH27">
        <f>SUM('3'!AD33:AL33)+'3'!AA33</f>
        <v>18.404542176492207</v>
      </c>
      <c r="AI27">
        <f>SUM('4'!AD33:AL33)+'4'!AA33</f>
        <v>1.3912236181301196</v>
      </c>
      <c r="AJ27">
        <f>SUM('5'!AD33:AL33)+'5'!AA33</f>
        <v>8.0726008167156511</v>
      </c>
      <c r="AK27">
        <f>SUM('6'!AD33:AL33)+'6'!AA33</f>
        <v>204.44372007064914</v>
      </c>
      <c r="AL27">
        <f>SUM('7'!AD33:AL33)+'7'!AA33</f>
        <v>184.4795439238153</v>
      </c>
      <c r="AM27">
        <f>SUM('8'!AD33:AL33)+'8'!AA33</f>
        <v>393.31650660070801</v>
      </c>
      <c r="AN27">
        <f>SUM('9'!AD33:AL33)+'9'!AA33</f>
        <v>100.79446379932408</v>
      </c>
      <c r="AO27">
        <f>SUM('10'!AD33:AL33)+'10'!AA33</f>
        <v>7.3788958840064369</v>
      </c>
      <c r="AP27">
        <f>SUM('11'!AD33:AL33)+'11'!AA33</f>
        <v>9.6158582063450559</v>
      </c>
      <c r="AQ27">
        <f>SUM('12'!AD33:AL33)+'12'!AA33</f>
        <v>2.9541896209216967</v>
      </c>
      <c r="AR27">
        <f>SUM('13'!AD33:AL33)+'13'!AA33</f>
        <v>8.5954569302808146</v>
      </c>
      <c r="AS27">
        <f>SUM('14'!AD33:AL33)+'14'!AA33</f>
        <v>7.4832940948265234</v>
      </c>
      <c r="AT27">
        <f>SUM('15'!AD33:AL33)+'15'!AA33</f>
        <v>89.553161637314901</v>
      </c>
      <c r="AU27">
        <f>SUM('16'!AD33:AL33)+'16'!AA33</f>
        <v>36.582922164297486</v>
      </c>
      <c r="AV27">
        <f>SUM('17'!AD33:AL33)+'17'!AA33</f>
        <v>62.260316618642484</v>
      </c>
      <c r="AW27">
        <f>SUM('18'!AD33:AL33)+'18'!AA33</f>
        <v>15.548230733251136</v>
      </c>
      <c r="AX27">
        <f>SUM('19'!AD33:AL33)+'19'!AA33</f>
        <v>39.639104113269582</v>
      </c>
      <c r="AY27">
        <f>SUM('20'!AD33:AL33)+'20'!AA33</f>
        <v>2.6565934360004921</v>
      </c>
      <c r="AZ27">
        <f>SUM('21'!AD33:AL33)+'21'!AA33</f>
        <v>0.23632297399151159</v>
      </c>
      <c r="BA27">
        <f>SUM('22'!AD33:AL33)+'22'!AA33</f>
        <v>0.74281157479341908</v>
      </c>
      <c r="BB27">
        <f>SUM('23'!AD33:AL33)+'23'!AA33</f>
        <v>8.0200038420699364</v>
      </c>
      <c r="BC27">
        <f>('1'!D33+'2'!D33+'3'!D33+'4'!D33+'5'!D33+'6'!D33+'7'!D33+'8'!D33+'9'!D33+'10'!D33+'12'!D33+'13'!D33+'14'!D33+'15'!D33+'16'!D33+'17'!D33+'18'!D33+'19'!D33+'20'!D33+'21'!D33+'22'!D33+'23'!D33)/('1'!D32+'2'!D32+'3'!D32+'4'!D32+'5'!D32+'6'!D32+'7'!D32+'8'!D32+'9'!D32+'10'!D32+'12'!D32+'13'!D32+'14'!D32+'15'!D32+'16'!D32+'17'!D32+'18'!D32+'19'!D32+'20'!D32+'21'!D32+'22'!D32+'23'!D32)-1</f>
        <v>6.0944186267386735E-2</v>
      </c>
      <c r="BD27">
        <f>('1'!E33+'2'!E33+'3'!E33+'4'!E33+'5'!E33+'6'!E33+'7'!E33+'8'!E33+'9'!E33+'10'!E33+'12'!E33+'13'!E33+'14'!E33+'15'!E33+'16'!E33+'17'!E33+'18'!E33+'19'!E33+'20'!E33+'21'!E33+'22'!E33+'23'!E33)/('1'!E32+'2'!E32+'3'!E32+'4'!E32+'5'!E32+'6'!E32+'7'!E32+'8'!E32+'9'!E32+'10'!E32+'12'!E32+'13'!E32+'14'!E32+'15'!E32+'16'!E32+'17'!E32+'18'!E32+'19'!E32+'20'!E32+'21'!E32+'22'!E32+'23'!E32)-1</f>
        <v>6.0944186267386513E-2</v>
      </c>
      <c r="BE27">
        <f>('1'!F33+'2'!F33+'3'!F33+'4'!F33+'5'!F33+'6'!F33+'7'!F33+'8'!F33+'9'!F33+'10'!F33+'12'!F33+'13'!F33+'14'!F33+'15'!F33+'16'!F33+'17'!F33+'18'!F33+'19'!F33+'20'!F33+'21'!F33+'22'!F33+'23'!F33)/('1'!F32+'2'!F32+'3'!F32+'4'!F32+'5'!F32+'6'!F32+'7'!F32+'8'!F32+'9'!F32+'10'!F32+'12'!F32+'13'!F32+'14'!F32+'15'!F32+'16'!F32+'17'!F32+'18'!F32+'19'!F32+'20'!F32+'21'!F32+'22'!F32+'23'!F32)-1</f>
        <v>6.3373743685099848E-2</v>
      </c>
      <c r="BF27">
        <f t="shared" si="19"/>
        <v>1.9338035982196189E-2</v>
      </c>
      <c r="BG27">
        <v>2050</v>
      </c>
      <c r="BH27" s="59">
        <v>0.87</v>
      </c>
      <c r="BI27" s="2">
        <f t="shared" si="34"/>
        <v>1</v>
      </c>
      <c r="BJ27" s="2">
        <f t="shared" si="21"/>
        <v>0.13</v>
      </c>
      <c r="BK27" t="e">
        <f>'2 (RU)'!AB33+'6 (RU)'!AB33+'7 (RU)'!AB33+'9 (RU)'!AB33+'11 (RU)'!AB33+'12 (RU)'!AB33+'13 (RU)'!AB33+'16 (RU)'!AB33+'17 (RU)'!AB33+'18 (RU)'!AB33+'22 (RU)'!AB33</f>
        <v>#DIV/0!</v>
      </c>
      <c r="BL27" t="e">
        <f>'1 (RU)'!AB33+'2 (RU)'!AC33+'5 (RU)'!AB33+'6 (RU)'!AC33+'7 (RU)'!AC33+'9 (RU)'!AC33+'11 (RU)'!AC33+'12 (RU)'!AC33+'13 (RU)'!AC33+'15 (RU)'!AB33+'16 (RU)'!AC33+'17 (RU)'!AC33+'18 (RU)'!AC33+'19 (RU)'!AB33+'22 (RU)'!AC33</f>
        <v>#DIV/0!</v>
      </c>
      <c r="BN27" t="e">
        <f>'3 (RU)'!AB33+'4 (RU)'!AB33+'10 (RU)'!AB33+'20 (RU)'!AB33+'21 (RU)'!AB33+'23 (RU)'!AB33</f>
        <v>#DIV/0!</v>
      </c>
      <c r="BO27" t="e">
        <f>'8 (RU)'!AB33+'14 (RU)'!AB33</f>
        <v>#DIV/0!</v>
      </c>
      <c r="BP27" t="e">
        <f>'1 (RU)'!AD33+'2 (RU)'!AD33+'3 (RU)'!AD33+'4 (RU)'!AD33+'5 (RU)'!AD33+'6 (RU)'!AD33+'7 (RU)'!AD33+'8 (RU)'!AD33+'9 (RU)'!AD33+'10 (RU)'!AD33+'11 (RU)'!AD33+'12 (RU)'!AD33+'13 (RU)'!AD33+'14 (RU)'!AD33+'15 (RU)'!AD33+'16 (RU)'!AD33+'17 (RU)'!AD33+'18 (RU)'!AD33+'19 (RU)'!AD33+'20 (RU)'!AD33+'21 (RU)'!AD33+'22 (RU)'!AD33+'23 (RU)'!AD33</f>
        <v>#DIV/0!</v>
      </c>
      <c r="BQ27" t="e">
        <f>'1 (RU)'!AE33+'2 (RU)'!AE33+'3 (RU)'!AE33+'4 (RU)'!AE33+'5 (RU)'!AE33+'6 (RU)'!AE33+'7 (RU)'!AE33+'8 (RU)'!AE33+'9 (RU)'!AE33+'10 (RU)'!AE33+'11 (RU)'!AE33+'12 (RU)'!AE33+'13 (RU)'!AE33+'14 (RU)'!AE33+'15 (RU)'!AE33+'16 (RU)'!AE33+'17 (RU)'!AE33+'18 (RU)'!AE33+'19 (RU)'!AE33+'20 (RU)'!AE33+'21 (RU)'!AE33+'22 (RU)'!AE33+'23 (RU)'!AE33</f>
        <v>#DIV/0!</v>
      </c>
      <c r="BR27" t="e">
        <f>'1 (RU)'!AF33+'2 (RU)'!AF33+'3 (RU)'!AF33+'4 (RU)'!AF33+'5 (RU)'!AF33+'6 (RU)'!AF33+'7 (RU)'!AF33+'8 (RU)'!AF33+'9 (RU)'!AF33+'10 (RU)'!AF33+'11 (RU)'!AF33+'12 (RU)'!AF33+'13 (RU)'!AF33+'14 (RU)'!AF33+'15 (RU)'!AF33+'16 (RU)'!AF33+'17 (RU)'!AF33+'18 (RU)'!AF33+'19 (RU)'!AF33+'20 (RU)'!AF33+'21 (RU)'!AF33+'22 (RU)'!AF33+'23 (RU)'!AF33</f>
        <v>#DIV/0!</v>
      </c>
      <c r="BS27" t="e">
        <f>'1 (RU)'!AG33+'2 (RU)'!AG33+'3 (RU)'!AG33+'4 (RU)'!AG33+'5 (RU)'!AG33+'6 (RU)'!AG33+'7 (RU)'!AG33+'8 (RU)'!AG33+'9 (RU)'!AG33+'10 (RU)'!AG33+'11 (RU)'!AG33+'12 (RU)'!AG33+'13 (RU)'!AG33+'14 (RU)'!AG33+'15 (RU)'!AG33+'16 (RU)'!AG33+'17 (RU)'!AG33+'18 (RU)'!AG33+'19 (RU)'!AG33+'20 (RU)'!AG33+'21 (RU)'!AG33+'22 (RU)'!AG33+'23 (RU)'!AG33</f>
        <v>#DIV/0!</v>
      </c>
      <c r="BT27" t="e">
        <f>'1 (RU)'!AH33+'2 (RU)'!AH33+'3 (RU)'!AH33+'4 (RU)'!AH33+'5 (RU)'!AH33+'6 (RU)'!AH33+'7 (RU)'!AH33+'8 (RU)'!AH33+'9 (RU)'!AH33+'10 (RU)'!AH33+'11 (RU)'!AH33+'12 (RU)'!AH33+'13 (RU)'!AH33+'14 (RU)'!AH33+'15 (RU)'!AH33+'16 (RU)'!AH33+'17 (RU)'!AH33+'18 (RU)'!AH33+'19 (RU)'!AH33+'20 (RU)'!AH33+'21 (RU)'!AH33+'22 (RU)'!AH33+'23 (RU)'!AH33</f>
        <v>#DIV/0!</v>
      </c>
      <c r="BU27" t="e">
        <f>'1 (RU)'!AI33+'2 (RU)'!AI33+'3 (RU)'!AI33+'4 (RU)'!AI33+'5 (RU)'!AI33+'6 (RU)'!AI33+'7 (RU)'!AI33+'8 (RU)'!AI33+'9 (RU)'!AI33+'10 (RU)'!AI33+'11 (RU)'!AI33+'12 (RU)'!AI33+'13 (RU)'!AI33+'14 (RU)'!AI33+'15 (RU)'!AI33+'16 (RU)'!AI33+'17 (RU)'!AI33+'18 (RU)'!AI33+'19 (RU)'!AI33+'20 (RU)'!AI33+'21 (RU)'!AI33+'22 (RU)'!AI33+'23 (RU)'!AI33</f>
        <v>#DIV/0!</v>
      </c>
      <c r="BV27" t="e">
        <f>'1 (RU)'!AJ33+'2 (RU)'!AJ33+'3 (RU)'!AJ33+'4 (RU)'!AJ33+'5 (RU)'!AJ33+'6 (RU)'!AJ33+'7 (RU)'!AJ33+'8 (RU)'!AJ33+'9 (RU)'!AJ33+'10 (RU)'!AJ33+'11 (RU)'!AJ33+'12 (RU)'!AJ33+'13 (RU)'!AJ33+'14 (RU)'!AJ33+'15 (RU)'!AJ33+'16 (RU)'!AJ33+'17 (RU)'!AJ33+'18 (RU)'!AJ33+'19 (RU)'!AJ33+'20 (RU)'!AJ33+'21 (RU)'!AJ33+'22 (RU)'!AJ33+'23 (RU)'!AJ33</f>
        <v>#DIV/0!</v>
      </c>
      <c r="BW27" t="e">
        <f>'1 (RU)'!AK33+'2 (RU)'!AK33+'3 (RU)'!AK33+'4 (RU)'!AK33+'5 (RU)'!AK33+'6 (RU)'!AK33+'7 (RU)'!AK33+'8 (RU)'!AK33+'9 (RU)'!AK33+'10 (RU)'!AK33+'11 (RU)'!AK33+'12 (RU)'!AK33+'13 (RU)'!AK33+'14 (RU)'!AK33+'15 (RU)'!AK33+'16 (RU)'!AK33+'17 (RU)'!AK33+'18 (RU)'!AK33+'19 (RU)'!AK33+'20 (RU)'!AK33+'21 (RU)'!AK33+'22 (RU)'!AK33+'23 (RU)'!AK33</f>
        <v>#DIV/0!</v>
      </c>
      <c r="BX27" t="e">
        <f>'1 (RU)'!AL33+'2 (RU)'!AL33+'3 (RU)'!AL33+'4 (RU)'!AL33+'5 (RU)'!AL33+'6 (RU)'!AL33+'7 (RU)'!AL33+'8 (RU)'!AL33+'9 (RU)'!AL33+'10 (RU)'!AL33+'11 (RU)'!AL33+'12 (RU)'!AL33+'13 (RU)'!AL33+'14 (RU)'!AL33+'15 (RU)'!AL33+'16 (RU)'!AL33+'17 (RU)'!AL33+'18 (RU)'!AL33+'19 (RU)'!AL33+'20 (RU)'!AL33+'21 (RU)'!AL33+'22 (RU)'!AL33+'23 (RU)'!AL33</f>
        <v>#DIV/0!</v>
      </c>
      <c r="BY27" s="25" t="e">
        <f t="shared" si="7"/>
        <v>#DIV/0!</v>
      </c>
      <c r="BZ27" s="16" t="e">
        <f t="shared" si="8"/>
        <v>#DIV/0!</v>
      </c>
      <c r="CC27" t="e">
        <f>VLOOKUP(CC$1,emissions!$A$2:$B$5,2,FALSE)*BK27</f>
        <v>#DIV/0!</v>
      </c>
      <c r="CD27" t="e">
        <f>VLOOKUP(CD$1,emissions!$A$2:$B$5,2,FALSE)*BL27</f>
        <v>#DIV/0!</v>
      </c>
      <c r="CF27" t="e">
        <f>VLOOKUP(CF$1,emissions!$A$2:$B$5,2,FALSE)*BN27</f>
        <v>#DIV/0!</v>
      </c>
      <c r="CG27" t="e">
        <f>VLOOKUP(CG$1,emissions!$A$2:$B$5,2,FALSE)*BO27</f>
        <v>#DIV/0!</v>
      </c>
      <c r="CH27" t="e">
        <f>BP27*(emissions!$D$3*production!$B$4+emissions!$D$4*production!$C$4+emissions!$D$5*production!$D$4+emissions!$D$6*production!$E$4)</f>
        <v>#DIV/0!</v>
      </c>
      <c r="CI27" t="e">
        <f>BQ27*(emissions!$D$3*production!$B$4+emissions!$D$4*production!$C$4+emissions!$D$5*production!$D$4+emissions!$D$6*production!$E$4)</f>
        <v>#DIV/0!</v>
      </c>
      <c r="CJ27" t="e">
        <f>BR27*(emissions!$D$8*production!$B$6+emissions!$D$9*production!$C$6+emissions!$D$10*production!$D$6)</f>
        <v>#DIV/0!</v>
      </c>
      <c r="CK27" t="e">
        <f>BS27*(emissions!$D$12*production!$B$8+emissions!$D$13*production!$C$8+emissions!$D$14*production!$D$8)</f>
        <v>#DIV/0!</v>
      </c>
      <c r="CL27" t="e">
        <f>BT27*(emissions!$D$16*production!$B$10+production!$C$10*emissions!$D$17)</f>
        <v>#DIV/0!</v>
      </c>
      <c r="CM27" t="e">
        <f>BU27*(emissions!$D$19*production!$B$12+production!$C$12*emissions!$D$20+emissions!$D$21*production!$D$12)</f>
        <v>#DIV/0!</v>
      </c>
      <c r="CN27" t="e">
        <f>BV27*(emissions!$D$23*production!$B$14+production!$C$14*emissions!$D$24+emissions!$D$25*production!$D$14)</f>
        <v>#DIV/0!</v>
      </c>
      <c r="CO27" t="e">
        <f>BW27*(emissions!$D$27*production!$B$16+production!$C$16*emissions!$D$28+production!$D$16*emissions!$D$29)</f>
        <v>#DIV/0!</v>
      </c>
      <c r="CP27">
        <v>0</v>
      </c>
      <c r="CS27" t="e">
        <f t="shared" si="9"/>
        <v>#DIV/0!</v>
      </c>
      <c r="CT27" s="40" t="e">
        <f t="shared" si="10"/>
        <v>#DIV/0!</v>
      </c>
      <c r="CU27" t="e">
        <f t="shared" si="0"/>
        <v>#DIV/0!</v>
      </c>
      <c r="CV27" t="e">
        <f t="shared" si="1"/>
        <v>#DIV/0!</v>
      </c>
      <c r="CW27">
        <f t="shared" si="2"/>
        <v>12.129</v>
      </c>
      <c r="CX27">
        <f t="shared" si="3"/>
        <v>0</v>
      </c>
      <c r="CY27" t="e">
        <f t="shared" si="11"/>
        <v>#DIV/0!</v>
      </c>
      <c r="CZ27" s="74" t="e">
        <f t="shared" si="12"/>
        <v>#DIV/0!</v>
      </c>
      <c r="DA27" t="e">
        <f t="shared" si="13"/>
        <v>#DIV/0!</v>
      </c>
      <c r="DB27" t="e">
        <f t="shared" si="14"/>
        <v>#DIV/0!</v>
      </c>
      <c r="DC27" s="34" t="e">
        <f t="shared" si="15"/>
        <v>#DIV/0!</v>
      </c>
      <c r="DD27">
        <v>2050</v>
      </c>
      <c r="DE27" t="e">
        <f t="shared" si="22"/>
        <v>#DIV/0!</v>
      </c>
      <c r="DF27" t="e">
        <f t="shared" si="23"/>
        <v>#DIV/0!</v>
      </c>
      <c r="DG27">
        <v>2050</v>
      </c>
      <c r="DH27" t="e">
        <f t="shared" si="24"/>
        <v>#DIV/0!</v>
      </c>
      <c r="DI27" t="e">
        <f t="shared" si="25"/>
        <v>#DIV/0!</v>
      </c>
      <c r="DJ27" t="e">
        <f t="shared" si="26"/>
        <v>#DIV/0!</v>
      </c>
      <c r="DK27" t="e">
        <f t="shared" si="27"/>
        <v>#DIV/0!</v>
      </c>
      <c r="DL27" t="e">
        <f t="shared" si="28"/>
        <v>#DIV/0!</v>
      </c>
      <c r="DM27" s="74" t="e">
        <f t="shared" si="29"/>
        <v>#DIV/0!</v>
      </c>
      <c r="DN27" s="75" t="e">
        <f t="shared" si="30"/>
        <v>#DIV/0!</v>
      </c>
      <c r="DO27" s="76" t="e">
        <f t="shared" si="31"/>
        <v>#DIV/0!</v>
      </c>
      <c r="DP27" s="78" t="e">
        <f t="shared" si="32"/>
        <v>#DIV/0!</v>
      </c>
      <c r="DQ27" s="70">
        <v>2516</v>
      </c>
      <c r="DR27" s="71">
        <v>37106</v>
      </c>
      <c r="DS27" s="71"/>
      <c r="DT27" s="71">
        <v>986</v>
      </c>
      <c r="DU27" s="71">
        <v>3359</v>
      </c>
      <c r="DV27">
        <f>DQ27*VLOOKUP(DQ$1,emissions!$A$2:$B$5,2,FALSE)</f>
        <v>367336</v>
      </c>
      <c r="DW27">
        <f>DR27*VLOOKUP(DR$1,emissions!$A$2:$B$5,2,FALSE)</f>
        <v>5417476</v>
      </c>
      <c r="DY27">
        <f>DT27*VLOOKUP(DT$1,emissions!$A$2:$B$5,2,FALSE)</f>
        <v>142970</v>
      </c>
      <c r="DZ27">
        <f>DU27*VLOOKUP(DU$1,emissions!$A$2:$B$5,2,FALSE)</f>
        <v>379567</v>
      </c>
      <c r="EA27">
        <f t="shared" si="16"/>
        <v>6307349</v>
      </c>
      <c r="EB27">
        <f t="shared" si="17"/>
        <v>143.45643323401643</v>
      </c>
      <c r="ED27" s="77" t="e">
        <f>SUM(EE27:ER27)</f>
        <v>#DIV/0!</v>
      </c>
      <c r="EE27" s="34" t="e">
        <f>cost!$B$2*BK27</f>
        <v>#DIV/0!</v>
      </c>
      <c r="EF27" s="34" t="e">
        <f>cost!$B$3*BL27</f>
        <v>#DIV/0!</v>
      </c>
      <c r="EG27" s="34"/>
      <c r="EH27" s="34" t="e">
        <f>cost!$B$4*BN27</f>
        <v>#DIV/0!</v>
      </c>
      <c r="EI27" s="34" t="e">
        <f>cost!$B$5*$BO$2</f>
        <v>#DIV/0!</v>
      </c>
      <c r="EJ27" s="34" t="e">
        <f>BP27*(cost!$D$3*production!$B$4+production!$C$4*cost!$D$4+cost!$D$5*production!$D$4+production!$E$4*cost!$D$6)</f>
        <v>#DIV/0!</v>
      </c>
      <c r="EK27" s="34" t="e">
        <f>BQ27*(cost!$D$3*production!$B$4+production!$C$4*cost!$D$4+cost!$D$5*production!$D$4+production!$E$4*cost!$D$6)</f>
        <v>#DIV/0!</v>
      </c>
      <c r="EL27" s="34" t="e">
        <f>BR27*(cost!$D$8*production!$B$6+cost!$D$9*production!$C$6+$D$10*production!$D$6)</f>
        <v>#DIV/0!</v>
      </c>
      <c r="EM27" s="34" t="e">
        <f>BS27*(cost!$D$12*production!$B$8+cost!$D$13*production!$C$8+cost!$D$14*production!$D$8)</f>
        <v>#DIV/0!</v>
      </c>
      <c r="EN27" s="34" t="e">
        <f>BT27*(cost!$D$16*production!$B$10+production!$C$10*cost!$D$17)</f>
        <v>#DIV/0!</v>
      </c>
      <c r="EO27" s="34" t="e">
        <f>BU27*(cost!$D$19*production!$B$12+production!$C$12*cost!$D$20+cost!$D$21*production!$D$12)</f>
        <v>#DIV/0!</v>
      </c>
      <c r="EP27" s="34" t="e">
        <f>BV27*(cost!$D$23*production!$B$14+production!$C$14*cost!$D$24+cost!$D$25*production!$D$14)</f>
        <v>#DIV/0!</v>
      </c>
      <c r="EQ27" s="34" t="e">
        <f>BW27*(cost!$D$27*production!$B$16+production!$C$16*cost!$D$28+cost!$D$29*production!$D$16)</f>
        <v>#DIV/0!</v>
      </c>
      <c r="ER27" s="34" t="e">
        <f>BX27*(re!$H$10*re!$C$10+re!$H$11*re!$C$11+re!$H$12*re!$C$12+re!$H$13*re!$C$13+re!$H$14*re!$C$14)</f>
        <v>#DIV/0!</v>
      </c>
    </row>
    <row r="28" spans="1:148" x14ac:dyDescent="0.2">
      <c r="A28" s="131" t="s">
        <v>244</v>
      </c>
      <c r="B28" s="83">
        <f>emissions!M15</f>
        <v>112780.87385073048</v>
      </c>
      <c r="C28" s="83">
        <f>emissions!L15</f>
        <v>49366.76362999939</v>
      </c>
      <c r="D28" s="83">
        <f>emissions!P15</f>
        <v>115916.60819562525</v>
      </c>
      <c r="E28" s="86">
        <f>emissions!R15</f>
        <v>51271.722763583246</v>
      </c>
      <c r="F28" s="83"/>
      <c r="H28" s="40"/>
      <c r="BC28" s="40">
        <f t="shared" ref="BC28:BE28" si="36">MEDIAN(BC4:BC27)</f>
        <v>0.10190857980215817</v>
      </c>
      <c r="BD28" s="40">
        <f t="shared" si="36"/>
        <v>0.10190857980215806</v>
      </c>
      <c r="BE28" s="40">
        <f t="shared" si="36"/>
        <v>0.10284765877801771</v>
      </c>
      <c r="BF28" s="40">
        <f>MEDIAN(BF4:BF27)</f>
        <v>0.12069448930170013</v>
      </c>
      <c r="DO28" t="s">
        <v>230</v>
      </c>
      <c r="DP28" t="s">
        <v>340</v>
      </c>
      <c r="DQ28" t="s">
        <v>344</v>
      </c>
    </row>
    <row r="29" spans="1:148" x14ac:dyDescent="0.2">
      <c r="A29" s="131" t="s">
        <v>245</v>
      </c>
      <c r="B29" s="136">
        <f>cost!N15</f>
        <v>10106025.844222566</v>
      </c>
      <c r="C29" s="136">
        <f>cost!M15</f>
        <v>54178810.022891454</v>
      </c>
      <c r="D29" s="83"/>
      <c r="E29" s="86"/>
      <c r="F29" s="83"/>
      <c r="H29" s="40"/>
      <c r="I29" s="16"/>
      <c r="CW29" s="68" t="s">
        <v>309</v>
      </c>
      <c r="CX29" t="s">
        <v>332</v>
      </c>
      <c r="CY29" s="1" t="s">
        <v>310</v>
      </c>
      <c r="CZ29" s="40" t="s">
        <v>334</v>
      </c>
      <c r="DA29" s="40" t="s">
        <v>390</v>
      </c>
      <c r="DB29" s="40"/>
      <c r="DC29" s="40"/>
      <c r="DD29" s="40"/>
      <c r="DN29" t="s">
        <v>336</v>
      </c>
      <c r="DO29" s="75" t="e">
        <f>DO31-DO30</f>
        <v>#DIV/0!</v>
      </c>
      <c r="DP29" s="74" t="e">
        <f>DP31-DP30</f>
        <v>#DIV/0!</v>
      </c>
      <c r="DQ29" s="74" t="e">
        <f>DQ31-DQ30</f>
        <v>#DIV/0!</v>
      </c>
    </row>
    <row r="30" spans="1:148" x14ac:dyDescent="0.2">
      <c r="A30" s="132" t="s">
        <v>229</v>
      </c>
      <c r="B30" s="133"/>
      <c r="C30" s="117">
        <f>re!K7</f>
        <v>183.52882549389113</v>
      </c>
      <c r="D30" s="117"/>
      <c r="E30" s="118"/>
      <c r="F30" s="83"/>
      <c r="CU30">
        <v>2028</v>
      </c>
      <c r="CV30">
        <v>2028</v>
      </c>
      <c r="CW30">
        <v>89.567999999999998</v>
      </c>
      <c r="CX30">
        <f>CW30-CY30</f>
        <v>12.129000000000005</v>
      </c>
      <c r="CY30">
        <v>77.438999999999993</v>
      </c>
      <c r="CZ30">
        <f>150-CW30</f>
        <v>60.432000000000002</v>
      </c>
      <c r="DA30" t="e">
        <f>CT5</f>
        <v>#DIV/0!</v>
      </c>
      <c r="DN30" t="s">
        <v>337</v>
      </c>
      <c r="DO30" s="75" t="e">
        <f>MIN(DN5:DN27)</f>
        <v>#DIV/0!</v>
      </c>
      <c r="DP30" s="74" t="e">
        <f>MIN(DM5:DM27)</f>
        <v>#DIV/0!</v>
      </c>
      <c r="DQ30" s="74" t="e">
        <f>MIN(DO5:DO27)</f>
        <v>#DIV/0!</v>
      </c>
    </row>
    <row r="31" spans="1:148" x14ac:dyDescent="0.2">
      <c r="A31" s="127"/>
      <c r="B31" s="81"/>
      <c r="C31" s="81" t="s">
        <v>272</v>
      </c>
      <c r="D31" s="81"/>
      <c r="E31" s="82"/>
      <c r="F31" s="83"/>
      <c r="CU31">
        <v>2029</v>
      </c>
      <c r="CV31">
        <v>2029</v>
      </c>
      <c r="CW31">
        <v>89.567999999999998</v>
      </c>
      <c r="CX31">
        <f t="shared" ref="CX31:CX74" si="37">CW31-CY31</f>
        <v>12.129000000000005</v>
      </c>
      <c r="CY31">
        <v>77.438999999999993</v>
      </c>
      <c r="CZ31">
        <f t="shared" ref="CZ31:CZ74" si="38">150-CW31</f>
        <v>60.432000000000002</v>
      </c>
      <c r="DA31" t="e">
        <f>DA30</f>
        <v>#DIV/0!</v>
      </c>
      <c r="DN31" t="s">
        <v>338</v>
      </c>
      <c r="DO31" s="75" t="e">
        <f>MAX(DN5:DN27)</f>
        <v>#DIV/0!</v>
      </c>
      <c r="DP31" s="74" t="e">
        <f>MAX(DM5:DM27)</f>
        <v>#DIV/0!</v>
      </c>
      <c r="DQ31" s="74" t="e">
        <f>MAX(DO5:DO27)</f>
        <v>#DIV/0!</v>
      </c>
    </row>
    <row r="32" spans="1:148" x14ac:dyDescent="0.2">
      <c r="A32" s="84"/>
      <c r="B32" s="83"/>
      <c r="C32" s="135">
        <v>2030</v>
      </c>
      <c r="D32" s="135">
        <v>2040</v>
      </c>
      <c r="E32" s="143">
        <v>2050</v>
      </c>
      <c r="F32" s="120"/>
      <c r="CU32">
        <v>2030</v>
      </c>
      <c r="CV32">
        <v>2029</v>
      </c>
      <c r="CW32">
        <v>87.701999999999998</v>
      </c>
      <c r="CX32">
        <f t="shared" si="37"/>
        <v>12.128999999999991</v>
      </c>
      <c r="CY32">
        <v>75.573000000000008</v>
      </c>
      <c r="CZ32">
        <f t="shared" si="38"/>
        <v>62.298000000000002</v>
      </c>
      <c r="DA32" t="e">
        <f>CT6</f>
        <v>#DIV/0!</v>
      </c>
      <c r="DN32" t="s">
        <v>339</v>
      </c>
      <c r="DO32" t="e">
        <f>ABS(DO30)/DO29</f>
        <v>#DIV/0!</v>
      </c>
      <c r="DP32" t="e">
        <f>ABS(DP30)/DP29</f>
        <v>#DIV/0!</v>
      </c>
      <c r="DQ32" t="e">
        <f>ABS(DQ30)/DQ29</f>
        <v>#DIV/0!</v>
      </c>
    </row>
    <row r="33" spans="1:105" x14ac:dyDescent="0.2">
      <c r="A33" s="138">
        <f>SUM(C15:C27)</f>
        <v>1417.1127917456845</v>
      </c>
      <c r="B33" s="83" t="s">
        <v>273</v>
      </c>
      <c r="C33" s="139">
        <f>1-D28/B28</f>
        <v>-2.780377769589748E-2</v>
      </c>
      <c r="D33" s="139">
        <f>1-E28/B28</f>
        <v>0.54538636727142942</v>
      </c>
      <c r="E33" s="140">
        <f>1-C28/B28</f>
        <v>0.5622771668240657</v>
      </c>
      <c r="F33" s="120"/>
      <c r="CU33">
        <v>2031</v>
      </c>
      <c r="CV33">
        <v>2030</v>
      </c>
      <c r="CW33">
        <v>87.701999999999998</v>
      </c>
      <c r="CX33">
        <f t="shared" si="37"/>
        <v>12.128999999999991</v>
      </c>
      <c r="CY33">
        <v>75.573000000000008</v>
      </c>
      <c r="CZ33">
        <f t="shared" si="38"/>
        <v>62.298000000000002</v>
      </c>
      <c r="DA33" t="e">
        <f>DA32</f>
        <v>#DIV/0!</v>
      </c>
    </row>
    <row r="34" spans="1:105" x14ac:dyDescent="0.2">
      <c r="A34" s="141">
        <f>A33/'consumptions per type'!B25</f>
        <v>1.7315717698508062</v>
      </c>
      <c r="B34" s="83" t="s">
        <v>274</v>
      </c>
      <c r="C34" s="139">
        <f>D29/B29</f>
        <v>0</v>
      </c>
      <c r="D34" s="139">
        <f>E29/B29</f>
        <v>0</v>
      </c>
      <c r="E34" s="140">
        <f>C29/B29</f>
        <v>5.3610401218065862</v>
      </c>
      <c r="F34" s="120"/>
      <c r="CU34">
        <v>2032</v>
      </c>
      <c r="CV34">
        <v>2030</v>
      </c>
      <c r="CW34">
        <v>85.835999999999999</v>
      </c>
      <c r="CX34">
        <f t="shared" si="37"/>
        <v>12.128999999999991</v>
      </c>
      <c r="CY34">
        <v>73.707000000000008</v>
      </c>
      <c r="CZ34">
        <f t="shared" si="38"/>
        <v>64.164000000000001</v>
      </c>
      <c r="DA34" t="e">
        <f>CT7</f>
        <v>#DIV/0!</v>
      </c>
    </row>
    <row r="35" spans="1:105" x14ac:dyDescent="0.2">
      <c r="A35" s="84" t="s">
        <v>213</v>
      </c>
      <c r="B35" s="139">
        <f>(SUM(C15:C21)+C27)/A33</f>
        <v>0.98889261646996607</v>
      </c>
      <c r="C35" s="83"/>
      <c r="D35" s="83"/>
      <c r="E35" s="86"/>
      <c r="F35" s="120"/>
      <c r="CV35">
        <v>2031</v>
      </c>
      <c r="CW35">
        <v>85.835999999999999</v>
      </c>
      <c r="CX35">
        <f t="shared" si="37"/>
        <v>12.128999999999991</v>
      </c>
      <c r="CY35">
        <v>73.707000000000008</v>
      </c>
      <c r="CZ35">
        <f t="shared" si="38"/>
        <v>64.164000000000001</v>
      </c>
      <c r="DA35" t="e">
        <f>DA34</f>
        <v>#DIV/0!</v>
      </c>
    </row>
    <row r="36" spans="1:105" x14ac:dyDescent="0.2">
      <c r="A36" s="84" t="s">
        <v>214</v>
      </c>
      <c r="B36" s="139">
        <f>SUM(C22:C26)/A33</f>
        <v>1.1107383530033895E-2</v>
      </c>
      <c r="C36" s="83"/>
      <c r="D36" s="83"/>
      <c r="E36" s="86"/>
      <c r="F36" s="120"/>
      <c r="CV36">
        <v>2031</v>
      </c>
      <c r="CW36">
        <v>82.103999999999999</v>
      </c>
      <c r="CX36">
        <f t="shared" si="37"/>
        <v>12.129000000000005</v>
      </c>
      <c r="CY36">
        <v>69.974999999999994</v>
      </c>
      <c r="CZ36">
        <f t="shared" si="38"/>
        <v>67.896000000000001</v>
      </c>
      <c r="DA36" t="e">
        <f>CT8</f>
        <v>#DIV/0!</v>
      </c>
    </row>
    <row r="37" spans="1:105" x14ac:dyDescent="0.2">
      <c r="A37" s="84" t="s">
        <v>216</v>
      </c>
      <c r="B37" s="119">
        <f>SUM(C15:C21)</f>
        <v>1400.8301740299387</v>
      </c>
      <c r="C37" s="135" t="s">
        <v>275</v>
      </c>
      <c r="D37" s="135" t="s">
        <v>230</v>
      </c>
      <c r="E37" s="86"/>
      <c r="F37" s="120"/>
      <c r="CV37">
        <v>2032</v>
      </c>
      <c r="CW37">
        <v>82.103999999999999</v>
      </c>
      <c r="CX37">
        <f t="shared" si="37"/>
        <v>12.129000000000005</v>
      </c>
      <c r="CY37">
        <v>69.974999999999994</v>
      </c>
      <c r="CZ37">
        <f t="shared" si="38"/>
        <v>67.896000000000001</v>
      </c>
      <c r="DA37" t="e">
        <f>DA36</f>
        <v>#DIV/0!</v>
      </c>
    </row>
    <row r="38" spans="1:105" x14ac:dyDescent="0.2">
      <c r="A38" s="84" t="s">
        <v>217</v>
      </c>
      <c r="B38" s="119">
        <f>SUM(C22:C27)</f>
        <v>16.282617715745815</v>
      </c>
      <c r="C38" s="135">
        <v>2030</v>
      </c>
      <c r="D38" s="83" t="str">
        <f>IF(C33&gt;=0.2,"YES","NO")</f>
        <v>NO</v>
      </c>
      <c r="E38" s="142">
        <v>0.2</v>
      </c>
      <c r="F38" s="120"/>
      <c r="CV38">
        <v>2032</v>
      </c>
      <c r="CW38">
        <v>77.438999999999993</v>
      </c>
      <c r="CX38">
        <f t="shared" si="37"/>
        <v>12.129000000000005</v>
      </c>
      <c r="CY38">
        <v>65.309999999999988</v>
      </c>
      <c r="CZ38">
        <f t="shared" si="38"/>
        <v>72.561000000000007</v>
      </c>
      <c r="DA38" t="e">
        <f>CT9</f>
        <v>#DIV/0!</v>
      </c>
    </row>
    <row r="39" spans="1:105" x14ac:dyDescent="0.2">
      <c r="A39" s="84"/>
      <c r="B39" s="83"/>
      <c r="C39" s="135">
        <v>2040</v>
      </c>
      <c r="D39" s="83" t="str">
        <f>IF(D33&gt;=0.7,"YES","NO")</f>
        <v>NO</v>
      </c>
      <c r="E39" s="142">
        <v>0.7</v>
      </c>
      <c r="F39" s="120"/>
      <c r="CV39">
        <v>2033</v>
      </c>
      <c r="CW39">
        <v>77.438999999999993</v>
      </c>
      <c r="CX39">
        <f t="shared" si="37"/>
        <v>12.129000000000005</v>
      </c>
      <c r="CY39">
        <v>65.309999999999988</v>
      </c>
      <c r="CZ39">
        <f t="shared" si="38"/>
        <v>72.561000000000007</v>
      </c>
      <c r="DA39" t="e">
        <f>DA38</f>
        <v>#DIV/0!</v>
      </c>
    </row>
    <row r="40" spans="1:105" x14ac:dyDescent="0.2">
      <c r="A40" s="84"/>
      <c r="B40" s="83">
        <f>107654/B37</f>
        <v>76.850143576147161</v>
      </c>
      <c r="C40" s="135">
        <v>2050</v>
      </c>
      <c r="D40" s="83" t="str">
        <f>IF(E33&gt;=0.98,"YES","NO")</f>
        <v>NO</v>
      </c>
      <c r="E40" s="142">
        <v>1</v>
      </c>
      <c r="F40" s="120"/>
      <c r="CV40">
        <v>2033</v>
      </c>
      <c r="CW40">
        <v>73.707000000000008</v>
      </c>
      <c r="CX40">
        <f t="shared" si="37"/>
        <v>12.129000000000019</v>
      </c>
      <c r="CY40">
        <v>61.577999999999989</v>
      </c>
      <c r="CZ40">
        <f t="shared" si="38"/>
        <v>76.292999999999992</v>
      </c>
      <c r="DA40" t="e">
        <f>CT10</f>
        <v>#DIV/0!</v>
      </c>
    </row>
    <row r="41" spans="1:105" x14ac:dyDescent="0.2">
      <c r="A41" s="115"/>
      <c r="B41" s="117">
        <f>B40*B37</f>
        <v>107654</v>
      </c>
      <c r="C41" s="117"/>
      <c r="D41" s="117"/>
      <c r="E41" s="118"/>
      <c r="F41" s="120"/>
      <c r="CV41">
        <v>2034</v>
      </c>
      <c r="CW41">
        <v>73.707000000000008</v>
      </c>
      <c r="CX41">
        <f t="shared" si="37"/>
        <v>12.129000000000019</v>
      </c>
      <c r="CY41">
        <v>61.577999999999989</v>
      </c>
      <c r="CZ41">
        <f t="shared" si="38"/>
        <v>76.292999999999992</v>
      </c>
      <c r="DA41" t="e">
        <f>DA40</f>
        <v>#DIV/0!</v>
      </c>
    </row>
    <row r="42" spans="1:105" x14ac:dyDescent="0.2">
      <c r="F42" s="120"/>
      <c r="CV42">
        <v>2034</v>
      </c>
      <c r="CW42">
        <v>69.042000000000002</v>
      </c>
      <c r="CX42">
        <f t="shared" si="37"/>
        <v>12.129000000000005</v>
      </c>
      <c r="CY42">
        <v>56.912999999999997</v>
      </c>
      <c r="CZ42">
        <f t="shared" si="38"/>
        <v>80.957999999999998</v>
      </c>
      <c r="DA42" t="e">
        <f>CT11</f>
        <v>#DIV/0!</v>
      </c>
    </row>
    <row r="43" spans="1:105" x14ac:dyDescent="0.2">
      <c r="F43" s="120"/>
      <c r="CV43">
        <v>2035</v>
      </c>
      <c r="CW43">
        <v>69.042000000000002</v>
      </c>
      <c r="CX43">
        <f t="shared" si="37"/>
        <v>12.129000000000005</v>
      </c>
      <c r="CY43">
        <v>56.912999999999997</v>
      </c>
      <c r="CZ43">
        <f t="shared" si="38"/>
        <v>80.957999999999998</v>
      </c>
      <c r="DA43" t="e">
        <f>DA42</f>
        <v>#DIV/0!</v>
      </c>
    </row>
    <row r="44" spans="1:105" x14ac:dyDescent="0.2">
      <c r="F44" s="120"/>
      <c r="CV44">
        <v>2035</v>
      </c>
      <c r="CW44">
        <v>65.309999999999988</v>
      </c>
      <c r="CX44">
        <f t="shared" si="37"/>
        <v>12.128999999999984</v>
      </c>
      <c r="CY44">
        <v>53.181000000000004</v>
      </c>
      <c r="CZ44">
        <f t="shared" si="38"/>
        <v>84.690000000000012</v>
      </c>
      <c r="DA44" t="e">
        <f>CT12</f>
        <v>#DIV/0!</v>
      </c>
    </row>
    <row r="45" spans="1:105" x14ac:dyDescent="0.2">
      <c r="F45" s="120"/>
      <c r="CV45">
        <v>2036</v>
      </c>
      <c r="CW45">
        <v>65.309999999999988</v>
      </c>
      <c r="CX45">
        <f t="shared" si="37"/>
        <v>12.128999999999984</v>
      </c>
      <c r="CY45">
        <v>53.181000000000004</v>
      </c>
      <c r="CZ45">
        <f t="shared" si="38"/>
        <v>84.690000000000012</v>
      </c>
      <c r="DA45" t="e">
        <f>DA44</f>
        <v>#DIV/0!</v>
      </c>
    </row>
    <row r="46" spans="1:105" x14ac:dyDescent="0.2">
      <c r="F46" s="120"/>
      <c r="CV46">
        <v>2036</v>
      </c>
      <c r="CW46">
        <v>58.778999999999996</v>
      </c>
      <c r="CX46">
        <f t="shared" si="37"/>
        <v>12.128999999999998</v>
      </c>
      <c r="CY46">
        <v>46.65</v>
      </c>
      <c r="CZ46">
        <f t="shared" si="38"/>
        <v>91.221000000000004</v>
      </c>
      <c r="DA46" t="e">
        <f>CT13</f>
        <v>#DIV/0!</v>
      </c>
    </row>
    <row r="47" spans="1:105" x14ac:dyDescent="0.2">
      <c r="F47" s="120"/>
      <c r="CV47">
        <v>2037</v>
      </c>
      <c r="CW47">
        <v>58.778999999999996</v>
      </c>
      <c r="CX47">
        <f t="shared" si="37"/>
        <v>12.128999999999998</v>
      </c>
      <c r="CY47">
        <v>46.65</v>
      </c>
      <c r="CZ47">
        <f t="shared" si="38"/>
        <v>91.221000000000004</v>
      </c>
      <c r="DA47" t="e">
        <f>DA46</f>
        <v>#DIV/0!</v>
      </c>
    </row>
    <row r="48" spans="1:105" x14ac:dyDescent="0.2">
      <c r="B48" s="1"/>
      <c r="F48" s="83"/>
      <c r="CV48">
        <v>2037</v>
      </c>
      <c r="CW48">
        <v>52.248000000000005</v>
      </c>
      <c r="CX48">
        <f t="shared" si="37"/>
        <v>12.129000000000012</v>
      </c>
      <c r="CY48">
        <v>40.118999999999993</v>
      </c>
      <c r="CZ48">
        <f t="shared" si="38"/>
        <v>97.751999999999995</v>
      </c>
      <c r="DA48" t="e">
        <f>CT14</f>
        <v>#DIV/0!</v>
      </c>
    </row>
    <row r="49" spans="1:105" x14ac:dyDescent="0.2">
      <c r="F49" s="83"/>
      <c r="CV49">
        <v>2038</v>
      </c>
      <c r="CW49">
        <v>52.248000000000005</v>
      </c>
      <c r="CX49">
        <f t="shared" si="37"/>
        <v>12.129000000000012</v>
      </c>
      <c r="CY49">
        <v>40.118999999999993</v>
      </c>
      <c r="CZ49">
        <f t="shared" si="38"/>
        <v>97.751999999999995</v>
      </c>
      <c r="DA49" t="e">
        <f>DA48</f>
        <v>#DIV/0!</v>
      </c>
    </row>
    <row r="50" spans="1:105" x14ac:dyDescent="0.2">
      <c r="A50" s="1"/>
      <c r="F50" s="83"/>
      <c r="CV50">
        <v>2038</v>
      </c>
      <c r="CW50">
        <v>45.716999999999999</v>
      </c>
      <c r="CX50">
        <f t="shared" si="37"/>
        <v>12.128999999999998</v>
      </c>
      <c r="CY50">
        <v>33.588000000000001</v>
      </c>
      <c r="CZ50">
        <f t="shared" si="38"/>
        <v>104.283</v>
      </c>
      <c r="DA50" t="e">
        <f>CT15</f>
        <v>#DIV/0!</v>
      </c>
    </row>
    <row r="51" spans="1:105" x14ac:dyDescent="0.2">
      <c r="F51" s="83"/>
      <c r="CV51">
        <v>2039</v>
      </c>
      <c r="CW51">
        <v>45.716999999999999</v>
      </c>
      <c r="CX51">
        <f t="shared" si="37"/>
        <v>12.128999999999998</v>
      </c>
      <c r="CY51">
        <v>33.588000000000001</v>
      </c>
      <c r="CZ51">
        <f t="shared" si="38"/>
        <v>104.283</v>
      </c>
      <c r="DA51" t="e">
        <f>DA50</f>
        <v>#DIV/0!</v>
      </c>
    </row>
    <row r="52" spans="1:105" x14ac:dyDescent="0.2">
      <c r="F52" s="83"/>
      <c r="CV52">
        <v>2039</v>
      </c>
      <c r="CW52">
        <v>39.185999999999993</v>
      </c>
      <c r="CX52">
        <f t="shared" si="37"/>
        <v>12.129000000000001</v>
      </c>
      <c r="CY52">
        <v>27.056999999999992</v>
      </c>
      <c r="CZ52">
        <f t="shared" si="38"/>
        <v>110.81400000000001</v>
      </c>
      <c r="DA52" t="e">
        <f>CT16</f>
        <v>#DIV/0!</v>
      </c>
    </row>
    <row r="53" spans="1:105" x14ac:dyDescent="0.2">
      <c r="F53" s="83"/>
      <c r="CV53">
        <v>2040</v>
      </c>
      <c r="CW53">
        <v>39.185999999999993</v>
      </c>
      <c r="CX53">
        <f t="shared" si="37"/>
        <v>12.129000000000001</v>
      </c>
      <c r="CY53">
        <v>27.056999999999992</v>
      </c>
      <c r="CZ53">
        <f t="shared" si="38"/>
        <v>110.81400000000001</v>
      </c>
      <c r="DA53" t="e">
        <f>DA52</f>
        <v>#DIV/0!</v>
      </c>
    </row>
    <row r="54" spans="1:105" x14ac:dyDescent="0.2">
      <c r="F54" s="83"/>
      <c r="CV54">
        <v>2040</v>
      </c>
      <c r="CW54">
        <v>32.654999999999994</v>
      </c>
      <c r="CX54">
        <f t="shared" si="37"/>
        <v>12.128999999999998</v>
      </c>
      <c r="CY54">
        <v>20.525999999999996</v>
      </c>
      <c r="CZ54">
        <f t="shared" si="38"/>
        <v>117.345</v>
      </c>
      <c r="DA54" t="e">
        <f>CT17</f>
        <v>#DIV/0!</v>
      </c>
    </row>
    <row r="55" spans="1:105" x14ac:dyDescent="0.2">
      <c r="F55" s="83"/>
      <c r="CV55">
        <v>2041</v>
      </c>
      <c r="CW55">
        <v>32.654999999999994</v>
      </c>
      <c r="CX55">
        <f t="shared" si="37"/>
        <v>12.128999999999998</v>
      </c>
      <c r="CY55">
        <v>20.525999999999996</v>
      </c>
      <c r="CZ55">
        <f t="shared" si="38"/>
        <v>117.345</v>
      </c>
      <c r="DA55" t="e">
        <f>DA54</f>
        <v>#DIV/0!</v>
      </c>
    </row>
    <row r="56" spans="1:105" x14ac:dyDescent="0.2">
      <c r="F56" s="83"/>
      <c r="CV56">
        <v>2041</v>
      </c>
      <c r="CW56">
        <v>30.602399999999996</v>
      </c>
      <c r="CX56">
        <f t="shared" si="37"/>
        <v>12.129000000000001</v>
      </c>
      <c r="CY56">
        <v>18.473399999999994</v>
      </c>
      <c r="CZ56">
        <f t="shared" si="38"/>
        <v>119.39760000000001</v>
      </c>
      <c r="DA56" t="e">
        <f>CT18</f>
        <v>#DIV/0!</v>
      </c>
    </row>
    <row r="57" spans="1:105" x14ac:dyDescent="0.2">
      <c r="F57" s="83"/>
      <c r="CV57">
        <v>2042</v>
      </c>
      <c r="CW57">
        <v>30.602399999999996</v>
      </c>
      <c r="CX57">
        <f t="shared" si="37"/>
        <v>12.129000000000001</v>
      </c>
      <c r="CY57">
        <v>18.473399999999994</v>
      </c>
      <c r="CZ57">
        <f t="shared" si="38"/>
        <v>119.39760000000001</v>
      </c>
      <c r="DA57" t="e">
        <f>DA56</f>
        <v>#DIV/0!</v>
      </c>
    </row>
    <row r="58" spans="1:105" x14ac:dyDescent="0.2">
      <c r="F58" s="83"/>
      <c r="CV58">
        <v>2042</v>
      </c>
      <c r="CW58">
        <v>28.549799999999994</v>
      </c>
      <c r="CX58">
        <f t="shared" si="37"/>
        <v>12.129000000000001</v>
      </c>
      <c r="CY58">
        <v>16.420799999999993</v>
      </c>
      <c r="CZ58">
        <f t="shared" si="38"/>
        <v>121.45020000000001</v>
      </c>
      <c r="DA58" t="e">
        <f>CT19</f>
        <v>#DIV/0!</v>
      </c>
    </row>
    <row r="59" spans="1:105" x14ac:dyDescent="0.2">
      <c r="A59" s="144"/>
      <c r="B59" s="144"/>
      <c r="C59" s="144"/>
      <c r="D59" s="144"/>
      <c r="E59" s="144"/>
      <c r="F59" s="83"/>
      <c r="CV59">
        <v>2043</v>
      </c>
      <c r="CW59">
        <v>28.549799999999994</v>
      </c>
      <c r="CX59">
        <f t="shared" si="37"/>
        <v>12.129000000000001</v>
      </c>
      <c r="CY59">
        <v>16.420799999999993</v>
      </c>
      <c r="CZ59">
        <f t="shared" si="38"/>
        <v>121.45020000000001</v>
      </c>
      <c r="DA59" t="e">
        <f>DA58</f>
        <v>#DIV/0!</v>
      </c>
    </row>
    <row r="60" spans="1:105" x14ac:dyDescent="0.2">
      <c r="A60" s="144"/>
      <c r="B60" s="144"/>
      <c r="C60" s="144"/>
      <c r="D60" s="144"/>
      <c r="E60" s="144"/>
      <c r="F60" s="83"/>
      <c r="CV60">
        <v>2043</v>
      </c>
      <c r="CW60">
        <v>26.497199999999992</v>
      </c>
      <c r="CX60">
        <f t="shared" si="37"/>
        <v>12.129000000000001</v>
      </c>
      <c r="CY60">
        <v>14.368199999999991</v>
      </c>
      <c r="CZ60">
        <f t="shared" si="38"/>
        <v>123.50280000000001</v>
      </c>
      <c r="DA60" t="e">
        <f>CT20</f>
        <v>#DIV/0!</v>
      </c>
    </row>
    <row r="61" spans="1:105" x14ac:dyDescent="0.2">
      <c r="A61" s="144"/>
      <c r="B61" s="144"/>
      <c r="C61" s="144"/>
      <c r="D61" s="144"/>
      <c r="E61" s="144"/>
      <c r="F61" s="83"/>
      <c r="CV61">
        <v>2044</v>
      </c>
      <c r="CW61">
        <v>26.497199999999992</v>
      </c>
      <c r="CX61">
        <f t="shared" si="37"/>
        <v>12.129000000000001</v>
      </c>
      <c r="CY61">
        <v>14.368199999999991</v>
      </c>
      <c r="CZ61">
        <f t="shared" si="38"/>
        <v>123.50280000000001</v>
      </c>
      <c r="DA61" t="e">
        <f>DA60</f>
        <v>#DIV/0!</v>
      </c>
    </row>
    <row r="62" spans="1:105" x14ac:dyDescent="0.2">
      <c r="A62" s="144"/>
      <c r="B62" s="144"/>
      <c r="C62" s="144"/>
      <c r="D62" s="144"/>
      <c r="E62" s="144"/>
      <c r="F62" s="83"/>
      <c r="CV62">
        <v>2044</v>
      </c>
      <c r="CW62">
        <v>24.444599999999991</v>
      </c>
      <c r="CX62">
        <f t="shared" si="37"/>
        <v>12.129000000000001</v>
      </c>
      <c r="CY62">
        <v>12.315599999999989</v>
      </c>
      <c r="CZ62">
        <f t="shared" si="38"/>
        <v>125.55540000000001</v>
      </c>
      <c r="DA62" t="e">
        <f>CT21</f>
        <v>#DIV/0!</v>
      </c>
    </row>
    <row r="63" spans="1:105" x14ac:dyDescent="0.2">
      <c r="A63" s="144"/>
      <c r="B63" s="144"/>
      <c r="C63" s="144"/>
      <c r="D63" s="144"/>
      <c r="E63" s="144"/>
      <c r="F63" s="83"/>
      <c r="CV63">
        <v>2045</v>
      </c>
      <c r="CW63">
        <v>24.444599999999991</v>
      </c>
      <c r="CX63">
        <f t="shared" si="37"/>
        <v>12.129000000000001</v>
      </c>
      <c r="CY63">
        <v>12.315599999999989</v>
      </c>
      <c r="CZ63">
        <f t="shared" si="38"/>
        <v>125.55540000000001</v>
      </c>
      <c r="DA63" t="e">
        <f>DA62</f>
        <v>#DIV/0!</v>
      </c>
    </row>
    <row r="64" spans="1:105" x14ac:dyDescent="0.2">
      <c r="A64" s="144"/>
      <c r="B64" s="144"/>
      <c r="C64" s="144"/>
      <c r="D64" s="144"/>
      <c r="E64" s="144"/>
      <c r="F64" s="83"/>
      <c r="CV64">
        <v>2045</v>
      </c>
      <c r="CW64">
        <v>22.391999999999989</v>
      </c>
      <c r="CX64">
        <f t="shared" si="37"/>
        <v>12.129000000000001</v>
      </c>
      <c r="CY64">
        <v>10.262999999999987</v>
      </c>
      <c r="CZ64">
        <f t="shared" si="38"/>
        <v>127.608</v>
      </c>
      <c r="DA64" t="e">
        <f>CT22</f>
        <v>#DIV/0!</v>
      </c>
    </row>
    <row r="65" spans="1:105" x14ac:dyDescent="0.2">
      <c r="A65" s="144"/>
      <c r="B65" s="144"/>
      <c r="C65" s="144"/>
      <c r="D65" s="144"/>
      <c r="E65" s="144"/>
      <c r="F65" s="83"/>
      <c r="CV65">
        <v>2046</v>
      </c>
      <c r="CW65">
        <v>22.391999999999989</v>
      </c>
      <c r="CX65">
        <f t="shared" si="37"/>
        <v>12.129000000000001</v>
      </c>
      <c r="CY65">
        <v>10.262999999999987</v>
      </c>
      <c r="CZ65">
        <f t="shared" si="38"/>
        <v>127.608</v>
      </c>
      <c r="DA65" t="e">
        <f>DA64</f>
        <v>#DIV/0!</v>
      </c>
    </row>
    <row r="66" spans="1:105" x14ac:dyDescent="0.2">
      <c r="A66" s="144"/>
      <c r="B66" s="144"/>
      <c r="C66" s="144"/>
      <c r="D66" s="144"/>
      <c r="E66" s="144"/>
      <c r="F66" s="83"/>
      <c r="CV66">
        <v>2046</v>
      </c>
      <c r="CW66">
        <v>20.339399999999987</v>
      </c>
      <c r="CX66">
        <f t="shared" si="37"/>
        <v>12.129000000000001</v>
      </c>
      <c r="CY66">
        <v>8.2103999999999857</v>
      </c>
      <c r="CZ66">
        <f t="shared" si="38"/>
        <v>129.66060000000002</v>
      </c>
      <c r="DA66" t="e">
        <f>CT23</f>
        <v>#DIV/0!</v>
      </c>
    </row>
    <row r="67" spans="1:105" x14ac:dyDescent="0.2">
      <c r="A67" s="144"/>
      <c r="B67" s="144"/>
      <c r="C67" s="144"/>
      <c r="D67" s="144"/>
      <c r="E67" s="144"/>
      <c r="F67" s="83"/>
      <c r="CV67">
        <v>2047</v>
      </c>
      <c r="CW67">
        <v>20.339399999999987</v>
      </c>
      <c r="CX67">
        <f t="shared" si="37"/>
        <v>12.129000000000001</v>
      </c>
      <c r="CY67">
        <v>8.2103999999999857</v>
      </c>
      <c r="CZ67">
        <f t="shared" si="38"/>
        <v>129.66060000000002</v>
      </c>
      <c r="DA67" t="e">
        <f>DA66</f>
        <v>#DIV/0!</v>
      </c>
    </row>
    <row r="68" spans="1:105" x14ac:dyDescent="0.2">
      <c r="A68" s="144"/>
      <c r="B68" s="144"/>
      <c r="C68" s="144"/>
      <c r="D68" s="144"/>
      <c r="E68" s="144"/>
      <c r="F68" s="83"/>
      <c r="CV68">
        <v>2047</v>
      </c>
      <c r="CW68">
        <v>18.286799999999985</v>
      </c>
      <c r="CX68">
        <f t="shared" si="37"/>
        <v>12.129000000000001</v>
      </c>
      <c r="CY68">
        <v>6.1577999999999848</v>
      </c>
      <c r="CZ68">
        <f t="shared" si="38"/>
        <v>131.71320000000003</v>
      </c>
      <c r="DA68" t="e">
        <f>CT24</f>
        <v>#DIV/0!</v>
      </c>
    </row>
    <row r="69" spans="1:105" x14ac:dyDescent="0.2">
      <c r="A69" s="144"/>
      <c r="B69" s="144"/>
      <c r="C69" s="144"/>
      <c r="D69" s="144"/>
      <c r="E69" s="144"/>
      <c r="F69" s="83"/>
      <c r="CV69">
        <v>2048</v>
      </c>
      <c r="CW69">
        <v>18.286799999999985</v>
      </c>
      <c r="CX69">
        <f t="shared" si="37"/>
        <v>12.129000000000001</v>
      </c>
      <c r="CY69">
        <v>6.1577999999999848</v>
      </c>
      <c r="CZ69">
        <f t="shared" si="38"/>
        <v>131.71320000000003</v>
      </c>
      <c r="DA69" t="e">
        <f>DA68</f>
        <v>#DIV/0!</v>
      </c>
    </row>
    <row r="70" spans="1:105" x14ac:dyDescent="0.2">
      <c r="A70" s="144"/>
      <c r="B70" s="144"/>
      <c r="C70" s="144"/>
      <c r="D70" s="144"/>
      <c r="E70" s="144"/>
      <c r="F70" s="83"/>
      <c r="CV70">
        <v>2048</v>
      </c>
      <c r="CW70">
        <v>16.234199999999984</v>
      </c>
      <c r="CX70">
        <f t="shared" si="37"/>
        <v>12.129000000000001</v>
      </c>
      <c r="CY70">
        <v>4.1051999999999831</v>
      </c>
      <c r="CZ70">
        <f t="shared" si="38"/>
        <v>133.76580000000001</v>
      </c>
      <c r="DA70" t="e">
        <f>CT25</f>
        <v>#DIV/0!</v>
      </c>
    </row>
    <row r="71" spans="1:105" x14ac:dyDescent="0.2">
      <c r="A71" s="144"/>
      <c r="B71" s="144"/>
      <c r="C71" s="144"/>
      <c r="D71" s="144"/>
      <c r="E71" s="144"/>
      <c r="F71" s="83"/>
      <c r="CV71">
        <v>2049</v>
      </c>
      <c r="CW71">
        <v>16.234199999999984</v>
      </c>
      <c r="CX71">
        <f t="shared" si="37"/>
        <v>12.129000000000001</v>
      </c>
      <c r="CY71">
        <v>4.1051999999999831</v>
      </c>
      <c r="CZ71">
        <f t="shared" si="38"/>
        <v>133.76580000000001</v>
      </c>
      <c r="DA71" t="e">
        <f>DA70</f>
        <v>#DIV/0!</v>
      </c>
    </row>
    <row r="72" spans="1:105" x14ac:dyDescent="0.2">
      <c r="A72" s="144"/>
      <c r="B72" s="144"/>
      <c r="C72" s="144"/>
      <c r="D72" s="144"/>
      <c r="E72" s="144"/>
      <c r="F72" s="83"/>
      <c r="CV72">
        <v>2049</v>
      </c>
      <c r="CW72">
        <v>14.181599999999982</v>
      </c>
      <c r="CX72">
        <f t="shared" si="37"/>
        <v>12.129000000000001</v>
      </c>
      <c r="CY72">
        <v>2.0525999999999809</v>
      </c>
      <c r="CZ72">
        <f t="shared" si="38"/>
        <v>135.81840000000003</v>
      </c>
      <c r="DA72" t="e">
        <f>CT26</f>
        <v>#DIV/0!</v>
      </c>
    </row>
    <row r="73" spans="1:105" x14ac:dyDescent="0.2">
      <c r="A73" s="144"/>
      <c r="B73" s="144"/>
      <c r="C73" s="144"/>
      <c r="D73" s="144"/>
      <c r="E73" s="144"/>
      <c r="F73" s="83"/>
      <c r="CV73">
        <v>2050</v>
      </c>
      <c r="CW73">
        <v>14.181599999999982</v>
      </c>
      <c r="CX73">
        <f t="shared" si="37"/>
        <v>12.129000000000001</v>
      </c>
      <c r="CY73">
        <v>2.0525999999999809</v>
      </c>
      <c r="CZ73">
        <f t="shared" si="38"/>
        <v>135.81840000000003</v>
      </c>
      <c r="DA73" t="e">
        <f>DA72</f>
        <v>#DIV/0!</v>
      </c>
    </row>
    <row r="74" spans="1:105" x14ac:dyDescent="0.2">
      <c r="A74" s="144"/>
      <c r="B74" s="144"/>
      <c r="C74" s="144"/>
      <c r="D74" s="144"/>
      <c r="E74" s="144"/>
      <c r="F74" s="83"/>
      <c r="CV74">
        <v>2050</v>
      </c>
      <c r="CW74">
        <v>12.129</v>
      </c>
      <c r="CX74">
        <f t="shared" si="37"/>
        <v>12.129</v>
      </c>
      <c r="CY74">
        <v>0</v>
      </c>
      <c r="CZ74">
        <f t="shared" si="38"/>
        <v>137.87100000000001</v>
      </c>
      <c r="DA74" t="e">
        <f>CT27</f>
        <v>#DIV/0!</v>
      </c>
    </row>
    <row r="75" spans="1:105" x14ac:dyDescent="0.2">
      <c r="F75" s="83"/>
    </row>
    <row r="76" spans="1:105" x14ac:dyDescent="0.2">
      <c r="F76" s="83"/>
    </row>
    <row r="77" spans="1:105" x14ac:dyDescent="0.2">
      <c r="F77" s="83"/>
    </row>
    <row r="78" spans="1:105" x14ac:dyDescent="0.2">
      <c r="F78" s="83"/>
    </row>
    <row r="79" spans="1:105" x14ac:dyDescent="0.2">
      <c r="F79" s="83"/>
    </row>
    <row r="80" spans="1:105" x14ac:dyDescent="0.2">
      <c r="F80" s="83"/>
    </row>
    <row r="81" spans="6:6" x14ac:dyDescent="0.2">
      <c r="F81" s="83"/>
    </row>
    <row r="82" spans="6:6" x14ac:dyDescent="0.2">
      <c r="F82" s="83"/>
    </row>
    <row r="83" spans="6:6" x14ac:dyDescent="0.2">
      <c r="F83" s="83"/>
    </row>
    <row r="84" spans="6:6" x14ac:dyDescent="0.2">
      <c r="F84" s="83"/>
    </row>
    <row r="85" spans="6:6" x14ac:dyDescent="0.2">
      <c r="F85" s="83"/>
    </row>
    <row r="86" spans="6:6" x14ac:dyDescent="0.2">
      <c r="F86" s="83"/>
    </row>
    <row r="87" spans="6:6" x14ac:dyDescent="0.2">
      <c r="F87" s="83"/>
    </row>
    <row r="88" spans="6:6" x14ac:dyDescent="0.2">
      <c r="F88" s="83"/>
    </row>
    <row r="89" spans="6:6" x14ac:dyDescent="0.2">
      <c r="F89" s="83"/>
    </row>
    <row r="90" spans="6:6" x14ac:dyDescent="0.2">
      <c r="F90" s="83"/>
    </row>
    <row r="91" spans="6:6" x14ac:dyDescent="0.2">
      <c r="F91" s="83"/>
    </row>
    <row r="92" spans="6:6" x14ac:dyDescent="0.2">
      <c r="F92" s="83"/>
    </row>
    <row r="93" spans="6:6" x14ac:dyDescent="0.2">
      <c r="F93" s="83"/>
    </row>
    <row r="94" spans="6:6" x14ac:dyDescent="0.2">
      <c r="F94" s="83"/>
    </row>
    <row r="95" spans="6:6" x14ac:dyDescent="0.2">
      <c r="F95" s="83"/>
    </row>
    <row r="96" spans="6:6" x14ac:dyDescent="0.2">
      <c r="F96" s="83"/>
    </row>
    <row r="97" spans="1:6" x14ac:dyDescent="0.2">
      <c r="F97" s="83"/>
    </row>
    <row r="98" spans="1:6" x14ac:dyDescent="0.2">
      <c r="F98" s="83"/>
    </row>
    <row r="99" spans="1:6" x14ac:dyDescent="0.2">
      <c r="F99" s="83"/>
    </row>
    <row r="100" spans="1:6" x14ac:dyDescent="0.2">
      <c r="A100" s="40"/>
      <c r="F100" s="83"/>
    </row>
    <row r="101" spans="1:6" x14ac:dyDescent="0.2">
      <c r="F101" s="83"/>
    </row>
    <row r="102" spans="1:6" x14ac:dyDescent="0.2">
      <c r="F102" s="83"/>
    </row>
    <row r="103" spans="1:6" x14ac:dyDescent="0.2">
      <c r="F103" s="83"/>
    </row>
    <row r="104" spans="1:6" x14ac:dyDescent="0.2">
      <c r="F104" s="83"/>
    </row>
    <row r="105" spans="1:6" x14ac:dyDescent="0.2">
      <c r="F105" s="83"/>
    </row>
    <row r="106" spans="1:6" x14ac:dyDescent="0.2">
      <c r="F106" s="83"/>
    </row>
    <row r="107" spans="1:6" x14ac:dyDescent="0.2">
      <c r="F107" s="83"/>
    </row>
    <row r="108" spans="1:6" x14ac:dyDescent="0.2">
      <c r="F108" s="83"/>
    </row>
    <row r="109" spans="1:6" x14ac:dyDescent="0.2">
      <c r="F109" s="83"/>
    </row>
    <row r="110" spans="1:6" x14ac:dyDescent="0.2">
      <c r="F110" s="83"/>
    </row>
    <row r="111" spans="1:6" x14ac:dyDescent="0.2">
      <c r="F111" s="83"/>
    </row>
    <row r="112" spans="1:6" x14ac:dyDescent="0.2">
      <c r="F112" s="83"/>
    </row>
    <row r="113" spans="6:6" x14ac:dyDescent="0.2">
      <c r="F113" s="83"/>
    </row>
    <row r="114" spans="6:6" x14ac:dyDescent="0.2">
      <c r="F114" s="83"/>
    </row>
    <row r="115" spans="6:6" x14ac:dyDescent="0.2">
      <c r="F115" s="83"/>
    </row>
    <row r="116" spans="6:6" x14ac:dyDescent="0.2">
      <c r="F116" s="83"/>
    </row>
    <row r="117" spans="6:6" x14ac:dyDescent="0.2">
      <c r="F117" s="83"/>
    </row>
    <row r="118" spans="6:6" x14ac:dyDescent="0.2">
      <c r="F118" s="83"/>
    </row>
    <row r="119" spans="6:6" x14ac:dyDescent="0.2">
      <c r="F119" s="83"/>
    </row>
    <row r="120" spans="6:6" x14ac:dyDescent="0.2">
      <c r="F120" s="83"/>
    </row>
    <row r="121" spans="6:6" x14ac:dyDescent="0.2">
      <c r="F121" s="83"/>
    </row>
    <row r="122" spans="6:6" x14ac:dyDescent="0.2">
      <c r="F122" s="83"/>
    </row>
    <row r="123" spans="6:6" x14ac:dyDescent="0.2">
      <c r="F123" s="83"/>
    </row>
    <row r="124" spans="6:6" x14ac:dyDescent="0.2">
      <c r="F124" s="83"/>
    </row>
    <row r="125" spans="6:6" x14ac:dyDescent="0.2">
      <c r="F125" s="83"/>
    </row>
    <row r="126" spans="6:6" x14ac:dyDescent="0.2">
      <c r="F126" s="83"/>
    </row>
    <row r="127" spans="6:6" x14ac:dyDescent="0.2">
      <c r="F127" s="83"/>
    </row>
    <row r="128" spans="6:6" x14ac:dyDescent="0.2">
      <c r="F128" s="83"/>
    </row>
    <row r="129" spans="6:6" x14ac:dyDescent="0.2">
      <c r="F129" s="83"/>
    </row>
    <row r="130" spans="6:6" x14ac:dyDescent="0.2">
      <c r="F130" s="83"/>
    </row>
    <row r="131" spans="6:6" x14ac:dyDescent="0.2">
      <c r="F131" s="83"/>
    </row>
    <row r="132" spans="6:6" x14ac:dyDescent="0.2">
      <c r="F132" s="83"/>
    </row>
    <row r="133" spans="6:6" x14ac:dyDescent="0.2">
      <c r="F133" s="83"/>
    </row>
    <row r="134" spans="6:6" x14ac:dyDescent="0.2">
      <c r="F134" s="83"/>
    </row>
    <row r="135" spans="6:6" x14ac:dyDescent="0.2">
      <c r="F135" s="83"/>
    </row>
    <row r="136" spans="6:6" x14ac:dyDescent="0.2">
      <c r="F136" s="83"/>
    </row>
    <row r="137" spans="6:6" x14ac:dyDescent="0.2">
      <c r="F137" s="83"/>
    </row>
    <row r="138" spans="6:6" x14ac:dyDescent="0.2">
      <c r="F138" s="83"/>
    </row>
    <row r="139" spans="6:6" x14ac:dyDescent="0.2">
      <c r="F139" s="83"/>
    </row>
    <row r="140" spans="6:6" x14ac:dyDescent="0.2">
      <c r="F140" s="83"/>
    </row>
    <row r="141" spans="6:6" x14ac:dyDescent="0.2">
      <c r="F141" s="83"/>
    </row>
    <row r="142" spans="6:6" x14ac:dyDescent="0.2">
      <c r="F142" s="83"/>
    </row>
    <row r="143" spans="6:6" x14ac:dyDescent="0.2">
      <c r="F143" s="83"/>
    </row>
    <row r="144" spans="6:6" x14ac:dyDescent="0.2">
      <c r="F144" s="83"/>
    </row>
    <row r="145" spans="6:6" x14ac:dyDescent="0.2">
      <c r="F145" s="83"/>
    </row>
    <row r="146" spans="6:6" x14ac:dyDescent="0.2">
      <c r="F146" s="83"/>
    </row>
    <row r="147" spans="6:6" x14ac:dyDescent="0.2">
      <c r="F147" s="83"/>
    </row>
    <row r="148" spans="6:6" x14ac:dyDescent="0.2">
      <c r="F148" s="83"/>
    </row>
    <row r="149" spans="6:6" x14ac:dyDescent="0.2">
      <c r="F149" s="83"/>
    </row>
    <row r="150" spans="6:6" x14ac:dyDescent="0.2">
      <c r="F150" s="83"/>
    </row>
    <row r="151" spans="6:6" x14ac:dyDescent="0.2">
      <c r="F151" s="83"/>
    </row>
    <row r="152" spans="6:6" x14ac:dyDescent="0.2">
      <c r="F152" s="83"/>
    </row>
    <row r="153" spans="6:6" x14ac:dyDescent="0.2">
      <c r="F153" s="83"/>
    </row>
    <row r="154" spans="6:6" x14ac:dyDescent="0.2">
      <c r="F154" s="83"/>
    </row>
    <row r="155" spans="6:6" x14ac:dyDescent="0.2">
      <c r="F155" s="83"/>
    </row>
    <row r="156" spans="6:6" x14ac:dyDescent="0.2">
      <c r="F156" s="83"/>
    </row>
    <row r="157" spans="6:6" x14ac:dyDescent="0.2">
      <c r="F157" s="83"/>
    </row>
    <row r="158" spans="6:6" x14ac:dyDescent="0.2">
      <c r="F158" s="83"/>
    </row>
    <row r="159" spans="6:6" x14ac:dyDescent="0.2">
      <c r="F159" s="83"/>
    </row>
    <row r="160" spans="6:6" x14ac:dyDescent="0.2">
      <c r="F160" s="83"/>
    </row>
    <row r="161" spans="6:6" x14ac:dyDescent="0.2">
      <c r="F161" s="83"/>
    </row>
    <row r="162" spans="6:6" x14ac:dyDescent="0.2">
      <c r="F162" s="83"/>
    </row>
    <row r="163" spans="6:6" x14ac:dyDescent="0.2">
      <c r="F163" s="83"/>
    </row>
    <row r="164" spans="6:6" x14ac:dyDescent="0.2">
      <c r="F164" s="83"/>
    </row>
    <row r="165" spans="6:6" x14ac:dyDescent="0.2">
      <c r="F165" s="83"/>
    </row>
    <row r="166" spans="6:6" x14ac:dyDescent="0.2">
      <c r="F166" s="83"/>
    </row>
    <row r="167" spans="6:6" x14ac:dyDescent="0.2">
      <c r="F167" s="83"/>
    </row>
    <row r="168" spans="6:6" x14ac:dyDescent="0.2">
      <c r="F168" s="83"/>
    </row>
    <row r="169" spans="6:6" x14ac:dyDescent="0.2">
      <c r="F169" s="83"/>
    </row>
    <row r="170" spans="6:6" x14ac:dyDescent="0.2">
      <c r="F170" s="83"/>
    </row>
    <row r="171" spans="6:6" x14ac:dyDescent="0.2">
      <c r="F171" s="83"/>
    </row>
    <row r="172" spans="6:6" x14ac:dyDescent="0.2">
      <c r="F172" s="83"/>
    </row>
    <row r="173" spans="6:6" x14ac:dyDescent="0.2">
      <c r="F173" s="122" t="s">
        <v>391</v>
      </c>
    </row>
    <row r="174" spans="6:6" x14ac:dyDescent="0.2">
      <c r="F174" s="83"/>
    </row>
    <row r="175" spans="6:6" x14ac:dyDescent="0.2">
      <c r="F175" s="83"/>
    </row>
    <row r="176" spans="6:6" x14ac:dyDescent="0.2">
      <c r="F176" s="83"/>
    </row>
    <row r="177" spans="6:6" x14ac:dyDescent="0.2">
      <c r="F177" s="83"/>
    </row>
    <row r="178" spans="6:6" x14ac:dyDescent="0.2">
      <c r="F178" s="83"/>
    </row>
    <row r="179" spans="6:6" x14ac:dyDescent="0.2">
      <c r="F179" s="83"/>
    </row>
    <row r="180" spans="6:6" x14ac:dyDescent="0.2">
      <c r="F180" s="83"/>
    </row>
    <row r="181" spans="6:6" x14ac:dyDescent="0.2">
      <c r="F181" s="83"/>
    </row>
    <row r="182" spans="6:6" x14ac:dyDescent="0.2">
      <c r="F182" s="83"/>
    </row>
    <row r="183" spans="6:6" x14ac:dyDescent="0.2">
      <c r="F183" s="83"/>
    </row>
    <row r="184" spans="6:6" x14ac:dyDescent="0.2">
      <c r="F184" s="83"/>
    </row>
    <row r="185" spans="6:6" x14ac:dyDescent="0.2">
      <c r="F185" s="83"/>
    </row>
    <row r="186" spans="6:6" x14ac:dyDescent="0.2">
      <c r="F186" s="83"/>
    </row>
    <row r="187" spans="6:6" x14ac:dyDescent="0.2">
      <c r="F187" s="83"/>
    </row>
    <row r="188" spans="6:6" x14ac:dyDescent="0.2">
      <c r="F188" s="83"/>
    </row>
    <row r="189" spans="6:6" x14ac:dyDescent="0.2">
      <c r="F189" s="83"/>
    </row>
    <row r="190" spans="6:6" x14ac:dyDescent="0.2">
      <c r="F190" s="83"/>
    </row>
    <row r="191" spans="6:6" x14ac:dyDescent="0.2">
      <c r="F191" s="83"/>
    </row>
    <row r="192" spans="6:6" x14ac:dyDescent="0.2">
      <c r="F192" s="83"/>
    </row>
    <row r="193" spans="6:6" x14ac:dyDescent="0.2">
      <c r="F193" s="83"/>
    </row>
    <row r="194" spans="6:6" x14ac:dyDescent="0.2">
      <c r="F194" s="83"/>
    </row>
    <row r="195" spans="6:6" x14ac:dyDescent="0.2">
      <c r="F195" s="83"/>
    </row>
    <row r="196" spans="6:6" x14ac:dyDescent="0.2">
      <c r="F196" s="83"/>
    </row>
    <row r="197" spans="6:6" x14ac:dyDescent="0.2">
      <c r="F197" s="83"/>
    </row>
    <row r="198" spans="6:6" x14ac:dyDescent="0.2">
      <c r="F198" s="83"/>
    </row>
    <row r="199" spans="6:6" x14ac:dyDescent="0.2">
      <c r="F199" s="83"/>
    </row>
    <row r="200" spans="6:6" x14ac:dyDescent="0.2">
      <c r="F200" s="83"/>
    </row>
    <row r="201" spans="6:6" x14ac:dyDescent="0.2">
      <c r="F201" s="83"/>
    </row>
    <row r="202" spans="6:6" x14ac:dyDescent="0.2">
      <c r="F202" s="83"/>
    </row>
    <row r="203" spans="6:6" x14ac:dyDescent="0.2">
      <c r="F203" s="83"/>
    </row>
    <row r="204" spans="6:6" x14ac:dyDescent="0.2">
      <c r="F204" s="83"/>
    </row>
    <row r="205" spans="6:6" x14ac:dyDescent="0.2">
      <c r="F205" s="83"/>
    </row>
    <row r="206" spans="6:6" x14ac:dyDescent="0.2">
      <c r="F206" s="83"/>
    </row>
    <row r="207" spans="6:6" x14ac:dyDescent="0.2">
      <c r="F207" s="83"/>
    </row>
    <row r="208" spans="6:6" x14ac:dyDescent="0.2">
      <c r="F208" s="83"/>
    </row>
    <row r="209" spans="6:6" x14ac:dyDescent="0.2">
      <c r="F209" s="83"/>
    </row>
    <row r="210" spans="6:6" x14ac:dyDescent="0.2">
      <c r="F210" s="83"/>
    </row>
    <row r="211" spans="6:6" x14ac:dyDescent="0.2">
      <c r="F211" s="83"/>
    </row>
    <row r="212" spans="6:6" x14ac:dyDescent="0.2">
      <c r="F212" s="83"/>
    </row>
  </sheetData>
  <phoneticPr fontId="14" type="noConversion"/>
  <conditionalFormatting sqref="D38:D40">
    <cfRule type="cellIs" dxfId="4" priority="1" operator="equal">
      <formula>"YES"</formula>
    </cfRule>
    <cfRule type="cellIs" dxfId="3" priority="2" operator="equal">
      <formula>"NO"</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51DD-7CE2-1845-B311-7A09EAC1B7FF}">
  <sheetPr>
    <tabColor theme="0" tint="-0.14999847407452621"/>
  </sheetPr>
  <dimension ref="A1:C5"/>
  <sheetViews>
    <sheetView zoomScale="206" workbookViewId="0">
      <selection activeCell="E3" sqref="E3"/>
    </sheetView>
  </sheetViews>
  <sheetFormatPr baseColWidth="10" defaultRowHeight="16" x14ac:dyDescent="0.2"/>
  <sheetData>
    <row r="1" spans="1:3" x14ac:dyDescent="0.2">
      <c r="A1" t="s">
        <v>146</v>
      </c>
      <c r="B1" t="s">
        <v>165</v>
      </c>
      <c r="C1" t="s">
        <v>166</v>
      </c>
    </row>
    <row r="2" spans="1:3" x14ac:dyDescent="0.2">
      <c r="A2" t="str" cm="1">
        <f t="array" ref="A2:A5">_xlfn.UNIQUE('consumptions per type'!C2:C24)</f>
        <v>LFO</v>
      </c>
      <c r="B2">
        <f>SUMIF('consumptions per type'!$C$2:$C$24,current!A2,'consumptions per type'!$B$2:$B$24)</f>
        <v>213.57532020238992</v>
      </c>
      <c r="C2">
        <f>SUMIF(raw!$Q$2:$Q$820,current!A2,raw!$P$2:$P$820)</f>
        <v>5260.4758670539386</v>
      </c>
    </row>
    <row r="3" spans="1:3" x14ac:dyDescent="0.2">
      <c r="A3" t="str">
        <v>HFO</v>
      </c>
      <c r="B3">
        <f>SUMIF('consumptions per type'!$C$2:$C$24,current!A3,'consumptions per type'!$B$2:$B$24)</f>
        <v>380.37772809810554</v>
      </c>
      <c r="C3">
        <f>SUMIF(raw!$Q$2:$Q$820,current!A3,raw!$P$2:$P$820)</f>
        <v>9753.2750794386011</v>
      </c>
    </row>
    <row r="4" spans="1:3" x14ac:dyDescent="0.2">
      <c r="A4" t="str">
        <v>MGO</v>
      </c>
      <c r="B4">
        <f>SUMIF('consumptions per type'!$C$2:$C$24,current!A4,'consumptions per type'!$B$2:$B$24)</f>
        <v>21.924534260915191</v>
      </c>
      <c r="C4">
        <f>SUMIF(raw!$Q$2:$Q$820,current!A4,raw!$P$2:$P$820)</f>
        <v>512.2554733858691</v>
      </c>
    </row>
    <row r="5" spans="1:3" x14ac:dyDescent="0.2">
      <c r="A5" t="str">
        <v>LNG</v>
      </c>
      <c r="B5">
        <f>SUMIF('consumptions per type'!$C$2:$C$24,current!A5,'consumptions per type'!$B$2:$B$24)</f>
        <v>202.51921531880922</v>
      </c>
      <c r="C5">
        <f>SUMIF(raw!$Q$2:$Q$820,current!A5,raw!$P$2:$P$820)</f>
        <v>4167.0620435968976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EFF1-5DF5-4A42-B746-6AE19FF6A848}">
  <sheetPr>
    <tabColor theme="0" tint="-0.14999847407452621"/>
  </sheetPr>
  <dimension ref="A1:P27"/>
  <sheetViews>
    <sheetView zoomScale="125" workbookViewId="0">
      <selection activeCell="C29" sqref="C29"/>
    </sheetView>
  </sheetViews>
  <sheetFormatPr baseColWidth="10" defaultRowHeight="16" x14ac:dyDescent="0.2"/>
  <cols>
    <col min="1" max="1" width="23.6640625" style="26" customWidth="1"/>
    <col min="2" max="2" width="13.6640625" style="26" customWidth="1"/>
    <col min="3" max="3" width="8.33203125" style="26" customWidth="1"/>
    <col min="4" max="4" width="6.33203125" style="26" customWidth="1"/>
    <col min="5" max="5" width="6.83203125" style="26" customWidth="1"/>
    <col min="6" max="6" width="6" style="26" customWidth="1"/>
    <col min="7" max="10" width="10.83203125" style="26"/>
    <col min="11" max="11" width="20.83203125" style="26" customWidth="1"/>
    <col min="12" max="12" width="21.33203125" style="26" customWidth="1"/>
    <col min="13" max="16384" width="10.83203125" style="26"/>
  </cols>
  <sheetData>
    <row r="1" spans="1:16" x14ac:dyDescent="0.2">
      <c r="A1" s="33" t="s">
        <v>52</v>
      </c>
      <c r="B1" s="33" t="s">
        <v>145</v>
      </c>
      <c r="C1" s="33" t="s">
        <v>95</v>
      </c>
      <c r="D1" s="33" t="s">
        <v>147</v>
      </c>
      <c r="E1" s="33" t="s">
        <v>148</v>
      </c>
      <c r="F1" s="33" t="s">
        <v>149</v>
      </c>
      <c r="H1" s="26" t="s">
        <v>226</v>
      </c>
      <c r="K1" s="33" t="s">
        <v>228</v>
      </c>
      <c r="L1" s="33" t="s">
        <v>227</v>
      </c>
    </row>
    <row r="2" spans="1:16" x14ac:dyDescent="0.2">
      <c r="A2" s="26" t="str" cm="1">
        <f t="array" ref="A2:A25">_xlfn.UNIQUE(raw!J2:J820)</f>
        <v>Passenger Vessel</v>
      </c>
      <c r="B2" s="37">
        <f>SUMIF(raw!$J$2:$J$1195,'consumptions per type'!A2,raw!$R$2:$R$1195)</f>
        <v>130.67116473394779</v>
      </c>
      <c r="C2" s="26" t="str">
        <f>VLOOKUP(A2,dictionary!$A$3:$B$51,2,FALSE)</f>
        <v>LFO</v>
      </c>
      <c r="D2" s="26" t="str">
        <f>VLOOKUP(A2,dictionary!$A$3:$N$51,12,FALSE)</f>
        <v>Yes</v>
      </c>
      <c r="E2" s="26" t="str">
        <f>VLOOKUP(A2,dictionary!$A$3:$N$51,13,FALSE)</f>
        <v>No</v>
      </c>
      <c r="F2" s="26" t="str">
        <f>VLOOKUP(A2,dictionary!$A$3:$N$51,14,FALSE)</f>
        <v>Yes</v>
      </c>
      <c r="H2" s="26">
        <v>1</v>
      </c>
      <c r="J2" s="32"/>
      <c r="K2" s="26" t="s">
        <v>18</v>
      </c>
      <c r="L2" s="26" t="s">
        <v>3</v>
      </c>
      <c r="N2" s="26" t="s">
        <v>1</v>
      </c>
      <c r="O2" s="26">
        <f>SUMIF(C2:C24,N2,B2:B24)</f>
        <v>380.37772809810554</v>
      </c>
      <c r="P2" s="39">
        <f>O2/$O$6</f>
        <v>0.55309517308220379</v>
      </c>
    </row>
    <row r="3" spans="1:16" x14ac:dyDescent="0.2">
      <c r="A3" s="26" t="str">
        <v>General Cargo</v>
      </c>
      <c r="B3" s="37">
        <f>SUMIF(raw!$J$2:$J$1195,'consumptions per type'!A3,raw!$R$2:$R$1195)</f>
        <v>2.4794096439495958</v>
      </c>
      <c r="C3" s="26" t="str">
        <f>VLOOKUP(A3,dictionary!$A$3:$B$51,2,FALSE)</f>
        <v>HFO</v>
      </c>
      <c r="D3" s="26" t="str">
        <f>VLOOKUP(A3,dictionary!$A$3:$N$51,12,FALSE)</f>
        <v>Yes</v>
      </c>
      <c r="E3" s="26" t="str">
        <f>VLOOKUP(A3,dictionary!$A$3:$N$51,13,FALSE)</f>
        <v>Yes</v>
      </c>
      <c r="F3" s="26" t="str">
        <f>VLOOKUP(A3,dictionary!$A$3:$N$51,14,FALSE)</f>
        <v>Yes</v>
      </c>
      <c r="H3" s="26">
        <v>2</v>
      </c>
      <c r="J3" s="32"/>
      <c r="K3" s="26" t="s">
        <v>4</v>
      </c>
      <c r="L3" s="26" t="s">
        <v>5</v>
      </c>
      <c r="N3" s="26" t="s">
        <v>2</v>
      </c>
      <c r="O3" s="26">
        <f t="shared" ref="O3:O5" si="0">SUMIF(C3:C25,N3,B3:B25)</f>
        <v>82.904155468442156</v>
      </c>
      <c r="P3" s="39">
        <f t="shared" ref="P3:P5" si="1">O3/$O$6</f>
        <v>0.12054829931111394</v>
      </c>
    </row>
    <row r="4" spans="1:16" x14ac:dyDescent="0.2">
      <c r="A4" s="26" t="str">
        <v>Special Craft</v>
      </c>
      <c r="B4" s="37">
        <f>SUMIF(raw!$J$2:$J$1195,'consumptions per type'!A4,raw!$R$2:$R$1195)</f>
        <v>10.60403427028317</v>
      </c>
      <c r="C4" s="26" t="str">
        <f>VLOOKUP(A4,dictionary!$A$3:$B$51,2,FALSE)</f>
        <v>MGO</v>
      </c>
      <c r="D4" s="26" t="str">
        <f>VLOOKUP(A4,dictionary!$A$3:$N$51,12,FALSE)</f>
        <v>Yes</v>
      </c>
      <c r="E4" s="26" t="str">
        <f>VLOOKUP(A4,dictionary!$A$3:$N$51,13,FALSE)</f>
        <v>No</v>
      </c>
      <c r="F4" s="26" t="str">
        <f>VLOOKUP(A4,dictionary!$A$3:$N$51,14,FALSE)</f>
        <v>No</v>
      </c>
      <c r="H4" s="26">
        <v>3</v>
      </c>
      <c r="J4" s="32"/>
      <c r="K4" s="26" t="s">
        <v>9</v>
      </c>
      <c r="L4" s="26" t="s">
        <v>7</v>
      </c>
      <c r="N4" s="26" t="s">
        <v>70</v>
      </c>
      <c r="O4" s="26">
        <f t="shared" si="0"/>
        <v>21.924534260915191</v>
      </c>
      <c r="P4" s="39">
        <f t="shared" si="1"/>
        <v>3.1879768913967571E-2</v>
      </c>
    </row>
    <row r="5" spans="1:16" x14ac:dyDescent="0.2">
      <c r="A5" s="26" t="str">
        <v>Supply Vessel</v>
      </c>
      <c r="B5" s="37">
        <f>SUMIF(raw!$J$2:$J$1195,'consumptions per type'!A5,raw!$R$2:$R$1195)</f>
        <v>0.78928445057578944</v>
      </c>
      <c r="C5" s="26" t="str">
        <f>VLOOKUP(A5,dictionary!$A$3:$B$51,2,FALSE)</f>
        <v>MGO</v>
      </c>
      <c r="D5" s="26" t="str">
        <f>VLOOKUP(A5,dictionary!$A$3:$N$51,12,FALSE)</f>
        <v>Yes</v>
      </c>
      <c r="E5" s="26" t="str">
        <f>VLOOKUP(A5,dictionary!$A$3:$N$51,13,FALSE)</f>
        <v>No</v>
      </c>
      <c r="F5" s="26" t="str">
        <f>VLOOKUP(A5,dictionary!$A$3:$N$51,14,FALSE)</f>
        <v>No</v>
      </c>
      <c r="H5" s="26">
        <v>4</v>
      </c>
      <c r="J5" s="32"/>
      <c r="K5" s="26" t="s">
        <v>6</v>
      </c>
      <c r="L5" s="26" t="s">
        <v>8</v>
      </c>
      <c r="N5" s="26" t="s">
        <v>72</v>
      </c>
      <c r="O5" s="26">
        <f t="shared" si="0"/>
        <v>202.51921531880922</v>
      </c>
      <c r="P5" s="39">
        <f t="shared" si="1"/>
        <v>0.29447675869271472</v>
      </c>
    </row>
    <row r="6" spans="1:16" x14ac:dyDescent="0.2">
      <c r="A6" s="26" t="str">
        <v>Passenger/Cargo Ship</v>
      </c>
      <c r="B6" s="37">
        <f>SUMIF(raw!$J$2:$J$1195,'consumptions per type'!A6,raw!$R$2:$R$1195)</f>
        <v>4.8756260059855672</v>
      </c>
      <c r="C6" s="26" t="str">
        <f>VLOOKUP(A6,dictionary!$A$3:$B$51,2,FALSE)</f>
        <v>LFO</v>
      </c>
      <c r="D6" s="26" t="str">
        <f>VLOOKUP(A6,dictionary!$A$3:$N$51,12,FALSE)</f>
        <v>Yes</v>
      </c>
      <c r="E6" s="26" t="str">
        <f>VLOOKUP(A6,dictionary!$A$3:$N$51,13,FALSE)</f>
        <v>Yes</v>
      </c>
      <c r="F6" s="26" t="str">
        <f>VLOOKUP(A6,dictionary!$A$3:$N$51,14,FALSE)</f>
        <v>Yes</v>
      </c>
      <c r="H6" s="26">
        <v>5</v>
      </c>
      <c r="J6" s="32"/>
      <c r="K6" s="26" t="s">
        <v>33</v>
      </c>
      <c r="L6" s="26" t="s">
        <v>48</v>
      </c>
      <c r="O6" s="26">
        <f>SUM(O2:O5)</f>
        <v>687.72563314627212</v>
      </c>
    </row>
    <row r="7" spans="1:16" x14ac:dyDescent="0.2">
      <c r="A7" s="26" t="str">
        <v>Container Ship</v>
      </c>
      <c r="B7" s="37">
        <f>SUMIF(raw!$J$2:$J$1195,'consumptions per type'!A7,raw!$R$2:$R$1195)</f>
        <v>125.995648383874</v>
      </c>
      <c r="C7" s="26" t="str">
        <f>VLOOKUP(A7,dictionary!$A$3:$B$51,2,FALSE)</f>
        <v>HFO</v>
      </c>
      <c r="D7" s="26" t="str">
        <f>VLOOKUP(A7,dictionary!$A$3:$N$51,12,FALSE)</f>
        <v>Yes</v>
      </c>
      <c r="E7" s="26" t="str">
        <f>VLOOKUP(A7,dictionary!$A$3:$N$51,13,FALSE)</f>
        <v>Yes</v>
      </c>
      <c r="F7" s="26" t="str">
        <f>VLOOKUP(A7,dictionary!$A$3:$N$51,14,FALSE)</f>
        <v>Yes</v>
      </c>
      <c r="H7" s="26">
        <v>6</v>
      </c>
      <c r="J7" s="32"/>
      <c r="K7" s="26" t="s">
        <v>11</v>
      </c>
      <c r="L7" s="26" t="s">
        <v>12</v>
      </c>
    </row>
    <row r="8" spans="1:16" x14ac:dyDescent="0.2">
      <c r="A8" s="26" t="str">
        <v>Ro-Ro/Vehicles Carrier</v>
      </c>
      <c r="B8" s="37">
        <f>SUMIF(raw!$J$2:$J$1195,'consumptions per type'!A8,raw!$R$2:$R$1195)</f>
        <v>110.7481850914975</v>
      </c>
      <c r="C8" s="26" t="str">
        <f>VLOOKUP(A8,dictionary!$A$3:$B$51,2,FALSE)</f>
        <v>HFO</v>
      </c>
      <c r="D8" s="26" t="str">
        <f>VLOOKUP(A8,dictionary!$A$3:$N$51,12,FALSE)</f>
        <v>Yes</v>
      </c>
      <c r="E8" s="26" t="str">
        <f>VLOOKUP(A8,dictionary!$A$3:$N$51,13,FALSE)</f>
        <v>Yes</v>
      </c>
      <c r="F8" s="26" t="str">
        <f>VLOOKUP(A8,dictionary!$A$3:$N$51,14,FALSE)</f>
        <v>Yes</v>
      </c>
      <c r="H8" s="26">
        <v>7</v>
      </c>
      <c r="J8" s="32"/>
      <c r="K8" s="26" t="s">
        <v>10</v>
      </c>
      <c r="L8" s="26" t="s">
        <v>13</v>
      </c>
    </row>
    <row r="9" spans="1:16" x14ac:dyDescent="0.2">
      <c r="A9" s="26" t="str">
        <v>LNG Tanker</v>
      </c>
      <c r="B9" s="37">
        <f>SUMIF(raw!$J$2:$J$1195,'consumptions per type'!A9,raw!$R$2:$R$1195)</f>
        <v>198.59706183540879</v>
      </c>
      <c r="C9" s="26" t="str">
        <f>VLOOKUP(A9,dictionary!$A$3:$B$51,2,FALSE)</f>
        <v>LNG</v>
      </c>
      <c r="D9" s="26" t="str">
        <f>VLOOKUP(A9,dictionary!$A$3:$N$51,12,FALSE)</f>
        <v>Yes</v>
      </c>
      <c r="E9" s="26" t="str">
        <f>VLOOKUP(A9,dictionary!$A$3:$N$51,13,FALSE)</f>
        <v>No</v>
      </c>
      <c r="F9" s="26" t="str">
        <f>VLOOKUP(A9,dictionary!$A$3:$N$51,14,FALSE)</f>
        <v>No</v>
      </c>
      <c r="H9" s="26">
        <v>8</v>
      </c>
      <c r="J9" s="32"/>
      <c r="K9" s="26" t="s">
        <v>21</v>
      </c>
      <c r="L9" s="26" t="s">
        <v>14</v>
      </c>
    </row>
    <row r="10" spans="1:16" x14ac:dyDescent="0.2">
      <c r="A10" s="26" t="str">
        <v>Other Special Craft</v>
      </c>
      <c r="B10" s="37">
        <f>SUMIF(raw!$J$2:$J$1195,'consumptions per type'!A10,raw!$R$2:$R$1195)</f>
        <v>4.4448390512876657</v>
      </c>
      <c r="C10" s="26" t="str">
        <f>VLOOKUP(A10,dictionary!$A$3:$B$51,2,FALSE)</f>
        <v>MGO</v>
      </c>
      <c r="D10" s="26" t="str">
        <f>VLOOKUP(A10,dictionary!$A$3:$N$51,12,FALSE)</f>
        <v>Yes</v>
      </c>
      <c r="E10" s="26" t="str">
        <f>VLOOKUP(A10,dictionary!$A$3:$N$51,13,FALSE)</f>
        <v>No</v>
      </c>
      <c r="F10" s="26" t="str">
        <f>VLOOKUP(A10,dictionary!$A$3:$N$51,14,FALSE)</f>
        <v>No</v>
      </c>
      <c r="H10" s="26">
        <v>9</v>
      </c>
      <c r="J10" s="32"/>
      <c r="K10" s="26" t="s">
        <v>16</v>
      </c>
      <c r="L10" s="26" t="s">
        <v>15</v>
      </c>
    </row>
    <row r="11" spans="1:16" x14ac:dyDescent="0.2">
      <c r="A11" s="26" t="str">
        <v>Oil/Chemical Tanker</v>
      </c>
      <c r="B11" s="37">
        <f>SUMIF(raw!$J$2:$J$1195,'consumptions per type'!A11,raw!$R$2:$R$1195)</f>
        <v>5.6627290395888474</v>
      </c>
      <c r="C11" s="26" t="str">
        <f>VLOOKUP(A11,dictionary!$A$3:$B$51,2,FALSE)</f>
        <v>HFO</v>
      </c>
      <c r="D11" s="26" t="str">
        <f>VLOOKUP(A11,dictionary!$A$3:$N$51,12,FALSE)</f>
        <v>Yes</v>
      </c>
      <c r="E11" s="26" t="str">
        <f>VLOOKUP(A11,dictionary!$A$3:$N$51,13,FALSE)</f>
        <v>Yes</v>
      </c>
      <c r="F11" s="26" t="str">
        <f>VLOOKUP(A11,dictionary!$A$3:$N$51,14,FALSE)</f>
        <v>No</v>
      </c>
      <c r="H11" s="26">
        <v>10</v>
      </c>
      <c r="K11" s="26" t="s">
        <v>17</v>
      </c>
      <c r="L11" s="26" t="s">
        <v>23</v>
      </c>
    </row>
    <row r="12" spans="1:16" x14ac:dyDescent="0.2">
      <c r="A12" s="26" t="str">
        <v>Reefer</v>
      </c>
      <c r="B12" s="37">
        <f>SUMIF(raw!$J$2:$J$1195,'consumptions per type'!A12,raw!$R$2:$R$1195)</f>
        <v>1.739706950317417</v>
      </c>
      <c r="C12" s="26" t="str">
        <f>VLOOKUP(A12,dictionary!$A$3:$B$51,2,FALSE)</f>
        <v>HFO</v>
      </c>
      <c r="D12" s="26" t="str">
        <f>VLOOKUP(A12,dictionary!$A$3:$N$51,12,FALSE)</f>
        <v>Yes</v>
      </c>
      <c r="E12" s="26" t="str">
        <f>VLOOKUP(A12,dictionary!$A$3:$N$51,13,FALSE)</f>
        <v>Yes</v>
      </c>
      <c r="F12" s="26" t="str">
        <f>VLOOKUP(A12,dictionary!$A$3:$N$51,14,FALSE)</f>
        <v>No</v>
      </c>
      <c r="H12" s="26">
        <v>11</v>
      </c>
      <c r="J12" s="32"/>
      <c r="K12" s="26" t="s">
        <v>20</v>
      </c>
      <c r="L12" s="26" t="s">
        <v>24</v>
      </c>
    </row>
    <row r="13" spans="1:16" x14ac:dyDescent="0.2">
      <c r="A13" s="26" t="str">
        <v>Bulk Carrier</v>
      </c>
      <c r="B13" s="37">
        <f>SUMIF(raw!$J$2:$J$1195,'consumptions per type'!A13,raw!$R$2:$R$1195)</f>
        <v>5.0618200188849336</v>
      </c>
      <c r="C13" s="26" t="str">
        <f>VLOOKUP(A13,dictionary!$A$3:$B$51,2,FALSE)</f>
        <v>HFO</v>
      </c>
      <c r="D13" s="26" t="str">
        <f>VLOOKUP(A13,dictionary!$A$3:$N$51,12,FALSE)</f>
        <v>Yes</v>
      </c>
      <c r="E13" s="26" t="str">
        <f>VLOOKUP(A13,dictionary!$A$3:$N$51,13,FALSE)</f>
        <v>Yes</v>
      </c>
      <c r="F13" s="26" t="str">
        <f>VLOOKUP(A13,dictionary!$A$3:$N$51,14,FALSE)</f>
        <v>No</v>
      </c>
      <c r="H13" s="26">
        <v>12</v>
      </c>
      <c r="J13" s="32"/>
      <c r="K13" s="26" t="s">
        <v>25</v>
      </c>
      <c r="L13" s="26" t="s">
        <v>26</v>
      </c>
    </row>
    <row r="14" spans="1:16" x14ac:dyDescent="0.2">
      <c r="A14" s="26" t="str">
        <v>LPG Tanker</v>
      </c>
      <c r="B14" s="37">
        <f>SUMIF(raw!$J$2:$J$1195,'consumptions per type'!A14,raw!$R$2:$R$1195)</f>
        <v>3.9221534834004288</v>
      </c>
      <c r="C14" s="26" t="str">
        <f>VLOOKUP(A14,dictionary!$A$3:$B$51,2,FALSE)</f>
        <v>LNG</v>
      </c>
      <c r="D14" s="26" t="str">
        <f>VLOOKUP(A14,dictionary!$A$3:$N$51,12,FALSE)</f>
        <v>Yes</v>
      </c>
      <c r="E14" s="26" t="str">
        <f>VLOOKUP(A14,dictionary!$A$3:$N$51,13,FALSE)</f>
        <v>Yes</v>
      </c>
      <c r="F14" s="26" t="str">
        <f>VLOOKUP(A14,dictionary!$A$3:$N$51,14,FALSE)</f>
        <v>No</v>
      </c>
      <c r="H14" s="26">
        <v>13</v>
      </c>
      <c r="J14" s="32"/>
      <c r="K14" s="26" t="s">
        <v>29</v>
      </c>
      <c r="L14" s="26" t="s">
        <v>32</v>
      </c>
    </row>
    <row r="15" spans="1:16" x14ac:dyDescent="0.2">
      <c r="A15" s="26" t="str">
        <v>Ro-Ro/Passenger Vessel</v>
      </c>
      <c r="B15" s="37">
        <f>SUMIF(raw!$J$2:$J$1195,'consumptions per type'!A15,raw!$R$2:$R$1195)</f>
        <v>54.087614848118321</v>
      </c>
      <c r="C15" s="26" t="str">
        <f>VLOOKUP(A15,dictionary!$A$3:$B$51,2,FALSE)</f>
        <v>LFO</v>
      </c>
      <c r="D15" s="26" t="str">
        <f>VLOOKUP(A15,dictionary!$A$3:$N$51,12,FALSE)</f>
        <v>Yes</v>
      </c>
      <c r="E15" s="26" t="str">
        <f>VLOOKUP(A15,dictionary!$A$3:$N$51,13,FALSE)</f>
        <v>Yes</v>
      </c>
      <c r="F15" s="26" t="str">
        <f>VLOOKUP(A15,dictionary!$A$3:$N$51,14,FALSE)</f>
        <v>Yes</v>
      </c>
      <c r="H15" s="26">
        <v>14</v>
      </c>
      <c r="J15" s="32"/>
      <c r="K15" s="26" t="s">
        <v>27</v>
      </c>
      <c r="L15" s="26" t="s">
        <v>34</v>
      </c>
    </row>
    <row r="16" spans="1:16" x14ac:dyDescent="0.2">
      <c r="A16" s="26" t="str">
        <v>Crude Oil Tanker</v>
      </c>
      <c r="B16" s="37">
        <f>SUMIF(raw!$J$2:$J$1195,'consumptions per type'!A16,raw!$R$2:$R$1195)</f>
        <v>21.54349318047257</v>
      </c>
      <c r="C16" s="26" t="str">
        <f>VLOOKUP(A16,dictionary!$A$3:$B$51,2,FALSE)</f>
        <v>HFO</v>
      </c>
      <c r="D16" s="26" t="str">
        <f>VLOOKUP(A16,dictionary!$A$3:$N$51,12,FALSE)</f>
        <v>Yes</v>
      </c>
      <c r="E16" s="26" t="str">
        <f>VLOOKUP(A16,dictionary!$A$3:$N$51,13,FALSE)</f>
        <v>Yes</v>
      </c>
      <c r="F16" s="26" t="str">
        <f>VLOOKUP(A16,dictionary!$A$3:$N$51,14,FALSE)</f>
        <v>No</v>
      </c>
      <c r="H16" s="26">
        <v>15</v>
      </c>
      <c r="J16" s="32"/>
      <c r="K16" s="26" t="s">
        <v>28</v>
      </c>
      <c r="L16" s="26" t="s">
        <v>35</v>
      </c>
    </row>
    <row r="17" spans="1:12" x14ac:dyDescent="0.2">
      <c r="A17" s="26" t="str">
        <v>Oil Products Tanker</v>
      </c>
      <c r="B17" s="37">
        <f>SUMIF(raw!$J$2:$J$1195,'consumptions per type'!A17,raw!$R$2:$R$1195)</f>
        <v>36.664777637605233</v>
      </c>
      <c r="C17" s="26" t="str">
        <f>VLOOKUP(A17,dictionary!$A$3:$B$51,2,FALSE)</f>
        <v>HFO</v>
      </c>
      <c r="D17" s="26" t="str">
        <f>VLOOKUP(A17,dictionary!$A$3:$N$51,12,FALSE)</f>
        <v>Yes</v>
      </c>
      <c r="E17" s="26" t="str">
        <f>VLOOKUP(A17,dictionary!$A$3:$N$51,13,FALSE)</f>
        <v>Yes</v>
      </c>
      <c r="F17" s="26" t="str">
        <f>VLOOKUP(A17,dictionary!$A$3:$N$51,14,FALSE)</f>
        <v>No</v>
      </c>
      <c r="H17" s="26">
        <v>16</v>
      </c>
      <c r="J17" s="32"/>
      <c r="K17" s="26" t="s">
        <v>19</v>
      </c>
      <c r="L17" s="26" t="s">
        <v>37</v>
      </c>
    </row>
    <row r="18" spans="1:12" x14ac:dyDescent="0.2">
      <c r="A18" s="26" t="str">
        <v>Heavy Load Carrier</v>
      </c>
      <c r="B18" s="37">
        <f>SUMIF(raw!$J$2:$J$1195,'consumptions per type'!A18,raw!$R$2:$R$1195)</f>
        <v>9.1562724613921578</v>
      </c>
      <c r="C18" s="26" t="str">
        <f>VLOOKUP(A18,dictionary!$A$3:$B$51,2,FALSE)</f>
        <v>HFO</v>
      </c>
      <c r="D18" s="26" t="str">
        <f>VLOOKUP(A18,dictionary!$A$3:$N$51,12,FALSE)</f>
        <v>Yes</v>
      </c>
      <c r="E18" s="26" t="str">
        <f>VLOOKUP(A18,dictionary!$A$3:$N$51,13,FALSE)</f>
        <v>Yes</v>
      </c>
      <c r="F18" s="26" t="str">
        <f>VLOOKUP(A18,dictionary!$A$3:$N$51,14,FALSE)</f>
        <v>No</v>
      </c>
      <c r="H18" s="26">
        <v>17</v>
      </c>
      <c r="J18" s="32"/>
      <c r="K18" s="26" t="s">
        <v>31</v>
      </c>
      <c r="L18" s="26" t="s">
        <v>38</v>
      </c>
    </row>
    <row r="19" spans="1:12" x14ac:dyDescent="0.2">
      <c r="A19" s="26" t="str">
        <v>Landing Craft</v>
      </c>
      <c r="B19" s="37">
        <f>SUMIF(raw!$J$2:$J$1195,'consumptions per type'!A19,raw!$R$2:$R$1195)</f>
        <v>1.5071681239534449</v>
      </c>
      <c r="C19" s="26" t="str">
        <f>VLOOKUP(A19,dictionary!$A$3:$B$51,2,FALSE)</f>
        <v>MGO</v>
      </c>
      <c r="D19" s="26" t="str">
        <f>VLOOKUP(A19,dictionary!$A$3:$N$51,12,FALSE)</f>
        <v>Yes</v>
      </c>
      <c r="E19" s="26" t="str">
        <f>VLOOKUP(A19,dictionary!$A$3:$N$51,13,FALSE)</f>
        <v>No</v>
      </c>
      <c r="F19" s="26" t="str">
        <f>VLOOKUP(A19,dictionary!$A$3:$N$51,14,FALSE)</f>
        <v>No</v>
      </c>
      <c r="H19" s="26">
        <v>18</v>
      </c>
      <c r="J19" s="32"/>
      <c r="K19" s="26" t="s">
        <v>30</v>
      </c>
      <c r="L19" s="26" t="s">
        <v>39</v>
      </c>
    </row>
    <row r="20" spans="1:12" x14ac:dyDescent="0.2">
      <c r="A20" s="26" t="str">
        <v>High Speed Craft</v>
      </c>
      <c r="B20" s="37">
        <f>SUMIF(raw!$J$2:$J$1195,'consumptions per type'!A20,raw!$R$2:$R$1195)</f>
        <v>4.4417023405944747</v>
      </c>
      <c r="C20" s="26" t="str">
        <f>VLOOKUP(A20,dictionary!$A$3:$B$51,2,FALSE)</f>
        <v>MGO</v>
      </c>
      <c r="D20" s="26" t="str">
        <f>VLOOKUP(A20,dictionary!$A$3:$N$51,12,FALSE)</f>
        <v>No</v>
      </c>
      <c r="E20" s="26" t="str">
        <f>VLOOKUP(A20,dictionary!$A$3:$N$51,13,FALSE)</f>
        <v>No</v>
      </c>
      <c r="F20" s="26" t="str">
        <f>VLOOKUP(A20,dictionary!$A$3:$N$51,14,FALSE)</f>
        <v>No</v>
      </c>
      <c r="H20" s="26">
        <v>19</v>
      </c>
      <c r="J20" s="32"/>
      <c r="K20" s="26" t="s">
        <v>43</v>
      </c>
      <c r="L20" s="26" t="s">
        <v>40</v>
      </c>
    </row>
    <row r="21" spans="1:12" x14ac:dyDescent="0.2">
      <c r="A21" s="26" t="str">
        <v>Other Cargo</v>
      </c>
      <c r="B21" s="37">
        <f>SUMIF(raw!$J$2:$J$1195,'consumptions per type'!A21,raw!$R$2:$R$1195)</f>
        <v>0.44863749785702489</v>
      </c>
      <c r="C21" s="26" t="str">
        <f>VLOOKUP(A21,dictionary!$A$3:$B$51,2,FALSE)</f>
        <v>HFO</v>
      </c>
      <c r="D21" s="26" t="str">
        <f>VLOOKUP(A21,dictionary!$A$3:$N$51,12,FALSE)</f>
        <v>Yes</v>
      </c>
      <c r="E21" s="26" t="str">
        <f>VLOOKUP(A21,dictionary!$A$3:$N$51,13,FALSE)</f>
        <v>Yes</v>
      </c>
      <c r="F21" s="26" t="str">
        <f>VLOOKUP(A21,dictionary!$A$3:$N$51,14,FALSE)</f>
        <v>Yes</v>
      </c>
      <c r="H21" s="26">
        <v>20</v>
      </c>
      <c r="J21" s="32"/>
      <c r="K21" s="26" t="s">
        <v>36</v>
      </c>
      <c r="L21" s="26" t="s">
        <v>41</v>
      </c>
    </row>
    <row r="22" spans="1:12" x14ac:dyDescent="0.2">
      <c r="A22" s="26" t="str">
        <v>Special Cargo</v>
      </c>
      <c r="B22" s="37">
        <f>SUMIF(raw!$J$2:$J$1195,'consumptions per type'!A22,raw!$R$2:$R$1195)</f>
        <v>60.877048192666209</v>
      </c>
      <c r="C22" s="26" t="str">
        <f>VLOOKUP(A22,dictionary!$A$3:$B$51,2,FALSE)</f>
        <v>HFO</v>
      </c>
      <c r="D22" s="26" t="str">
        <f>VLOOKUP(A22,dictionary!$A$3:$N$51,12,FALSE)</f>
        <v>Yes</v>
      </c>
      <c r="E22" s="26" t="str">
        <f>VLOOKUP(A22,dictionary!$A$3:$N$51,13,FALSE)</f>
        <v>Yes</v>
      </c>
      <c r="F22" s="26" t="str">
        <f>VLOOKUP(A22,dictionary!$A$3:$N$51,14,FALSE)</f>
        <v>Yes</v>
      </c>
      <c r="H22" s="26">
        <v>21</v>
      </c>
      <c r="J22" s="32"/>
      <c r="K22" s="26" t="s">
        <v>22</v>
      </c>
      <c r="L22" s="26" t="s">
        <v>42</v>
      </c>
    </row>
    <row r="23" spans="1:12" x14ac:dyDescent="0.2">
      <c r="A23" s="26" t="str">
        <v>Other Passenger</v>
      </c>
      <c r="B23" s="37">
        <f>SUMIF(raw!$J$2:$J$1195,'consumptions per type'!A23,raw!$R$2:$R$1195)</f>
        <v>23.940914614338261</v>
      </c>
      <c r="C23" s="26" t="str">
        <f>VLOOKUP(A23,dictionary!$A$3:$B$51,2,FALSE)</f>
        <v>LFO</v>
      </c>
      <c r="D23" s="26" t="str">
        <f>VLOOKUP(A23,dictionary!$A$3:$N$51,12,FALSE)</f>
        <v>Yes</v>
      </c>
      <c r="E23" s="26" t="str">
        <f>VLOOKUP(A23,dictionary!$A$3:$N$51,13,FALSE)</f>
        <v>Yes</v>
      </c>
      <c r="F23" s="26" t="str">
        <f>VLOOKUP(A23,dictionary!$A$3:$N$51,14,FALSE)</f>
        <v>Yes</v>
      </c>
      <c r="H23" s="26">
        <v>22</v>
      </c>
      <c r="J23" s="32"/>
      <c r="K23" s="26" t="s">
        <v>45</v>
      </c>
      <c r="L23" s="26" t="s">
        <v>44</v>
      </c>
    </row>
    <row r="24" spans="1:12" x14ac:dyDescent="0.2">
      <c r="A24" s="26" t="str">
        <v>Special Passenger Vessel</v>
      </c>
      <c r="B24" s="37">
        <f>SUMIF(raw!$J$2:$J$1195,'consumptions per type'!A24,raw!$R$2:$R$1195)</f>
        <v>0.1375060242206462</v>
      </c>
      <c r="C24" s="26" t="str">
        <f>VLOOKUP(A24,dictionary!$A$3:$B$51,2,FALSE)</f>
        <v>MGO</v>
      </c>
      <c r="D24" s="26" t="str">
        <f>VLOOKUP(A24,dictionary!$A$3:$N$51,12,FALSE)</f>
        <v>Yes</v>
      </c>
      <c r="E24" s="26" t="str">
        <f>VLOOKUP(A24,dictionary!$A$3:$N$51,13,FALSE)</f>
        <v>No</v>
      </c>
      <c r="F24" s="26" t="str">
        <f>VLOOKUP(A24,dictionary!$A$3:$N$51,14,FALSE)</f>
        <v>Yes</v>
      </c>
      <c r="H24" s="26">
        <v>23</v>
      </c>
      <c r="K24" s="26" t="s">
        <v>51</v>
      </c>
      <c r="L24" s="26" t="s">
        <v>47</v>
      </c>
    </row>
    <row r="25" spans="1:12" ht="24" x14ac:dyDescent="0.3">
      <c r="A25" s="26">
        <v>0</v>
      </c>
      <c r="B25" s="38">
        <f>SUM(B2:B24)</f>
        <v>818.39679788021965</v>
      </c>
      <c r="C25" s="33" t="s">
        <v>165</v>
      </c>
      <c r="L25" s="26" t="s">
        <v>49</v>
      </c>
    </row>
    <row r="26" spans="1:12" x14ac:dyDescent="0.2">
      <c r="L26" s="26" t="s">
        <v>50</v>
      </c>
    </row>
    <row r="27" spans="1:12" x14ac:dyDescent="0.2">
      <c r="L27" s="26" t="s">
        <v>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9F3D-C962-774E-9302-A4E6DF11D429}">
  <sheetPr>
    <tabColor theme="0" tint="-0.14999847407452621"/>
  </sheetPr>
  <dimension ref="A1:P51"/>
  <sheetViews>
    <sheetView zoomScale="108" workbookViewId="0">
      <selection activeCell="E11" sqref="E11"/>
    </sheetView>
  </sheetViews>
  <sheetFormatPr baseColWidth="10" defaultRowHeight="16" x14ac:dyDescent="0.2"/>
  <cols>
    <col min="1" max="1" width="19.6640625" customWidth="1"/>
    <col min="2" max="2" width="10.83203125" customWidth="1"/>
  </cols>
  <sheetData>
    <row r="1" spans="1:16" x14ac:dyDescent="0.2">
      <c r="C1" s="150" t="s">
        <v>173</v>
      </c>
      <c r="D1" s="150"/>
      <c r="E1" s="150"/>
      <c r="F1" s="150"/>
      <c r="G1" s="150"/>
      <c r="H1" s="150"/>
      <c r="I1" s="150"/>
      <c r="J1" s="150"/>
      <c r="K1" s="150"/>
      <c r="L1" s="150" t="s">
        <v>65</v>
      </c>
      <c r="M1" s="150"/>
      <c r="N1" s="150"/>
    </row>
    <row r="2" spans="1:16" x14ac:dyDescent="0.2">
      <c r="A2" s="1" t="s">
        <v>52</v>
      </c>
      <c r="B2" s="19" t="s">
        <v>69</v>
      </c>
      <c r="C2" s="19" t="s">
        <v>53</v>
      </c>
      <c r="D2" s="1" t="s">
        <v>54</v>
      </c>
      <c r="E2" s="1" t="s">
        <v>55</v>
      </c>
      <c r="F2" s="1" t="s">
        <v>56</v>
      </c>
      <c r="G2" s="1" t="s">
        <v>57</v>
      </c>
      <c r="H2" s="1" t="s">
        <v>58</v>
      </c>
      <c r="I2" s="1" t="s">
        <v>59</v>
      </c>
      <c r="J2" s="1" t="s">
        <v>60</v>
      </c>
      <c r="K2" s="1" t="s">
        <v>61</v>
      </c>
      <c r="L2" s="19" t="s">
        <v>62</v>
      </c>
      <c r="M2" s="1" t="s">
        <v>63</v>
      </c>
      <c r="N2" s="1" t="s">
        <v>64</v>
      </c>
      <c r="P2" s="3" t="s">
        <v>195</v>
      </c>
    </row>
    <row r="3" spans="1:16" x14ac:dyDescent="0.2">
      <c r="A3" t="s">
        <v>3</v>
      </c>
      <c r="B3" s="20" t="s">
        <v>70</v>
      </c>
      <c r="C3" s="21">
        <v>0.2</v>
      </c>
      <c r="D3" s="2"/>
      <c r="E3" s="2">
        <v>0.2</v>
      </c>
      <c r="F3" s="2">
        <v>0.35</v>
      </c>
      <c r="G3" s="2"/>
      <c r="H3" s="2">
        <v>0.05</v>
      </c>
      <c r="I3" s="2"/>
      <c r="J3" s="2">
        <v>0.2</v>
      </c>
      <c r="K3" s="2"/>
      <c r="L3" s="20" t="s">
        <v>66</v>
      </c>
      <c r="M3" t="s">
        <v>67</v>
      </c>
      <c r="N3" t="s">
        <v>66</v>
      </c>
      <c r="P3" s="2">
        <f>SUM(C3:K3)</f>
        <v>1</v>
      </c>
    </row>
    <row r="4" spans="1:16" x14ac:dyDescent="0.2">
      <c r="A4" t="s">
        <v>4</v>
      </c>
      <c r="B4" s="20" t="s">
        <v>1</v>
      </c>
      <c r="C4" s="21">
        <v>0.2</v>
      </c>
      <c r="D4" s="2"/>
      <c r="E4" s="2">
        <v>0.6</v>
      </c>
      <c r="F4" s="2">
        <v>0.1</v>
      </c>
      <c r="G4" s="2"/>
      <c r="H4" s="2">
        <v>0.05</v>
      </c>
      <c r="I4" s="2"/>
      <c r="J4" s="2">
        <v>0.05</v>
      </c>
      <c r="K4" s="2"/>
      <c r="L4" s="20" t="s">
        <v>66</v>
      </c>
      <c r="M4" t="s">
        <v>66</v>
      </c>
      <c r="N4" t="s">
        <v>66</v>
      </c>
      <c r="P4" s="2">
        <f t="shared" ref="P4:P51" si="0">SUM(C4:K4)</f>
        <v>1</v>
      </c>
    </row>
    <row r="5" spans="1:16" x14ac:dyDescent="0.2">
      <c r="A5" t="s">
        <v>5</v>
      </c>
      <c r="B5" s="20" t="s">
        <v>70</v>
      </c>
      <c r="C5" s="21">
        <v>0.2</v>
      </c>
      <c r="D5" s="2">
        <v>0.3</v>
      </c>
      <c r="E5" s="2">
        <v>0.05</v>
      </c>
      <c r="F5" s="2">
        <v>0.15</v>
      </c>
      <c r="G5" s="2"/>
      <c r="H5" s="2"/>
      <c r="I5" s="2">
        <v>0.05</v>
      </c>
      <c r="J5" s="2">
        <v>0.2</v>
      </c>
      <c r="K5" s="2">
        <v>0.05</v>
      </c>
      <c r="L5" s="20" t="s">
        <v>66</v>
      </c>
      <c r="M5" t="s">
        <v>67</v>
      </c>
      <c r="N5" t="s">
        <v>66</v>
      </c>
      <c r="P5" s="2">
        <f t="shared" si="0"/>
        <v>1.0000000000000002</v>
      </c>
    </row>
    <row r="6" spans="1:16" x14ac:dyDescent="0.2">
      <c r="A6" t="s">
        <v>6</v>
      </c>
      <c r="B6" s="20" t="s">
        <v>70</v>
      </c>
      <c r="C6" s="21">
        <v>0.2</v>
      </c>
      <c r="D6" s="2"/>
      <c r="E6" s="2">
        <v>0.2</v>
      </c>
      <c r="F6" s="2">
        <v>0.35</v>
      </c>
      <c r="G6" s="2"/>
      <c r="H6" s="2">
        <v>0.05</v>
      </c>
      <c r="I6" s="2"/>
      <c r="J6" s="2">
        <v>0.2</v>
      </c>
      <c r="K6" s="2"/>
      <c r="L6" s="20" t="s">
        <v>66</v>
      </c>
      <c r="M6" t="s">
        <v>67</v>
      </c>
      <c r="N6" t="s">
        <v>67</v>
      </c>
      <c r="P6" s="2">
        <f t="shared" si="0"/>
        <v>1</v>
      </c>
    </row>
    <row r="7" spans="1:16" x14ac:dyDescent="0.2">
      <c r="A7" t="s">
        <v>7</v>
      </c>
      <c r="B7" s="20" t="s">
        <v>70</v>
      </c>
      <c r="C7" s="21">
        <v>0.2</v>
      </c>
      <c r="D7" s="2"/>
      <c r="E7" s="2">
        <v>0.2</v>
      </c>
      <c r="F7" s="2">
        <v>0.35</v>
      </c>
      <c r="G7" s="2"/>
      <c r="H7" s="2">
        <v>0.05</v>
      </c>
      <c r="I7" s="2"/>
      <c r="J7" s="2">
        <v>0.2</v>
      </c>
      <c r="K7" s="2"/>
      <c r="L7" s="20" t="s">
        <v>66</v>
      </c>
      <c r="M7" t="s">
        <v>67</v>
      </c>
      <c r="N7" t="s">
        <v>67</v>
      </c>
      <c r="P7" s="2">
        <f t="shared" si="0"/>
        <v>1</v>
      </c>
    </row>
    <row r="8" spans="1:16" x14ac:dyDescent="0.2">
      <c r="A8" t="s">
        <v>8</v>
      </c>
      <c r="B8" s="20" t="s">
        <v>70</v>
      </c>
      <c r="C8" s="21">
        <v>0.1</v>
      </c>
      <c r="D8" s="2">
        <v>0.05</v>
      </c>
      <c r="E8" s="2">
        <v>0.2</v>
      </c>
      <c r="F8" s="2"/>
      <c r="G8" s="2"/>
      <c r="H8" s="2"/>
      <c r="I8" s="2">
        <v>0.3</v>
      </c>
      <c r="J8" s="2">
        <v>0.3</v>
      </c>
      <c r="K8" s="2">
        <v>0.05</v>
      </c>
      <c r="L8" s="20" t="s">
        <v>67</v>
      </c>
      <c r="M8" t="s">
        <v>67</v>
      </c>
      <c r="N8" t="s">
        <v>67</v>
      </c>
      <c r="P8" s="2">
        <f t="shared" si="0"/>
        <v>1</v>
      </c>
    </row>
    <row r="9" spans="1:16" x14ac:dyDescent="0.2">
      <c r="A9" t="s">
        <v>9</v>
      </c>
      <c r="B9" s="20" t="s">
        <v>70</v>
      </c>
      <c r="C9" s="21"/>
      <c r="D9" s="2"/>
      <c r="E9" s="2">
        <v>0.3</v>
      </c>
      <c r="F9" s="2">
        <v>0.35</v>
      </c>
      <c r="G9" s="2"/>
      <c r="H9" s="2">
        <v>0.05</v>
      </c>
      <c r="I9" s="2"/>
      <c r="J9" s="2">
        <v>0.25</v>
      </c>
      <c r="K9" s="2">
        <v>0.05</v>
      </c>
      <c r="L9" s="20" t="s">
        <v>66</v>
      </c>
      <c r="M9" t="s">
        <v>67</v>
      </c>
      <c r="N9" t="s">
        <v>67</v>
      </c>
      <c r="P9" s="2">
        <f t="shared" si="0"/>
        <v>1</v>
      </c>
    </row>
    <row r="10" spans="1:16" x14ac:dyDescent="0.2">
      <c r="A10" t="s">
        <v>10</v>
      </c>
      <c r="B10" s="20" t="s">
        <v>1</v>
      </c>
      <c r="C10" s="21">
        <v>0.2</v>
      </c>
      <c r="D10" s="2"/>
      <c r="E10" s="2">
        <v>0.3</v>
      </c>
      <c r="F10" s="2">
        <v>0.3</v>
      </c>
      <c r="G10" s="2"/>
      <c r="H10" s="2">
        <v>0.05</v>
      </c>
      <c r="I10" s="2">
        <v>0.05</v>
      </c>
      <c r="J10" s="2">
        <v>0.1</v>
      </c>
      <c r="K10" s="2"/>
      <c r="L10" s="20" t="s">
        <v>66</v>
      </c>
      <c r="M10" t="s">
        <v>66</v>
      </c>
      <c r="N10" t="s">
        <v>66</v>
      </c>
      <c r="P10" s="2">
        <f t="shared" si="0"/>
        <v>1.0000000000000002</v>
      </c>
    </row>
    <row r="11" spans="1:16" x14ac:dyDescent="0.2">
      <c r="A11" t="s">
        <v>11</v>
      </c>
      <c r="B11" s="20" t="s">
        <v>1</v>
      </c>
      <c r="C11" s="21">
        <v>0.15</v>
      </c>
      <c r="D11" s="2">
        <v>0.05</v>
      </c>
      <c r="E11" s="2">
        <v>0.4</v>
      </c>
      <c r="F11" s="2">
        <v>0.2</v>
      </c>
      <c r="G11" s="2">
        <v>0.05</v>
      </c>
      <c r="H11" s="2">
        <v>0.05</v>
      </c>
      <c r="I11" s="2">
        <v>0.05</v>
      </c>
      <c r="J11" s="2">
        <v>0.05</v>
      </c>
      <c r="K11" s="2"/>
      <c r="L11" s="20" t="s">
        <v>66</v>
      </c>
      <c r="M11" t="s">
        <v>66</v>
      </c>
      <c r="N11" t="s">
        <v>66</v>
      </c>
      <c r="P11" s="2">
        <f t="shared" si="0"/>
        <v>1.0000000000000002</v>
      </c>
    </row>
    <row r="12" spans="1:16" x14ac:dyDescent="0.2">
      <c r="A12" t="s">
        <v>12</v>
      </c>
      <c r="B12" s="20" t="s">
        <v>71</v>
      </c>
      <c r="C12" s="21"/>
      <c r="D12" s="2"/>
      <c r="E12" s="2">
        <v>0.25</v>
      </c>
      <c r="F12" s="2">
        <v>0.35</v>
      </c>
      <c r="G12" s="2"/>
      <c r="H12" s="2">
        <v>0.05</v>
      </c>
      <c r="I12" s="2">
        <v>0.05</v>
      </c>
      <c r="J12" s="2">
        <v>0.3</v>
      </c>
      <c r="K12" s="2"/>
      <c r="L12" s="20" t="s">
        <v>66</v>
      </c>
      <c r="M12" t="s">
        <v>67</v>
      </c>
      <c r="N12" t="s">
        <v>67</v>
      </c>
      <c r="P12" s="2">
        <f t="shared" si="0"/>
        <v>1</v>
      </c>
    </row>
    <row r="13" spans="1:16" x14ac:dyDescent="0.2">
      <c r="A13" t="s">
        <v>13</v>
      </c>
      <c r="B13" s="20" t="s">
        <v>68</v>
      </c>
      <c r="C13" s="21"/>
      <c r="D13" s="2"/>
      <c r="E13" s="2"/>
      <c r="F13" s="2"/>
      <c r="G13" s="2"/>
      <c r="H13" s="2"/>
      <c r="I13" s="2">
        <v>0.05</v>
      </c>
      <c r="J13" s="2">
        <v>0.9</v>
      </c>
      <c r="K13" s="2">
        <v>0.05</v>
      </c>
      <c r="L13" s="20" t="s">
        <v>66</v>
      </c>
      <c r="M13" t="s">
        <v>67</v>
      </c>
      <c r="N13" t="s">
        <v>68</v>
      </c>
      <c r="P13" s="2">
        <f t="shared" si="0"/>
        <v>1</v>
      </c>
    </row>
    <row r="14" spans="1:16" x14ac:dyDescent="0.2">
      <c r="A14" t="s">
        <v>14</v>
      </c>
      <c r="B14" s="20" t="s">
        <v>71</v>
      </c>
      <c r="C14" s="21">
        <v>0.2</v>
      </c>
      <c r="D14" s="2"/>
      <c r="E14" s="2">
        <v>0.2</v>
      </c>
      <c r="F14" s="2">
        <v>0.35</v>
      </c>
      <c r="G14" s="2"/>
      <c r="H14" s="2">
        <v>0.05</v>
      </c>
      <c r="I14" s="2"/>
      <c r="J14" s="2">
        <v>0.2</v>
      </c>
      <c r="K14" s="2"/>
      <c r="L14" s="20" t="s">
        <v>66</v>
      </c>
      <c r="M14" t="s">
        <v>67</v>
      </c>
      <c r="N14" t="s">
        <v>67</v>
      </c>
      <c r="P14" s="2">
        <f t="shared" si="0"/>
        <v>1</v>
      </c>
    </row>
    <row r="15" spans="1:16" x14ac:dyDescent="0.2">
      <c r="A15" t="s">
        <v>15</v>
      </c>
      <c r="B15" s="20" t="s">
        <v>70</v>
      </c>
      <c r="C15" s="21">
        <v>0.2</v>
      </c>
      <c r="D15" s="2"/>
      <c r="E15" s="2">
        <v>0.2</v>
      </c>
      <c r="F15" s="2">
        <v>0.35</v>
      </c>
      <c r="G15" s="2"/>
      <c r="H15" s="2">
        <v>0.05</v>
      </c>
      <c r="I15" s="2"/>
      <c r="J15" s="2">
        <v>0.2</v>
      </c>
      <c r="K15" s="2"/>
      <c r="L15" s="20" t="s">
        <v>66</v>
      </c>
      <c r="M15" t="s">
        <v>67</v>
      </c>
      <c r="N15" t="s">
        <v>66</v>
      </c>
      <c r="P15" s="2">
        <f t="shared" si="0"/>
        <v>1</v>
      </c>
    </row>
    <row r="16" spans="1:16" x14ac:dyDescent="0.2">
      <c r="A16" t="s">
        <v>16</v>
      </c>
      <c r="B16" s="20" t="s">
        <v>1</v>
      </c>
      <c r="C16" s="21">
        <v>0.2</v>
      </c>
      <c r="D16" s="2"/>
      <c r="E16" s="2">
        <v>0.2</v>
      </c>
      <c r="F16" s="2">
        <v>0.35</v>
      </c>
      <c r="G16" s="2"/>
      <c r="H16" s="2">
        <v>0.05</v>
      </c>
      <c r="I16" s="2"/>
      <c r="J16" s="2">
        <v>0.2</v>
      </c>
      <c r="K16" s="2"/>
      <c r="L16" s="20" t="s">
        <v>66</v>
      </c>
      <c r="M16" t="s">
        <v>66</v>
      </c>
      <c r="N16" t="s">
        <v>66</v>
      </c>
      <c r="P16" s="2">
        <f t="shared" si="0"/>
        <v>1</v>
      </c>
    </row>
    <row r="17" spans="1:16" x14ac:dyDescent="0.2">
      <c r="A17" t="s">
        <v>17</v>
      </c>
      <c r="B17" s="20" t="s">
        <v>70</v>
      </c>
      <c r="C17" s="21">
        <v>0.1</v>
      </c>
      <c r="D17" s="2">
        <v>0.05</v>
      </c>
      <c r="E17" s="2">
        <v>0.3</v>
      </c>
      <c r="F17" s="2">
        <v>0.2</v>
      </c>
      <c r="G17" s="2"/>
      <c r="H17" s="2">
        <v>0.05</v>
      </c>
      <c r="I17" s="2">
        <v>0.05</v>
      </c>
      <c r="J17" s="2">
        <v>0.2</v>
      </c>
      <c r="K17" s="2">
        <v>0.05</v>
      </c>
      <c r="L17" s="20" t="s">
        <v>66</v>
      </c>
      <c r="M17" t="s">
        <v>67</v>
      </c>
      <c r="N17" t="s">
        <v>67</v>
      </c>
      <c r="P17" s="2">
        <f t="shared" si="0"/>
        <v>1.0000000000000002</v>
      </c>
    </row>
    <row r="18" spans="1:16" x14ac:dyDescent="0.2">
      <c r="A18" t="s">
        <v>18</v>
      </c>
      <c r="B18" s="20" t="s">
        <v>2</v>
      </c>
      <c r="C18" s="21">
        <v>0.1</v>
      </c>
      <c r="D18" s="2">
        <v>0.1</v>
      </c>
      <c r="E18" s="2">
        <v>0.55000000000000004</v>
      </c>
      <c r="F18" s="2"/>
      <c r="G18" s="2"/>
      <c r="H18" s="2">
        <v>0.05</v>
      </c>
      <c r="I18" s="2"/>
      <c r="J18" s="2">
        <v>0.2</v>
      </c>
      <c r="K18" s="2"/>
      <c r="L18" s="20" t="s">
        <v>66</v>
      </c>
      <c r="M18" t="s">
        <v>67</v>
      </c>
      <c r="N18" t="s">
        <v>66</v>
      </c>
      <c r="P18" s="2">
        <f t="shared" si="0"/>
        <v>1</v>
      </c>
    </row>
    <row r="19" spans="1:16" x14ac:dyDescent="0.2">
      <c r="A19" t="s">
        <v>19</v>
      </c>
      <c r="B19" s="20" t="s">
        <v>1</v>
      </c>
      <c r="C19" s="21">
        <v>0.2</v>
      </c>
      <c r="D19" s="2"/>
      <c r="E19" s="2">
        <v>0.2</v>
      </c>
      <c r="F19" s="2">
        <v>0.35</v>
      </c>
      <c r="G19" s="2"/>
      <c r="H19" s="2">
        <v>0.05</v>
      </c>
      <c r="I19" s="2"/>
      <c r="J19" s="2">
        <v>0.2</v>
      </c>
      <c r="K19" s="2"/>
      <c r="L19" s="20" t="s">
        <v>66</v>
      </c>
      <c r="M19" t="s">
        <v>66</v>
      </c>
      <c r="N19" t="s">
        <v>67</v>
      </c>
      <c r="P19" s="2">
        <f t="shared" si="0"/>
        <v>1</v>
      </c>
    </row>
    <row r="20" spans="1:16" x14ac:dyDescent="0.2">
      <c r="A20" t="s">
        <v>20</v>
      </c>
      <c r="B20" s="20" t="s">
        <v>1</v>
      </c>
      <c r="C20" s="21">
        <v>0.2</v>
      </c>
      <c r="D20" s="2"/>
      <c r="E20" s="2">
        <v>0.2</v>
      </c>
      <c r="F20" s="2">
        <v>0.35</v>
      </c>
      <c r="G20" s="2"/>
      <c r="H20" s="2">
        <v>0.05</v>
      </c>
      <c r="I20" s="2"/>
      <c r="J20" s="2">
        <v>0.2</v>
      </c>
      <c r="K20" s="2"/>
      <c r="L20" s="20" t="s">
        <v>66</v>
      </c>
      <c r="M20" t="s">
        <v>66</v>
      </c>
      <c r="N20" t="s">
        <v>67</v>
      </c>
      <c r="P20" s="2">
        <f t="shared" si="0"/>
        <v>1</v>
      </c>
    </row>
    <row r="21" spans="1:16" x14ac:dyDescent="0.2">
      <c r="A21" t="s">
        <v>21</v>
      </c>
      <c r="B21" s="20" t="s">
        <v>72</v>
      </c>
      <c r="C21" s="21">
        <v>0.2</v>
      </c>
      <c r="D21" s="2"/>
      <c r="E21" s="2">
        <v>0.2</v>
      </c>
      <c r="F21" s="2">
        <v>0.35</v>
      </c>
      <c r="G21" s="2"/>
      <c r="H21" s="2">
        <v>0.05</v>
      </c>
      <c r="I21" s="2"/>
      <c r="J21" s="2">
        <v>0.2</v>
      </c>
      <c r="K21" s="2"/>
      <c r="L21" s="20" t="s">
        <v>66</v>
      </c>
      <c r="M21" t="s">
        <v>67</v>
      </c>
      <c r="N21" t="s">
        <v>67</v>
      </c>
      <c r="P21" s="2">
        <f t="shared" si="0"/>
        <v>1</v>
      </c>
    </row>
    <row r="22" spans="1:16" x14ac:dyDescent="0.2">
      <c r="A22" t="s">
        <v>22</v>
      </c>
      <c r="B22" s="20" t="s">
        <v>70</v>
      </c>
      <c r="C22" s="21">
        <v>0.2</v>
      </c>
      <c r="D22" s="2"/>
      <c r="E22" s="2">
        <v>0.2</v>
      </c>
      <c r="F22" s="2">
        <v>0.35</v>
      </c>
      <c r="G22" s="2"/>
      <c r="H22" s="2">
        <v>0.05</v>
      </c>
      <c r="I22" s="2"/>
      <c r="J22" s="2">
        <v>0.2</v>
      </c>
      <c r="K22" s="2"/>
      <c r="L22" s="20" t="s">
        <v>66</v>
      </c>
      <c r="M22" t="s">
        <v>67</v>
      </c>
      <c r="N22" t="s">
        <v>66</v>
      </c>
      <c r="P22" s="2">
        <f t="shared" si="0"/>
        <v>1</v>
      </c>
    </row>
    <row r="23" spans="1:16" x14ac:dyDescent="0.2">
      <c r="A23" t="s">
        <v>23</v>
      </c>
      <c r="B23" s="20" t="s">
        <v>70</v>
      </c>
      <c r="C23" s="21">
        <v>0.2</v>
      </c>
      <c r="D23" s="2"/>
      <c r="E23" s="2">
        <v>0.2</v>
      </c>
      <c r="F23" s="2">
        <v>0.35</v>
      </c>
      <c r="G23" s="2"/>
      <c r="H23" s="2">
        <v>0.05</v>
      </c>
      <c r="I23" s="2"/>
      <c r="J23" s="2">
        <v>0.2</v>
      </c>
      <c r="K23" s="2"/>
      <c r="L23" s="20" t="s">
        <v>66</v>
      </c>
      <c r="M23" t="s">
        <v>67</v>
      </c>
      <c r="N23" t="s">
        <v>66</v>
      </c>
      <c r="P23" s="2">
        <f t="shared" si="0"/>
        <v>1</v>
      </c>
    </row>
    <row r="24" spans="1:16" x14ac:dyDescent="0.2">
      <c r="A24" t="s">
        <v>24</v>
      </c>
      <c r="B24" s="20" t="s">
        <v>71</v>
      </c>
      <c r="C24" s="21">
        <v>0.2</v>
      </c>
      <c r="D24" s="2"/>
      <c r="E24" s="2">
        <v>0.2</v>
      </c>
      <c r="F24" s="2">
        <v>0.35</v>
      </c>
      <c r="G24" s="2"/>
      <c r="H24" s="2">
        <v>0.05</v>
      </c>
      <c r="I24" s="2"/>
      <c r="J24" s="2">
        <v>0.2</v>
      </c>
      <c r="K24" s="2"/>
      <c r="L24" s="20" t="s">
        <v>66</v>
      </c>
      <c r="M24" t="s">
        <v>67</v>
      </c>
      <c r="N24" t="s">
        <v>67</v>
      </c>
      <c r="P24" s="2">
        <f t="shared" si="0"/>
        <v>1</v>
      </c>
    </row>
    <row r="25" spans="1:16" x14ac:dyDescent="0.2">
      <c r="A25" t="s">
        <v>25</v>
      </c>
      <c r="B25" s="20" t="s">
        <v>1</v>
      </c>
      <c r="C25" s="21">
        <v>0.2</v>
      </c>
      <c r="D25" s="2"/>
      <c r="E25" s="2">
        <v>0.2</v>
      </c>
      <c r="F25" s="2">
        <v>0.35</v>
      </c>
      <c r="G25" s="2"/>
      <c r="H25" s="2">
        <v>0.05</v>
      </c>
      <c r="I25" s="2"/>
      <c r="J25" s="2">
        <v>0.2</v>
      </c>
      <c r="K25" s="2"/>
      <c r="L25" s="20" t="s">
        <v>66</v>
      </c>
      <c r="M25" t="s">
        <v>66</v>
      </c>
      <c r="N25" t="s">
        <v>67</v>
      </c>
      <c r="P25" s="2">
        <f t="shared" si="0"/>
        <v>1</v>
      </c>
    </row>
    <row r="26" spans="1:16" x14ac:dyDescent="0.2">
      <c r="A26" t="s">
        <v>26</v>
      </c>
      <c r="B26" s="20" t="s">
        <v>70</v>
      </c>
      <c r="C26" s="21">
        <v>0.2</v>
      </c>
      <c r="D26" s="2"/>
      <c r="E26" s="2">
        <v>0.2</v>
      </c>
      <c r="F26" s="2">
        <v>0.35</v>
      </c>
      <c r="G26" s="2"/>
      <c r="H26" s="2">
        <v>0.05</v>
      </c>
      <c r="I26" s="2"/>
      <c r="J26" s="2">
        <v>0.2</v>
      </c>
      <c r="K26" s="2"/>
      <c r="L26" s="20" t="s">
        <v>66</v>
      </c>
      <c r="M26" t="s">
        <v>67</v>
      </c>
      <c r="N26" t="s">
        <v>67</v>
      </c>
      <c r="P26" s="2">
        <f t="shared" si="0"/>
        <v>1</v>
      </c>
    </row>
    <row r="27" spans="1:16" x14ac:dyDescent="0.2">
      <c r="A27" t="s">
        <v>27</v>
      </c>
      <c r="B27" s="20" t="s">
        <v>72</v>
      </c>
      <c r="C27" s="21">
        <v>0.2</v>
      </c>
      <c r="D27" s="2"/>
      <c r="E27" s="2">
        <v>0.2</v>
      </c>
      <c r="F27" s="2">
        <v>0.35</v>
      </c>
      <c r="G27" s="2"/>
      <c r="H27" s="2">
        <v>0.05</v>
      </c>
      <c r="I27" s="2"/>
      <c r="J27" s="2">
        <v>0.2</v>
      </c>
      <c r="K27" s="2"/>
      <c r="L27" s="20" t="s">
        <v>66</v>
      </c>
      <c r="M27" t="s">
        <v>66</v>
      </c>
      <c r="N27" t="s">
        <v>67</v>
      </c>
      <c r="P27" s="2">
        <f t="shared" si="0"/>
        <v>1</v>
      </c>
    </row>
    <row r="28" spans="1:16" x14ac:dyDescent="0.2">
      <c r="A28" t="s">
        <v>28</v>
      </c>
      <c r="B28" s="20" t="s">
        <v>2</v>
      </c>
      <c r="C28" s="21">
        <v>0.2</v>
      </c>
      <c r="D28" s="2"/>
      <c r="E28" s="2">
        <v>0.2</v>
      </c>
      <c r="F28" s="2">
        <v>0.35</v>
      </c>
      <c r="G28" s="2"/>
      <c r="H28" s="2">
        <v>0.05</v>
      </c>
      <c r="I28" s="2"/>
      <c r="J28" s="2">
        <v>0.2</v>
      </c>
      <c r="K28" s="2"/>
      <c r="L28" s="20" t="s">
        <v>66</v>
      </c>
      <c r="M28" t="s">
        <v>66</v>
      </c>
      <c r="N28" t="s">
        <v>66</v>
      </c>
      <c r="P28" s="2">
        <f t="shared" si="0"/>
        <v>1</v>
      </c>
    </row>
    <row r="29" spans="1:16" x14ac:dyDescent="0.2">
      <c r="A29" t="s">
        <v>29</v>
      </c>
      <c r="B29" s="20" t="s">
        <v>1</v>
      </c>
      <c r="C29" s="21">
        <v>0.2</v>
      </c>
      <c r="D29" s="2"/>
      <c r="E29" s="2">
        <v>0.2</v>
      </c>
      <c r="F29" s="2">
        <v>0.35</v>
      </c>
      <c r="G29" s="2"/>
      <c r="H29" s="2">
        <v>0.05</v>
      </c>
      <c r="I29" s="2"/>
      <c r="J29" s="2">
        <v>0.2</v>
      </c>
      <c r="K29" s="2"/>
      <c r="L29" s="20" t="s">
        <v>66</v>
      </c>
      <c r="M29" t="s">
        <v>66</v>
      </c>
      <c r="N29" t="s">
        <v>67</v>
      </c>
      <c r="P29" s="2">
        <f t="shared" si="0"/>
        <v>1</v>
      </c>
    </row>
    <row r="30" spans="1:16" x14ac:dyDescent="0.2">
      <c r="A30" t="s">
        <v>30</v>
      </c>
      <c r="B30" s="20" t="s">
        <v>1</v>
      </c>
      <c r="C30" s="21">
        <v>0.2</v>
      </c>
      <c r="D30" s="2"/>
      <c r="E30" s="2">
        <v>0.2</v>
      </c>
      <c r="F30" s="2">
        <v>0.35</v>
      </c>
      <c r="G30" s="2"/>
      <c r="H30" s="2">
        <v>0.05</v>
      </c>
      <c r="I30" s="2"/>
      <c r="J30" s="2">
        <v>0.2</v>
      </c>
      <c r="K30" s="2"/>
      <c r="L30" s="20" t="s">
        <v>66</v>
      </c>
      <c r="M30" t="s">
        <v>66</v>
      </c>
      <c r="N30" t="s">
        <v>67</v>
      </c>
      <c r="P30" s="2">
        <f t="shared" si="0"/>
        <v>1</v>
      </c>
    </row>
    <row r="31" spans="1:16" x14ac:dyDescent="0.2">
      <c r="A31" t="s">
        <v>31</v>
      </c>
      <c r="B31" s="20" t="s">
        <v>1</v>
      </c>
      <c r="C31" s="21">
        <v>0.2</v>
      </c>
      <c r="D31" s="2"/>
      <c r="E31" s="2">
        <v>0.2</v>
      </c>
      <c r="F31" s="2">
        <v>0.35</v>
      </c>
      <c r="G31" s="2"/>
      <c r="H31" s="2">
        <v>0.05</v>
      </c>
      <c r="I31" s="2"/>
      <c r="J31" s="2">
        <v>0.2</v>
      </c>
      <c r="K31" s="2"/>
      <c r="L31" s="20" t="s">
        <v>66</v>
      </c>
      <c r="M31" t="s">
        <v>66</v>
      </c>
      <c r="N31" t="s">
        <v>67</v>
      </c>
      <c r="P31" s="2">
        <f t="shared" si="0"/>
        <v>1</v>
      </c>
    </row>
    <row r="32" spans="1:16" x14ac:dyDescent="0.2">
      <c r="A32" t="s">
        <v>32</v>
      </c>
      <c r="B32" s="20" t="s">
        <v>71</v>
      </c>
      <c r="C32" s="21">
        <v>0.2</v>
      </c>
      <c r="D32" s="2"/>
      <c r="E32" s="2">
        <v>0.2</v>
      </c>
      <c r="F32" s="2">
        <v>0.35</v>
      </c>
      <c r="G32" s="2"/>
      <c r="H32" s="2">
        <v>0.05</v>
      </c>
      <c r="I32" s="2"/>
      <c r="J32" s="2">
        <v>0.2</v>
      </c>
      <c r="K32" s="2"/>
      <c r="L32" s="20" t="s">
        <v>66</v>
      </c>
      <c r="M32" t="s">
        <v>67</v>
      </c>
      <c r="N32" t="s">
        <v>67</v>
      </c>
      <c r="P32" s="2">
        <f t="shared" si="0"/>
        <v>1</v>
      </c>
    </row>
    <row r="33" spans="1:16" x14ac:dyDescent="0.2">
      <c r="A33" t="s">
        <v>33</v>
      </c>
      <c r="B33" s="20" t="s">
        <v>2</v>
      </c>
      <c r="C33" s="21">
        <v>0.2</v>
      </c>
      <c r="D33" s="2"/>
      <c r="E33" s="2">
        <v>0.2</v>
      </c>
      <c r="F33" s="2">
        <v>0.35</v>
      </c>
      <c r="G33" s="2"/>
      <c r="H33" s="2">
        <v>0.05</v>
      </c>
      <c r="I33" s="2"/>
      <c r="J33" s="2">
        <v>0.2</v>
      </c>
      <c r="K33" s="2"/>
      <c r="L33" s="20" t="s">
        <v>66</v>
      </c>
      <c r="M33" t="s">
        <v>66</v>
      </c>
      <c r="N33" t="s">
        <v>66</v>
      </c>
      <c r="P33" s="2">
        <f t="shared" si="0"/>
        <v>1</v>
      </c>
    </row>
    <row r="34" spans="1:16" x14ac:dyDescent="0.2">
      <c r="A34" t="s">
        <v>34</v>
      </c>
      <c r="B34" s="20" t="s">
        <v>70</v>
      </c>
      <c r="C34" s="21">
        <v>0.2</v>
      </c>
      <c r="D34" s="2"/>
      <c r="E34" s="2">
        <v>0.2</v>
      </c>
      <c r="F34" s="2">
        <v>0.35</v>
      </c>
      <c r="G34" s="2"/>
      <c r="H34" s="2">
        <v>0.05</v>
      </c>
      <c r="I34" s="2"/>
      <c r="J34" s="2">
        <v>0.2</v>
      </c>
      <c r="K34" s="2"/>
      <c r="L34" s="20" t="s">
        <v>66</v>
      </c>
      <c r="M34" t="s">
        <v>67</v>
      </c>
      <c r="N34" t="s">
        <v>67</v>
      </c>
      <c r="P34" s="2">
        <f t="shared" si="0"/>
        <v>1</v>
      </c>
    </row>
    <row r="35" spans="1:16" x14ac:dyDescent="0.2">
      <c r="A35" t="s">
        <v>35</v>
      </c>
      <c r="B35" s="20" t="s">
        <v>70</v>
      </c>
      <c r="C35" s="21">
        <v>0.2</v>
      </c>
      <c r="D35" s="2"/>
      <c r="E35" s="2">
        <v>0.2</v>
      </c>
      <c r="F35" s="2">
        <v>0.35</v>
      </c>
      <c r="G35" s="2"/>
      <c r="H35" s="2">
        <v>0.05</v>
      </c>
      <c r="I35" s="2"/>
      <c r="J35" s="2">
        <v>0.2</v>
      </c>
      <c r="K35" s="2"/>
      <c r="L35" s="20" t="s">
        <v>66</v>
      </c>
      <c r="M35" t="s">
        <v>67</v>
      </c>
      <c r="N35" t="s">
        <v>66</v>
      </c>
      <c r="P35" s="2">
        <f t="shared" si="0"/>
        <v>1</v>
      </c>
    </row>
    <row r="36" spans="1:16" x14ac:dyDescent="0.2">
      <c r="A36" t="s">
        <v>36</v>
      </c>
      <c r="B36" s="20" t="s">
        <v>70</v>
      </c>
      <c r="C36" s="21">
        <v>0.2</v>
      </c>
      <c r="D36" s="2"/>
      <c r="E36" s="2">
        <v>0.2</v>
      </c>
      <c r="F36" s="2">
        <v>0.35</v>
      </c>
      <c r="G36" s="2"/>
      <c r="H36" s="2">
        <v>0.05</v>
      </c>
      <c r="I36" s="2"/>
      <c r="J36" s="2">
        <v>0.2</v>
      </c>
      <c r="K36" s="2"/>
      <c r="L36" s="20" t="s">
        <v>66</v>
      </c>
      <c r="M36" t="s">
        <v>67</v>
      </c>
      <c r="N36" t="s">
        <v>67</v>
      </c>
      <c r="P36" s="2">
        <f t="shared" si="0"/>
        <v>1</v>
      </c>
    </row>
    <row r="37" spans="1:16" x14ac:dyDescent="0.2">
      <c r="A37" t="s">
        <v>37</v>
      </c>
      <c r="B37" s="20" t="s">
        <v>70</v>
      </c>
      <c r="C37" s="21">
        <v>0.2</v>
      </c>
      <c r="D37" s="2"/>
      <c r="E37" s="2">
        <v>0.2</v>
      </c>
      <c r="F37" s="2">
        <v>0.35</v>
      </c>
      <c r="G37" s="2"/>
      <c r="H37" s="2">
        <v>0.05</v>
      </c>
      <c r="I37" s="2"/>
      <c r="J37" s="2">
        <v>0.2</v>
      </c>
      <c r="K37" s="2"/>
      <c r="L37" s="20" t="s">
        <v>66</v>
      </c>
      <c r="M37" t="s">
        <v>67</v>
      </c>
      <c r="N37" t="s">
        <v>67</v>
      </c>
      <c r="P37" s="2">
        <f t="shared" si="0"/>
        <v>1</v>
      </c>
    </row>
    <row r="38" spans="1:16" x14ac:dyDescent="0.2">
      <c r="A38" t="s">
        <v>38</v>
      </c>
      <c r="B38" s="20" t="s">
        <v>70</v>
      </c>
      <c r="C38" s="21">
        <v>0.2</v>
      </c>
      <c r="D38" s="2"/>
      <c r="E38" s="2">
        <v>0.2</v>
      </c>
      <c r="F38" s="2">
        <v>0.35</v>
      </c>
      <c r="G38" s="2"/>
      <c r="H38" s="2">
        <v>0.05</v>
      </c>
      <c r="I38" s="2"/>
      <c r="J38" s="2">
        <v>0.2</v>
      </c>
      <c r="K38" s="2"/>
      <c r="L38" s="20" t="s">
        <v>66</v>
      </c>
      <c r="M38" t="s">
        <v>67</v>
      </c>
      <c r="N38" t="s">
        <v>67</v>
      </c>
      <c r="P38" s="2">
        <f t="shared" si="0"/>
        <v>1</v>
      </c>
    </row>
    <row r="39" spans="1:16" x14ac:dyDescent="0.2">
      <c r="A39" t="s">
        <v>39</v>
      </c>
      <c r="B39" s="20" t="s">
        <v>71</v>
      </c>
      <c r="C39" s="21">
        <v>0.2</v>
      </c>
      <c r="D39" s="2"/>
      <c r="E39" s="2">
        <v>0.2</v>
      </c>
      <c r="F39" s="2">
        <v>0.35</v>
      </c>
      <c r="G39" s="2"/>
      <c r="H39" s="2">
        <v>0.05</v>
      </c>
      <c r="I39" s="2"/>
      <c r="J39" s="2">
        <v>0.2</v>
      </c>
      <c r="K39" s="2"/>
      <c r="L39" s="20" t="s">
        <v>66</v>
      </c>
      <c r="M39" t="s">
        <v>67</v>
      </c>
      <c r="N39" t="s">
        <v>67</v>
      </c>
      <c r="P39" s="2">
        <f t="shared" si="0"/>
        <v>1</v>
      </c>
    </row>
    <row r="40" spans="1:16" x14ac:dyDescent="0.2">
      <c r="A40" t="s">
        <v>40</v>
      </c>
      <c r="B40" s="20" t="s">
        <v>70</v>
      </c>
      <c r="C40" s="21">
        <v>0.2</v>
      </c>
      <c r="D40" s="2"/>
      <c r="E40" s="2">
        <v>0.2</v>
      </c>
      <c r="F40" s="2">
        <v>0.35</v>
      </c>
      <c r="G40" s="2"/>
      <c r="H40" s="2">
        <v>0.05</v>
      </c>
      <c r="I40" s="2"/>
      <c r="J40" s="2">
        <v>0.2</v>
      </c>
      <c r="K40" s="2"/>
      <c r="L40" s="20" t="s">
        <v>66</v>
      </c>
      <c r="M40" t="s">
        <v>67</v>
      </c>
      <c r="N40" t="s">
        <v>66</v>
      </c>
      <c r="P40" s="2">
        <f t="shared" si="0"/>
        <v>1</v>
      </c>
    </row>
    <row r="41" spans="1:16" x14ac:dyDescent="0.2">
      <c r="A41" t="s">
        <v>41</v>
      </c>
      <c r="B41" s="20" t="s">
        <v>70</v>
      </c>
      <c r="C41" s="21">
        <v>0.2</v>
      </c>
      <c r="D41" s="2"/>
      <c r="E41" s="2">
        <v>0.2</v>
      </c>
      <c r="F41" s="2">
        <v>0.35</v>
      </c>
      <c r="G41" s="2"/>
      <c r="H41" s="2">
        <v>0.05</v>
      </c>
      <c r="I41" s="2"/>
      <c r="J41" s="2">
        <v>0.2</v>
      </c>
      <c r="K41" s="2"/>
      <c r="L41" s="20" t="s">
        <v>67</v>
      </c>
      <c r="M41" t="s">
        <v>67</v>
      </c>
      <c r="N41" t="s">
        <v>67</v>
      </c>
      <c r="P41" s="2">
        <f t="shared" si="0"/>
        <v>1</v>
      </c>
    </row>
    <row r="42" spans="1:16" x14ac:dyDescent="0.2">
      <c r="A42" t="s">
        <v>42</v>
      </c>
      <c r="B42" s="20" t="s">
        <v>71</v>
      </c>
      <c r="C42" s="21">
        <v>0.2</v>
      </c>
      <c r="D42" s="2"/>
      <c r="E42" s="2">
        <v>0.2</v>
      </c>
      <c r="F42" s="2">
        <v>0.35</v>
      </c>
      <c r="G42" s="2"/>
      <c r="H42" s="2">
        <v>0.05</v>
      </c>
      <c r="I42" s="2"/>
      <c r="J42" s="2">
        <v>0.2</v>
      </c>
      <c r="K42" s="2"/>
      <c r="L42" s="20" t="s">
        <v>67</v>
      </c>
      <c r="M42" t="s">
        <v>67</v>
      </c>
      <c r="N42" t="s">
        <v>67</v>
      </c>
      <c r="P42" s="2">
        <f t="shared" si="0"/>
        <v>1</v>
      </c>
    </row>
    <row r="43" spans="1:16" x14ac:dyDescent="0.2">
      <c r="A43" t="s">
        <v>43</v>
      </c>
      <c r="B43" s="20" t="s">
        <v>2</v>
      </c>
      <c r="C43" s="21">
        <v>0.2</v>
      </c>
      <c r="D43" s="2"/>
      <c r="E43" s="2">
        <v>0.2</v>
      </c>
      <c r="F43" s="2">
        <v>0.35</v>
      </c>
      <c r="G43" s="2"/>
      <c r="H43" s="2">
        <v>0.05</v>
      </c>
      <c r="I43" s="2"/>
      <c r="J43" s="2">
        <v>0.2</v>
      </c>
      <c r="K43" s="2"/>
      <c r="L43" s="20" t="s">
        <v>66</v>
      </c>
      <c r="M43" t="s">
        <v>66</v>
      </c>
      <c r="N43" t="s">
        <v>66</v>
      </c>
      <c r="P43" s="2">
        <f t="shared" si="0"/>
        <v>1</v>
      </c>
    </row>
    <row r="44" spans="1:16" x14ac:dyDescent="0.2">
      <c r="A44" t="s">
        <v>44</v>
      </c>
      <c r="B44" s="20" t="s">
        <v>71</v>
      </c>
      <c r="C44" s="21">
        <v>0.2</v>
      </c>
      <c r="D44" s="2"/>
      <c r="E44" s="2">
        <v>0.2</v>
      </c>
      <c r="F44" s="2">
        <v>0.35</v>
      </c>
      <c r="G44" s="2"/>
      <c r="H44" s="2">
        <v>0.05</v>
      </c>
      <c r="I44" s="2"/>
      <c r="J44" s="2">
        <v>0.2</v>
      </c>
      <c r="K44" s="2"/>
      <c r="L44" s="20" t="s">
        <v>66</v>
      </c>
      <c r="M44" t="s">
        <v>67</v>
      </c>
      <c r="N44" t="s">
        <v>67</v>
      </c>
      <c r="P44" s="2">
        <f t="shared" si="0"/>
        <v>1</v>
      </c>
    </row>
    <row r="45" spans="1:16" x14ac:dyDescent="0.2">
      <c r="A45" t="s">
        <v>45</v>
      </c>
      <c r="B45" s="20" t="s">
        <v>1</v>
      </c>
      <c r="C45" s="21">
        <v>0.2</v>
      </c>
      <c r="D45" s="2"/>
      <c r="E45" s="2">
        <v>0.2</v>
      </c>
      <c r="F45" s="2">
        <v>0.35</v>
      </c>
      <c r="G45" s="2"/>
      <c r="H45" s="2">
        <v>0.05</v>
      </c>
      <c r="I45" s="2"/>
      <c r="J45" s="2">
        <v>0.2</v>
      </c>
      <c r="K45" s="2"/>
      <c r="L45" s="20" t="s">
        <v>66</v>
      </c>
      <c r="M45" t="s">
        <v>66</v>
      </c>
      <c r="N45" t="s">
        <v>66</v>
      </c>
      <c r="P45" s="2">
        <f t="shared" si="0"/>
        <v>1</v>
      </c>
    </row>
    <row r="46" spans="1:16" x14ac:dyDescent="0.2">
      <c r="A46" t="s">
        <v>46</v>
      </c>
      <c r="B46" s="20" t="s">
        <v>70</v>
      </c>
      <c r="C46" s="21">
        <v>0.2</v>
      </c>
      <c r="D46" s="2"/>
      <c r="E46" s="2">
        <v>0.2</v>
      </c>
      <c r="F46" s="2">
        <v>0.35</v>
      </c>
      <c r="G46" s="2"/>
      <c r="H46" s="2">
        <v>0.05</v>
      </c>
      <c r="I46" s="2"/>
      <c r="J46" s="2">
        <v>0.2</v>
      </c>
      <c r="K46" s="2"/>
      <c r="L46" s="20" t="s">
        <v>66</v>
      </c>
      <c r="M46" t="s">
        <v>67</v>
      </c>
      <c r="N46" t="s">
        <v>67</v>
      </c>
      <c r="P46" s="2">
        <f t="shared" si="0"/>
        <v>1</v>
      </c>
    </row>
    <row r="47" spans="1:16" x14ac:dyDescent="0.2">
      <c r="A47" t="s">
        <v>47</v>
      </c>
      <c r="B47" s="20" t="s">
        <v>70</v>
      </c>
      <c r="C47" s="21">
        <v>0.2</v>
      </c>
      <c r="D47" s="2"/>
      <c r="E47" s="2">
        <v>0.2</v>
      </c>
      <c r="F47" s="2">
        <v>0.35</v>
      </c>
      <c r="G47" s="2"/>
      <c r="H47" s="2">
        <v>0.05</v>
      </c>
      <c r="I47" s="2"/>
      <c r="J47" s="2">
        <v>0.2</v>
      </c>
      <c r="K47" s="2"/>
      <c r="L47" s="20" t="s">
        <v>66</v>
      </c>
      <c r="M47" t="s">
        <v>67</v>
      </c>
      <c r="N47" t="s">
        <v>67</v>
      </c>
      <c r="P47" s="2">
        <f t="shared" si="0"/>
        <v>1</v>
      </c>
    </row>
    <row r="48" spans="1:16" x14ac:dyDescent="0.2">
      <c r="A48" t="s">
        <v>48</v>
      </c>
      <c r="B48" s="20" t="s">
        <v>70</v>
      </c>
      <c r="C48" s="21">
        <v>0.2</v>
      </c>
      <c r="D48" s="2"/>
      <c r="E48" s="2">
        <v>0.2</v>
      </c>
      <c r="F48" s="2">
        <v>0.35</v>
      </c>
      <c r="G48" s="2"/>
      <c r="H48" s="2">
        <v>0.05</v>
      </c>
      <c r="I48" s="2"/>
      <c r="J48" s="2">
        <v>0.2</v>
      </c>
      <c r="K48" s="2"/>
      <c r="L48" s="20" t="s">
        <v>66</v>
      </c>
      <c r="M48" t="s">
        <v>67</v>
      </c>
      <c r="N48" t="s">
        <v>67</v>
      </c>
      <c r="P48" s="2">
        <f t="shared" si="0"/>
        <v>1</v>
      </c>
    </row>
    <row r="49" spans="1:16" x14ac:dyDescent="0.2">
      <c r="A49" t="s">
        <v>49</v>
      </c>
      <c r="B49" s="20" t="s">
        <v>70</v>
      </c>
      <c r="C49" s="21">
        <v>0.2</v>
      </c>
      <c r="D49" s="2"/>
      <c r="E49" s="2">
        <v>0.2</v>
      </c>
      <c r="F49" s="2">
        <v>0.35</v>
      </c>
      <c r="G49" s="2"/>
      <c r="H49" s="2">
        <v>0.05</v>
      </c>
      <c r="I49" s="2"/>
      <c r="J49" s="2">
        <v>0.2</v>
      </c>
      <c r="K49" s="2"/>
      <c r="L49" s="20" t="s">
        <v>66</v>
      </c>
      <c r="M49" t="s">
        <v>67</v>
      </c>
      <c r="N49" t="s">
        <v>67</v>
      </c>
      <c r="P49" s="2">
        <f t="shared" si="0"/>
        <v>1</v>
      </c>
    </row>
    <row r="50" spans="1:16" x14ac:dyDescent="0.2">
      <c r="A50" t="s">
        <v>50</v>
      </c>
      <c r="B50" s="20" t="s">
        <v>70</v>
      </c>
      <c r="C50" s="21">
        <v>0.2</v>
      </c>
      <c r="D50" s="2"/>
      <c r="E50" s="2">
        <v>0.2</v>
      </c>
      <c r="F50" s="2">
        <v>0.35</v>
      </c>
      <c r="G50" s="2"/>
      <c r="H50" s="2">
        <v>0.05</v>
      </c>
      <c r="I50" s="2"/>
      <c r="J50" s="2">
        <v>0.2</v>
      </c>
      <c r="K50" s="2"/>
      <c r="L50" s="20" t="s">
        <v>67</v>
      </c>
      <c r="M50" t="s">
        <v>67</v>
      </c>
      <c r="N50" t="s">
        <v>67</v>
      </c>
      <c r="P50" s="2">
        <f t="shared" si="0"/>
        <v>1</v>
      </c>
    </row>
    <row r="51" spans="1:16" x14ac:dyDescent="0.2">
      <c r="A51" t="s">
        <v>51</v>
      </c>
      <c r="B51" s="20" t="s">
        <v>70</v>
      </c>
      <c r="C51" s="21">
        <v>0.2</v>
      </c>
      <c r="D51" s="2"/>
      <c r="E51" s="2">
        <v>0.2</v>
      </c>
      <c r="F51" s="2">
        <v>0.35</v>
      </c>
      <c r="G51" s="2"/>
      <c r="H51" s="2">
        <v>0.05</v>
      </c>
      <c r="I51" s="2"/>
      <c r="J51" s="2">
        <v>0.2</v>
      </c>
      <c r="K51" s="2"/>
      <c r="L51" s="20" t="s">
        <v>67</v>
      </c>
      <c r="M51" t="s">
        <v>67</v>
      </c>
      <c r="N51" t="s">
        <v>67</v>
      </c>
      <c r="P51" s="2">
        <f t="shared" si="0"/>
        <v>1</v>
      </c>
    </row>
  </sheetData>
  <mergeCells count="2">
    <mergeCell ref="C1:K1"/>
    <mergeCell ref="L1:N1"/>
  </mergeCells>
  <conditionalFormatting sqref="P3:P51">
    <cfRule type="cellIs" dxfId="2" priority="1" operator="equal">
      <formula>1</formula>
    </cfRule>
    <cfRule type="cellIs" dxfId="1" priority="2" operator="not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7C659-5E73-B646-8ECA-6E5A3E3A70B4}">
  <sheetPr>
    <tabColor theme="0" tint="-0.14999847407452621"/>
  </sheetPr>
  <dimension ref="A1:J21"/>
  <sheetViews>
    <sheetView zoomScale="136" workbookViewId="0">
      <selection activeCell="C22" sqref="C22"/>
    </sheetView>
  </sheetViews>
  <sheetFormatPr baseColWidth="10" defaultRowHeight="16" x14ac:dyDescent="0.2"/>
  <cols>
    <col min="1" max="1" width="21.5" customWidth="1"/>
  </cols>
  <sheetData>
    <row r="1" spans="1:10" x14ac:dyDescent="0.2">
      <c r="A1" s="23" t="s">
        <v>188</v>
      </c>
      <c r="B1" s="19" t="s">
        <v>53</v>
      </c>
      <c r="C1" s="1" t="s">
        <v>54</v>
      </c>
      <c r="D1" s="1" t="s">
        <v>55</v>
      </c>
      <c r="E1" s="1" t="s">
        <v>56</v>
      </c>
      <c r="F1" s="1" t="s">
        <v>57</v>
      </c>
      <c r="G1" s="1" t="s">
        <v>58</v>
      </c>
      <c r="H1" s="1" t="s">
        <v>59</v>
      </c>
      <c r="I1" s="1" t="s">
        <v>60</v>
      </c>
      <c r="J1" s="1" t="s">
        <v>61</v>
      </c>
    </row>
    <row r="2" spans="1:10" x14ac:dyDescent="0.2">
      <c r="A2" s="1" t="str" cm="1">
        <f t="array" ref="A2:A5">_xlfn.UNIQUE('consumptions per type'!C2:C24)</f>
        <v>LFO</v>
      </c>
      <c r="B2" s="29">
        <f>B8/B13</f>
        <v>1</v>
      </c>
      <c r="C2" s="29">
        <f>B8/B14</f>
        <v>0.44444444444444448</v>
      </c>
      <c r="D2" s="29">
        <f>B8/B15</f>
        <v>1.1111111111111112</v>
      </c>
      <c r="E2" s="29">
        <f>B8/B16</f>
        <v>1.142857142857143</v>
      </c>
      <c r="F2" s="29">
        <f>B8/B17</f>
        <v>1.0526315789473684</v>
      </c>
      <c r="G2" s="29">
        <f>B8/B18</f>
        <v>1.0526315789473684</v>
      </c>
      <c r="H2" s="29">
        <f>B8/B19</f>
        <v>1.0526315789473684</v>
      </c>
      <c r="I2" s="29">
        <f>B8/B20</f>
        <v>1</v>
      </c>
      <c r="J2" s="29">
        <f>B8/B21</f>
        <v>0.44444444444444448</v>
      </c>
    </row>
    <row r="3" spans="1:10" x14ac:dyDescent="0.2">
      <c r="A3" s="1" t="str">
        <v>HFO</v>
      </c>
      <c r="B3" s="29">
        <f>B9/B13</f>
        <v>1</v>
      </c>
      <c r="C3" s="29">
        <f>B9/B14</f>
        <v>0.44444444444444448</v>
      </c>
      <c r="D3" s="29">
        <f>B9/B15</f>
        <v>1.1111111111111112</v>
      </c>
      <c r="E3" s="29">
        <f>B9/B16</f>
        <v>1.142857142857143</v>
      </c>
      <c r="F3" s="29">
        <f>B9/B17</f>
        <v>1.0526315789473684</v>
      </c>
      <c r="G3" s="29">
        <f>B9/B18</f>
        <v>1.0526315789473684</v>
      </c>
      <c r="H3" s="29">
        <f>B9/B19</f>
        <v>1.0526315789473684</v>
      </c>
      <c r="I3" s="29">
        <f>B9/B20</f>
        <v>1</v>
      </c>
      <c r="J3" s="29">
        <f>B9/B21</f>
        <v>0.44444444444444448</v>
      </c>
    </row>
    <row r="4" spans="1:10" x14ac:dyDescent="0.2">
      <c r="A4" s="1" t="str">
        <v>MGO</v>
      </c>
      <c r="B4" s="29">
        <f>B10/B13</f>
        <v>1</v>
      </c>
      <c r="C4" s="29">
        <f>B10/B14</f>
        <v>0.44444444444444448</v>
      </c>
      <c r="D4" s="29">
        <f>B10/B15</f>
        <v>1.1111111111111112</v>
      </c>
      <c r="E4" s="29">
        <f>B10/B16</f>
        <v>1.142857142857143</v>
      </c>
      <c r="F4" s="29">
        <f>B10/B17</f>
        <v>1.0526315789473684</v>
      </c>
      <c r="G4" s="29">
        <f>B10/B18</f>
        <v>1.0526315789473684</v>
      </c>
      <c r="H4" s="29">
        <f>B10/B19</f>
        <v>1.0526315789473684</v>
      </c>
      <c r="I4" s="29">
        <f>B10/B20</f>
        <v>1</v>
      </c>
      <c r="J4" s="29">
        <f>B10/B21</f>
        <v>0.44444444444444448</v>
      </c>
    </row>
    <row r="5" spans="1:10" x14ac:dyDescent="0.2">
      <c r="A5" s="1" t="str">
        <v>LNG</v>
      </c>
      <c r="B5" s="29">
        <f>B11/B13</f>
        <v>1.125</v>
      </c>
      <c r="C5" s="29">
        <f>B11/B14</f>
        <v>0.5</v>
      </c>
      <c r="D5" s="29">
        <f>B11/B15</f>
        <v>1.25</v>
      </c>
      <c r="E5" s="29">
        <f>B11/B16</f>
        <v>1.2857142857142858</v>
      </c>
      <c r="F5" s="29">
        <f>B11/B17</f>
        <v>1.1842105263157894</v>
      </c>
      <c r="G5" s="29">
        <f>B11/B18</f>
        <v>1.1842105263157894</v>
      </c>
      <c r="H5" s="29">
        <f>B11/B19</f>
        <v>1.1842105263157894</v>
      </c>
      <c r="I5" s="29">
        <f>B11/B20</f>
        <v>1.125</v>
      </c>
      <c r="J5" s="29">
        <f>B11/B21</f>
        <v>0.5</v>
      </c>
    </row>
    <row r="6" spans="1:10" x14ac:dyDescent="0.2">
      <c r="A6" s="1" t="s">
        <v>71</v>
      </c>
      <c r="B6" s="29">
        <f>B12/B13</f>
        <v>1</v>
      </c>
      <c r="C6" s="29">
        <f>B12/B14</f>
        <v>0.44444444444444448</v>
      </c>
      <c r="D6" s="29">
        <f>B12/B15</f>
        <v>1.1111111111111112</v>
      </c>
      <c r="E6" s="29">
        <f>B12/B16</f>
        <v>1.142857142857143</v>
      </c>
      <c r="F6" s="29">
        <f>B12/B17</f>
        <v>1.0526315789473684</v>
      </c>
      <c r="G6" s="29">
        <f>B12/B18</f>
        <v>1.0526315789473684</v>
      </c>
      <c r="H6" s="29">
        <f>B12/B19</f>
        <v>1.0526315789473684</v>
      </c>
      <c r="I6" s="29">
        <f>B12/B20</f>
        <v>1</v>
      </c>
      <c r="J6" s="29">
        <f>B12/B21</f>
        <v>0.44444444444444448</v>
      </c>
    </row>
    <row r="8" spans="1:10" x14ac:dyDescent="0.2">
      <c r="A8" s="1" t="s">
        <v>2</v>
      </c>
      <c r="B8">
        <v>0.4</v>
      </c>
    </row>
    <row r="9" spans="1:10" x14ac:dyDescent="0.2">
      <c r="A9" s="1" t="s">
        <v>1</v>
      </c>
      <c r="B9">
        <v>0.4</v>
      </c>
    </row>
    <row r="10" spans="1:10" x14ac:dyDescent="0.2">
      <c r="A10" s="1" t="s">
        <v>70</v>
      </c>
      <c r="B10">
        <v>0.4</v>
      </c>
    </row>
    <row r="11" spans="1:10" x14ac:dyDescent="0.2">
      <c r="A11" s="1" t="s">
        <v>72</v>
      </c>
      <c r="B11">
        <v>0.45</v>
      </c>
    </row>
    <row r="12" spans="1:10" x14ac:dyDescent="0.2">
      <c r="A12" s="1" t="s">
        <v>71</v>
      </c>
      <c r="B12">
        <v>0.4</v>
      </c>
    </row>
    <row r="13" spans="1:10" x14ac:dyDescent="0.2">
      <c r="A13" s="19" t="s">
        <v>53</v>
      </c>
      <c r="B13">
        <v>0.4</v>
      </c>
    </row>
    <row r="14" spans="1:10" x14ac:dyDescent="0.2">
      <c r="A14" s="1" t="s">
        <v>54</v>
      </c>
      <c r="B14">
        <v>0.9</v>
      </c>
    </row>
    <row r="15" spans="1:10" x14ac:dyDescent="0.2">
      <c r="A15" s="1" t="s">
        <v>55</v>
      </c>
      <c r="B15">
        <v>0.36</v>
      </c>
    </row>
    <row r="16" spans="1:10" x14ac:dyDescent="0.2">
      <c r="A16" s="1" t="s">
        <v>56</v>
      </c>
      <c r="B16">
        <v>0.35</v>
      </c>
    </row>
    <row r="17" spans="1:2" x14ac:dyDescent="0.2">
      <c r="A17" s="1" t="s">
        <v>57</v>
      </c>
      <c r="B17">
        <v>0.38</v>
      </c>
    </row>
    <row r="18" spans="1:2" x14ac:dyDescent="0.2">
      <c r="A18" s="1" t="s">
        <v>58</v>
      </c>
      <c r="B18">
        <v>0.38</v>
      </c>
    </row>
    <row r="19" spans="1:2" x14ac:dyDescent="0.2">
      <c r="A19" s="1" t="s">
        <v>59</v>
      </c>
      <c r="B19">
        <v>0.38</v>
      </c>
    </row>
    <row r="20" spans="1:2" x14ac:dyDescent="0.2">
      <c r="A20" s="1" t="s">
        <v>60</v>
      </c>
      <c r="B20">
        <v>0.4</v>
      </c>
    </row>
    <row r="21" spans="1:2" x14ac:dyDescent="0.2">
      <c r="A21" s="1" t="s">
        <v>61</v>
      </c>
      <c r="B21">
        <v>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632-F65D-5F4C-A78B-53FBE73E3FED}">
  <sheetPr>
    <tabColor theme="0" tint="-0.14999847407452621"/>
  </sheetPr>
  <dimension ref="A1:M25"/>
  <sheetViews>
    <sheetView zoomScale="142" workbookViewId="0">
      <selection activeCell="F24" sqref="F24"/>
    </sheetView>
  </sheetViews>
  <sheetFormatPr baseColWidth="10" defaultRowHeight="16" x14ac:dyDescent="0.2"/>
  <cols>
    <col min="1" max="1" width="12.83203125" customWidth="1"/>
  </cols>
  <sheetData>
    <row r="1" spans="1:13" x14ac:dyDescent="0.2">
      <c r="B1">
        <v>2050</v>
      </c>
      <c r="C1" t="s">
        <v>210</v>
      </c>
      <c r="D1" t="s">
        <v>252</v>
      </c>
      <c r="E1" t="s">
        <v>211</v>
      </c>
      <c r="F1" t="s">
        <v>212</v>
      </c>
      <c r="G1" t="s">
        <v>215</v>
      </c>
      <c r="H1" t="s">
        <v>257</v>
      </c>
      <c r="I1" t="s">
        <v>223</v>
      </c>
      <c r="J1" t="s">
        <v>200</v>
      </c>
    </row>
    <row r="2" spans="1:13" x14ac:dyDescent="0.2">
      <c r="A2" t="s">
        <v>178</v>
      </c>
      <c r="B2" s="16">
        <f>MAIN!C15</f>
        <v>243.21336673181273</v>
      </c>
      <c r="C2" s="2">
        <v>0.7</v>
      </c>
      <c r="D2" s="2">
        <f>production!D4</f>
        <v>0.7</v>
      </c>
      <c r="E2">
        <f>(B2*D2)/C2</f>
        <v>243.21336673181273</v>
      </c>
      <c r="F2">
        <f>(E2*277.778*$C$10)/($B$10*8760)</f>
        <v>10.637588188321443</v>
      </c>
      <c r="G2">
        <f>(E2*277.778*$C$11)/($B$11*8760)</f>
        <v>3.9550007366836128</v>
      </c>
      <c r="H2">
        <f>(E2*277.778*$C$12)/($B$12*8760)</f>
        <v>1.4281947104690824</v>
      </c>
      <c r="I2">
        <f>(E2*277.778*$C$13)/($B$13*8760)</f>
        <v>0.41914409981157852</v>
      </c>
      <c r="J2">
        <f>(E2*277.778*$C$14)/($B$14*8760)</f>
        <v>2.3229673001605562</v>
      </c>
      <c r="M2">
        <f>B2/C2</f>
        <v>347.4476667597325</v>
      </c>
    </row>
    <row r="3" spans="1:13" x14ac:dyDescent="0.2">
      <c r="A3" t="s">
        <v>55</v>
      </c>
      <c r="B3" s="16">
        <f>MAIN!C16</f>
        <v>439.45898791019113</v>
      </c>
      <c r="C3" s="2">
        <v>0.17</v>
      </c>
      <c r="D3" s="2">
        <f>production!C6</f>
        <v>0.3</v>
      </c>
      <c r="E3">
        <f t="shared" ref="E3:E5" si="0">(B3*D3)/C3</f>
        <v>775.51586101798421</v>
      </c>
      <c r="F3">
        <f t="shared" ref="F3:F7" si="1">(E3*277.778*$C$10)/($B$10*8760)</f>
        <v>33.919263870548519</v>
      </c>
      <c r="G3">
        <f t="shared" ref="G3:G7" si="2">(E3*277.778*$C$11)/($B$11*8760)</f>
        <v>12.611008362127011</v>
      </c>
      <c r="H3">
        <f t="shared" ref="H3:H7" si="3">(E3*277.778*$C$12)/($B$12*8760)</f>
        <v>4.5539752418791979</v>
      </c>
      <c r="I3">
        <f t="shared" ref="I3:I7" si="4">(E3*277.778*$C$13)/($B$13*8760)</f>
        <v>1.3364927340297648</v>
      </c>
      <c r="J3">
        <f t="shared" ref="J3:J7" si="5">(E3*277.778*$C$14)/($B$14*8760)</f>
        <v>7.407068164502312</v>
      </c>
      <c r="M3">
        <f t="shared" ref="M3:M6" si="6">B3/C3</f>
        <v>2585.0528700599475</v>
      </c>
    </row>
    <row r="4" spans="1:13" x14ac:dyDescent="0.2">
      <c r="A4" t="s">
        <v>56</v>
      </c>
      <c r="B4" s="16">
        <f>MAIN!C17</f>
        <v>400.56173179670668</v>
      </c>
      <c r="C4" s="2">
        <v>0.15</v>
      </c>
      <c r="D4" s="2">
        <f>production!C8</f>
        <v>0.4</v>
      </c>
      <c r="E4">
        <f t="shared" si="0"/>
        <v>1068.1646181245512</v>
      </c>
      <c r="F4">
        <f t="shared" si="1"/>
        <v>46.71904129954364</v>
      </c>
      <c r="G4">
        <f>(E4*277.778*$C$11)/($B$11*8760)</f>
        <v>17.369899970343145</v>
      </c>
      <c r="H4">
        <f>(E4*277.778*$C$12)/($B$12*8760)</f>
        <v>6.2724638781794688</v>
      </c>
      <c r="I4">
        <f t="shared" si="4"/>
        <v>1.8408317903352789</v>
      </c>
      <c r="J4">
        <f t="shared" si="5"/>
        <v>10.202200283785883</v>
      </c>
      <c r="M4">
        <f t="shared" si="6"/>
        <v>2670.4115453113782</v>
      </c>
    </row>
    <row r="5" spans="1:13" x14ac:dyDescent="0.2">
      <c r="A5" t="s">
        <v>60</v>
      </c>
      <c r="B5" s="16">
        <f>MAIN!C21</f>
        <v>218.66242107555576</v>
      </c>
      <c r="C5" s="2">
        <v>0.15</v>
      </c>
      <c r="D5" s="2">
        <f>production!D16</f>
        <v>0.2</v>
      </c>
      <c r="E5">
        <f t="shared" si="0"/>
        <v>291.54989476740775</v>
      </c>
      <c r="F5">
        <f t="shared" si="1"/>
        <v>12.751715740623684</v>
      </c>
      <c r="G5">
        <f t="shared" si="2"/>
        <v>4.7410225189498307</v>
      </c>
      <c r="H5">
        <f t="shared" si="3"/>
        <v>1.712035909620772</v>
      </c>
      <c r="I5">
        <f t="shared" si="4"/>
        <v>0.50244532130174824</v>
      </c>
      <c r="J5">
        <f t="shared" si="5"/>
        <v>2.7846367204675211</v>
      </c>
      <c r="M5">
        <f t="shared" si="6"/>
        <v>1457.7494738370385</v>
      </c>
    </row>
    <row r="6" spans="1:13" x14ac:dyDescent="0.2">
      <c r="A6" t="s">
        <v>179</v>
      </c>
      <c r="B6" s="16">
        <f>MAIN!C27</f>
        <v>0.54220243250944489</v>
      </c>
      <c r="C6" s="2">
        <v>1</v>
      </c>
      <c r="D6" s="2">
        <v>1</v>
      </c>
      <c r="E6">
        <f>(B6*D6)/C6</f>
        <v>0.54220243250944489</v>
      </c>
      <c r="F6">
        <f t="shared" si="1"/>
        <v>2.3714676003402397E-2</v>
      </c>
      <c r="G6">
        <f t="shared" si="2"/>
        <v>8.8169949243419154E-3</v>
      </c>
      <c r="H6">
        <f t="shared" si="3"/>
        <v>3.1839148337901358E-3</v>
      </c>
      <c r="I6">
        <f t="shared" si="4"/>
        <v>9.3440978817753981E-4</v>
      </c>
      <c r="J6">
        <f t="shared" si="5"/>
        <v>5.1786566573694985E-3</v>
      </c>
      <c r="M6">
        <f t="shared" si="6"/>
        <v>0.54220243250944489</v>
      </c>
    </row>
    <row r="7" spans="1:13" x14ac:dyDescent="0.2">
      <c r="E7" s="57">
        <f>SUM(E2:E6)</f>
        <v>2378.9859430742654</v>
      </c>
      <c r="F7" s="40">
        <f t="shared" si="1"/>
        <v>104.0513237750407</v>
      </c>
      <c r="G7" s="40">
        <f t="shared" si="2"/>
        <v>38.685748583027944</v>
      </c>
      <c r="H7" s="40">
        <f t="shared" si="3"/>
        <v>13.969853654982312</v>
      </c>
      <c r="I7" s="40">
        <f t="shared" si="4"/>
        <v>4.0998483552665483</v>
      </c>
      <c r="J7" s="40">
        <f t="shared" si="5"/>
        <v>22.722051125573643</v>
      </c>
      <c r="K7" s="56">
        <f>SUM(F7:J7)</f>
        <v>183.52882549389113</v>
      </c>
      <c r="L7" t="s">
        <v>258</v>
      </c>
      <c r="M7">
        <f>SUM(M2:M6)</f>
        <v>7061.2037584006066</v>
      </c>
    </row>
    <row r="8" spans="1:13" x14ac:dyDescent="0.2">
      <c r="D8" t="s">
        <v>264</v>
      </c>
      <c r="F8" t="s">
        <v>267</v>
      </c>
    </row>
    <row r="9" spans="1:13" x14ac:dyDescent="0.2">
      <c r="B9" t="s">
        <v>224</v>
      </c>
      <c r="C9" t="s">
        <v>225</v>
      </c>
      <c r="D9" t="s">
        <v>178</v>
      </c>
      <c r="E9" t="s">
        <v>55</v>
      </c>
      <c r="F9" t="s">
        <v>56</v>
      </c>
      <c r="G9" t="s">
        <v>265</v>
      </c>
      <c r="H9" t="s">
        <v>266</v>
      </c>
      <c r="I9" t="s">
        <v>269</v>
      </c>
      <c r="J9" s="62" t="s">
        <v>268</v>
      </c>
    </row>
    <row r="10" spans="1:13" x14ac:dyDescent="0.2">
      <c r="A10" t="s">
        <v>220</v>
      </c>
      <c r="B10" s="2">
        <v>0.28999999999999998</v>
      </c>
      <c r="C10" s="2">
        <v>0.4</v>
      </c>
      <c r="D10">
        <v>20800</v>
      </c>
      <c r="E10">
        <v>30300</v>
      </c>
      <c r="F10">
        <v>30200</v>
      </c>
      <c r="G10">
        <v>27700</v>
      </c>
      <c r="H10">
        <v>6450</v>
      </c>
      <c r="J10" s="63">
        <v>0.22</v>
      </c>
    </row>
    <row r="11" spans="1:13" x14ac:dyDescent="0.2">
      <c r="A11" t="s">
        <v>221</v>
      </c>
      <c r="B11" s="2">
        <v>0.39</v>
      </c>
      <c r="C11" s="2">
        <v>0.2</v>
      </c>
      <c r="D11">
        <v>16700</v>
      </c>
      <c r="E11">
        <v>25000</v>
      </c>
      <c r="F11">
        <v>25400</v>
      </c>
      <c r="G11">
        <v>22200</v>
      </c>
      <c r="H11">
        <v>8630</v>
      </c>
      <c r="J11" s="63">
        <v>0.35</v>
      </c>
    </row>
    <row r="12" spans="1:13" x14ac:dyDescent="0.2">
      <c r="A12" t="s">
        <v>222</v>
      </c>
      <c r="B12" s="2">
        <v>0.54</v>
      </c>
      <c r="C12" s="2">
        <v>0.1</v>
      </c>
      <c r="D12">
        <v>15000</v>
      </c>
      <c r="E12">
        <v>23400</v>
      </c>
      <c r="F12">
        <v>23500</v>
      </c>
      <c r="G12">
        <v>19900</v>
      </c>
      <c r="H12">
        <v>15900</v>
      </c>
      <c r="J12" s="63">
        <v>0.4</v>
      </c>
    </row>
    <row r="13" spans="1:13" x14ac:dyDescent="0.2">
      <c r="A13" t="s">
        <v>223</v>
      </c>
      <c r="B13" s="2">
        <v>0.92</v>
      </c>
      <c r="C13" s="2">
        <v>0.05</v>
      </c>
      <c r="D13">
        <v>18300</v>
      </c>
      <c r="E13">
        <v>27200</v>
      </c>
      <c r="F13">
        <v>27300</v>
      </c>
      <c r="G13">
        <v>24400</v>
      </c>
      <c r="H13">
        <v>10400</v>
      </c>
      <c r="J13" s="63">
        <v>0.7</v>
      </c>
    </row>
    <row r="14" spans="1:13" x14ac:dyDescent="0.2">
      <c r="A14" t="s">
        <v>200</v>
      </c>
      <c r="B14" s="2">
        <v>0.83</v>
      </c>
      <c r="C14" s="2">
        <v>0.25</v>
      </c>
      <c r="D14">
        <v>29200</v>
      </c>
      <c r="E14">
        <v>40300</v>
      </c>
      <c r="F14">
        <v>39700</v>
      </c>
      <c r="G14">
        <v>38800</v>
      </c>
      <c r="H14">
        <v>21400</v>
      </c>
      <c r="J14" s="63">
        <v>0.7</v>
      </c>
    </row>
    <row r="16" spans="1:13" x14ac:dyDescent="0.2">
      <c r="A16" s="40"/>
      <c r="B16" s="59"/>
    </row>
    <row r="23" spans="1:2" x14ac:dyDescent="0.2">
      <c r="A23" s="55"/>
      <c r="B23" s="55"/>
    </row>
    <row r="24" spans="1:2" x14ac:dyDescent="0.2">
      <c r="A24" s="55"/>
      <c r="B24" s="55"/>
    </row>
    <row r="25" spans="1:2" x14ac:dyDescent="0.2">
      <c r="A25" s="55"/>
      <c r="B25" s="5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2570-D93A-B647-85B1-E2BB19471FF3}">
  <sheetPr>
    <tabColor theme="0" tint="-0.14999847407452621"/>
  </sheetPr>
  <dimension ref="A1:E17"/>
  <sheetViews>
    <sheetView zoomScale="175" workbookViewId="0">
      <selection activeCell="F8" sqref="F8"/>
    </sheetView>
  </sheetViews>
  <sheetFormatPr baseColWidth="10" defaultRowHeight="16" x14ac:dyDescent="0.2"/>
  <cols>
    <col min="1" max="1" width="13.83203125" customWidth="1"/>
    <col min="2" max="2" width="7.1640625" customWidth="1"/>
    <col min="3" max="5" width="6.5" customWidth="1"/>
  </cols>
  <sheetData>
    <row r="1" spans="1:5" x14ac:dyDescent="0.2">
      <c r="A1" s="22" t="s">
        <v>177</v>
      </c>
      <c r="C1" t="s">
        <v>181</v>
      </c>
    </row>
    <row r="3" spans="1:5" x14ac:dyDescent="0.2">
      <c r="A3" s="28" t="s">
        <v>178</v>
      </c>
      <c r="B3" s="1" t="s">
        <v>196</v>
      </c>
      <c r="C3" s="40" t="s">
        <v>247</v>
      </c>
      <c r="D3" s="1" t="s">
        <v>180</v>
      </c>
      <c r="E3" s="1" t="s">
        <v>197</v>
      </c>
    </row>
    <row r="4" spans="1:5" x14ac:dyDescent="0.2">
      <c r="A4" s="12"/>
      <c r="B4" s="2">
        <v>0.2</v>
      </c>
      <c r="C4" s="2">
        <v>0.05</v>
      </c>
      <c r="D4" s="2">
        <v>0.7</v>
      </c>
      <c r="E4" s="2">
        <v>0.05</v>
      </c>
    </row>
    <row r="5" spans="1:5" x14ac:dyDescent="0.2">
      <c r="A5" s="28" t="s">
        <v>55</v>
      </c>
      <c r="B5" s="1" t="s">
        <v>196</v>
      </c>
      <c r="C5" s="1" t="s">
        <v>180</v>
      </c>
      <c r="D5" s="1" t="s">
        <v>199</v>
      </c>
    </row>
    <row r="6" spans="1:5" x14ac:dyDescent="0.2">
      <c r="A6" s="12"/>
      <c r="B6" s="2">
        <v>0.6</v>
      </c>
      <c r="C6" s="2">
        <v>0.3</v>
      </c>
      <c r="D6" s="2">
        <v>0.1</v>
      </c>
    </row>
    <row r="7" spans="1:5" x14ac:dyDescent="0.2">
      <c r="A7" s="28" t="s">
        <v>56</v>
      </c>
      <c r="B7" s="1" t="s">
        <v>200</v>
      </c>
      <c r="C7" s="1" t="s">
        <v>253</v>
      </c>
      <c r="D7" s="1" t="s">
        <v>201</v>
      </c>
    </row>
    <row r="8" spans="1:5" x14ac:dyDescent="0.2">
      <c r="A8" s="12"/>
      <c r="B8" s="2">
        <v>0.5</v>
      </c>
      <c r="C8" s="2">
        <v>0.4</v>
      </c>
      <c r="D8" s="2">
        <v>0.1</v>
      </c>
    </row>
    <row r="9" spans="1:5" x14ac:dyDescent="0.2">
      <c r="A9" s="28" t="s">
        <v>57</v>
      </c>
      <c r="B9" s="1" t="s">
        <v>202</v>
      </c>
      <c r="C9" s="1" t="s">
        <v>197</v>
      </c>
    </row>
    <row r="10" spans="1:5" x14ac:dyDescent="0.2">
      <c r="A10" s="12"/>
      <c r="B10" s="2">
        <v>0.7</v>
      </c>
      <c r="C10" s="2">
        <v>0.3</v>
      </c>
    </row>
    <row r="11" spans="1:5" x14ac:dyDescent="0.2">
      <c r="A11" s="28" t="s">
        <v>58</v>
      </c>
      <c r="B11" s="1" t="s">
        <v>203</v>
      </c>
      <c r="C11" s="1" t="s">
        <v>204</v>
      </c>
      <c r="D11" s="1" t="s">
        <v>263</v>
      </c>
    </row>
    <row r="12" spans="1:5" x14ac:dyDescent="0.2">
      <c r="A12" s="12"/>
      <c r="B12" s="2">
        <v>0.6</v>
      </c>
      <c r="C12" s="2">
        <v>0.2</v>
      </c>
      <c r="D12" s="2">
        <v>0.2</v>
      </c>
    </row>
    <row r="13" spans="1:5" x14ac:dyDescent="0.2">
      <c r="A13" s="28" t="s">
        <v>59</v>
      </c>
      <c r="B13" s="1" t="s">
        <v>206</v>
      </c>
      <c r="C13" s="1" t="s">
        <v>207</v>
      </c>
      <c r="D13" s="1" t="s">
        <v>205</v>
      </c>
    </row>
    <row r="14" spans="1:5" x14ac:dyDescent="0.2">
      <c r="A14" s="12"/>
      <c r="B14" s="2">
        <v>0.5</v>
      </c>
      <c r="C14" s="2">
        <v>0.3</v>
      </c>
      <c r="D14" s="2">
        <v>0.2</v>
      </c>
    </row>
    <row r="15" spans="1:5" x14ac:dyDescent="0.2">
      <c r="A15" s="28" t="s">
        <v>60</v>
      </c>
      <c r="B15" s="1" t="s">
        <v>255</v>
      </c>
      <c r="C15" s="1" t="s">
        <v>254</v>
      </c>
      <c r="D15" s="1" t="s">
        <v>208</v>
      </c>
    </row>
    <row r="16" spans="1:5" x14ac:dyDescent="0.2">
      <c r="A16" s="12"/>
      <c r="B16" s="2">
        <v>0.2</v>
      </c>
      <c r="C16" s="2">
        <v>0.6</v>
      </c>
      <c r="D16" s="2">
        <v>0.2</v>
      </c>
    </row>
    <row r="17" spans="1:1" x14ac:dyDescent="0.2">
      <c r="A17" s="28"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4782-A91C-8048-9649-3408BB67C51B}">
  <sheetPr>
    <tabColor theme="0" tint="-0.14999847407452621"/>
  </sheetPr>
  <dimension ref="A1:R43"/>
  <sheetViews>
    <sheetView workbookViewId="0">
      <selection activeCell="G20" sqref="G20"/>
    </sheetView>
  </sheetViews>
  <sheetFormatPr baseColWidth="10" defaultRowHeight="16" x14ac:dyDescent="0.2"/>
  <cols>
    <col min="5" max="5" width="5.33203125" customWidth="1"/>
    <col min="7" max="7" width="10.6640625" customWidth="1"/>
    <col min="14" max="14" width="13.6640625" customWidth="1"/>
  </cols>
  <sheetData>
    <row r="1" spans="1:18" x14ac:dyDescent="0.2">
      <c r="B1" t="s">
        <v>209</v>
      </c>
      <c r="D1" t="s">
        <v>209</v>
      </c>
      <c r="J1" s="40" t="s">
        <v>242</v>
      </c>
      <c r="K1" s="40" t="s">
        <v>238</v>
      </c>
      <c r="L1" s="40" t="s">
        <v>240</v>
      </c>
      <c r="M1" t="s">
        <v>241</v>
      </c>
      <c r="O1" s="40" t="s">
        <v>270</v>
      </c>
      <c r="Q1" s="40" t="s">
        <v>271</v>
      </c>
    </row>
    <row r="2" spans="1:18" x14ac:dyDescent="0.2">
      <c r="A2" s="12" t="s">
        <v>1</v>
      </c>
      <c r="B2" s="43">
        <v>146</v>
      </c>
      <c r="C2" s="12" t="s">
        <v>178</v>
      </c>
      <c r="D2" s="1" t="s">
        <v>198</v>
      </c>
      <c r="E2" t="s">
        <v>259</v>
      </c>
      <c r="H2" s="1" t="s">
        <v>239</v>
      </c>
      <c r="I2" s="1" t="s">
        <v>1</v>
      </c>
      <c r="J2" s="17">
        <f>MAIN!H2</f>
        <v>380.37772809810554</v>
      </c>
      <c r="K2" s="16">
        <f>MAIN!H27</f>
        <v>1.3252057885260025</v>
      </c>
      <c r="L2" s="43">
        <f>K2*B2</f>
        <v>193.48004512479636</v>
      </c>
      <c r="M2" s="43">
        <f>J2*B2</f>
        <v>55535.14830232341</v>
      </c>
      <c r="O2" s="16">
        <f>MAIN!H7</f>
        <v>259.43241855548604</v>
      </c>
      <c r="P2" s="43">
        <f>O2*B2</f>
        <v>37877.133109100963</v>
      </c>
      <c r="Q2" s="16">
        <f>MAIN!H17</f>
        <v>12.088311083429391</v>
      </c>
      <c r="R2" s="43">
        <f>Q2*B2</f>
        <v>1764.893418180691</v>
      </c>
    </row>
    <row r="3" spans="1:18" x14ac:dyDescent="0.2">
      <c r="A3" s="12" t="s">
        <v>2</v>
      </c>
      <c r="B3" s="43">
        <v>146</v>
      </c>
      <c r="C3" t="s">
        <v>196</v>
      </c>
      <c r="D3" s="43">
        <v>31.69</v>
      </c>
      <c r="E3" t="s">
        <v>260</v>
      </c>
      <c r="I3" s="40" t="s">
        <v>2</v>
      </c>
      <c r="J3" s="45">
        <f>MAIN!I2</f>
        <v>213.57532020238992</v>
      </c>
      <c r="K3" s="16">
        <f>MAIN!I27</f>
        <v>9.937857784791932</v>
      </c>
      <c r="L3" s="43">
        <f>K3*B3</f>
        <v>1450.9272365796221</v>
      </c>
      <c r="M3" s="43">
        <f>J3*B3</f>
        <v>31181.996749548929</v>
      </c>
      <c r="O3" s="16">
        <f>MAIN!I7</f>
        <v>334.94359427221008</v>
      </c>
      <c r="P3" s="43">
        <f>O3*B3</f>
        <v>48901.764763742671</v>
      </c>
      <c r="Q3" s="16">
        <f>MAIN!I17</f>
        <v>70.351089934228625</v>
      </c>
      <c r="R3" s="43">
        <f>Q3*B3</f>
        <v>10271.259130397379</v>
      </c>
    </row>
    <row r="4" spans="1:18" x14ac:dyDescent="0.2">
      <c r="A4" s="12" t="s">
        <v>70</v>
      </c>
      <c r="B4" s="43">
        <v>145</v>
      </c>
      <c r="C4" t="s">
        <v>247</v>
      </c>
      <c r="D4" s="43">
        <v>6</v>
      </c>
      <c r="E4" t="s">
        <v>260</v>
      </c>
      <c r="I4" s="1" t="s">
        <v>70</v>
      </c>
      <c r="J4" s="17">
        <f>MAIN!K2</f>
        <v>21.924534260915191</v>
      </c>
      <c r="K4" s="16">
        <f>MAIN!K27</f>
        <v>0.43953281376867936</v>
      </c>
      <c r="L4" s="43">
        <f>K4*B4</f>
        <v>63.732257996458507</v>
      </c>
      <c r="M4" s="43">
        <f>J4*B4</f>
        <v>3179.0574678327025</v>
      </c>
      <c r="O4" s="16">
        <f>MAIN!K7</f>
        <v>22.18608528784803</v>
      </c>
      <c r="P4" s="43">
        <f>O4*B4</f>
        <v>3216.9823667379642</v>
      </c>
      <c r="Q4" s="16">
        <f>MAIN!K17</f>
        <v>3.1469642739519532</v>
      </c>
      <c r="R4" s="43">
        <f>Q4*B4</f>
        <v>456.30981972303323</v>
      </c>
    </row>
    <row r="5" spans="1:18" x14ac:dyDescent="0.2">
      <c r="A5" s="12" t="s">
        <v>72</v>
      </c>
      <c r="B5" s="43">
        <v>113</v>
      </c>
      <c r="C5" t="s">
        <v>180</v>
      </c>
      <c r="D5" s="43">
        <v>0</v>
      </c>
      <c r="E5" t="s">
        <v>260</v>
      </c>
      <c r="I5" s="1" t="s">
        <v>72</v>
      </c>
      <c r="J5" s="17">
        <f>MAIN!L2</f>
        <v>202.51921531880922</v>
      </c>
      <c r="K5" s="16">
        <f>MAIN!L27</f>
        <v>4.0378188961497559</v>
      </c>
      <c r="L5" s="43">
        <f>K5*B5</f>
        <v>456.27353526492243</v>
      </c>
      <c r="M5" s="43">
        <f>J5*B5</f>
        <v>22884.671331025442</v>
      </c>
      <c r="O5" s="16">
        <f>MAIN!L7</f>
        <v>204.70910314422522</v>
      </c>
      <c r="P5" s="43">
        <f>O5*B5</f>
        <v>23132.128655297449</v>
      </c>
      <c r="Q5" s="16">
        <f>MAIN!L17</f>
        <v>28.972343150468035</v>
      </c>
      <c r="R5" s="43">
        <f>Q5*B5</f>
        <v>3273.8747760028878</v>
      </c>
    </row>
    <row r="6" spans="1:18" x14ac:dyDescent="0.2">
      <c r="C6" t="s">
        <v>197</v>
      </c>
      <c r="D6" s="43">
        <v>7</v>
      </c>
      <c r="E6" t="s">
        <v>260</v>
      </c>
      <c r="I6" s="1" t="s">
        <v>53</v>
      </c>
      <c r="J6" s="1"/>
      <c r="K6" s="16">
        <f>MAIN!M27</f>
        <v>229.60811009749796</v>
      </c>
      <c r="L6" s="43">
        <f>K6*(D3*production!B4+emissions!D4*production!C4+emissions!D5*production!D4+emissions!D6*production!E4)</f>
        <v>1604.5014733613159</v>
      </c>
      <c r="O6" s="16">
        <f>MAIN!M7</f>
        <v>13.575636870311742</v>
      </c>
      <c r="P6" s="43">
        <f>O6*(D3*production!B4+emissions!D4*production!C4+emissions!D5*production!D4+emissions!D6*production!E4)</f>
        <v>94.866550449738455</v>
      </c>
      <c r="Q6" s="16">
        <f>MAIN!M17</f>
        <v>172.77603325125096</v>
      </c>
      <c r="R6" s="43">
        <f>Q6*(D3*production!B4+emissions!D4*production!C4+emissions!D5*production!D4+emissions!D6*production!E4)</f>
        <v>1207.3589203597419</v>
      </c>
    </row>
    <row r="7" spans="1:18" x14ac:dyDescent="0.2">
      <c r="C7" s="12" t="s">
        <v>55</v>
      </c>
      <c r="D7" s="42"/>
      <c r="I7" s="1" t="s">
        <v>54</v>
      </c>
      <c r="J7" s="1"/>
      <c r="K7" s="16">
        <f>MAIN!N27</f>
        <v>13.605256634314763</v>
      </c>
      <c r="L7" s="43">
        <f>K7*(D3*production!B4+emissions!D4*production!C4+emissions!D5*production!D4+emissions!D6*production!E4)</f>
        <v>95.073533360591568</v>
      </c>
      <c r="O7" s="16">
        <f>MAIN!N7</f>
        <v>0.80500205880634124</v>
      </c>
      <c r="P7" s="43">
        <f>O7*(D3*production!B4+emissions!D4*production!C4+emissions!D5*production!D4+emissions!D6*production!E4)</f>
        <v>5.6253543869387128</v>
      </c>
      <c r="Q7" s="16">
        <f>MAIN!N17</f>
        <v>10.242599025036421</v>
      </c>
      <c r="R7" s="43">
        <f>Q7*(D3*production!B4+emissions!D4*production!C4+emissions!D5*production!D4+emissions!D6*production!E4)</f>
        <v>71.575281986954522</v>
      </c>
    </row>
    <row r="8" spans="1:18" x14ac:dyDescent="0.2">
      <c r="C8" t="s">
        <v>196</v>
      </c>
      <c r="D8" s="43">
        <v>45.77</v>
      </c>
      <c r="E8" t="s">
        <v>260</v>
      </c>
      <c r="F8" s="42"/>
      <c r="I8" s="1" t="s">
        <v>55</v>
      </c>
      <c r="J8" s="1"/>
      <c r="K8" s="16">
        <f>MAIN!O27</f>
        <v>439.45898791019113</v>
      </c>
      <c r="L8" s="43">
        <f>K8*(D8*production!B6+emissions!D9*production!C6+emissions!D10*production!D6)</f>
        <v>17034.309289374829</v>
      </c>
      <c r="O8" s="16">
        <f>MAIN!O7</f>
        <v>26.01328041512939</v>
      </c>
      <c r="P8" s="43">
        <f>O8*(D8*production!B6+emissions!D9*production!C6+emissions!D10*production!D6)</f>
        <v>1008.3267754512455</v>
      </c>
      <c r="Q8" s="16">
        <f>MAIN!O17</f>
        <v>330.88878302420687</v>
      </c>
      <c r="R8" s="43">
        <f>Q8*(D8*production!B6+emissions!D9*production!C6+emissions!D10*production!D6)</f>
        <v>12825.911007584307</v>
      </c>
    </row>
    <row r="9" spans="1:18" x14ac:dyDescent="0.2">
      <c r="A9" t="s">
        <v>251</v>
      </c>
      <c r="C9" t="s">
        <v>180</v>
      </c>
      <c r="D9" s="43">
        <v>0</v>
      </c>
      <c r="E9" t="s">
        <v>260</v>
      </c>
      <c r="I9" s="1" t="s">
        <v>56</v>
      </c>
      <c r="J9" s="1"/>
      <c r="K9" s="16">
        <f>MAIN!P27</f>
        <v>400.56173179670668</v>
      </c>
      <c r="L9" s="43">
        <f>K9*(D12*production!B8+emissions!D13*production!C8+emissions!D14*production!D8)</f>
        <v>5047.0778206385048</v>
      </c>
      <c r="O9" s="16">
        <f>MAIN!P7</f>
        <v>23.660924193021302</v>
      </c>
      <c r="P9" s="43">
        <f>O9*(D12*production!B8+emissions!D13*production!C8+emissions!D14*production!D8)</f>
        <v>298.12764483206843</v>
      </c>
      <c r="Q9" s="16">
        <f>MAIN!P17</f>
        <v>301.26864103661273</v>
      </c>
      <c r="R9" s="43">
        <f>Q9*(D12*production!B8+emissions!D13*production!C8+emissions!D14*production!D8)</f>
        <v>3795.9848770613207</v>
      </c>
    </row>
    <row r="10" spans="1:18" x14ac:dyDescent="0.2">
      <c r="B10" t="s">
        <v>250</v>
      </c>
      <c r="C10" t="s">
        <v>199</v>
      </c>
      <c r="D10" s="43">
        <v>113</v>
      </c>
      <c r="E10" t="s">
        <v>260</v>
      </c>
      <c r="I10" s="1" t="s">
        <v>57</v>
      </c>
      <c r="J10" s="1"/>
      <c r="K10" s="16">
        <f>MAIN!Q27</f>
        <v>10.099308337493451</v>
      </c>
      <c r="L10" s="43">
        <f>K10*(D16*production!B10+production!C10*emissions!D17)</f>
        <v>575.66057523712664</v>
      </c>
      <c r="O10" s="16">
        <f>MAIN!Q7</f>
        <v>0.60999284796791287</v>
      </c>
      <c r="P10" s="43">
        <f>O10*(D16*production!B10+production!C10*emissions!D17)</f>
        <v>34.769592334171037</v>
      </c>
      <c r="Q10" s="16">
        <f>MAIN!Q17</f>
        <v>7.6809074871225285</v>
      </c>
      <c r="R10" s="43">
        <f>Q10*(D16*production!B10+production!C10*emissions!D17)</f>
        <v>437.81172676598413</v>
      </c>
    </row>
    <row r="11" spans="1:18" x14ac:dyDescent="0.2">
      <c r="A11" s="12" t="s">
        <v>1</v>
      </c>
      <c r="B11" s="51">
        <v>3114</v>
      </c>
      <c r="C11" s="27" t="s">
        <v>56</v>
      </c>
      <c r="D11" s="42"/>
      <c r="I11" s="1" t="s">
        <v>58</v>
      </c>
      <c r="J11" s="1"/>
      <c r="K11" s="16">
        <f>MAIN!R27</f>
        <v>69.478626405504571</v>
      </c>
      <c r="L11" s="43">
        <f>K11*(D19*production!B12+production!C12*emissions!D20+emissions!D21*production!D12)</f>
        <v>6400.3710644750818</v>
      </c>
      <c r="O11" s="16">
        <f>MAIN!R7</f>
        <v>4.1066144612421169</v>
      </c>
      <c r="P11" s="43">
        <f>O11*(D19*production!B12+production!C12*emissions!D20+emissions!D21*production!D12)</f>
        <v>378.30132416962385</v>
      </c>
      <c r="Q11" s="16">
        <f>MAIN!R17</f>
        <v>52.273717872003445</v>
      </c>
      <c r="R11" s="43">
        <f>Q11*(D19*production!B12+production!C12*emissions!D20+emissions!D21*production!D12)</f>
        <v>4815.4548903689574</v>
      </c>
    </row>
    <row r="12" spans="1:18" x14ac:dyDescent="0.2">
      <c r="A12" t="s">
        <v>70</v>
      </c>
      <c r="B12">
        <v>3206</v>
      </c>
      <c r="C12" t="s">
        <v>200</v>
      </c>
      <c r="D12" s="43">
        <v>0</v>
      </c>
      <c r="E12" t="s">
        <v>260</v>
      </c>
      <c r="I12" s="1" t="s">
        <v>59</v>
      </c>
      <c r="J12" s="1"/>
      <c r="K12" s="16">
        <f>MAIN!S27</f>
        <v>19.35573177267397</v>
      </c>
      <c r="L12" s="43">
        <f>K12*(D23*production!B14+production!C14*emissions!D24+emissions!D25*production!D14)</f>
        <v>767.26120746879621</v>
      </c>
      <c r="O12" s="16">
        <f>MAIN!S7</f>
        <v>1.1679571832450251</v>
      </c>
      <c r="P12" s="43">
        <f>O12*(D23*production!B14+production!C14*emissions!D24+emissions!D25*production!D14)</f>
        <v>46.297822743832796</v>
      </c>
      <c r="Q12" s="16">
        <f>MAIN!S17</f>
        <v>14.713688341067163</v>
      </c>
      <c r="R12" s="43">
        <f>Q12*(D23*production!B14+production!C14*emissions!D24+emissions!D25*production!D14)</f>
        <v>583.25060583990239</v>
      </c>
    </row>
    <row r="13" spans="1:18" x14ac:dyDescent="0.2">
      <c r="A13" t="s">
        <v>72</v>
      </c>
      <c r="B13">
        <v>2750</v>
      </c>
      <c r="C13" s="60" t="s">
        <v>253</v>
      </c>
      <c r="D13" s="43">
        <v>0</v>
      </c>
      <c r="E13" t="s">
        <v>260</v>
      </c>
      <c r="I13" s="1" t="s">
        <v>60</v>
      </c>
      <c r="J13" s="1"/>
      <c r="K13" s="16">
        <f>MAIN!T27</f>
        <v>218.66242107555576</v>
      </c>
      <c r="L13" s="43">
        <f>K13*(D27*production!B16+production!C16*emissions!D28+production!D16*D29)</f>
        <v>15678.095591117348</v>
      </c>
      <c r="O13" s="16">
        <f>MAIN!T7</f>
        <v>12.863099531082094</v>
      </c>
      <c r="P13" s="43">
        <f>O13*(D27*production!B16+production!C16*emissions!D28+production!D16*D29)</f>
        <v>922.28423637858612</v>
      </c>
      <c r="Q13" s="16">
        <f>MAIN!T17</f>
        <v>164.12884671286031</v>
      </c>
      <c r="R13" s="43">
        <f>Q13*(D27*production!B16+production!C16*emissions!D28+production!D16*D29)</f>
        <v>11768.038309312085</v>
      </c>
    </row>
    <row r="14" spans="1:18" x14ac:dyDescent="0.2">
      <c r="C14" t="s">
        <v>201</v>
      </c>
      <c r="D14" s="43">
        <v>126</v>
      </c>
      <c r="E14" s="48" t="s">
        <v>260</v>
      </c>
      <c r="F14" s="48"/>
      <c r="I14" s="1" t="s">
        <v>61</v>
      </c>
      <c r="J14" s="1"/>
      <c r="K14" s="16">
        <f>MAIN!U27</f>
        <v>0.54220243250944489</v>
      </c>
      <c r="L14" s="43">
        <v>0</v>
      </c>
      <c r="O14" s="16">
        <f>MAIN!U7</f>
        <v>3.1149519799890227E-2</v>
      </c>
      <c r="P14" s="43">
        <v>0</v>
      </c>
      <c r="Q14" s="16">
        <f>MAIN!U17</f>
        <v>0.40224362382955287</v>
      </c>
      <c r="R14" s="43">
        <v>0</v>
      </c>
    </row>
    <row r="15" spans="1:18" ht="19" x14ac:dyDescent="0.25">
      <c r="C15" s="12" t="s">
        <v>57</v>
      </c>
      <c r="D15" s="42"/>
      <c r="L15" s="44">
        <f>SUM(L2:L14)</f>
        <v>49366.76362999939</v>
      </c>
      <c r="M15" s="44">
        <f>SUM(M2:M14)</f>
        <v>112780.87385073048</v>
      </c>
      <c r="P15" s="44">
        <f>SUM(P2:P14)</f>
        <v>115916.60819562525</v>
      </c>
      <c r="R15" s="44">
        <f>SUM(R2:R14)</f>
        <v>51271.722763583246</v>
      </c>
    </row>
    <row r="16" spans="1:18" x14ac:dyDescent="0.2">
      <c r="C16" t="s">
        <v>262</v>
      </c>
      <c r="D16" s="43">
        <v>30</v>
      </c>
      <c r="E16" s="48" t="s">
        <v>260</v>
      </c>
      <c r="L16" s="46">
        <f>(M15-L15)/M15</f>
        <v>0.5622771668240657</v>
      </c>
      <c r="M16" s="47" t="s">
        <v>243</v>
      </c>
    </row>
    <row r="17" spans="3:15" x14ac:dyDescent="0.2">
      <c r="C17" t="s">
        <v>197</v>
      </c>
      <c r="D17" s="43">
        <v>120</v>
      </c>
      <c r="E17" s="48" t="s">
        <v>260</v>
      </c>
      <c r="G17" s="2"/>
      <c r="N17" t="s">
        <v>285</v>
      </c>
    </row>
    <row r="18" spans="3:15" x14ac:dyDescent="0.2">
      <c r="C18" s="12" t="s">
        <v>58</v>
      </c>
      <c r="D18" s="42"/>
      <c r="N18" t="s">
        <v>283</v>
      </c>
      <c r="O18" t="s">
        <v>281</v>
      </c>
    </row>
    <row r="19" spans="3:15" x14ac:dyDescent="0.2">
      <c r="C19" t="s">
        <v>203</v>
      </c>
      <c r="D19" s="43">
        <v>105</v>
      </c>
      <c r="E19" t="s">
        <v>260</v>
      </c>
      <c r="I19" t="s">
        <v>286</v>
      </c>
      <c r="J19" s="40">
        <v>1</v>
      </c>
      <c r="K19" t="s">
        <v>2</v>
      </c>
      <c r="L19" t="s">
        <v>18</v>
      </c>
      <c r="M19" s="9">
        <f>raw!BJ2</f>
        <v>1</v>
      </c>
      <c r="N19">
        <f>SUMIFS(raw!$R$2:$R$1195,raw!$K$2:$K$1195,"&gt;5000",raw!$J$2:$J$1195,L19)</f>
        <v>130.67116473394779</v>
      </c>
      <c r="O19">
        <f>VLOOKUP(K19,$A$2:$B$5,2,FALSE)*N19</f>
        <v>19077.990051156379</v>
      </c>
    </row>
    <row r="20" spans="3:15" x14ac:dyDescent="0.2">
      <c r="C20" t="s">
        <v>204</v>
      </c>
      <c r="D20" s="43">
        <v>96</v>
      </c>
      <c r="E20" t="s">
        <v>260</v>
      </c>
      <c r="I20" t="s">
        <v>287</v>
      </c>
      <c r="J20" s="40">
        <v>2</v>
      </c>
      <c r="K20" t="s">
        <v>1</v>
      </c>
      <c r="L20" t="s">
        <v>4</v>
      </c>
      <c r="M20" s="9">
        <f>raw!BJ3</f>
        <v>0</v>
      </c>
      <c r="N20">
        <f>SUMIFS(raw!$R$2:$R$1195,raw!$K$2:$K$1195,"&gt;5000",raw!$J$2:$J$1195,L20)</f>
        <v>0</v>
      </c>
      <c r="O20">
        <f t="shared" ref="O20:O41" si="0">VLOOKUP(K20,$A$2:$B$5,2,FALSE)*N20</f>
        <v>0</v>
      </c>
    </row>
    <row r="21" spans="3:15" x14ac:dyDescent="0.2">
      <c r="C21" t="s">
        <v>263</v>
      </c>
      <c r="D21" s="43">
        <v>49.6</v>
      </c>
      <c r="E21" t="s">
        <v>260</v>
      </c>
      <c r="I21" t="s">
        <v>288</v>
      </c>
      <c r="J21" s="40">
        <v>3</v>
      </c>
      <c r="K21" t="s">
        <v>70</v>
      </c>
      <c r="L21" t="s">
        <v>9</v>
      </c>
      <c r="M21" s="9">
        <f>raw!BJ4</f>
        <v>1</v>
      </c>
      <c r="N21">
        <f>SUMIFS(raw!$R$2:$R$1195,raw!$K$2:$K$1195,"&gt;5000",raw!$J$2:$J$1195,L21)</f>
        <v>10.60403427028317</v>
      </c>
      <c r="O21">
        <f t="shared" si="0"/>
        <v>1537.5849691910598</v>
      </c>
    </row>
    <row r="22" spans="3:15" x14ac:dyDescent="0.2">
      <c r="C22" s="12" t="s">
        <v>59</v>
      </c>
      <c r="D22" s="42"/>
      <c r="I22" t="s">
        <v>289</v>
      </c>
      <c r="J22" s="40">
        <v>4</v>
      </c>
      <c r="K22" t="s">
        <v>70</v>
      </c>
      <c r="L22" t="s">
        <v>6</v>
      </c>
      <c r="M22" s="9">
        <f>raw!BJ5</f>
        <v>0</v>
      </c>
      <c r="N22">
        <f>SUMIFS(raw!$R$2:$R$1195,raw!$K$2:$K$1195,"&gt;5000",raw!$J$2:$J$1195,L22)</f>
        <v>0</v>
      </c>
      <c r="O22">
        <f t="shared" si="0"/>
        <v>0</v>
      </c>
    </row>
    <row r="23" spans="3:15" x14ac:dyDescent="0.2">
      <c r="C23" t="s">
        <v>206</v>
      </c>
      <c r="D23" s="43">
        <v>16</v>
      </c>
      <c r="E23" t="s">
        <v>260</v>
      </c>
      <c r="I23" t="s">
        <v>290</v>
      </c>
      <c r="J23" s="40">
        <v>5</v>
      </c>
      <c r="K23" t="s">
        <v>2</v>
      </c>
      <c r="L23" t="s">
        <v>33</v>
      </c>
      <c r="M23" s="9">
        <f>raw!BJ6</f>
        <v>0.5</v>
      </c>
      <c r="N23">
        <f>SUMIFS(raw!$R$2:$R$1195,raw!$K$2:$K$1195,"&gt;5000",raw!$J$2:$J$1195,L23)</f>
        <v>2.9856156326465362</v>
      </c>
      <c r="O23">
        <f t="shared" si="0"/>
        <v>435.89988236639431</v>
      </c>
    </row>
    <row r="24" spans="3:15" x14ac:dyDescent="0.2">
      <c r="C24" t="s">
        <v>207</v>
      </c>
      <c r="D24" s="43">
        <v>83</v>
      </c>
      <c r="E24" t="s">
        <v>260</v>
      </c>
      <c r="I24" t="s">
        <v>291</v>
      </c>
      <c r="J24" s="40">
        <v>6</v>
      </c>
      <c r="K24" t="s">
        <v>1</v>
      </c>
      <c r="L24" t="s">
        <v>11</v>
      </c>
      <c r="M24" s="9">
        <f>raw!BJ7</f>
        <v>1</v>
      </c>
      <c r="N24">
        <f>SUMIFS(raw!$R$2:$R$1195,raw!$K$2:$K$1195,"&gt;5000",raw!$J$2:$J$1195,L24)</f>
        <v>125.995648383874</v>
      </c>
      <c r="O24">
        <f t="shared" si="0"/>
        <v>18395.364664045603</v>
      </c>
    </row>
    <row r="25" spans="3:15" x14ac:dyDescent="0.2">
      <c r="C25" t="s">
        <v>205</v>
      </c>
      <c r="D25" s="43">
        <v>33.700000000000003</v>
      </c>
      <c r="E25" t="s">
        <v>260</v>
      </c>
      <c r="I25" t="s">
        <v>292</v>
      </c>
      <c r="J25" s="40">
        <v>7</v>
      </c>
      <c r="K25" t="s">
        <v>1</v>
      </c>
      <c r="L25" t="s">
        <v>10</v>
      </c>
      <c r="M25" s="9">
        <f>raw!BJ8</f>
        <v>1</v>
      </c>
      <c r="N25">
        <f>SUMIFS(raw!$R$2:$R$1195,raw!$K$2:$K$1195,"&gt;5000",raw!$J$2:$J$1195,L25)</f>
        <v>110.7481850914975</v>
      </c>
      <c r="O25">
        <f t="shared" si="0"/>
        <v>16169.235023358635</v>
      </c>
    </row>
    <row r="26" spans="3:15" x14ac:dyDescent="0.2">
      <c r="C26" s="12" t="s">
        <v>60</v>
      </c>
      <c r="D26" s="42"/>
      <c r="I26" t="s">
        <v>293</v>
      </c>
      <c r="J26" s="40">
        <v>8</v>
      </c>
      <c r="K26" t="s">
        <v>72</v>
      </c>
      <c r="L26" t="s">
        <v>21</v>
      </c>
      <c r="M26" s="9">
        <f>raw!BJ9</f>
        <v>1</v>
      </c>
      <c r="N26">
        <f>SUMIFS(raw!$R$2:$R$1195,raw!$K$2:$K$1195,"&gt;5000",raw!$J$2:$J$1195,L26)</f>
        <v>198.59706183540879</v>
      </c>
      <c r="O26">
        <f t="shared" si="0"/>
        <v>22441.467987401193</v>
      </c>
    </row>
    <row r="27" spans="3:15" x14ac:dyDescent="0.2">
      <c r="C27" t="s">
        <v>255</v>
      </c>
      <c r="D27" s="43">
        <v>54</v>
      </c>
      <c r="E27" t="s">
        <v>260</v>
      </c>
      <c r="I27" t="s">
        <v>294</v>
      </c>
      <c r="J27" s="40">
        <v>9</v>
      </c>
      <c r="K27" t="s">
        <v>1</v>
      </c>
      <c r="L27" t="s">
        <v>16</v>
      </c>
      <c r="M27" s="9">
        <f>raw!BJ10</f>
        <v>1</v>
      </c>
      <c r="N27">
        <f>SUMIFS(raw!$R$2:$R$1195,raw!$K$2:$K$1195,"&gt;5000",raw!$J$2:$J$1195,L27)</f>
        <v>60.877048192666209</v>
      </c>
      <c r="O27">
        <f t="shared" si="0"/>
        <v>8888.0490361292668</v>
      </c>
    </row>
    <row r="28" spans="3:15" x14ac:dyDescent="0.2">
      <c r="C28" t="s">
        <v>254</v>
      </c>
      <c r="D28" s="43">
        <v>101.5</v>
      </c>
      <c r="E28" t="s">
        <v>260</v>
      </c>
      <c r="I28" t="s">
        <v>295</v>
      </c>
      <c r="J28" s="40">
        <v>10</v>
      </c>
      <c r="K28" t="s">
        <v>70</v>
      </c>
      <c r="L28" t="s">
        <v>17</v>
      </c>
      <c r="M28" s="9">
        <f>raw!BJ11</f>
        <v>0</v>
      </c>
      <c r="N28">
        <f>SUMIFS(raw!$R$2:$R$1195,raw!$K$2:$K$1195,"&gt;5000",raw!$J$2:$J$1195,L28)</f>
        <v>0</v>
      </c>
      <c r="O28">
        <f t="shared" si="0"/>
        <v>0</v>
      </c>
    </row>
    <row r="29" spans="3:15" x14ac:dyDescent="0.2">
      <c r="C29" t="s">
        <v>256</v>
      </c>
      <c r="D29" s="43">
        <v>0</v>
      </c>
      <c r="E29" t="s">
        <v>260</v>
      </c>
      <c r="I29" t="s">
        <v>296</v>
      </c>
      <c r="J29" s="40">
        <v>11</v>
      </c>
      <c r="K29" t="s">
        <v>1</v>
      </c>
      <c r="L29" t="s">
        <v>20</v>
      </c>
      <c r="M29" s="9">
        <f>raw!BJ12</f>
        <v>1</v>
      </c>
      <c r="N29">
        <f>SUMIFS(raw!$R$2:$R$1195,raw!$K$2:$K$1195,"&gt;5000",raw!$J$2:$J$1195,L29)</f>
        <v>5.6627290395888474</v>
      </c>
      <c r="O29">
        <f t="shared" si="0"/>
        <v>826.7584397799717</v>
      </c>
    </row>
    <row r="30" spans="3:15" x14ac:dyDescent="0.2">
      <c r="I30" t="s">
        <v>297</v>
      </c>
      <c r="J30" s="40">
        <v>12</v>
      </c>
      <c r="K30" t="s">
        <v>1</v>
      </c>
      <c r="L30" t="s">
        <v>25</v>
      </c>
      <c r="M30" s="9">
        <f>raw!BJ13</f>
        <v>1</v>
      </c>
      <c r="N30">
        <f>SUMIFS(raw!$R$2:$R$1195,raw!$K$2:$K$1195,"&gt;5000",raw!$J$2:$J$1195,L30)</f>
        <v>1.739706950317417</v>
      </c>
      <c r="O30">
        <f t="shared" si="0"/>
        <v>253.99721474634288</v>
      </c>
    </row>
    <row r="31" spans="3:15" x14ac:dyDescent="0.2">
      <c r="E31" s="48"/>
      <c r="F31" s="48"/>
      <c r="G31" s="48"/>
      <c r="I31" t="s">
        <v>298</v>
      </c>
      <c r="J31">
        <v>13</v>
      </c>
      <c r="K31" t="s">
        <v>1</v>
      </c>
      <c r="L31" t="s">
        <v>29</v>
      </c>
      <c r="M31" s="9">
        <f>raw!BJ14</f>
        <v>1</v>
      </c>
      <c r="N31">
        <f>SUMIFS(raw!$R$2:$R$1195,raw!$K$2:$K$1195,"&gt;5000",raw!$J$2:$J$1195,L31)</f>
        <v>5.0618200188849336</v>
      </c>
      <c r="O31">
        <f t="shared" si="0"/>
        <v>739.02572275720036</v>
      </c>
    </row>
    <row r="32" spans="3:15" x14ac:dyDescent="0.2">
      <c r="E32" s="49"/>
      <c r="F32" s="49"/>
      <c r="G32" s="49"/>
      <c r="I32" t="s">
        <v>299</v>
      </c>
      <c r="J32">
        <v>14</v>
      </c>
      <c r="K32" t="s">
        <v>72</v>
      </c>
      <c r="L32" t="s">
        <v>27</v>
      </c>
      <c r="M32" s="9">
        <f>raw!BJ15</f>
        <v>0</v>
      </c>
      <c r="N32">
        <f>SUMIFS(raw!$R$2:$R$1195,raw!$K$2:$K$1195,"&gt;5000",raw!$J$2:$J$1195,L32)</f>
        <v>0</v>
      </c>
      <c r="O32">
        <f t="shared" si="0"/>
        <v>0</v>
      </c>
    </row>
    <row r="33" spans="5:15" x14ac:dyDescent="0.2">
      <c r="E33" s="48"/>
      <c r="F33" s="48"/>
      <c r="G33" s="48"/>
      <c r="I33" t="s">
        <v>300</v>
      </c>
      <c r="J33">
        <v>15</v>
      </c>
      <c r="K33" t="s">
        <v>2</v>
      </c>
      <c r="L33" t="s">
        <v>28</v>
      </c>
      <c r="M33" s="9">
        <f>raw!BJ16</f>
        <v>0</v>
      </c>
      <c r="N33">
        <f>SUMIFS(raw!$R$2:$R$1195,raw!$K$2:$K$1195,"&gt;5000",raw!$J$2:$J$1195,L33)</f>
        <v>0</v>
      </c>
      <c r="O33">
        <f t="shared" si="0"/>
        <v>0</v>
      </c>
    </row>
    <row r="34" spans="5:15" x14ac:dyDescent="0.2">
      <c r="E34" s="48"/>
      <c r="F34" s="48"/>
      <c r="G34" s="48"/>
      <c r="I34" t="s">
        <v>301</v>
      </c>
      <c r="J34">
        <v>16</v>
      </c>
      <c r="K34" t="s">
        <v>1</v>
      </c>
      <c r="L34" t="s">
        <v>19</v>
      </c>
      <c r="M34" s="9">
        <f>raw!BJ17</f>
        <v>1</v>
      </c>
      <c r="N34">
        <f>SUMIFS(raw!$R$2:$R$1195,raw!$K$2:$K$1195,"&gt;5000",raw!$J$2:$J$1195,L34)</f>
        <v>21.54349318047257</v>
      </c>
      <c r="O34">
        <f t="shared" si="0"/>
        <v>3145.3500043489953</v>
      </c>
    </row>
    <row r="35" spans="5:15" x14ac:dyDescent="0.2">
      <c r="E35" s="48"/>
      <c r="F35" s="48"/>
      <c r="G35" s="48"/>
      <c r="I35" t="s">
        <v>302</v>
      </c>
      <c r="J35">
        <v>17</v>
      </c>
      <c r="K35" t="s">
        <v>1</v>
      </c>
      <c r="L35" t="s">
        <v>31</v>
      </c>
      <c r="M35" s="9">
        <f>raw!BJ18</f>
        <v>1</v>
      </c>
      <c r="N35">
        <f>SUMIFS(raw!$R$2:$R$1195,raw!$K$2:$K$1195,"&gt;5000",raw!$J$2:$J$1195,L35)</f>
        <v>36.664777637605233</v>
      </c>
      <c r="O35">
        <f t="shared" si="0"/>
        <v>5353.0575350903637</v>
      </c>
    </row>
    <row r="36" spans="5:15" x14ac:dyDescent="0.2">
      <c r="E36" s="48"/>
      <c r="F36" s="48"/>
      <c r="G36" s="48"/>
      <c r="I36" t="s">
        <v>303</v>
      </c>
      <c r="J36">
        <v>18</v>
      </c>
      <c r="K36" t="s">
        <v>1</v>
      </c>
      <c r="L36" t="s">
        <v>30</v>
      </c>
      <c r="M36" s="9">
        <f>raw!BJ19</f>
        <v>0</v>
      </c>
      <c r="N36">
        <f>SUMIFS(raw!$R$2:$R$1195,raw!$K$2:$K$1195,"&gt;5000",raw!$J$2:$J$1195,L36)</f>
        <v>0</v>
      </c>
      <c r="O36">
        <f t="shared" si="0"/>
        <v>0</v>
      </c>
    </row>
    <row r="37" spans="5:15" x14ac:dyDescent="0.2">
      <c r="E37" s="48"/>
      <c r="F37" s="48"/>
      <c r="G37" s="48"/>
      <c r="I37" t="s">
        <v>304</v>
      </c>
      <c r="J37">
        <v>19</v>
      </c>
      <c r="K37" t="s">
        <v>2</v>
      </c>
      <c r="L37" t="s">
        <v>43</v>
      </c>
      <c r="M37" s="9">
        <f>raw!BJ20</f>
        <v>0</v>
      </c>
      <c r="N37">
        <f>SUMIFS(raw!$R$2:$R$1195,raw!$K$2:$K$1195,"&gt;5000",raw!$J$2:$J$1195,L37)</f>
        <v>0</v>
      </c>
      <c r="O37">
        <f t="shared" si="0"/>
        <v>0</v>
      </c>
    </row>
    <row r="38" spans="5:15" x14ac:dyDescent="0.2">
      <c r="E38" s="48"/>
      <c r="F38" s="48"/>
      <c r="G38" s="48"/>
      <c r="I38" t="s">
        <v>305</v>
      </c>
      <c r="J38">
        <v>20</v>
      </c>
      <c r="K38" t="s">
        <v>70</v>
      </c>
      <c r="L38" t="s">
        <v>36</v>
      </c>
      <c r="M38" s="9">
        <f>raw!BJ21</f>
        <v>0</v>
      </c>
      <c r="N38">
        <f>SUMIFS(raw!$R$2:$R$1195,raw!$K$2:$K$1195,"&gt;5000",raw!$J$2:$J$1195,L38)</f>
        <v>0</v>
      </c>
      <c r="O38">
        <f t="shared" si="0"/>
        <v>0</v>
      </c>
    </row>
    <row r="39" spans="5:15" x14ac:dyDescent="0.2">
      <c r="E39" s="48"/>
      <c r="F39" s="48"/>
      <c r="G39" s="48"/>
      <c r="I39" t="s">
        <v>306</v>
      </c>
      <c r="J39">
        <v>21</v>
      </c>
      <c r="K39" t="s">
        <v>70</v>
      </c>
      <c r="L39" t="s">
        <v>22</v>
      </c>
      <c r="M39" s="9">
        <f>raw!BJ22</f>
        <v>0</v>
      </c>
      <c r="N39">
        <f>SUMIFS(raw!$R$2:$R$1195,raw!$K$2:$K$1195,"&gt;5000",raw!$J$2:$J$1195,L39)</f>
        <v>0</v>
      </c>
      <c r="O39">
        <f t="shared" si="0"/>
        <v>0</v>
      </c>
    </row>
    <row r="40" spans="5:15" x14ac:dyDescent="0.2">
      <c r="E40" s="48"/>
      <c r="F40" s="48"/>
      <c r="G40" s="48"/>
      <c r="I40" t="s">
        <v>307</v>
      </c>
      <c r="J40">
        <v>22</v>
      </c>
      <c r="K40" t="s">
        <v>1</v>
      </c>
      <c r="L40" t="s">
        <v>45</v>
      </c>
      <c r="M40" s="9">
        <f>raw!BJ23</f>
        <v>0</v>
      </c>
      <c r="N40">
        <f>SUMIFS(raw!$R$2:$R$1195,raw!$K$2:$K$1195,"&gt;5000",raw!$J$2:$J$1195,L40)</f>
        <v>0</v>
      </c>
      <c r="O40">
        <f t="shared" si="0"/>
        <v>0</v>
      </c>
    </row>
    <row r="41" spans="5:15" x14ac:dyDescent="0.2">
      <c r="E41" s="48"/>
      <c r="F41" s="48"/>
      <c r="G41" s="48"/>
      <c r="I41" t="s">
        <v>308</v>
      </c>
      <c r="J41">
        <v>23</v>
      </c>
      <c r="K41" t="s">
        <v>70</v>
      </c>
      <c r="L41" t="s">
        <v>51</v>
      </c>
      <c r="M41" s="9">
        <f>raw!BJ24</f>
        <v>0</v>
      </c>
      <c r="N41">
        <f>SUMIFS(raw!$R$2:$R$1195,raw!$K$2:$K$1195,"&gt;5000",raw!$J$2:$J$1195,L41)</f>
        <v>0</v>
      </c>
      <c r="O41">
        <f t="shared" si="0"/>
        <v>0</v>
      </c>
    </row>
    <row r="42" spans="5:15" x14ac:dyDescent="0.2">
      <c r="E42" s="48"/>
      <c r="F42" s="48"/>
      <c r="G42" s="48"/>
      <c r="N42" s="40">
        <f>SUM(N19:N41)</f>
        <v>711.15128496719296</v>
      </c>
      <c r="O42" s="40">
        <f>SUM(O19:O41)</f>
        <v>97263.780530371383</v>
      </c>
    </row>
    <row r="43" spans="5:15" x14ac:dyDescent="0.2">
      <c r="E43" s="48"/>
      <c r="F43" s="48"/>
      <c r="G43" s="48"/>
      <c r="N43" s="9">
        <f>N42/'consumptions per type'!B25</f>
        <v>0.86895658293041966</v>
      </c>
      <c r="O43" s="40" t="s">
        <v>282</v>
      </c>
    </row>
  </sheetData>
  <phoneticPr fontId="1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335B-7359-2547-B748-361E174EC9A2}">
  <sheetPr>
    <tabColor theme="2"/>
  </sheetPr>
  <dimension ref="A1:N29"/>
  <sheetViews>
    <sheetView zoomScale="138" workbookViewId="0">
      <selection activeCell="H17" sqref="H17"/>
    </sheetView>
  </sheetViews>
  <sheetFormatPr baseColWidth="10" defaultRowHeight="16" x14ac:dyDescent="0.2"/>
  <cols>
    <col min="13" max="13" width="17.6640625" customWidth="1"/>
    <col min="14" max="14" width="18.1640625" customWidth="1"/>
  </cols>
  <sheetData>
    <row r="1" spans="1:14" x14ac:dyDescent="0.2">
      <c r="B1" t="s">
        <v>246</v>
      </c>
      <c r="D1" t="s">
        <v>246</v>
      </c>
      <c r="E1" t="s">
        <v>259</v>
      </c>
      <c r="I1" s="40"/>
      <c r="K1" s="40" t="s">
        <v>242</v>
      </c>
      <c r="L1" s="40" t="s">
        <v>238</v>
      </c>
      <c r="M1" s="40" t="s">
        <v>240</v>
      </c>
      <c r="N1" t="s">
        <v>241</v>
      </c>
    </row>
    <row r="2" spans="1:14" x14ac:dyDescent="0.2">
      <c r="A2" s="12" t="s">
        <v>1</v>
      </c>
      <c r="B2" s="51">
        <v>9900</v>
      </c>
      <c r="C2" s="12" t="s">
        <v>178</v>
      </c>
      <c r="F2" s="58"/>
      <c r="H2" s="1"/>
      <c r="I2" s="17"/>
      <c r="J2" s="1" t="s">
        <v>1</v>
      </c>
      <c r="K2" s="17">
        <f>MAIN!H2</f>
        <v>380.37772809810554</v>
      </c>
      <c r="L2" s="16">
        <f>MAIN!H27</f>
        <v>1.3252057885260025</v>
      </c>
      <c r="M2" s="52">
        <f>L2*B2</f>
        <v>13119.537306407425</v>
      </c>
      <c r="N2" s="52">
        <f>K2*B2</f>
        <v>3765739.508171245</v>
      </c>
    </row>
    <row r="3" spans="1:14" x14ac:dyDescent="0.2">
      <c r="A3" s="12" t="s">
        <v>2</v>
      </c>
      <c r="B3" s="51">
        <v>13600</v>
      </c>
      <c r="C3" t="s">
        <v>196</v>
      </c>
      <c r="D3" s="51">
        <v>14000</v>
      </c>
      <c r="E3" s="51" t="s">
        <v>260</v>
      </c>
      <c r="F3" s="58"/>
      <c r="H3" s="40"/>
      <c r="I3" s="45"/>
      <c r="J3" s="40" t="s">
        <v>2</v>
      </c>
      <c r="K3" s="45">
        <f>MAIN!I2</f>
        <v>213.57532020238992</v>
      </c>
      <c r="L3" s="16">
        <f>MAIN!I27</f>
        <v>9.937857784791932</v>
      </c>
      <c r="M3" s="52">
        <f>L3*B3</f>
        <v>135154.86587317029</v>
      </c>
      <c r="N3" s="52">
        <f t="shared" ref="N3:N5" si="0">K3*B3</f>
        <v>2904624.3547525029</v>
      </c>
    </row>
    <row r="4" spans="1:14" x14ac:dyDescent="0.2">
      <c r="A4" s="12" t="s">
        <v>70</v>
      </c>
      <c r="B4" s="51">
        <v>16300</v>
      </c>
      <c r="C4" t="s">
        <v>247</v>
      </c>
      <c r="D4" s="51">
        <v>37500</v>
      </c>
      <c r="E4" s="51" t="s">
        <v>260</v>
      </c>
      <c r="F4" s="58"/>
      <c r="H4" s="1"/>
      <c r="I4" s="17"/>
      <c r="J4" s="1" t="s">
        <v>70</v>
      </c>
      <c r="K4" s="17">
        <f>MAIN!K2</f>
        <v>21.924534260915191</v>
      </c>
      <c r="L4" s="16">
        <f>MAIN!K27</f>
        <v>0.43953281376867936</v>
      </c>
      <c r="M4" s="52">
        <f>L4*B4</f>
        <v>7164.384864429474</v>
      </c>
      <c r="N4" s="52">
        <f t="shared" si="0"/>
        <v>357369.90845291759</v>
      </c>
    </row>
    <row r="5" spans="1:14" x14ac:dyDescent="0.2">
      <c r="A5" s="12" t="s">
        <v>72</v>
      </c>
      <c r="B5" s="51">
        <v>15200</v>
      </c>
      <c r="C5" t="s">
        <v>180</v>
      </c>
      <c r="D5" s="51">
        <f>re!C10*re!D10+re!C11*re!D11+re!C12*re!D12+re!C13*re!D13+re!C14*re!D14</f>
        <v>21375</v>
      </c>
      <c r="E5" s="51" t="s">
        <v>261</v>
      </c>
      <c r="H5" s="1"/>
      <c r="I5" s="17"/>
      <c r="J5" s="1" t="s">
        <v>72</v>
      </c>
      <c r="K5" s="17">
        <f>MAIN!L2</f>
        <v>202.51921531880922</v>
      </c>
      <c r="L5" s="16">
        <f>MAIN!L27</f>
        <v>4.0378188961497559</v>
      </c>
      <c r="M5" s="52">
        <f>L5*B5</f>
        <v>61374.847221476288</v>
      </c>
      <c r="N5" s="52">
        <f t="shared" si="0"/>
        <v>3078292.0728459</v>
      </c>
    </row>
    <row r="6" spans="1:14" x14ac:dyDescent="0.2">
      <c r="C6" t="s">
        <v>197</v>
      </c>
      <c r="D6" s="51">
        <v>58300</v>
      </c>
      <c r="E6" s="51" t="s">
        <v>260</v>
      </c>
      <c r="H6" s="1"/>
      <c r="I6" s="1"/>
      <c r="J6" s="1" t="s">
        <v>53</v>
      </c>
      <c r="K6" s="1"/>
      <c r="L6" s="16">
        <f>MAIN!M27</f>
        <v>229.60811009749796</v>
      </c>
      <c r="M6" s="52">
        <f>L6*(D3*production!B4+production!C4*cost!D4+cost!D5*production!D4+production!E4*cost!D6)</f>
        <v>5178236.9029738223</v>
      </c>
      <c r="N6" s="53"/>
    </row>
    <row r="7" spans="1:14" x14ac:dyDescent="0.2">
      <c r="C7" s="12" t="s">
        <v>55</v>
      </c>
      <c r="D7" s="50"/>
      <c r="E7" s="50"/>
      <c r="H7" s="1"/>
      <c r="I7" s="1"/>
      <c r="J7" s="1" t="s">
        <v>54</v>
      </c>
      <c r="K7" s="1"/>
      <c r="L7" s="16">
        <f>MAIN!N27</f>
        <v>13.605256634314763</v>
      </c>
      <c r="M7" s="52">
        <f>L7*(D3*production!B4+production!C4*cost!D4+cost!D5*production!D4+production!E4*cost!D6)</f>
        <v>306832.5502453837</v>
      </c>
      <c r="N7" s="53"/>
    </row>
    <row r="8" spans="1:14" x14ac:dyDescent="0.2">
      <c r="C8" t="s">
        <v>196</v>
      </c>
      <c r="D8" s="51">
        <v>107500</v>
      </c>
      <c r="E8" s="51" t="s">
        <v>260</v>
      </c>
      <c r="H8" s="1"/>
      <c r="I8" s="1"/>
      <c r="J8" s="1" t="s">
        <v>55</v>
      </c>
      <c r="K8" s="1"/>
      <c r="L8" s="16">
        <f>MAIN!O27</f>
        <v>439.45898791019113</v>
      </c>
      <c r="M8" s="52">
        <f>L8*(D8*production!B6+D9*production!C6+D10*production!D6)</f>
        <v>34395795.795248792</v>
      </c>
      <c r="N8" s="53"/>
    </row>
    <row r="9" spans="1:14" x14ac:dyDescent="0.2">
      <c r="C9" t="s">
        <v>180</v>
      </c>
      <c r="D9" s="51">
        <f>re!E10*re!C10+re!E11*re!C11+re!E12*re!C12+re!E13*re!C13+re!E14*re!C14</f>
        <v>30895</v>
      </c>
      <c r="E9" s="51" t="s">
        <v>261</v>
      </c>
      <c r="H9" s="1"/>
      <c r="I9" s="1"/>
      <c r="J9" s="1" t="s">
        <v>56</v>
      </c>
      <c r="K9" s="1"/>
      <c r="L9" s="16">
        <f>MAIN!P27</f>
        <v>400.56173179670668</v>
      </c>
      <c r="M9" s="52">
        <f>L9*(D12*production!B8+D13*production!C8+D14*production!D8)</f>
        <v>6096549.5579458755</v>
      </c>
      <c r="N9" s="53"/>
    </row>
    <row r="10" spans="1:14" x14ac:dyDescent="0.2">
      <c r="C10" t="s">
        <v>199</v>
      </c>
      <c r="D10" s="51">
        <v>45000</v>
      </c>
      <c r="E10" s="51" t="s">
        <v>260</v>
      </c>
      <c r="H10" s="1"/>
      <c r="I10" s="1"/>
      <c r="J10" s="1" t="s">
        <v>57</v>
      </c>
      <c r="K10" s="1"/>
      <c r="L10" s="16">
        <f>MAIN!Q27</f>
        <v>10.099308337493451</v>
      </c>
      <c r="M10" s="52">
        <f>L10*(D16*production!B10+production!C10*D17)</f>
        <v>393873.02516224456</v>
      </c>
      <c r="N10" s="53"/>
    </row>
    <row r="11" spans="1:14" x14ac:dyDescent="0.2">
      <c r="C11" s="27" t="s">
        <v>56</v>
      </c>
      <c r="D11" s="50"/>
      <c r="E11" s="50"/>
      <c r="H11" s="1"/>
      <c r="I11" s="1"/>
      <c r="J11" s="1" t="s">
        <v>58</v>
      </c>
      <c r="K11" s="1"/>
      <c r="L11" s="16">
        <f>MAIN!R27</f>
        <v>69.478626405504571</v>
      </c>
      <c r="M11" s="52">
        <f>L11*(D19*production!B12+production!C12*D20+D21*production!D12)</f>
        <v>1795327.7063182381</v>
      </c>
      <c r="N11" s="53"/>
    </row>
    <row r="12" spans="1:14" x14ac:dyDescent="0.2">
      <c r="C12" t="s">
        <v>197</v>
      </c>
      <c r="D12" s="51">
        <v>3000</v>
      </c>
      <c r="E12" s="51" t="s">
        <v>260</v>
      </c>
      <c r="F12" s="50"/>
      <c r="H12" s="1"/>
      <c r="I12" s="1"/>
      <c r="J12" s="1" t="s">
        <v>59</v>
      </c>
      <c r="K12" s="1"/>
      <c r="L12" s="16">
        <f>MAIN!S27</f>
        <v>19.35573177267397</v>
      </c>
      <c r="M12" s="52">
        <f>L12*(D23*production!B14+production!C14*D24+D25*production!D14)</f>
        <v>386727.52081802592</v>
      </c>
      <c r="N12" s="53"/>
    </row>
    <row r="13" spans="1:14" x14ac:dyDescent="0.2">
      <c r="C13" t="s">
        <v>248</v>
      </c>
      <c r="D13" s="51">
        <f>re!F10*re!C10+re!F11*re!C11+re!F12*re!C12+re!F13*re!C13+re!F14*re!C14</f>
        <v>30800</v>
      </c>
      <c r="E13" s="51" t="s">
        <v>261</v>
      </c>
      <c r="F13" s="50"/>
      <c r="H13" s="1"/>
      <c r="I13" s="1"/>
      <c r="J13" s="1" t="s">
        <v>60</v>
      </c>
      <c r="K13" s="1"/>
      <c r="L13" s="16">
        <f>MAIN!T27</f>
        <v>218.66242107555576</v>
      </c>
      <c r="M13" s="52">
        <f>L13*(D27*production!B16+production!C16*D28+D29*production!D16)</f>
        <v>5402273.7750926809</v>
      </c>
      <c r="N13" s="53"/>
    </row>
    <row r="14" spans="1:14" x14ac:dyDescent="0.2">
      <c r="C14" t="s">
        <v>249</v>
      </c>
      <c r="D14" s="51">
        <v>14000</v>
      </c>
      <c r="E14" s="51" t="s">
        <v>260</v>
      </c>
      <c r="H14" s="1"/>
      <c r="I14" s="1"/>
      <c r="J14" s="1" t="s">
        <v>61</v>
      </c>
      <c r="K14" s="1"/>
      <c r="L14" s="16">
        <f>MAIN!U27</f>
        <v>0.54220243250944489</v>
      </c>
      <c r="M14" s="52">
        <f>L14*(re!H10*re!C10+re!H11*re!C11+re!H12*re!C12+re!H13*re!C13+re!H14*re!C14)</f>
        <v>6379.5538209061287</v>
      </c>
      <c r="N14" s="53"/>
    </row>
    <row r="15" spans="1:14" ht="19" x14ac:dyDescent="0.25">
      <c r="C15" s="12" t="s">
        <v>57</v>
      </c>
      <c r="D15" s="50"/>
      <c r="E15" s="50"/>
      <c r="M15" s="54">
        <f>SUM(M2:M14)</f>
        <v>54178810.022891454</v>
      </c>
      <c r="N15" s="54">
        <f>SUM(N2:N14)</f>
        <v>10106025.844222566</v>
      </c>
    </row>
    <row r="16" spans="1:14" x14ac:dyDescent="0.2">
      <c r="C16" t="s">
        <v>262</v>
      </c>
      <c r="D16" s="51">
        <v>30000</v>
      </c>
      <c r="E16" s="51" t="s">
        <v>260</v>
      </c>
      <c r="M16" s="46">
        <f>(N15-M15)/N15</f>
        <v>-4.3610401218065862</v>
      </c>
      <c r="N16" s="47" t="s">
        <v>243</v>
      </c>
    </row>
    <row r="17" spans="3:5" x14ac:dyDescent="0.2">
      <c r="C17" t="s">
        <v>197</v>
      </c>
      <c r="D17" s="51">
        <v>60000</v>
      </c>
      <c r="E17" s="51" t="s">
        <v>260</v>
      </c>
    </row>
    <row r="18" spans="3:5" x14ac:dyDescent="0.2">
      <c r="C18" s="12" t="s">
        <v>58</v>
      </c>
      <c r="D18" s="50"/>
      <c r="E18" s="50"/>
    </row>
    <row r="19" spans="3:5" x14ac:dyDescent="0.2">
      <c r="C19" t="s">
        <v>203</v>
      </c>
      <c r="D19" s="51">
        <v>24700</v>
      </c>
      <c r="E19" s="51" t="s">
        <v>260</v>
      </c>
    </row>
    <row r="20" spans="3:5" x14ac:dyDescent="0.2">
      <c r="C20" t="s">
        <v>204</v>
      </c>
      <c r="D20" s="51">
        <v>34100</v>
      </c>
      <c r="E20" s="51" t="s">
        <v>260</v>
      </c>
    </row>
    <row r="21" spans="3:5" x14ac:dyDescent="0.2">
      <c r="C21" t="s">
        <v>263</v>
      </c>
      <c r="D21" s="51">
        <v>21000</v>
      </c>
      <c r="E21" s="51" t="s">
        <v>260</v>
      </c>
    </row>
    <row r="22" spans="3:5" x14ac:dyDescent="0.2">
      <c r="C22" s="12" t="s">
        <v>59</v>
      </c>
      <c r="D22" s="50"/>
      <c r="E22" s="50"/>
    </row>
    <row r="23" spans="3:5" x14ac:dyDescent="0.2">
      <c r="C23" t="s">
        <v>206</v>
      </c>
      <c r="D23" s="51">
        <v>15000</v>
      </c>
      <c r="E23" s="51" t="s">
        <v>260</v>
      </c>
    </row>
    <row r="24" spans="3:5" x14ac:dyDescent="0.2">
      <c r="C24" t="s">
        <v>207</v>
      </c>
      <c r="D24" s="51">
        <v>23400</v>
      </c>
      <c r="E24" s="51" t="s">
        <v>260</v>
      </c>
    </row>
    <row r="25" spans="3:5" x14ac:dyDescent="0.2">
      <c r="C25" t="s">
        <v>205</v>
      </c>
      <c r="D25" s="51">
        <v>27300</v>
      </c>
      <c r="E25" s="51" t="s">
        <v>260</v>
      </c>
    </row>
    <row r="26" spans="3:5" x14ac:dyDescent="0.2">
      <c r="C26" s="12" t="s">
        <v>60</v>
      </c>
      <c r="D26" s="50"/>
      <c r="E26" s="50"/>
    </row>
    <row r="27" spans="3:5" x14ac:dyDescent="0.2">
      <c r="C27" s="35" t="s">
        <v>255</v>
      </c>
      <c r="D27" s="61">
        <v>30600</v>
      </c>
      <c r="E27" s="51" t="s">
        <v>260</v>
      </c>
    </row>
    <row r="28" spans="3:5" x14ac:dyDescent="0.2">
      <c r="C28" s="35" t="s">
        <v>254</v>
      </c>
      <c r="D28" s="51">
        <v>21500</v>
      </c>
      <c r="E28" s="51" t="s">
        <v>260</v>
      </c>
    </row>
    <row r="29" spans="3:5" x14ac:dyDescent="0.2">
      <c r="C29" s="35" t="s">
        <v>256</v>
      </c>
      <c r="D29" s="51">
        <f>re!G10*re!C10+re!G11*re!C11+re!G12*re!C12+re!G13*re!C13+re!G14*re!C14</f>
        <v>28430</v>
      </c>
      <c r="E29" s="51" t="s">
        <v>261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88318-D152-6947-B837-4E6A23823485}">
  <sheetPr>
    <tabColor theme="4" tint="0.39997558519241921"/>
  </sheetPr>
  <dimension ref="A1:CG1005"/>
  <sheetViews>
    <sheetView zoomScale="86" workbookViewId="0">
      <pane xSplit="4" ySplit="1" topLeftCell="E2" activePane="bottomRight" state="frozen"/>
      <selection pane="topRight" activeCell="E1" sqref="E1"/>
      <selection pane="bottomLeft" activeCell="A2" sqref="A2"/>
      <selection pane="bottomRight" activeCell="J34" sqref="J34"/>
    </sheetView>
  </sheetViews>
  <sheetFormatPr baseColWidth="10" defaultRowHeight="16" x14ac:dyDescent="0.2"/>
  <cols>
    <col min="4" max="4" width="7.83203125" customWidth="1"/>
    <col min="5" max="5" width="8.33203125" customWidth="1"/>
    <col min="6" max="6" width="5.33203125" customWidth="1"/>
    <col min="7" max="7" width="8" customWidth="1"/>
    <col min="8" max="8" width="13.33203125" customWidth="1"/>
    <col min="9" max="9" width="14.6640625" customWidth="1"/>
    <col min="10" max="10" width="20.33203125" customWidth="1"/>
    <col min="11" max="11" width="8.33203125" customWidth="1"/>
    <col min="12" max="12" width="14.6640625" customWidth="1"/>
    <col min="13" max="13" width="8.1640625" customWidth="1"/>
    <col min="14" max="14" width="7.83203125" customWidth="1"/>
    <col min="15" max="16" width="8.83203125"/>
    <col min="17" max="17" width="9" customWidth="1"/>
    <col min="18" max="18" width="8.83203125"/>
    <col min="20" max="20" width="8.83203125"/>
    <col min="23" max="23" width="8.83203125"/>
    <col min="37" max="37" width="21.6640625" customWidth="1"/>
    <col min="38" max="38" width="12.6640625" customWidth="1"/>
    <col min="60" max="60" width="32.5" customWidth="1"/>
    <col min="61" max="61" width="9.83203125" customWidth="1"/>
    <col min="62" max="62" width="12.1640625" customWidth="1"/>
  </cols>
  <sheetData>
    <row r="1" spans="1:85" x14ac:dyDescent="0.2">
      <c r="A1" s="64" t="s">
        <v>79</v>
      </c>
      <c r="B1" s="64" t="s">
        <v>80</v>
      </c>
      <c r="C1" s="64" t="s">
        <v>81</v>
      </c>
      <c r="D1" s="64" t="s">
        <v>82</v>
      </c>
      <c r="E1" s="64" t="s">
        <v>83</v>
      </c>
      <c r="F1" s="64" t="s">
        <v>84</v>
      </c>
      <c r="G1" s="64" t="s">
        <v>85</v>
      </c>
      <c r="H1" s="64" t="s">
        <v>86</v>
      </c>
      <c r="I1" s="64" t="s">
        <v>87</v>
      </c>
      <c r="J1" s="64" t="s">
        <v>88</v>
      </c>
      <c r="K1" s="64" t="s">
        <v>89</v>
      </c>
      <c r="L1" s="64" t="s">
        <v>90</v>
      </c>
      <c r="M1" s="64" t="s">
        <v>91</v>
      </c>
      <c r="N1" s="64" t="s">
        <v>92</v>
      </c>
      <c r="O1" s="65" t="s">
        <v>93</v>
      </c>
      <c r="P1" s="65" t="s">
        <v>94</v>
      </c>
      <c r="Q1" s="64" t="s">
        <v>95</v>
      </c>
      <c r="R1" s="64" t="s">
        <v>96</v>
      </c>
      <c r="S1" t="s">
        <v>232</v>
      </c>
      <c r="T1" s="64"/>
      <c r="U1" s="64" t="s">
        <v>323</v>
      </c>
      <c r="V1" s="64" t="s">
        <v>283</v>
      </c>
      <c r="W1" s="64" t="s">
        <v>322</v>
      </c>
      <c r="X1" t="s">
        <v>233</v>
      </c>
      <c r="Y1" s="6" t="s">
        <v>88</v>
      </c>
      <c r="Z1" s="6" t="s">
        <v>94</v>
      </c>
      <c r="AA1">
        <f>SUM(AA2:AA820)</f>
        <v>24</v>
      </c>
      <c r="AB1" s="6" t="s">
        <v>95</v>
      </c>
      <c r="AC1">
        <f>SUM(AC2:AC820)</f>
        <v>16</v>
      </c>
      <c r="AF1" t="s">
        <v>234</v>
      </c>
      <c r="AH1" t="s">
        <v>235</v>
      </c>
      <c r="AL1" t="s">
        <v>235</v>
      </c>
      <c r="AM1" t="s">
        <v>234</v>
      </c>
      <c r="AO1" t="s">
        <v>236</v>
      </c>
      <c r="BD1" t="s">
        <v>237</v>
      </c>
      <c r="BH1" t="s">
        <v>280</v>
      </c>
      <c r="BK1" t="s">
        <v>18</v>
      </c>
      <c r="BL1" t="s">
        <v>4</v>
      </c>
      <c r="BM1" t="s">
        <v>9</v>
      </c>
      <c r="BN1" t="s">
        <v>6</v>
      </c>
      <c r="BO1" t="s">
        <v>33</v>
      </c>
      <c r="BP1" t="s">
        <v>11</v>
      </c>
      <c r="BQ1" t="s">
        <v>10</v>
      </c>
      <c r="BR1" t="s">
        <v>21</v>
      </c>
      <c r="BS1" t="s">
        <v>16</v>
      </c>
      <c r="BT1" t="s">
        <v>17</v>
      </c>
      <c r="BU1" t="s">
        <v>20</v>
      </c>
      <c r="BV1" t="s">
        <v>25</v>
      </c>
      <c r="BW1" t="s">
        <v>29</v>
      </c>
      <c r="BX1" t="s">
        <v>27</v>
      </c>
      <c r="BY1" t="s">
        <v>28</v>
      </c>
      <c r="BZ1" t="s">
        <v>19</v>
      </c>
      <c r="CA1" t="s">
        <v>31</v>
      </c>
      <c r="CB1" t="s">
        <v>30</v>
      </c>
      <c r="CC1" t="s">
        <v>43</v>
      </c>
      <c r="CD1" t="s">
        <v>36</v>
      </c>
      <c r="CE1" t="s">
        <v>22</v>
      </c>
      <c r="CF1" t="s">
        <v>45</v>
      </c>
      <c r="CG1" t="s">
        <v>51</v>
      </c>
    </row>
    <row r="2" spans="1:85" x14ac:dyDescent="0.2">
      <c r="A2" s="79" t="s">
        <v>97</v>
      </c>
      <c r="B2" s="79" t="s">
        <v>98</v>
      </c>
      <c r="C2" s="79">
        <v>9812705</v>
      </c>
      <c r="D2" s="79" t="s">
        <v>99</v>
      </c>
      <c r="E2" s="79">
        <v>8.1999999999999993</v>
      </c>
      <c r="F2" s="79">
        <v>2018</v>
      </c>
      <c r="G2" s="79">
        <v>306</v>
      </c>
      <c r="H2" s="79">
        <v>9000</v>
      </c>
      <c r="I2">
        <v>14.18109135333243</v>
      </c>
      <c r="J2" s="79" t="s">
        <v>18</v>
      </c>
      <c r="K2" s="79">
        <v>130818</v>
      </c>
      <c r="L2">
        <v>313</v>
      </c>
      <c r="M2" s="79" t="s">
        <v>100</v>
      </c>
      <c r="N2" s="79" t="s">
        <v>18</v>
      </c>
      <c r="O2">
        <v>9000</v>
      </c>
      <c r="P2">
        <v>3218.5015944322108</v>
      </c>
      <c r="Q2" s="79" t="s">
        <v>2</v>
      </c>
      <c r="R2">
        <v>130.67116473394779</v>
      </c>
      <c r="S2">
        <f>IF(L2=0,1,0)</f>
        <v>0</v>
      </c>
      <c r="T2">
        <f>SUM(U2:U1196)</f>
        <v>97263.780530371383</v>
      </c>
      <c r="U2">
        <f>IF(K2&gt;=5000,R2*VLOOKUP(Q2,emissions!$A$2:$B$5,2,FALSE),0)</f>
        <v>19077.990051156379</v>
      </c>
      <c r="V2">
        <f>IF(K2&gt;=5000,R2,0)</f>
        <v>130.67116473394779</v>
      </c>
      <c r="W2">
        <f>IF(U2=0,0,U2/V2)</f>
        <v>146</v>
      </c>
      <c r="Y2" t="s">
        <v>18</v>
      </c>
      <c r="Z2">
        <v>3218.5015944322108</v>
      </c>
      <c r="AA2">
        <f>IF(AND(Y2=J2,Z2=P2),0,1)</f>
        <v>0</v>
      </c>
      <c r="AB2" t="s">
        <v>2</v>
      </c>
      <c r="AC2">
        <f>IF(AB2=Q2,0,1)</f>
        <v>0</v>
      </c>
      <c r="AE2" t="s">
        <v>2</v>
      </c>
      <c r="AF2">
        <f>SUMIF($Q$2:$Q$820,AE2,$P$2:$P$820)</f>
        <v>5260.4758670539386</v>
      </c>
      <c r="AG2" s="41">
        <f>AF2/$AF$6</f>
        <v>0.26712322037627262</v>
      </c>
      <c r="AH2">
        <f>SUMIF($Q$2:$Q$820,AE2,$R$2:$R$820)</f>
        <v>213.57532020238995</v>
      </c>
      <c r="AI2">
        <f>AH2/$AH$6</f>
        <v>0.26096793237166199</v>
      </c>
      <c r="AK2" t="str" cm="1">
        <f t="array" ref="AK2:AK25">_xlfn.UNIQUE(J2:J820)</f>
        <v>Passenger Vessel</v>
      </c>
      <c r="AL2">
        <f>SUMIF(raw!$J$2:$J$820,AK2,raw!$R$2:$R$820)</f>
        <v>130.67116473394779</v>
      </c>
      <c r="AM2">
        <f>SUMIF(raw!$J$2:$J$820,AK2,raw!$P$2:$P$820)</f>
        <v>3218.5015944322108</v>
      </c>
      <c r="AO2" t="s">
        <v>11</v>
      </c>
      <c r="AP2">
        <v>107961.08675589175</v>
      </c>
      <c r="BD2" t="s">
        <v>11</v>
      </c>
      <c r="BE2">
        <v>4210.4823834797799</v>
      </c>
      <c r="BG2" t="s">
        <v>18</v>
      </c>
      <c r="BH2">
        <f>SUM(BK2:BK1195)</f>
        <v>1</v>
      </c>
      <c r="BI2">
        <f>COUNTIF($J$2:$J$1195,BG2)</f>
        <v>1</v>
      </c>
      <c r="BJ2" s="9">
        <f>BH2/BI2</f>
        <v>1</v>
      </c>
      <c r="BK2">
        <f>IF(AND($K2&gt;=5000,$J2=BK$1),1,0)</f>
        <v>1</v>
      </c>
      <c r="BL2">
        <f>IF(AND($K2&gt;=5000,$J2=BL$1),1,0)</f>
        <v>0</v>
      </c>
      <c r="BM2">
        <f t="shared" ref="BM2:CG14" si="0">IF(AND($K2&gt;=5000,$J2=BM$1),1,0)</f>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c r="CD2">
        <f t="shared" si="0"/>
        <v>0</v>
      </c>
      <c r="CE2">
        <f t="shared" si="0"/>
        <v>0</v>
      </c>
      <c r="CF2">
        <f t="shared" si="0"/>
        <v>0</v>
      </c>
      <c r="CG2">
        <f t="shared" si="0"/>
        <v>0</v>
      </c>
    </row>
    <row r="3" spans="1:85" x14ac:dyDescent="0.2">
      <c r="A3" s="79" t="s">
        <v>101</v>
      </c>
      <c r="B3" s="79" t="s">
        <v>102</v>
      </c>
      <c r="C3" s="79">
        <v>9375898</v>
      </c>
      <c r="D3" s="79" t="s">
        <v>103</v>
      </c>
      <c r="E3" s="79">
        <v>4.7</v>
      </c>
      <c r="F3" s="79">
        <v>2007</v>
      </c>
      <c r="G3" s="79">
        <v>86.5</v>
      </c>
      <c r="H3" s="79">
        <v>3017</v>
      </c>
      <c r="I3">
        <v>6.3773392049746693</v>
      </c>
      <c r="J3" s="79" t="s">
        <v>4</v>
      </c>
      <c r="K3" s="79">
        <v>2638</v>
      </c>
      <c r="L3">
        <v>140.87356321839081</v>
      </c>
      <c r="M3" s="79" t="s">
        <v>104</v>
      </c>
      <c r="N3" s="79" t="s">
        <v>105</v>
      </c>
      <c r="O3">
        <v>3017</v>
      </c>
      <c r="P3">
        <v>63.57460625511785</v>
      </c>
      <c r="Q3" s="79" t="s">
        <v>1</v>
      </c>
      <c r="R3">
        <v>2.4794096439495958</v>
      </c>
      <c r="S3">
        <f t="shared" ref="S3:S26" si="1">IF(L3=0,1,0)</f>
        <v>0</v>
      </c>
      <c r="T3">
        <f>SUM(V2:V1195)</f>
        <v>711.15128496719296</v>
      </c>
      <c r="U3">
        <f>IF(K3&gt;=5000,R3*VLOOKUP(Q3,emissions!$A$2:$B$5,2,FALSE),0)</f>
        <v>0</v>
      </c>
      <c r="V3">
        <f t="shared" ref="V3:V26" si="2">IF(K3&gt;=5000,R3,0)</f>
        <v>0</v>
      </c>
      <c r="W3">
        <f t="shared" ref="W3:W26" si="3">IF(U3=0,0,U3/V3)</f>
        <v>0</v>
      </c>
      <c r="Y3" t="s">
        <v>18</v>
      </c>
      <c r="Z3">
        <v>4438.2713479395688</v>
      </c>
      <c r="AA3">
        <f t="shared" ref="AA3:AA26" si="4">IF(AND(Y3=J3,Z3=P3),0,1)</f>
        <v>1</v>
      </c>
      <c r="AB3" t="s">
        <v>2</v>
      </c>
      <c r="AC3">
        <f t="shared" ref="AC3:AC26" si="5">IF(AB3=Q3,0,1)</f>
        <v>1</v>
      </c>
      <c r="AE3" t="s">
        <v>1</v>
      </c>
      <c r="AF3">
        <f t="shared" ref="AF3:AF5" si="6">SUMIF($Q$2:$Q$820,AE3,$P$2:$P$820)</f>
        <v>9753.2750794386011</v>
      </c>
      <c r="AG3" s="41">
        <f t="shared" ref="AG3:AG5" si="7">AF3/$AF$6</f>
        <v>0.49526436662361584</v>
      </c>
      <c r="AH3">
        <f t="shared" ref="AH3:AH5" si="8">SUMIF($Q$2:$Q$820,AE3,$R$2:$R$820)</f>
        <v>380.37772809810554</v>
      </c>
      <c r="AI3">
        <f t="shared" ref="AI3:AI5" si="9">AH3/$AH$6</f>
        <v>0.46478398874891175</v>
      </c>
      <c r="AK3" t="str">
        <v>General Cargo</v>
      </c>
      <c r="AL3">
        <f>SUMIF(raw!$J$2:$J$820,AK3,raw!$R$2:$R$820)</f>
        <v>2.4794096439495958</v>
      </c>
      <c r="AM3">
        <f>SUMIF(raw!$J$2:$J$820,AK3,raw!$P$2:$P$820)</f>
        <v>63.57460625511785</v>
      </c>
      <c r="AO3" t="s">
        <v>43</v>
      </c>
      <c r="AP3">
        <v>51310.70033610933</v>
      </c>
      <c r="BD3" t="s">
        <v>43</v>
      </c>
      <c r="BE3">
        <v>2083.2144336460369</v>
      </c>
      <c r="BG3" t="s">
        <v>4</v>
      </c>
      <c r="BH3">
        <f>SUM(BL2:BL1195)</f>
        <v>0</v>
      </c>
      <c r="BI3">
        <f t="shared" ref="BI3:BI24" si="10">COUNTIF($J$2:$J$1195,BG3)</f>
        <v>1</v>
      </c>
      <c r="BJ3" s="9">
        <f t="shared" ref="BJ3:BJ24" si="11">BH3/BI3</f>
        <v>0</v>
      </c>
      <c r="BK3">
        <f t="shared" ref="BK3:BZ26" si="12">IF(AND($K3&gt;=5000,$J3=BK$1),1,0)</f>
        <v>0</v>
      </c>
      <c r="BL3">
        <f t="shared" si="12"/>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c r="CD3">
        <f t="shared" si="0"/>
        <v>0</v>
      </c>
      <c r="CE3">
        <f t="shared" si="0"/>
        <v>0</v>
      </c>
      <c r="CF3">
        <f t="shared" si="0"/>
        <v>0</v>
      </c>
      <c r="CG3">
        <f t="shared" si="0"/>
        <v>0</v>
      </c>
    </row>
    <row r="4" spans="1:85" x14ac:dyDescent="0.2">
      <c r="A4" s="79" t="s">
        <v>106</v>
      </c>
      <c r="B4" s="79" t="s">
        <v>107</v>
      </c>
      <c r="C4" s="79">
        <v>9593127</v>
      </c>
      <c r="D4" s="79" t="s">
        <v>9</v>
      </c>
      <c r="E4" s="79">
        <v>0.1</v>
      </c>
      <c r="F4" s="79">
        <v>2012</v>
      </c>
      <c r="G4" s="79">
        <v>210</v>
      </c>
      <c r="H4" s="79">
        <v>19696</v>
      </c>
      <c r="I4">
        <v>7.2951384199864959</v>
      </c>
      <c r="J4" s="79" t="s">
        <v>9</v>
      </c>
      <c r="K4" s="79">
        <v>43758</v>
      </c>
      <c r="L4">
        <v>105</v>
      </c>
      <c r="M4" s="79" t="s">
        <v>108</v>
      </c>
      <c r="N4" s="79" t="s">
        <v>9</v>
      </c>
      <c r="O4">
        <v>19696</v>
      </c>
      <c r="P4">
        <v>247.7578100533452</v>
      </c>
      <c r="Q4" s="79" t="s">
        <v>70</v>
      </c>
      <c r="R4">
        <v>10.60403427028317</v>
      </c>
      <c r="S4">
        <f t="shared" si="1"/>
        <v>0</v>
      </c>
      <c r="T4">
        <f>T2/T3</f>
        <v>136.76946465034987</v>
      </c>
      <c r="U4">
        <f>IF(K4&gt;=5000,R4*VLOOKUP(Q4,emissions!$A$2:$B$5,2,FALSE),0)</f>
        <v>1537.5849691910598</v>
      </c>
      <c r="V4">
        <f t="shared" si="2"/>
        <v>10.60403427028317</v>
      </c>
      <c r="W4">
        <f t="shared" si="3"/>
        <v>145</v>
      </c>
      <c r="Y4" t="s">
        <v>18</v>
      </c>
      <c r="Z4">
        <v>955.11046884889811</v>
      </c>
      <c r="AA4">
        <f t="shared" si="4"/>
        <v>1</v>
      </c>
      <c r="AB4" t="s">
        <v>2</v>
      </c>
      <c r="AC4">
        <f t="shared" si="5"/>
        <v>1</v>
      </c>
      <c r="AE4" t="s">
        <v>70</v>
      </c>
      <c r="AF4">
        <f t="shared" si="6"/>
        <v>512.2554733858691</v>
      </c>
      <c r="AG4" s="41">
        <f t="shared" si="7"/>
        <v>2.6011968339822122E-2</v>
      </c>
      <c r="AH4">
        <f t="shared" si="8"/>
        <v>21.924534260915191</v>
      </c>
      <c r="AI4">
        <f t="shared" si="9"/>
        <v>2.6789613935078047E-2</v>
      </c>
      <c r="AK4" t="str">
        <v>Special Craft</v>
      </c>
      <c r="AL4">
        <f>SUMIF(raw!$J$2:$J$820,AK4,raw!$R$2:$R$820)</f>
        <v>10.60403427028317</v>
      </c>
      <c r="AM4">
        <f>SUMIF(raw!$J$2:$J$820,AK4,raw!$P$2:$P$820)</f>
        <v>247.7578100533452</v>
      </c>
      <c r="AO4" t="s">
        <v>4</v>
      </c>
      <c r="AP4">
        <v>38854.152869376929</v>
      </c>
      <c r="BD4" t="s">
        <v>21</v>
      </c>
      <c r="BE4">
        <v>1786.0259772696922</v>
      </c>
      <c r="BG4" t="s">
        <v>9</v>
      </c>
      <c r="BH4">
        <f>SUM(BM2:BM1195)</f>
        <v>1</v>
      </c>
      <c r="BI4">
        <f t="shared" si="10"/>
        <v>1</v>
      </c>
      <c r="BJ4" s="9">
        <f t="shared" si="11"/>
        <v>1</v>
      </c>
      <c r="BK4">
        <f t="shared" si="12"/>
        <v>0</v>
      </c>
      <c r="BL4">
        <f t="shared" si="12"/>
        <v>0</v>
      </c>
      <c r="BM4">
        <f t="shared" si="0"/>
        <v>1</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c r="CD4">
        <f t="shared" si="0"/>
        <v>0</v>
      </c>
      <c r="CE4">
        <f t="shared" si="0"/>
        <v>0</v>
      </c>
      <c r="CF4">
        <f t="shared" si="0"/>
        <v>0</v>
      </c>
      <c r="CG4">
        <f t="shared" si="0"/>
        <v>0</v>
      </c>
    </row>
    <row r="5" spans="1:85" x14ac:dyDescent="0.2">
      <c r="A5" s="79" t="s">
        <v>109</v>
      </c>
      <c r="B5" s="79" t="s">
        <v>110</v>
      </c>
      <c r="C5" s="79">
        <v>9650028</v>
      </c>
      <c r="D5" s="79" t="s">
        <v>9</v>
      </c>
      <c r="E5" s="79">
        <v>4</v>
      </c>
      <c r="F5" s="79">
        <v>2014</v>
      </c>
      <c r="G5" s="79">
        <v>67</v>
      </c>
      <c r="H5" s="79">
        <v>452</v>
      </c>
      <c r="I5">
        <v>5.5481988472622472</v>
      </c>
      <c r="J5" s="79" t="s">
        <v>6</v>
      </c>
      <c r="K5" s="79">
        <v>1143</v>
      </c>
      <c r="L5">
        <v>220</v>
      </c>
      <c r="M5" s="79" t="s">
        <v>108</v>
      </c>
      <c r="N5" s="79" t="s">
        <v>105</v>
      </c>
      <c r="O5">
        <v>452</v>
      </c>
      <c r="P5">
        <v>18.441225480742741</v>
      </c>
      <c r="Q5" s="79" t="s">
        <v>70</v>
      </c>
      <c r="R5">
        <v>0.78928445057578944</v>
      </c>
      <c r="S5">
        <f t="shared" si="1"/>
        <v>0</v>
      </c>
      <c r="U5">
        <f>IF(K5&gt;=5000,R5*VLOOKUP(Q5,emissions!$A$2:$B$5,2,FALSE),0)</f>
        <v>0</v>
      </c>
      <c r="V5">
        <f t="shared" si="2"/>
        <v>0</v>
      </c>
      <c r="W5">
        <f t="shared" si="3"/>
        <v>0</v>
      </c>
      <c r="Y5" t="s">
        <v>18</v>
      </c>
      <c r="Z5">
        <v>1422.468336280316</v>
      </c>
      <c r="AA5">
        <f t="shared" si="4"/>
        <v>1</v>
      </c>
      <c r="AB5" t="s">
        <v>2</v>
      </c>
      <c r="AC5">
        <f t="shared" si="5"/>
        <v>1</v>
      </c>
      <c r="AE5" t="s">
        <v>72</v>
      </c>
      <c r="AF5">
        <f t="shared" si="6"/>
        <v>4167.0620435968976</v>
      </c>
      <c r="AG5" s="41">
        <f t="shared" si="7"/>
        <v>0.21160044466028943</v>
      </c>
      <c r="AH5">
        <f t="shared" si="8"/>
        <v>202.51921531880922</v>
      </c>
      <c r="AI5">
        <f t="shared" si="9"/>
        <v>0.2474584649443482</v>
      </c>
      <c r="AK5" t="str">
        <v>Supply Vessel</v>
      </c>
      <c r="AL5">
        <f>SUMIF(raw!$J$2:$J$820,AK5,raw!$R$2:$R$820)</f>
        <v>0.78928445057578944</v>
      </c>
      <c r="AM5">
        <f>SUMIF(raw!$J$2:$J$820,AK5,raw!$P$2:$P$820)</f>
        <v>18.441225480742741</v>
      </c>
      <c r="AO5" t="s">
        <v>21</v>
      </c>
      <c r="AP5">
        <v>36749.505705137693</v>
      </c>
      <c r="BD5" t="s">
        <v>4</v>
      </c>
      <c r="BE5">
        <v>1515.3119619056999</v>
      </c>
      <c r="BG5" t="s">
        <v>6</v>
      </c>
      <c r="BH5">
        <f>SUM(BN2:BN1195)</f>
        <v>0</v>
      </c>
      <c r="BI5">
        <f t="shared" si="10"/>
        <v>1</v>
      </c>
      <c r="BJ5" s="9">
        <f t="shared" si="11"/>
        <v>0</v>
      </c>
      <c r="BK5">
        <f t="shared" si="12"/>
        <v>0</v>
      </c>
      <c r="BL5">
        <f t="shared" si="12"/>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c r="CD5">
        <f t="shared" si="0"/>
        <v>0</v>
      </c>
      <c r="CE5">
        <f t="shared" si="0"/>
        <v>0</v>
      </c>
      <c r="CF5">
        <f t="shared" si="0"/>
        <v>0</v>
      </c>
      <c r="CG5">
        <f t="shared" si="0"/>
        <v>0</v>
      </c>
    </row>
    <row r="6" spans="1:85" x14ac:dyDescent="0.2">
      <c r="A6" s="79" t="s">
        <v>101</v>
      </c>
      <c r="B6" s="79" t="s">
        <v>111</v>
      </c>
      <c r="C6" s="79">
        <v>9677492</v>
      </c>
      <c r="D6" s="79" t="s">
        <v>99</v>
      </c>
      <c r="E6" s="79">
        <v>4.8</v>
      </c>
      <c r="F6" s="79">
        <v>2015</v>
      </c>
      <c r="G6" s="79">
        <v>126.1</v>
      </c>
      <c r="H6" s="79">
        <v>3300</v>
      </c>
      <c r="I6">
        <v>5.6909722222222223</v>
      </c>
      <c r="J6" s="79" t="s">
        <v>33</v>
      </c>
      <c r="K6" s="79">
        <v>11468</v>
      </c>
      <c r="L6">
        <v>216</v>
      </c>
      <c r="M6" s="79" t="s">
        <v>112</v>
      </c>
      <c r="N6" s="79" t="s">
        <v>105</v>
      </c>
      <c r="O6">
        <v>3300</v>
      </c>
      <c r="P6">
        <v>73.53733085336296</v>
      </c>
      <c r="Q6" s="79" t="s">
        <v>2</v>
      </c>
      <c r="R6">
        <v>2.9856156326465362</v>
      </c>
      <c r="S6">
        <f t="shared" si="1"/>
        <v>0</v>
      </c>
      <c r="U6">
        <f>IF(K6&gt;=5000,R6*VLOOKUP(Q6,emissions!$A$2:$B$5,2,FALSE),0)</f>
        <v>435.89988236639431</v>
      </c>
      <c r="V6">
        <f t="shared" si="2"/>
        <v>2.9856156326465362</v>
      </c>
      <c r="W6">
        <f t="shared" si="3"/>
        <v>146</v>
      </c>
      <c r="Y6" t="s">
        <v>18</v>
      </c>
      <c r="Z6">
        <v>29.058082338216359</v>
      </c>
      <c r="AA6">
        <f t="shared" si="4"/>
        <v>1</v>
      </c>
      <c r="AB6" t="s">
        <v>2</v>
      </c>
      <c r="AC6">
        <f t="shared" si="5"/>
        <v>0</v>
      </c>
      <c r="AF6">
        <f>SUM(AF2:AF5)</f>
        <v>19693.068463475305</v>
      </c>
      <c r="AH6">
        <f>SUM(AH2:AH5)</f>
        <v>818.39679788021988</v>
      </c>
      <c r="AK6" t="str">
        <v>Passenger/Cargo Ship</v>
      </c>
      <c r="AL6">
        <f>SUMIF(raw!$J$2:$J$820,AK6,raw!$R$2:$R$820)</f>
        <v>4.8756260059855672</v>
      </c>
      <c r="AM6">
        <f>SUMIF(raw!$J$2:$J$820,AK6,raw!$P$2:$P$820)</f>
        <v>120.08931049225534</v>
      </c>
      <c r="AO6" t="s">
        <v>25</v>
      </c>
      <c r="AP6">
        <v>32382.078430631904</v>
      </c>
      <c r="BD6" t="s">
        <v>25</v>
      </c>
      <c r="BE6">
        <v>1262.9010587946441</v>
      </c>
      <c r="BG6" t="s">
        <v>33</v>
      </c>
      <c r="BH6">
        <f>SUM(BO2:BO1195)</f>
        <v>1</v>
      </c>
      <c r="BI6">
        <f t="shared" si="10"/>
        <v>2</v>
      </c>
      <c r="BJ6" s="9">
        <f t="shared" si="11"/>
        <v>0.5</v>
      </c>
      <c r="BK6">
        <f t="shared" si="12"/>
        <v>0</v>
      </c>
      <c r="BL6">
        <f t="shared" si="12"/>
        <v>0</v>
      </c>
      <c r="BM6">
        <f t="shared" si="0"/>
        <v>0</v>
      </c>
      <c r="BN6">
        <f t="shared" si="0"/>
        <v>0</v>
      </c>
      <c r="BO6">
        <f t="shared" si="0"/>
        <v>1</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c r="CD6">
        <f t="shared" si="0"/>
        <v>0</v>
      </c>
      <c r="CE6">
        <f t="shared" si="0"/>
        <v>0</v>
      </c>
      <c r="CF6">
        <f t="shared" si="0"/>
        <v>0</v>
      </c>
      <c r="CG6">
        <f t="shared" si="0"/>
        <v>0</v>
      </c>
    </row>
    <row r="7" spans="1:85" x14ac:dyDescent="0.2">
      <c r="A7" s="79" t="s">
        <v>106</v>
      </c>
      <c r="B7" s="79" t="s">
        <v>113</v>
      </c>
      <c r="C7" s="79">
        <v>9719068</v>
      </c>
      <c r="D7" s="79" t="s">
        <v>103</v>
      </c>
      <c r="E7" s="79">
        <v>10.4</v>
      </c>
      <c r="F7" s="79">
        <v>2019</v>
      </c>
      <c r="G7" s="79">
        <v>260.39999999999998</v>
      </c>
      <c r="H7" s="79">
        <v>51400</v>
      </c>
      <c r="I7">
        <v>14.39574297188755</v>
      </c>
      <c r="J7" s="79" t="s">
        <v>11</v>
      </c>
      <c r="K7" s="79">
        <v>48409</v>
      </c>
      <c r="L7">
        <v>94</v>
      </c>
      <c r="M7" s="79" t="s">
        <v>104</v>
      </c>
      <c r="N7" s="79" t="s">
        <v>105</v>
      </c>
      <c r="O7">
        <v>51400</v>
      </c>
      <c r="P7">
        <v>3230.6576508685639</v>
      </c>
      <c r="Q7" s="79" t="s">
        <v>1</v>
      </c>
      <c r="R7">
        <v>125.995648383874</v>
      </c>
      <c r="S7">
        <f t="shared" si="1"/>
        <v>0</v>
      </c>
      <c r="U7">
        <f>IF(K7&gt;=5000,R7*VLOOKUP(Q7,emissions!$A$2:$B$5,2,FALSE),0)</f>
        <v>18395.364664045603</v>
      </c>
      <c r="V7">
        <f t="shared" si="2"/>
        <v>125.995648383874</v>
      </c>
      <c r="W7">
        <f t="shared" si="3"/>
        <v>146</v>
      </c>
      <c r="Y7" t="s">
        <v>18</v>
      </c>
      <c r="Z7">
        <v>59.292912406444238</v>
      </c>
      <c r="AA7">
        <f t="shared" si="4"/>
        <v>1</v>
      </c>
      <c r="AB7" t="s">
        <v>2</v>
      </c>
      <c r="AC7">
        <f t="shared" si="5"/>
        <v>1</v>
      </c>
      <c r="AK7" t="str">
        <v>Container Ship</v>
      </c>
      <c r="AL7">
        <f>SUMIF(raw!$J$2:$J$820,AK7,raw!$R$2:$R$820)</f>
        <v>125.995648383874</v>
      </c>
      <c r="AM7">
        <f>SUMIF(raw!$J$2:$J$820,AK7,raw!$P$2:$P$820)</f>
        <v>3230.6576508685639</v>
      </c>
      <c r="AO7" t="s">
        <v>18</v>
      </c>
      <c r="AP7">
        <v>31037.495813026962</v>
      </c>
      <c r="BD7" t="s">
        <v>18</v>
      </c>
      <c r="BE7">
        <v>1260.1223300088948</v>
      </c>
      <c r="BG7" t="s">
        <v>11</v>
      </c>
      <c r="BH7">
        <f>SUM(BP2:BP1195)</f>
        <v>1</v>
      </c>
      <c r="BI7">
        <f t="shared" si="10"/>
        <v>1</v>
      </c>
      <c r="BJ7" s="9">
        <f t="shared" si="11"/>
        <v>1</v>
      </c>
      <c r="BK7">
        <f t="shared" si="12"/>
        <v>0</v>
      </c>
      <c r="BL7">
        <f t="shared" si="12"/>
        <v>0</v>
      </c>
      <c r="BM7">
        <f t="shared" si="0"/>
        <v>0</v>
      </c>
      <c r="BN7">
        <f t="shared" si="0"/>
        <v>0</v>
      </c>
      <c r="BO7">
        <f t="shared" si="0"/>
        <v>0</v>
      </c>
      <c r="BP7">
        <f t="shared" si="0"/>
        <v>1</v>
      </c>
      <c r="BQ7">
        <f t="shared" si="0"/>
        <v>0</v>
      </c>
      <c r="BR7">
        <f t="shared" si="0"/>
        <v>0</v>
      </c>
      <c r="BS7">
        <f t="shared" si="0"/>
        <v>0</v>
      </c>
      <c r="BT7">
        <f t="shared" si="0"/>
        <v>0</v>
      </c>
      <c r="BU7">
        <f t="shared" si="0"/>
        <v>0</v>
      </c>
      <c r="BV7">
        <f t="shared" si="0"/>
        <v>0</v>
      </c>
      <c r="BW7">
        <f t="shared" si="0"/>
        <v>0</v>
      </c>
      <c r="BX7">
        <f t="shared" si="0"/>
        <v>0</v>
      </c>
      <c r="BY7">
        <f t="shared" si="0"/>
        <v>0</v>
      </c>
      <c r="BZ7">
        <f t="shared" si="0"/>
        <v>0</v>
      </c>
      <c r="CA7">
        <f t="shared" si="0"/>
        <v>0</v>
      </c>
      <c r="CB7">
        <f t="shared" si="0"/>
        <v>0</v>
      </c>
      <c r="CC7">
        <f t="shared" si="0"/>
        <v>0</v>
      </c>
      <c r="CD7">
        <f t="shared" si="0"/>
        <v>0</v>
      </c>
      <c r="CE7">
        <f t="shared" si="0"/>
        <v>0</v>
      </c>
      <c r="CF7">
        <f t="shared" si="0"/>
        <v>0</v>
      </c>
      <c r="CG7">
        <f t="shared" si="0"/>
        <v>0</v>
      </c>
    </row>
    <row r="8" spans="1:85" x14ac:dyDescent="0.2">
      <c r="A8" s="79" t="s">
        <v>115</v>
      </c>
      <c r="B8" s="79" t="s">
        <v>116</v>
      </c>
      <c r="C8" s="79">
        <v>9515474</v>
      </c>
      <c r="D8" s="79" t="s">
        <v>103</v>
      </c>
      <c r="E8" s="79">
        <v>7.9</v>
      </c>
      <c r="F8" s="79">
        <v>2011</v>
      </c>
      <c r="G8" s="79">
        <v>187.5</v>
      </c>
      <c r="H8" s="79">
        <v>14349</v>
      </c>
      <c r="I8">
        <v>13.47231649189705</v>
      </c>
      <c r="J8" s="79" t="s">
        <v>10</v>
      </c>
      <c r="K8" s="79">
        <v>43709</v>
      </c>
      <c r="L8">
        <v>236</v>
      </c>
      <c r="M8" s="79" t="s">
        <v>112</v>
      </c>
      <c r="N8" s="79" t="s">
        <v>10</v>
      </c>
      <c r="O8">
        <v>14349</v>
      </c>
      <c r="P8">
        <v>2839.697053628141</v>
      </c>
      <c r="Q8" s="79" t="s">
        <v>1</v>
      </c>
      <c r="R8">
        <v>110.7481850914975</v>
      </c>
      <c r="S8">
        <f t="shared" si="1"/>
        <v>0</v>
      </c>
      <c r="U8">
        <f>IF(K8&gt;=5000,R8*VLOOKUP(Q8,emissions!$A$2:$B$5,2,FALSE),0)</f>
        <v>16169.235023358635</v>
      </c>
      <c r="V8">
        <f t="shared" si="2"/>
        <v>110.7481850914975</v>
      </c>
      <c r="W8">
        <f t="shared" si="3"/>
        <v>146</v>
      </c>
      <c r="Y8" t="s">
        <v>4</v>
      </c>
      <c r="Z8">
        <v>63.57460625511785</v>
      </c>
      <c r="AA8">
        <f t="shared" si="4"/>
        <v>1</v>
      </c>
      <c r="AB8" t="s">
        <v>1</v>
      </c>
      <c r="AC8">
        <f t="shared" si="5"/>
        <v>0</v>
      </c>
      <c r="AK8" t="str">
        <v>Ro-Ro/Vehicles Carrier</v>
      </c>
      <c r="AL8">
        <f>SUMIF(raw!$J$2:$J$820,AK8,raw!$R$2:$R$820)</f>
        <v>110.7481850914975</v>
      </c>
      <c r="AM8">
        <f>SUMIF(raw!$J$2:$J$820,AK8,raw!$P$2:$P$820)</f>
        <v>2839.697053628141</v>
      </c>
      <c r="AO8" t="s">
        <v>17</v>
      </c>
      <c r="AP8">
        <v>20379.916261214323</v>
      </c>
      <c r="BD8" t="s">
        <v>17</v>
      </c>
      <c r="BE8">
        <v>872.26041597997653</v>
      </c>
      <c r="BG8" t="s">
        <v>10</v>
      </c>
      <c r="BH8">
        <f>SUM(BQ2:BQ1195)</f>
        <v>1</v>
      </c>
      <c r="BI8">
        <f t="shared" si="10"/>
        <v>1</v>
      </c>
      <c r="BJ8" s="9">
        <f t="shared" si="11"/>
        <v>1</v>
      </c>
      <c r="BK8">
        <f t="shared" si="12"/>
        <v>0</v>
      </c>
      <c r="BL8">
        <f t="shared" si="12"/>
        <v>0</v>
      </c>
      <c r="BM8">
        <f t="shared" si="0"/>
        <v>0</v>
      </c>
      <c r="BN8">
        <f t="shared" si="0"/>
        <v>0</v>
      </c>
      <c r="BO8">
        <f t="shared" si="0"/>
        <v>0</v>
      </c>
      <c r="BP8">
        <f t="shared" si="0"/>
        <v>0</v>
      </c>
      <c r="BQ8">
        <f t="shared" si="0"/>
        <v>1</v>
      </c>
      <c r="BR8">
        <f t="shared" si="0"/>
        <v>0</v>
      </c>
      <c r="BS8">
        <f t="shared" si="0"/>
        <v>0</v>
      </c>
      <c r="BT8">
        <f t="shared" si="0"/>
        <v>0</v>
      </c>
      <c r="BU8">
        <f t="shared" si="0"/>
        <v>0</v>
      </c>
      <c r="BV8">
        <f t="shared" si="0"/>
        <v>0</v>
      </c>
      <c r="BW8">
        <f t="shared" si="0"/>
        <v>0</v>
      </c>
      <c r="BX8">
        <f t="shared" si="0"/>
        <v>0</v>
      </c>
      <c r="BY8">
        <f t="shared" si="0"/>
        <v>0</v>
      </c>
      <c r="BZ8">
        <f t="shared" si="0"/>
        <v>0</v>
      </c>
      <c r="CA8">
        <f t="shared" si="0"/>
        <v>0</v>
      </c>
      <c r="CB8">
        <f t="shared" si="0"/>
        <v>0</v>
      </c>
      <c r="CC8">
        <f t="shared" si="0"/>
        <v>0</v>
      </c>
      <c r="CD8">
        <f t="shared" si="0"/>
        <v>0</v>
      </c>
      <c r="CE8">
        <f t="shared" si="0"/>
        <v>0</v>
      </c>
      <c r="CF8">
        <f t="shared" si="0"/>
        <v>0</v>
      </c>
      <c r="CG8">
        <f t="shared" si="0"/>
        <v>0</v>
      </c>
    </row>
    <row r="9" spans="1:85" x14ac:dyDescent="0.2">
      <c r="A9" s="79" t="s">
        <v>97</v>
      </c>
      <c r="B9" s="79" t="s">
        <v>117</v>
      </c>
      <c r="C9" s="79">
        <v>9636711</v>
      </c>
      <c r="D9" s="79" t="s">
        <v>118</v>
      </c>
      <c r="E9" s="79">
        <v>10.4</v>
      </c>
      <c r="F9" s="79">
        <v>2014</v>
      </c>
      <c r="G9" s="79">
        <v>294.2</v>
      </c>
      <c r="H9" s="79">
        <v>89624</v>
      </c>
      <c r="I9">
        <v>11.696880415944539</v>
      </c>
      <c r="J9" s="79" t="s">
        <v>21</v>
      </c>
      <c r="K9" s="79">
        <v>103905</v>
      </c>
      <c r="L9">
        <v>153</v>
      </c>
      <c r="M9" s="79" t="s">
        <v>119</v>
      </c>
      <c r="N9" s="79" t="s">
        <v>21</v>
      </c>
      <c r="O9">
        <v>89624</v>
      </c>
      <c r="P9">
        <v>4086.3592970248719</v>
      </c>
      <c r="Q9" s="79" t="s">
        <v>72</v>
      </c>
      <c r="R9">
        <v>198.59706183540879</v>
      </c>
      <c r="S9">
        <f t="shared" si="1"/>
        <v>0</v>
      </c>
      <c r="U9">
        <f>IF(K9&gt;=5000,R9*VLOOKUP(Q9,emissions!$A$2:$B$5,2,FALSE),0)</f>
        <v>22441.467987401193</v>
      </c>
      <c r="V9">
        <f t="shared" si="2"/>
        <v>198.59706183540879</v>
      </c>
      <c r="W9">
        <f t="shared" si="3"/>
        <v>113</v>
      </c>
      <c r="Y9" t="s">
        <v>9</v>
      </c>
      <c r="Z9">
        <v>247.7578100533452</v>
      </c>
      <c r="AA9">
        <f t="shared" si="4"/>
        <v>1</v>
      </c>
      <c r="AB9" t="s">
        <v>70</v>
      </c>
      <c r="AC9">
        <f t="shared" si="5"/>
        <v>1</v>
      </c>
      <c r="AK9" t="str">
        <v>LNG Tanker</v>
      </c>
      <c r="AL9">
        <f>SUMIF(raw!$J$2:$J$820,AK9,raw!$R$2:$R$820)</f>
        <v>198.59706183540879</v>
      </c>
      <c r="AM9">
        <f>SUMIF(raw!$J$2:$J$820,AK9,raw!$P$2:$P$820)</f>
        <v>4086.3592970248719</v>
      </c>
      <c r="AO9" t="s">
        <v>20</v>
      </c>
      <c r="AP9">
        <v>19934.389121691522</v>
      </c>
      <c r="BD9" t="s">
        <v>20</v>
      </c>
      <c r="BE9">
        <v>777.44117574596942</v>
      </c>
      <c r="BG9" t="s">
        <v>21</v>
      </c>
      <c r="BH9">
        <f>SUM(BR2:BR1195)</f>
        <v>1</v>
      </c>
      <c r="BI9">
        <f t="shared" si="10"/>
        <v>1</v>
      </c>
      <c r="BJ9" s="9">
        <f t="shared" si="11"/>
        <v>1</v>
      </c>
      <c r="BK9">
        <f t="shared" si="12"/>
        <v>0</v>
      </c>
      <c r="BL9">
        <f t="shared" si="12"/>
        <v>0</v>
      </c>
      <c r="BM9">
        <f t="shared" si="0"/>
        <v>0</v>
      </c>
      <c r="BN9">
        <f t="shared" si="0"/>
        <v>0</v>
      </c>
      <c r="BO9">
        <f t="shared" si="0"/>
        <v>0</v>
      </c>
      <c r="BP9">
        <f t="shared" si="0"/>
        <v>0</v>
      </c>
      <c r="BQ9">
        <f t="shared" si="0"/>
        <v>0</v>
      </c>
      <c r="BR9">
        <f t="shared" si="0"/>
        <v>1</v>
      </c>
      <c r="BS9">
        <f t="shared" si="0"/>
        <v>0</v>
      </c>
      <c r="BT9">
        <f t="shared" si="0"/>
        <v>0</v>
      </c>
      <c r="BU9">
        <f t="shared" si="0"/>
        <v>0</v>
      </c>
      <c r="BV9">
        <f t="shared" si="0"/>
        <v>0</v>
      </c>
      <c r="BW9">
        <f t="shared" si="0"/>
        <v>0</v>
      </c>
      <c r="BX9">
        <f t="shared" si="0"/>
        <v>0</v>
      </c>
      <c r="BY9">
        <f t="shared" si="0"/>
        <v>0</v>
      </c>
      <c r="BZ9">
        <f t="shared" si="0"/>
        <v>0</v>
      </c>
      <c r="CA9">
        <f t="shared" si="0"/>
        <v>0</v>
      </c>
      <c r="CB9">
        <f t="shared" si="0"/>
        <v>0</v>
      </c>
      <c r="CC9">
        <f t="shared" si="0"/>
        <v>0</v>
      </c>
      <c r="CD9">
        <f t="shared" si="0"/>
        <v>0</v>
      </c>
      <c r="CE9">
        <f t="shared" si="0"/>
        <v>0</v>
      </c>
      <c r="CF9">
        <f t="shared" si="0"/>
        <v>0</v>
      </c>
      <c r="CG9">
        <f t="shared" si="0"/>
        <v>0</v>
      </c>
    </row>
    <row r="10" spans="1:85" x14ac:dyDescent="0.2">
      <c r="A10" s="79" t="s">
        <v>106</v>
      </c>
      <c r="B10" s="79" t="s">
        <v>123</v>
      </c>
      <c r="C10" s="79">
        <v>9827229</v>
      </c>
      <c r="D10" s="79" t="s">
        <v>9</v>
      </c>
      <c r="E10" s="79">
        <v>4.3</v>
      </c>
      <c r="F10" s="79"/>
      <c r="G10" s="79">
        <v>103</v>
      </c>
      <c r="H10" s="79">
        <v>0</v>
      </c>
      <c r="I10">
        <v>11.441935483870971</v>
      </c>
      <c r="J10" s="79" t="s">
        <v>17</v>
      </c>
      <c r="K10" s="79">
        <v>0</v>
      </c>
      <c r="L10">
        <v>20</v>
      </c>
      <c r="M10" s="79" t="s">
        <v>108</v>
      </c>
      <c r="N10" s="79" t="s">
        <v>105</v>
      </c>
      <c r="O10">
        <v>8483.9393605007899</v>
      </c>
      <c r="P10">
        <v>103.8513797029829</v>
      </c>
      <c r="Q10" s="79" t="s">
        <v>70</v>
      </c>
      <c r="R10">
        <v>4.4448390512876657</v>
      </c>
      <c r="S10">
        <f t="shared" si="1"/>
        <v>0</v>
      </c>
      <c r="U10">
        <f>IF(K10&gt;=5000,R10*VLOOKUP(Q10,emissions!$A$2:$B$5,2,FALSE),0)</f>
        <v>0</v>
      </c>
      <c r="V10">
        <f t="shared" si="2"/>
        <v>0</v>
      </c>
      <c r="W10">
        <f t="shared" si="3"/>
        <v>0</v>
      </c>
      <c r="Y10" t="s">
        <v>18</v>
      </c>
      <c r="Z10">
        <v>45.484928943350717</v>
      </c>
      <c r="AA10">
        <f t="shared" si="4"/>
        <v>1</v>
      </c>
      <c r="AB10" t="s">
        <v>2</v>
      </c>
      <c r="AC10">
        <f t="shared" si="5"/>
        <v>1</v>
      </c>
      <c r="AK10" t="str">
        <v>Other Special Craft</v>
      </c>
      <c r="AL10">
        <f>SUMIF(raw!$J$2:$J$820,AK10,raw!$R$2:$R$820)</f>
        <v>4.4448390512876657</v>
      </c>
      <c r="AM10">
        <f>SUMIF(raw!$J$2:$J$820,AK10,raw!$P$2:$P$820)</f>
        <v>103.8513797029829</v>
      </c>
      <c r="AO10" t="s">
        <v>10</v>
      </c>
      <c r="AP10">
        <v>16199.675887767813</v>
      </c>
      <c r="BD10" t="s">
        <v>10</v>
      </c>
      <c r="BE10">
        <v>631.7873596229449</v>
      </c>
      <c r="BG10" t="s">
        <v>16</v>
      </c>
      <c r="BH10">
        <f>SUM(BS2:BS1195)</f>
        <v>1</v>
      </c>
      <c r="BI10">
        <f t="shared" si="10"/>
        <v>1</v>
      </c>
      <c r="BJ10" s="9">
        <f t="shared" si="11"/>
        <v>1</v>
      </c>
      <c r="BK10">
        <f t="shared" si="12"/>
        <v>0</v>
      </c>
      <c r="BL10">
        <f t="shared" si="12"/>
        <v>0</v>
      </c>
      <c r="BM10">
        <f t="shared" si="0"/>
        <v>0</v>
      </c>
      <c r="BN10">
        <f t="shared" si="0"/>
        <v>0</v>
      </c>
      <c r="BO10">
        <f t="shared" si="0"/>
        <v>0</v>
      </c>
      <c r="BP10">
        <f t="shared" si="0"/>
        <v>0</v>
      </c>
      <c r="BQ10">
        <f t="shared" si="0"/>
        <v>0</v>
      </c>
      <c r="BR10">
        <f t="shared" si="0"/>
        <v>0</v>
      </c>
      <c r="BS10">
        <f t="shared" si="0"/>
        <v>0</v>
      </c>
      <c r="BT10">
        <f t="shared" si="0"/>
        <v>0</v>
      </c>
      <c r="BU10">
        <f t="shared" si="0"/>
        <v>0</v>
      </c>
      <c r="BV10">
        <f t="shared" si="0"/>
        <v>0</v>
      </c>
      <c r="BW10">
        <f t="shared" si="0"/>
        <v>0</v>
      </c>
      <c r="BX10">
        <f t="shared" si="0"/>
        <v>0</v>
      </c>
      <c r="BY10">
        <f t="shared" si="0"/>
        <v>0</v>
      </c>
      <c r="BZ10">
        <f t="shared" si="0"/>
        <v>0</v>
      </c>
      <c r="CA10">
        <f t="shared" si="0"/>
        <v>0</v>
      </c>
      <c r="CB10">
        <f t="shared" si="0"/>
        <v>0</v>
      </c>
      <c r="CC10">
        <f t="shared" si="0"/>
        <v>0</v>
      </c>
      <c r="CD10">
        <f t="shared" si="0"/>
        <v>0</v>
      </c>
      <c r="CE10">
        <f t="shared" si="0"/>
        <v>0</v>
      </c>
      <c r="CF10">
        <f t="shared" si="0"/>
        <v>0</v>
      </c>
      <c r="CG10">
        <f t="shared" si="0"/>
        <v>0</v>
      </c>
    </row>
    <row r="11" spans="1:85" x14ac:dyDescent="0.2">
      <c r="A11" s="79" t="s">
        <v>120</v>
      </c>
      <c r="B11" s="79" t="s">
        <v>124</v>
      </c>
      <c r="C11" s="79">
        <v>9265861</v>
      </c>
      <c r="D11" s="79" t="s">
        <v>118</v>
      </c>
      <c r="E11" s="79">
        <v>8.9</v>
      </c>
      <c r="F11" s="79">
        <v>2004</v>
      </c>
      <c r="G11" s="79">
        <v>183</v>
      </c>
      <c r="H11" s="79">
        <v>46215</v>
      </c>
      <c r="I11">
        <v>9.0922535211267608</v>
      </c>
      <c r="J11" s="79" t="s">
        <v>20</v>
      </c>
      <c r="K11" s="79">
        <v>30018</v>
      </c>
      <c r="L11">
        <v>18</v>
      </c>
      <c r="M11" s="79" t="s">
        <v>119</v>
      </c>
      <c r="N11" s="79" t="s">
        <v>105</v>
      </c>
      <c r="O11">
        <v>46215</v>
      </c>
      <c r="P11">
        <v>145.19818050227809</v>
      </c>
      <c r="Q11" s="79" t="s">
        <v>1</v>
      </c>
      <c r="R11">
        <v>5.6627290395888474</v>
      </c>
      <c r="S11">
        <f t="shared" si="1"/>
        <v>0</v>
      </c>
      <c r="U11">
        <f>IF(K11&gt;=5000,R11*VLOOKUP(Q11,emissions!$A$2:$B$5,2,FALSE),0)</f>
        <v>826.7584397799717</v>
      </c>
      <c r="V11">
        <f t="shared" si="2"/>
        <v>5.6627290395888474</v>
      </c>
      <c r="W11">
        <f t="shared" si="3"/>
        <v>146</v>
      </c>
      <c r="Y11" t="s">
        <v>9</v>
      </c>
      <c r="Z11">
        <v>412.3519858217457</v>
      </c>
      <c r="AA11">
        <f t="shared" si="4"/>
        <v>1</v>
      </c>
      <c r="AB11" t="s">
        <v>70</v>
      </c>
      <c r="AC11">
        <f t="shared" si="5"/>
        <v>1</v>
      </c>
      <c r="AK11" t="str">
        <v>Oil/Chemical Tanker</v>
      </c>
      <c r="AL11">
        <f>SUMIF(raw!$J$2:$J$820,AK11,raw!$R$2:$R$820)</f>
        <v>5.6627290395888474</v>
      </c>
      <c r="AM11">
        <f>SUMIF(raw!$J$2:$J$820,AK11,raw!$P$2:$P$820)</f>
        <v>145.19818050227809</v>
      </c>
      <c r="AO11" t="s">
        <v>29</v>
      </c>
      <c r="AP11">
        <v>12730.940120957937</v>
      </c>
      <c r="BD11" t="s">
        <v>29</v>
      </c>
      <c r="BE11">
        <v>496.50666471735974</v>
      </c>
      <c r="BG11" t="s">
        <v>17</v>
      </c>
      <c r="BH11">
        <f>SUM(BT2:BT1195)</f>
        <v>0</v>
      </c>
      <c r="BI11">
        <f t="shared" si="10"/>
        <v>1</v>
      </c>
      <c r="BJ11" s="9">
        <f t="shared" si="11"/>
        <v>0</v>
      </c>
      <c r="BK11">
        <f t="shared" si="12"/>
        <v>0</v>
      </c>
      <c r="BL11">
        <f t="shared" si="12"/>
        <v>0</v>
      </c>
      <c r="BM11">
        <f t="shared" si="0"/>
        <v>0</v>
      </c>
      <c r="BN11">
        <f t="shared" si="0"/>
        <v>0</v>
      </c>
      <c r="BO11">
        <f t="shared" si="0"/>
        <v>0</v>
      </c>
      <c r="BP11">
        <f t="shared" si="0"/>
        <v>0</v>
      </c>
      <c r="BQ11">
        <f t="shared" si="0"/>
        <v>0</v>
      </c>
      <c r="BR11">
        <f t="shared" si="0"/>
        <v>0</v>
      </c>
      <c r="BS11">
        <f t="shared" si="0"/>
        <v>0</v>
      </c>
      <c r="BT11">
        <f t="shared" si="0"/>
        <v>0</v>
      </c>
      <c r="BU11">
        <f t="shared" si="0"/>
        <v>1</v>
      </c>
      <c r="BV11">
        <f t="shared" si="0"/>
        <v>0</v>
      </c>
      <c r="BW11">
        <f t="shared" si="0"/>
        <v>0</v>
      </c>
      <c r="BX11">
        <f t="shared" si="0"/>
        <v>0</v>
      </c>
      <c r="BY11">
        <f t="shared" si="0"/>
        <v>0</v>
      </c>
      <c r="BZ11">
        <f t="shared" si="0"/>
        <v>0</v>
      </c>
      <c r="CA11">
        <f t="shared" si="0"/>
        <v>0</v>
      </c>
      <c r="CB11">
        <f t="shared" si="0"/>
        <v>0</v>
      </c>
      <c r="CC11">
        <f t="shared" si="0"/>
        <v>0</v>
      </c>
      <c r="CD11">
        <f t="shared" si="0"/>
        <v>0</v>
      </c>
      <c r="CE11">
        <f t="shared" si="0"/>
        <v>0</v>
      </c>
      <c r="CF11">
        <f t="shared" si="0"/>
        <v>0</v>
      </c>
      <c r="CG11">
        <f t="shared" si="0"/>
        <v>0</v>
      </c>
    </row>
    <row r="12" spans="1:85" x14ac:dyDescent="0.2">
      <c r="A12" s="79" t="s">
        <v>125</v>
      </c>
      <c r="B12" s="79" t="s">
        <v>126</v>
      </c>
      <c r="C12" s="79">
        <v>9135169</v>
      </c>
      <c r="D12" s="79" t="s">
        <v>103</v>
      </c>
      <c r="E12" s="79">
        <v>8.8000000000000007</v>
      </c>
      <c r="F12" s="79">
        <v>1996</v>
      </c>
      <c r="G12" s="79">
        <v>143</v>
      </c>
      <c r="H12" s="79">
        <v>9639</v>
      </c>
      <c r="I12">
        <v>4.8437236731255267</v>
      </c>
      <c r="J12" s="79" t="s">
        <v>25</v>
      </c>
      <c r="K12" s="79">
        <v>8896</v>
      </c>
      <c r="L12">
        <v>104</v>
      </c>
      <c r="M12" s="79" t="s">
        <v>104</v>
      </c>
      <c r="N12" s="79" t="s">
        <v>105</v>
      </c>
      <c r="O12">
        <v>9639</v>
      </c>
      <c r="P12">
        <v>44.607870520959402</v>
      </c>
      <c r="Q12" s="79" t="s">
        <v>1</v>
      </c>
      <c r="R12">
        <v>1.739706950317417</v>
      </c>
      <c r="S12">
        <f t="shared" si="1"/>
        <v>0</v>
      </c>
      <c r="U12">
        <f>IF(K12&gt;=5000,R12*VLOOKUP(Q12,emissions!$A$2:$B$5,2,FALSE),0)</f>
        <v>253.99721474634288</v>
      </c>
      <c r="V12">
        <f t="shared" si="2"/>
        <v>1.739706950317417</v>
      </c>
      <c r="W12">
        <f t="shared" si="3"/>
        <v>146</v>
      </c>
      <c r="Y12" t="s">
        <v>6</v>
      </c>
      <c r="Z12">
        <v>18.441225480742741</v>
      </c>
      <c r="AA12">
        <f t="shared" si="4"/>
        <v>1</v>
      </c>
      <c r="AB12" t="s">
        <v>70</v>
      </c>
      <c r="AC12">
        <f t="shared" si="5"/>
        <v>1</v>
      </c>
      <c r="AK12" t="str">
        <v>Reefer</v>
      </c>
      <c r="AL12">
        <f>SUMIF(raw!$J$2:$J$820,AK12,raw!$R$2:$R$820)</f>
        <v>1.739706950317417</v>
      </c>
      <c r="AM12">
        <f>SUMIF(raw!$J$2:$J$820,AK12,raw!$P$2:$P$820)</f>
        <v>44.607870520959402</v>
      </c>
      <c r="AO12" t="s">
        <v>22</v>
      </c>
      <c r="AP12">
        <v>2834.6879262354919</v>
      </c>
      <c r="BD12" t="s">
        <v>22</v>
      </c>
      <c r="BE12">
        <v>121.32464324287905</v>
      </c>
      <c r="BG12" t="s">
        <v>20</v>
      </c>
      <c r="BH12">
        <f>SUM(BU2:BU1195)</f>
        <v>1</v>
      </c>
      <c r="BI12">
        <f t="shared" si="10"/>
        <v>1</v>
      </c>
      <c r="BJ12" s="9">
        <f t="shared" si="11"/>
        <v>1</v>
      </c>
      <c r="BK12">
        <f t="shared" si="12"/>
        <v>0</v>
      </c>
      <c r="BL12">
        <f t="shared" si="12"/>
        <v>0</v>
      </c>
      <c r="BM12">
        <f t="shared" si="0"/>
        <v>0</v>
      </c>
      <c r="BN12">
        <f t="shared" si="0"/>
        <v>0</v>
      </c>
      <c r="BO12">
        <f t="shared" si="0"/>
        <v>0</v>
      </c>
      <c r="BP12">
        <f t="shared" si="0"/>
        <v>0</v>
      </c>
      <c r="BQ12">
        <f t="shared" si="0"/>
        <v>0</v>
      </c>
      <c r="BR12">
        <f t="shared" si="0"/>
        <v>0</v>
      </c>
      <c r="BS12">
        <f t="shared" si="0"/>
        <v>0</v>
      </c>
      <c r="BT12">
        <f t="shared" si="0"/>
        <v>0</v>
      </c>
      <c r="BU12">
        <f t="shared" si="0"/>
        <v>0</v>
      </c>
      <c r="BV12">
        <f t="shared" si="0"/>
        <v>1</v>
      </c>
      <c r="BW12">
        <f t="shared" si="0"/>
        <v>0</v>
      </c>
      <c r="BX12">
        <f t="shared" si="0"/>
        <v>0</v>
      </c>
      <c r="BY12">
        <f t="shared" si="0"/>
        <v>0</v>
      </c>
      <c r="BZ12">
        <f t="shared" si="0"/>
        <v>0</v>
      </c>
      <c r="CA12">
        <f t="shared" si="0"/>
        <v>0</v>
      </c>
      <c r="CB12">
        <f t="shared" si="0"/>
        <v>0</v>
      </c>
      <c r="CC12">
        <f t="shared" si="0"/>
        <v>0</v>
      </c>
      <c r="CD12">
        <f t="shared" si="0"/>
        <v>0</v>
      </c>
      <c r="CE12">
        <f t="shared" si="0"/>
        <v>0</v>
      </c>
      <c r="CF12">
        <f t="shared" si="0"/>
        <v>0</v>
      </c>
      <c r="CG12">
        <f t="shared" si="0"/>
        <v>0</v>
      </c>
    </row>
    <row r="13" spans="1:85" x14ac:dyDescent="0.2">
      <c r="A13" s="79" t="s">
        <v>115</v>
      </c>
      <c r="B13" s="79" t="s">
        <v>127</v>
      </c>
      <c r="C13" s="79">
        <v>9087805</v>
      </c>
      <c r="D13" s="79" t="s">
        <v>103</v>
      </c>
      <c r="E13" s="79">
        <v>5.7</v>
      </c>
      <c r="F13" s="79">
        <v>1994</v>
      </c>
      <c r="G13" s="79">
        <v>170</v>
      </c>
      <c r="H13" s="79">
        <v>28522</v>
      </c>
      <c r="I13">
        <v>7.2936507936507926</v>
      </c>
      <c r="J13" s="79" t="s">
        <v>29</v>
      </c>
      <c r="K13" s="79">
        <v>17428</v>
      </c>
      <c r="L13">
        <v>43</v>
      </c>
      <c r="M13" s="79" t="s">
        <v>104</v>
      </c>
      <c r="N13" s="79" t="s">
        <v>105</v>
      </c>
      <c r="O13">
        <v>28522</v>
      </c>
      <c r="P13">
        <v>129.79025689448551</v>
      </c>
      <c r="Q13" s="79" t="s">
        <v>1</v>
      </c>
      <c r="R13">
        <v>5.0618200188849336</v>
      </c>
      <c r="S13">
        <f t="shared" si="1"/>
        <v>0</v>
      </c>
      <c r="U13">
        <f>IF(K13&gt;=5000,R13*VLOOKUP(Q13,emissions!$A$2:$B$5,2,FALSE),0)</f>
        <v>739.02572275720036</v>
      </c>
      <c r="V13">
        <f t="shared" si="2"/>
        <v>5.0618200188849336</v>
      </c>
      <c r="W13">
        <f t="shared" si="3"/>
        <v>146</v>
      </c>
      <c r="Y13" t="s">
        <v>9</v>
      </c>
      <c r="Z13">
        <v>335.47871740365571</v>
      </c>
      <c r="AA13">
        <f t="shared" si="4"/>
        <v>1</v>
      </c>
      <c r="AB13" t="s">
        <v>70</v>
      </c>
      <c r="AC13">
        <f t="shared" si="5"/>
        <v>1</v>
      </c>
      <c r="AK13" t="str">
        <v>Bulk Carrier</v>
      </c>
      <c r="AL13">
        <f>SUMIF(raw!$J$2:$J$820,AK13,raw!$R$2:$R$820)</f>
        <v>5.0618200188849336</v>
      </c>
      <c r="AM13">
        <f>SUMIF(raw!$J$2:$J$820,AK13,raw!$P$2:$P$820)</f>
        <v>129.79025689448551</v>
      </c>
      <c r="AO13" t="s">
        <v>16</v>
      </c>
      <c r="AP13">
        <v>2508.1232357033396</v>
      </c>
      <c r="BD13" t="s">
        <v>28</v>
      </c>
      <c r="BE13">
        <v>97.85164595296645</v>
      </c>
      <c r="BG13" t="s">
        <v>25</v>
      </c>
      <c r="BH13">
        <f>SUM(BV2:BV1195)</f>
        <v>1</v>
      </c>
      <c r="BI13">
        <f t="shared" si="10"/>
        <v>1</v>
      </c>
      <c r="BJ13" s="9">
        <f t="shared" si="11"/>
        <v>1</v>
      </c>
      <c r="BK13">
        <f t="shared" si="12"/>
        <v>0</v>
      </c>
      <c r="BL13">
        <f t="shared" si="12"/>
        <v>0</v>
      </c>
      <c r="BM13">
        <f t="shared" si="0"/>
        <v>0</v>
      </c>
      <c r="BN13">
        <f t="shared" si="0"/>
        <v>0</v>
      </c>
      <c r="BO13">
        <f t="shared" si="0"/>
        <v>0</v>
      </c>
      <c r="BP13">
        <f t="shared" si="0"/>
        <v>0</v>
      </c>
      <c r="BQ13">
        <f t="shared" si="0"/>
        <v>0</v>
      </c>
      <c r="BR13">
        <f t="shared" si="0"/>
        <v>0</v>
      </c>
      <c r="BS13">
        <f t="shared" si="0"/>
        <v>0</v>
      </c>
      <c r="BT13">
        <f t="shared" si="0"/>
        <v>0</v>
      </c>
      <c r="BU13">
        <f t="shared" si="0"/>
        <v>0</v>
      </c>
      <c r="BV13">
        <f t="shared" si="0"/>
        <v>0</v>
      </c>
      <c r="BW13">
        <f t="shared" si="0"/>
        <v>1</v>
      </c>
      <c r="BX13">
        <f t="shared" si="0"/>
        <v>0</v>
      </c>
      <c r="BY13">
        <f t="shared" si="0"/>
        <v>0</v>
      </c>
      <c r="BZ13">
        <f t="shared" si="0"/>
        <v>0</v>
      </c>
      <c r="CA13">
        <f t="shared" si="0"/>
        <v>0</v>
      </c>
      <c r="CB13">
        <f t="shared" si="0"/>
        <v>0</v>
      </c>
      <c r="CC13">
        <f t="shared" si="0"/>
        <v>0</v>
      </c>
      <c r="CD13">
        <f t="shared" si="0"/>
        <v>0</v>
      </c>
      <c r="CE13">
        <f t="shared" si="0"/>
        <v>0</v>
      </c>
      <c r="CF13">
        <f t="shared" si="0"/>
        <v>0</v>
      </c>
      <c r="CG13">
        <f t="shared" si="0"/>
        <v>0</v>
      </c>
    </row>
    <row r="14" spans="1:85" x14ac:dyDescent="0.2">
      <c r="A14" s="79" t="s">
        <v>115</v>
      </c>
      <c r="B14" s="79" t="s">
        <v>128</v>
      </c>
      <c r="C14" s="79">
        <v>9687667</v>
      </c>
      <c r="D14" s="79" t="s">
        <v>118</v>
      </c>
      <c r="E14" s="79">
        <v>5.8</v>
      </c>
      <c r="F14" s="79">
        <v>2014</v>
      </c>
      <c r="G14" s="79">
        <v>100</v>
      </c>
      <c r="H14" s="79">
        <v>4755</v>
      </c>
      <c r="I14">
        <v>5.6097656249999996</v>
      </c>
      <c r="J14" s="79" t="s">
        <v>27</v>
      </c>
      <c r="K14" s="79">
        <v>4256</v>
      </c>
      <c r="L14">
        <v>194</v>
      </c>
      <c r="M14" s="79" t="s">
        <v>119</v>
      </c>
      <c r="N14" s="79" t="s">
        <v>105</v>
      </c>
      <c r="O14">
        <v>4755</v>
      </c>
      <c r="P14">
        <v>80.702746572025291</v>
      </c>
      <c r="Q14" s="79" t="s">
        <v>72</v>
      </c>
      <c r="R14">
        <v>3.9221534834004288</v>
      </c>
      <c r="S14">
        <f t="shared" si="1"/>
        <v>0</v>
      </c>
      <c r="U14">
        <f>IF(K14&gt;=5000,R14*VLOOKUP(Q14,emissions!$A$2:$B$5,2,FALSE),0)</f>
        <v>0</v>
      </c>
      <c r="V14">
        <f t="shared" si="2"/>
        <v>0</v>
      </c>
      <c r="W14">
        <f t="shared" si="3"/>
        <v>0</v>
      </c>
      <c r="Y14" t="s">
        <v>9</v>
      </c>
      <c r="Z14">
        <v>3.5309298159353103E-2</v>
      </c>
      <c r="AA14">
        <f t="shared" si="4"/>
        <v>1</v>
      </c>
      <c r="AB14" t="s">
        <v>70</v>
      </c>
      <c r="AC14">
        <f t="shared" si="5"/>
        <v>1</v>
      </c>
      <c r="AK14" t="str">
        <v>LPG Tanker</v>
      </c>
      <c r="AL14">
        <f>SUMIF(raw!$J$2:$J$820,AK14,raw!$R$2:$R$820)</f>
        <v>3.9221534834004288</v>
      </c>
      <c r="AM14">
        <f>SUMIF(raw!$J$2:$J$820,AK14,raw!$P$2:$P$820)</f>
        <v>80.702746572025291</v>
      </c>
      <c r="AO14" t="s">
        <v>28</v>
      </c>
      <c r="AP14">
        <v>2410.1390628809477</v>
      </c>
      <c r="BD14" t="s">
        <v>16</v>
      </c>
      <c r="BE14">
        <v>97.816806192430249</v>
      </c>
      <c r="BG14" t="s">
        <v>29</v>
      </c>
      <c r="BH14">
        <f>SUM(BW2:BW1195)</f>
        <v>1</v>
      </c>
      <c r="BI14">
        <f t="shared" si="10"/>
        <v>1</v>
      </c>
      <c r="BJ14" s="9">
        <f t="shared" si="11"/>
        <v>1</v>
      </c>
      <c r="BK14">
        <f t="shared" si="12"/>
        <v>0</v>
      </c>
      <c r="BL14">
        <f t="shared" si="12"/>
        <v>0</v>
      </c>
      <c r="BM14">
        <f t="shared" si="0"/>
        <v>0</v>
      </c>
      <c r="BN14">
        <f t="shared" si="0"/>
        <v>0</v>
      </c>
      <c r="BO14">
        <f t="shared" si="0"/>
        <v>0</v>
      </c>
      <c r="BP14">
        <f t="shared" ref="BP14:CE26" si="13">IF(AND($K14&gt;=5000,$J14=BP$1),1,0)</f>
        <v>0</v>
      </c>
      <c r="BQ14">
        <f t="shared" si="13"/>
        <v>0</v>
      </c>
      <c r="BR14">
        <f t="shared" si="13"/>
        <v>0</v>
      </c>
      <c r="BS14">
        <f t="shared" si="13"/>
        <v>0</v>
      </c>
      <c r="BT14">
        <f t="shared" si="13"/>
        <v>0</v>
      </c>
      <c r="BU14">
        <f t="shared" si="13"/>
        <v>0</v>
      </c>
      <c r="BV14">
        <f t="shared" si="13"/>
        <v>0</v>
      </c>
      <c r="BW14">
        <f t="shared" si="13"/>
        <v>0</v>
      </c>
      <c r="BX14">
        <f t="shared" si="13"/>
        <v>0</v>
      </c>
      <c r="BY14">
        <f t="shared" si="13"/>
        <v>0</v>
      </c>
      <c r="BZ14">
        <f t="shared" si="13"/>
        <v>0</v>
      </c>
      <c r="CA14">
        <f t="shared" si="13"/>
        <v>0</v>
      </c>
      <c r="CB14">
        <f t="shared" si="13"/>
        <v>0</v>
      </c>
      <c r="CC14">
        <f t="shared" si="13"/>
        <v>0</v>
      </c>
      <c r="CD14">
        <f t="shared" si="13"/>
        <v>0</v>
      </c>
      <c r="CE14">
        <f t="shared" si="13"/>
        <v>0</v>
      </c>
      <c r="CF14">
        <f t="shared" ref="CF14:CG26" si="14">IF(AND($K14&gt;=5000,$J14=CF$1),1,0)</f>
        <v>0</v>
      </c>
      <c r="CG14">
        <f t="shared" si="14"/>
        <v>0</v>
      </c>
    </row>
    <row r="15" spans="1:85" x14ac:dyDescent="0.2">
      <c r="A15" s="79" t="s">
        <v>101</v>
      </c>
      <c r="B15" s="79" t="s">
        <v>130</v>
      </c>
      <c r="C15" s="79">
        <v>9883900</v>
      </c>
      <c r="D15" s="79" t="s">
        <v>99</v>
      </c>
      <c r="E15" s="79">
        <v>3.7</v>
      </c>
      <c r="F15" s="79">
        <v>2021</v>
      </c>
      <c r="G15" s="79">
        <v>78</v>
      </c>
      <c r="H15" s="79">
        <v>2406</v>
      </c>
      <c r="I15">
        <v>13.690169608861201</v>
      </c>
      <c r="J15" s="79" t="s">
        <v>28</v>
      </c>
      <c r="K15" s="79">
        <v>4242</v>
      </c>
      <c r="L15">
        <v>347</v>
      </c>
      <c r="M15" s="79" t="s">
        <v>112</v>
      </c>
      <c r="N15" s="79" t="s">
        <v>105</v>
      </c>
      <c r="O15">
        <v>2406</v>
      </c>
      <c r="P15">
        <v>1332.2072622689241</v>
      </c>
      <c r="Q15" s="79" t="s">
        <v>2</v>
      </c>
      <c r="R15">
        <v>54.087614848118321</v>
      </c>
      <c r="S15">
        <f t="shared" si="1"/>
        <v>0</v>
      </c>
      <c r="U15">
        <f>IF(K15&gt;=5000,R15*VLOOKUP(Q15,emissions!$A$2:$B$5,2,FALSE),0)</f>
        <v>0</v>
      </c>
      <c r="V15">
        <f t="shared" si="2"/>
        <v>0</v>
      </c>
      <c r="W15">
        <f t="shared" si="3"/>
        <v>0</v>
      </c>
      <c r="Y15" t="s">
        <v>33</v>
      </c>
      <c r="Z15">
        <v>73.53733085336296</v>
      </c>
      <c r="AA15">
        <f t="shared" si="4"/>
        <v>1</v>
      </c>
      <c r="AB15" t="s">
        <v>2</v>
      </c>
      <c r="AC15">
        <f t="shared" si="5"/>
        <v>0</v>
      </c>
      <c r="AK15" t="str">
        <v>Ro-Ro/Passenger Vessel</v>
      </c>
      <c r="AL15">
        <f>SUMIF(raw!$J$2:$J$820,AK15,raw!$R$2:$R$820)</f>
        <v>54.087614848118321</v>
      </c>
      <c r="AM15">
        <f>SUMIF(raw!$J$2:$J$820,AK15,raw!$P$2:$P$820)</f>
        <v>1332.2072622689241</v>
      </c>
      <c r="AO15" t="s">
        <v>31</v>
      </c>
      <c r="AP15">
        <v>2310.0466109038334</v>
      </c>
      <c r="BD15" t="s">
        <v>31</v>
      </c>
      <c r="BE15">
        <v>90.091817825249521</v>
      </c>
      <c r="BG15" t="s">
        <v>27</v>
      </c>
      <c r="BH15">
        <f>SUM(BX4:BX1195)</f>
        <v>0</v>
      </c>
      <c r="BI15">
        <f t="shared" si="10"/>
        <v>1</v>
      </c>
      <c r="BJ15" s="9">
        <f t="shared" si="11"/>
        <v>0</v>
      </c>
      <c r="BK15">
        <f t="shared" si="12"/>
        <v>0</v>
      </c>
      <c r="BL15">
        <f t="shared" si="12"/>
        <v>0</v>
      </c>
      <c r="BM15">
        <f t="shared" si="12"/>
        <v>0</v>
      </c>
      <c r="BN15">
        <f t="shared" si="12"/>
        <v>0</v>
      </c>
      <c r="BO15">
        <f t="shared" si="12"/>
        <v>0</v>
      </c>
      <c r="BP15">
        <f t="shared" si="12"/>
        <v>0</v>
      </c>
      <c r="BQ15">
        <f t="shared" si="12"/>
        <v>0</v>
      </c>
      <c r="BR15">
        <f t="shared" si="12"/>
        <v>0</v>
      </c>
      <c r="BS15">
        <f t="shared" si="12"/>
        <v>0</v>
      </c>
      <c r="BT15">
        <f t="shared" si="12"/>
        <v>0</v>
      </c>
      <c r="BU15">
        <f t="shared" si="12"/>
        <v>0</v>
      </c>
      <c r="BV15">
        <f t="shared" si="12"/>
        <v>0</v>
      </c>
      <c r="BW15">
        <f t="shared" si="12"/>
        <v>0</v>
      </c>
      <c r="BX15">
        <f t="shared" si="12"/>
        <v>0</v>
      </c>
      <c r="BY15">
        <f t="shared" si="12"/>
        <v>0</v>
      </c>
      <c r="BZ15">
        <f t="shared" si="12"/>
        <v>0</v>
      </c>
      <c r="CA15">
        <f t="shared" si="13"/>
        <v>0</v>
      </c>
      <c r="CB15">
        <f t="shared" si="13"/>
        <v>0</v>
      </c>
      <c r="CC15">
        <f t="shared" si="13"/>
        <v>0</v>
      </c>
      <c r="CD15">
        <f t="shared" si="13"/>
        <v>0</v>
      </c>
      <c r="CE15">
        <f t="shared" si="13"/>
        <v>0</v>
      </c>
      <c r="CF15">
        <f t="shared" si="14"/>
        <v>0</v>
      </c>
      <c r="CG15">
        <f t="shared" si="14"/>
        <v>0</v>
      </c>
    </row>
    <row r="16" spans="1:85" x14ac:dyDescent="0.2">
      <c r="A16" s="79" t="s">
        <v>101</v>
      </c>
      <c r="B16" s="79" t="s">
        <v>132</v>
      </c>
      <c r="C16" s="79">
        <v>9607473</v>
      </c>
      <c r="D16" s="79" t="s">
        <v>99</v>
      </c>
      <c r="E16" s="79">
        <v>3.8</v>
      </c>
      <c r="F16" s="79">
        <v>2012</v>
      </c>
      <c r="G16" s="79">
        <v>79.400000000000006</v>
      </c>
      <c r="H16" s="79">
        <v>1489</v>
      </c>
      <c r="I16">
        <v>8.6583959899749363</v>
      </c>
      <c r="J16" s="79" t="s">
        <v>33</v>
      </c>
      <c r="K16" s="79">
        <v>2346</v>
      </c>
      <c r="L16">
        <v>66</v>
      </c>
      <c r="M16" s="79" t="s">
        <v>112</v>
      </c>
      <c r="N16" s="79" t="s">
        <v>105</v>
      </c>
      <c r="O16">
        <v>1489</v>
      </c>
      <c r="P16">
        <v>46.551979638892377</v>
      </c>
      <c r="Q16" s="79" t="s">
        <v>2</v>
      </c>
      <c r="R16">
        <v>1.890010373339031</v>
      </c>
      <c r="S16">
        <f t="shared" si="1"/>
        <v>0</v>
      </c>
      <c r="U16">
        <f>IF(K16&gt;=5000,R16*VLOOKUP(Q16,emissions!$A$2:$B$5,2,FALSE),0)</f>
        <v>0</v>
      </c>
      <c r="V16">
        <f t="shared" si="2"/>
        <v>0</v>
      </c>
      <c r="W16">
        <f t="shared" si="3"/>
        <v>0</v>
      </c>
      <c r="Y16" t="s">
        <v>9</v>
      </c>
      <c r="Z16">
        <v>7.6427068730973236E-3</v>
      </c>
      <c r="AA16">
        <f t="shared" si="4"/>
        <v>1</v>
      </c>
      <c r="AB16" t="s">
        <v>70</v>
      </c>
      <c r="AC16">
        <f t="shared" si="5"/>
        <v>1</v>
      </c>
      <c r="AK16" t="str">
        <v>Crude Oil Tanker</v>
      </c>
      <c r="AL16">
        <f>SUMIF(raw!$J$2:$J$820,AK16,raw!$R$2:$R$820)</f>
        <v>21.54349318047257</v>
      </c>
      <c r="AM16">
        <f>SUMIF(raw!$J$2:$J$820,AK16,raw!$P$2:$P$820)</f>
        <v>552.39726103775808</v>
      </c>
      <c r="AO16" t="s">
        <v>45</v>
      </c>
      <c r="AP16">
        <v>1833.7503059997071</v>
      </c>
      <c r="BD16" t="s">
        <v>9</v>
      </c>
      <c r="BE16">
        <v>72.329063413966082</v>
      </c>
      <c r="BG16" t="s">
        <v>28</v>
      </c>
      <c r="BH16">
        <f>SUM(BY2:BY1195)</f>
        <v>0</v>
      </c>
      <c r="BI16">
        <f t="shared" si="10"/>
        <v>1</v>
      </c>
      <c r="BJ16" s="9">
        <f t="shared" si="11"/>
        <v>0</v>
      </c>
      <c r="BK16">
        <f t="shared" si="12"/>
        <v>0</v>
      </c>
      <c r="BL16">
        <f t="shared" si="12"/>
        <v>0</v>
      </c>
      <c r="BM16">
        <f t="shared" si="12"/>
        <v>0</v>
      </c>
      <c r="BN16">
        <f t="shared" si="12"/>
        <v>0</v>
      </c>
      <c r="BO16">
        <f t="shared" si="12"/>
        <v>0</v>
      </c>
      <c r="BP16">
        <f t="shared" si="12"/>
        <v>0</v>
      </c>
      <c r="BQ16">
        <f t="shared" si="12"/>
        <v>0</v>
      </c>
      <c r="BR16">
        <f t="shared" si="12"/>
        <v>0</v>
      </c>
      <c r="BS16">
        <f t="shared" si="12"/>
        <v>0</v>
      </c>
      <c r="BT16">
        <f t="shared" si="12"/>
        <v>0</v>
      </c>
      <c r="BU16">
        <f t="shared" si="12"/>
        <v>0</v>
      </c>
      <c r="BV16">
        <f t="shared" si="12"/>
        <v>0</v>
      </c>
      <c r="BW16">
        <f t="shared" si="12"/>
        <v>0</v>
      </c>
      <c r="BX16">
        <f t="shared" si="12"/>
        <v>0</v>
      </c>
      <c r="BY16">
        <f t="shared" si="12"/>
        <v>0</v>
      </c>
      <c r="BZ16">
        <f t="shared" si="12"/>
        <v>0</v>
      </c>
      <c r="CA16">
        <f t="shared" si="13"/>
        <v>0</v>
      </c>
      <c r="CB16">
        <f t="shared" si="13"/>
        <v>0</v>
      </c>
      <c r="CC16">
        <f t="shared" si="13"/>
        <v>0</v>
      </c>
      <c r="CD16">
        <f t="shared" si="13"/>
        <v>0</v>
      </c>
      <c r="CE16">
        <f t="shared" si="13"/>
        <v>0</v>
      </c>
      <c r="CF16">
        <f t="shared" si="14"/>
        <v>0</v>
      </c>
      <c r="CG16">
        <f t="shared" si="14"/>
        <v>0</v>
      </c>
    </row>
    <row r="17" spans="1:85" x14ac:dyDescent="0.2">
      <c r="A17" s="79" t="s">
        <v>120</v>
      </c>
      <c r="B17" s="79" t="s">
        <v>133</v>
      </c>
      <c r="C17" s="79">
        <v>9749532</v>
      </c>
      <c r="D17" s="79" t="s">
        <v>118</v>
      </c>
      <c r="E17" s="79">
        <v>12</v>
      </c>
      <c r="F17" s="79">
        <v>2016</v>
      </c>
      <c r="G17" s="79">
        <v>250</v>
      </c>
      <c r="H17" s="79">
        <v>113284</v>
      </c>
      <c r="I17">
        <v>4.7511022044088174</v>
      </c>
      <c r="J17" s="79" t="s">
        <v>19</v>
      </c>
      <c r="K17" s="79">
        <v>62350</v>
      </c>
      <c r="L17">
        <v>264</v>
      </c>
      <c r="M17" s="79" t="s">
        <v>119</v>
      </c>
      <c r="N17" s="79" t="s">
        <v>105</v>
      </c>
      <c r="O17">
        <v>113284</v>
      </c>
      <c r="P17">
        <v>552.39726103775808</v>
      </c>
      <c r="Q17" s="79" t="s">
        <v>1</v>
      </c>
      <c r="R17">
        <v>21.54349318047257</v>
      </c>
      <c r="S17">
        <f t="shared" si="1"/>
        <v>0</v>
      </c>
      <c r="U17">
        <f>IF(K17&gt;=5000,R17*VLOOKUP(Q17,emissions!$A$2:$B$5,2,FALSE),0)</f>
        <v>3145.3500043489953</v>
      </c>
      <c r="V17">
        <f t="shared" si="2"/>
        <v>21.54349318047257</v>
      </c>
      <c r="W17">
        <f t="shared" si="3"/>
        <v>146</v>
      </c>
      <c r="Y17" t="s">
        <v>11</v>
      </c>
      <c r="Z17">
        <v>3230.6576508685639</v>
      </c>
      <c r="AA17">
        <f t="shared" si="4"/>
        <v>1</v>
      </c>
      <c r="AB17" t="s">
        <v>1</v>
      </c>
      <c r="AC17">
        <f t="shared" si="5"/>
        <v>0</v>
      </c>
      <c r="AK17" t="str">
        <v>Oil Products Tanker</v>
      </c>
      <c r="AL17">
        <f>SUMIF(raw!$J$2:$J$820,AK17,raw!$R$2:$R$820)</f>
        <v>36.664777637605233</v>
      </c>
      <c r="AM17">
        <f>SUMIF(raw!$J$2:$J$820,AK17,raw!$P$2:$P$820)</f>
        <v>940.12250352833939</v>
      </c>
      <c r="AO17" t="s">
        <v>9</v>
      </c>
      <c r="AP17">
        <v>1689.9313881767778</v>
      </c>
      <c r="BD17" t="s">
        <v>45</v>
      </c>
      <c r="BE17">
        <v>71.516261933988588</v>
      </c>
      <c r="BG17" t="s">
        <v>19</v>
      </c>
      <c r="BH17">
        <f>SUM(BZ2:BZ1195)</f>
        <v>1</v>
      </c>
      <c r="BI17">
        <f t="shared" si="10"/>
        <v>1</v>
      </c>
      <c r="BJ17" s="9">
        <f t="shared" si="11"/>
        <v>1</v>
      </c>
      <c r="BK17">
        <f t="shared" si="12"/>
        <v>0</v>
      </c>
      <c r="BL17">
        <f t="shared" si="12"/>
        <v>0</v>
      </c>
      <c r="BM17">
        <f t="shared" si="12"/>
        <v>0</v>
      </c>
      <c r="BN17">
        <f t="shared" si="12"/>
        <v>0</v>
      </c>
      <c r="BO17">
        <f t="shared" si="12"/>
        <v>0</v>
      </c>
      <c r="BP17">
        <f t="shared" si="12"/>
        <v>0</v>
      </c>
      <c r="BQ17">
        <f t="shared" si="12"/>
        <v>0</v>
      </c>
      <c r="BR17">
        <f t="shared" si="12"/>
        <v>0</v>
      </c>
      <c r="BS17">
        <f t="shared" si="12"/>
        <v>0</v>
      </c>
      <c r="BT17">
        <f t="shared" si="12"/>
        <v>0</v>
      </c>
      <c r="BU17">
        <f t="shared" si="12"/>
        <v>0</v>
      </c>
      <c r="BV17">
        <f t="shared" si="12"/>
        <v>0</v>
      </c>
      <c r="BW17">
        <f t="shared" si="12"/>
        <v>0</v>
      </c>
      <c r="BX17">
        <f t="shared" si="12"/>
        <v>0</v>
      </c>
      <c r="BY17">
        <f t="shared" si="12"/>
        <v>0</v>
      </c>
      <c r="BZ17">
        <f t="shared" si="12"/>
        <v>1</v>
      </c>
      <c r="CA17">
        <f t="shared" si="13"/>
        <v>0</v>
      </c>
      <c r="CB17">
        <f t="shared" si="13"/>
        <v>0</v>
      </c>
      <c r="CC17">
        <f t="shared" si="13"/>
        <v>0</v>
      </c>
      <c r="CD17">
        <f t="shared" si="13"/>
        <v>0</v>
      </c>
      <c r="CE17">
        <f t="shared" si="13"/>
        <v>0</v>
      </c>
      <c r="CF17">
        <f t="shared" si="14"/>
        <v>0</v>
      </c>
      <c r="CG17">
        <f t="shared" si="14"/>
        <v>0</v>
      </c>
    </row>
    <row r="18" spans="1:85" x14ac:dyDescent="0.2">
      <c r="A18" s="79" t="s">
        <v>122</v>
      </c>
      <c r="B18" s="79" t="s">
        <v>134</v>
      </c>
      <c r="C18" s="79">
        <v>9344150</v>
      </c>
      <c r="D18" s="79" t="s">
        <v>118</v>
      </c>
      <c r="E18" s="79">
        <v>7.8</v>
      </c>
      <c r="F18" s="79">
        <v>2008</v>
      </c>
      <c r="G18" s="79">
        <v>184.9</v>
      </c>
      <c r="H18" s="79">
        <v>45799</v>
      </c>
      <c r="I18">
        <v>7.2632920884889396</v>
      </c>
      <c r="J18" s="79" t="s">
        <v>31</v>
      </c>
      <c r="K18" s="79">
        <v>29593</v>
      </c>
      <c r="L18">
        <v>230</v>
      </c>
      <c r="M18" s="79" t="s">
        <v>119</v>
      </c>
      <c r="N18" s="79" t="s">
        <v>105</v>
      </c>
      <c r="O18">
        <v>45799</v>
      </c>
      <c r="P18">
        <v>940.12250352833939</v>
      </c>
      <c r="Q18" s="79" t="s">
        <v>1</v>
      </c>
      <c r="R18">
        <v>36.664777637605233</v>
      </c>
      <c r="S18">
        <f t="shared" si="1"/>
        <v>0</v>
      </c>
      <c r="U18">
        <f>IF(K18&gt;=5000,R18*VLOOKUP(Q18,emissions!$A$2:$B$5,2,FALSE),0)</f>
        <v>5353.0575350903637</v>
      </c>
      <c r="V18">
        <f t="shared" si="2"/>
        <v>36.664777637605233</v>
      </c>
      <c r="W18">
        <f t="shared" si="3"/>
        <v>146</v>
      </c>
      <c r="Y18" t="s">
        <v>11</v>
      </c>
      <c r="Z18">
        <v>1602.2960129700441</v>
      </c>
      <c r="AA18">
        <f t="shared" si="4"/>
        <v>1</v>
      </c>
      <c r="AB18" t="s">
        <v>1</v>
      </c>
      <c r="AC18">
        <f t="shared" si="5"/>
        <v>0</v>
      </c>
      <c r="AK18" t="str">
        <v>Heavy Load Carrier</v>
      </c>
      <c r="AL18">
        <f>SUMIF(raw!$J$2:$J$820,AK18,raw!$R$2:$R$820)</f>
        <v>9.1562724613921578</v>
      </c>
      <c r="AM18">
        <f>SUMIF(raw!$J$2:$J$820,AK18,raw!$P$2:$P$820)</f>
        <v>234.77621695877332</v>
      </c>
      <c r="AO18" t="s">
        <v>19</v>
      </c>
      <c r="AP18">
        <v>1299.014126650532</v>
      </c>
      <c r="BD18" t="s">
        <v>19</v>
      </c>
      <c r="BE18">
        <v>50.661550939370748</v>
      </c>
      <c r="BG18" t="s">
        <v>31</v>
      </c>
      <c r="BH18">
        <f>SUM(CA2:CA1195)</f>
        <v>1</v>
      </c>
      <c r="BI18">
        <f t="shared" si="10"/>
        <v>1</v>
      </c>
      <c r="BJ18" s="9">
        <f t="shared" si="11"/>
        <v>1</v>
      </c>
      <c r="BK18">
        <f t="shared" si="12"/>
        <v>0</v>
      </c>
      <c r="BL18">
        <f t="shared" si="12"/>
        <v>0</v>
      </c>
      <c r="BM18">
        <f t="shared" si="12"/>
        <v>0</v>
      </c>
      <c r="BN18">
        <f t="shared" si="12"/>
        <v>0</v>
      </c>
      <c r="BO18">
        <f t="shared" si="12"/>
        <v>0</v>
      </c>
      <c r="BP18">
        <f t="shared" si="12"/>
        <v>0</v>
      </c>
      <c r="BQ18">
        <f t="shared" si="12"/>
        <v>0</v>
      </c>
      <c r="BR18">
        <f t="shared" si="12"/>
        <v>0</v>
      </c>
      <c r="BS18">
        <f t="shared" si="12"/>
        <v>0</v>
      </c>
      <c r="BT18">
        <f t="shared" si="12"/>
        <v>0</v>
      </c>
      <c r="BU18">
        <f t="shared" si="12"/>
        <v>0</v>
      </c>
      <c r="BV18">
        <f t="shared" si="12"/>
        <v>0</v>
      </c>
      <c r="BW18">
        <f t="shared" si="12"/>
        <v>0</v>
      </c>
      <c r="BX18">
        <f t="shared" si="12"/>
        <v>0</v>
      </c>
      <c r="BY18">
        <f t="shared" si="12"/>
        <v>0</v>
      </c>
      <c r="BZ18">
        <f t="shared" si="12"/>
        <v>0</v>
      </c>
      <c r="CA18">
        <f t="shared" si="13"/>
        <v>1</v>
      </c>
      <c r="CB18">
        <f t="shared" si="13"/>
        <v>0</v>
      </c>
      <c r="CC18">
        <f t="shared" si="13"/>
        <v>0</v>
      </c>
      <c r="CD18">
        <f t="shared" si="13"/>
        <v>0</v>
      </c>
      <c r="CE18">
        <f t="shared" si="13"/>
        <v>0</v>
      </c>
      <c r="CF18">
        <f t="shared" si="14"/>
        <v>0</v>
      </c>
      <c r="CG18">
        <f t="shared" si="14"/>
        <v>0</v>
      </c>
    </row>
    <row r="19" spans="1:85" x14ac:dyDescent="0.2">
      <c r="A19" s="79" t="s">
        <v>129</v>
      </c>
      <c r="B19" s="79" t="s">
        <v>135</v>
      </c>
      <c r="C19" s="79">
        <v>9674945</v>
      </c>
      <c r="D19" s="79" t="s">
        <v>103</v>
      </c>
      <c r="E19" s="79">
        <v>3.4</v>
      </c>
      <c r="F19" s="79">
        <v>2013</v>
      </c>
      <c r="G19" s="79">
        <v>64</v>
      </c>
      <c r="H19" s="79">
        <v>1428</v>
      </c>
      <c r="I19">
        <v>9.9564091770153649</v>
      </c>
      <c r="J19" s="79" t="s">
        <v>30</v>
      </c>
      <c r="K19" s="79">
        <v>1143</v>
      </c>
      <c r="L19">
        <v>225</v>
      </c>
      <c r="M19" s="79" t="s">
        <v>104</v>
      </c>
      <c r="N19" s="79" t="s">
        <v>105</v>
      </c>
      <c r="O19">
        <v>1428</v>
      </c>
      <c r="P19">
        <v>234.67218643679371</v>
      </c>
      <c r="Q19" s="79" t="s">
        <v>1</v>
      </c>
      <c r="R19">
        <v>9.1522152710349527</v>
      </c>
      <c r="S19">
        <f t="shared" si="1"/>
        <v>0</v>
      </c>
      <c r="U19">
        <f>IF(K19&gt;=5000,R19*VLOOKUP(Q19,emissions!$A$2:$B$5,2,FALSE),0)</f>
        <v>0</v>
      </c>
      <c r="V19">
        <f t="shared" si="2"/>
        <v>0</v>
      </c>
      <c r="W19">
        <f t="shared" si="3"/>
        <v>0</v>
      </c>
      <c r="Y19" t="s">
        <v>11</v>
      </c>
      <c r="Z19">
        <v>112.11407166769141</v>
      </c>
      <c r="AA19">
        <f t="shared" si="4"/>
        <v>1</v>
      </c>
      <c r="AB19" t="s">
        <v>1</v>
      </c>
      <c r="AC19">
        <f t="shared" si="5"/>
        <v>0</v>
      </c>
      <c r="AK19" t="str">
        <v>Landing Craft</v>
      </c>
      <c r="AL19">
        <f>SUMIF(raw!$J$2:$J$820,AK19,raw!$R$2:$R$820)</f>
        <v>1.5071681239534449</v>
      </c>
      <c r="AM19">
        <f>SUMIF(raw!$J$2:$J$820,AK19,raw!$P$2:$P$820)</f>
        <v>35.214208503585162</v>
      </c>
      <c r="AO19" t="s">
        <v>51</v>
      </c>
      <c r="AP19">
        <v>622.66855241978635</v>
      </c>
      <c r="BD19" t="s">
        <v>51</v>
      </c>
      <c r="BE19">
        <v>26.650214043566848</v>
      </c>
      <c r="BG19" t="s">
        <v>30</v>
      </c>
      <c r="BH19">
        <f>SUM(CB2:CB1195)</f>
        <v>0</v>
      </c>
      <c r="BI19">
        <f t="shared" si="10"/>
        <v>2</v>
      </c>
      <c r="BJ19" s="9">
        <f t="shared" si="11"/>
        <v>0</v>
      </c>
      <c r="BK19">
        <f t="shared" si="12"/>
        <v>0</v>
      </c>
      <c r="BL19">
        <f t="shared" si="12"/>
        <v>0</v>
      </c>
      <c r="BM19">
        <f t="shared" si="12"/>
        <v>0</v>
      </c>
      <c r="BN19">
        <f t="shared" si="12"/>
        <v>0</v>
      </c>
      <c r="BO19">
        <f t="shared" si="12"/>
        <v>0</v>
      </c>
      <c r="BP19">
        <f t="shared" si="12"/>
        <v>0</v>
      </c>
      <c r="BQ19">
        <f t="shared" si="12"/>
        <v>0</v>
      </c>
      <c r="BR19">
        <f t="shared" si="12"/>
        <v>0</v>
      </c>
      <c r="BS19">
        <f t="shared" si="12"/>
        <v>0</v>
      </c>
      <c r="BT19">
        <f t="shared" si="12"/>
        <v>0</v>
      </c>
      <c r="BU19">
        <f t="shared" si="12"/>
        <v>0</v>
      </c>
      <c r="BV19">
        <f t="shared" si="12"/>
        <v>0</v>
      </c>
      <c r="BW19">
        <f t="shared" si="12"/>
        <v>0</v>
      </c>
      <c r="BX19">
        <f t="shared" si="12"/>
        <v>0</v>
      </c>
      <c r="BY19">
        <f t="shared" si="12"/>
        <v>0</v>
      </c>
      <c r="BZ19">
        <f t="shared" si="12"/>
        <v>0</v>
      </c>
      <c r="CA19">
        <f t="shared" si="13"/>
        <v>0</v>
      </c>
      <c r="CB19">
        <f t="shared" si="13"/>
        <v>0</v>
      </c>
      <c r="CC19">
        <f t="shared" si="13"/>
        <v>0</v>
      </c>
      <c r="CD19">
        <f t="shared" si="13"/>
        <v>0</v>
      </c>
      <c r="CE19">
        <f t="shared" si="13"/>
        <v>0</v>
      </c>
      <c r="CF19">
        <f t="shared" si="14"/>
        <v>0</v>
      </c>
      <c r="CG19">
        <f t="shared" si="14"/>
        <v>0</v>
      </c>
    </row>
    <row r="20" spans="1:85" x14ac:dyDescent="0.2">
      <c r="A20" s="79" t="s">
        <v>121</v>
      </c>
      <c r="B20" s="79" t="s">
        <v>137</v>
      </c>
      <c r="C20" s="79">
        <v>9352236</v>
      </c>
      <c r="D20" s="79" t="s">
        <v>9</v>
      </c>
      <c r="E20" s="79">
        <v>3.3</v>
      </c>
      <c r="F20" s="79">
        <v>2005</v>
      </c>
      <c r="G20" s="79">
        <v>78.099999999999994</v>
      </c>
      <c r="H20" s="79">
        <v>3206</v>
      </c>
      <c r="I20">
        <v>6.4627777777777782</v>
      </c>
      <c r="J20" s="79" t="s">
        <v>36</v>
      </c>
      <c r="K20" s="79">
        <v>2140</v>
      </c>
      <c r="L20">
        <v>72</v>
      </c>
      <c r="M20" s="79" t="s">
        <v>108</v>
      </c>
      <c r="N20" s="79" t="s">
        <v>105</v>
      </c>
      <c r="O20">
        <v>3206</v>
      </c>
      <c r="P20">
        <v>35.214208503585162</v>
      </c>
      <c r="Q20" s="79" t="s">
        <v>70</v>
      </c>
      <c r="R20">
        <v>1.5071681239534449</v>
      </c>
      <c r="S20">
        <f t="shared" si="1"/>
        <v>0</v>
      </c>
      <c r="U20">
        <f>IF(K20&gt;=5000,R20*VLOOKUP(Q20,emissions!$A$2:$B$5,2,FALSE),0)</f>
        <v>0</v>
      </c>
      <c r="V20">
        <f t="shared" si="2"/>
        <v>0</v>
      </c>
      <c r="W20">
        <f t="shared" si="3"/>
        <v>0</v>
      </c>
      <c r="Y20" t="s">
        <v>11</v>
      </c>
      <c r="Z20">
        <v>35.245833083564783</v>
      </c>
      <c r="AA20">
        <f t="shared" si="4"/>
        <v>1</v>
      </c>
      <c r="AB20" t="s">
        <v>1</v>
      </c>
      <c r="AC20">
        <f t="shared" si="5"/>
        <v>1</v>
      </c>
      <c r="AK20" t="str">
        <v>High Speed Craft</v>
      </c>
      <c r="AL20">
        <f>SUMIF(raw!$J$2:$J$820,AK20,raw!$R$2:$R$820)</f>
        <v>4.4417023405944747</v>
      </c>
      <c r="AM20">
        <f>SUMIF(raw!$J$2:$J$820,AK20,raw!$P$2:$P$820)</f>
        <v>103.7780920699644</v>
      </c>
      <c r="AO20" t="s">
        <v>27</v>
      </c>
      <c r="AP20">
        <v>528.52178129620893</v>
      </c>
      <c r="BD20" t="s">
        <v>27</v>
      </c>
      <c r="BE20">
        <v>25.686158570995751</v>
      </c>
      <c r="BG20" t="s">
        <v>43</v>
      </c>
      <c r="BH20">
        <f>SUM(CC2:CC1195)</f>
        <v>0</v>
      </c>
      <c r="BI20">
        <f t="shared" si="10"/>
        <v>1</v>
      </c>
      <c r="BJ20" s="9">
        <f t="shared" si="11"/>
        <v>0</v>
      </c>
      <c r="BK20">
        <f t="shared" si="12"/>
        <v>0</v>
      </c>
      <c r="BL20">
        <f t="shared" si="12"/>
        <v>0</v>
      </c>
      <c r="BM20">
        <f t="shared" si="12"/>
        <v>0</v>
      </c>
      <c r="BN20">
        <f t="shared" si="12"/>
        <v>0</v>
      </c>
      <c r="BO20">
        <f t="shared" si="12"/>
        <v>0</v>
      </c>
      <c r="BP20">
        <f t="shared" si="12"/>
        <v>0</v>
      </c>
      <c r="BQ20">
        <f t="shared" si="12"/>
        <v>0</v>
      </c>
      <c r="BR20">
        <f t="shared" si="12"/>
        <v>0</v>
      </c>
      <c r="BS20">
        <f t="shared" si="12"/>
        <v>0</v>
      </c>
      <c r="BT20">
        <f t="shared" si="12"/>
        <v>0</v>
      </c>
      <c r="BU20">
        <f t="shared" si="12"/>
        <v>0</v>
      </c>
      <c r="BV20">
        <f t="shared" si="12"/>
        <v>0</v>
      </c>
      <c r="BW20">
        <f t="shared" si="12"/>
        <v>0</v>
      </c>
      <c r="BX20">
        <f t="shared" si="12"/>
        <v>0</v>
      </c>
      <c r="BY20">
        <f t="shared" si="12"/>
        <v>0</v>
      </c>
      <c r="BZ20">
        <f t="shared" si="12"/>
        <v>0</v>
      </c>
      <c r="CA20">
        <f t="shared" si="13"/>
        <v>0</v>
      </c>
      <c r="CB20">
        <f t="shared" si="13"/>
        <v>0</v>
      </c>
      <c r="CC20">
        <f t="shared" si="13"/>
        <v>0</v>
      </c>
      <c r="CD20">
        <f t="shared" si="13"/>
        <v>0</v>
      </c>
      <c r="CE20">
        <f t="shared" si="13"/>
        <v>0</v>
      </c>
      <c r="CF20">
        <f t="shared" si="14"/>
        <v>0</v>
      </c>
      <c r="CG20">
        <f t="shared" si="14"/>
        <v>0</v>
      </c>
    </row>
    <row r="21" spans="1:85" x14ac:dyDescent="0.2">
      <c r="A21" s="79" t="s">
        <v>121</v>
      </c>
      <c r="B21" s="79" t="s">
        <v>143</v>
      </c>
      <c r="C21" s="79">
        <v>9658616</v>
      </c>
      <c r="D21" s="79" t="s">
        <v>103</v>
      </c>
      <c r="E21" s="79">
        <v>25.5</v>
      </c>
      <c r="F21" s="79">
        <v>2013</v>
      </c>
      <c r="G21" s="79">
        <v>59.9</v>
      </c>
      <c r="H21" s="79">
        <v>1600</v>
      </c>
      <c r="I21">
        <v>1.040540540540541</v>
      </c>
      <c r="J21" s="79" t="s">
        <v>30</v>
      </c>
      <c r="K21" s="79">
        <v>1205</v>
      </c>
      <c r="L21">
        <v>81</v>
      </c>
      <c r="M21" s="79" t="s">
        <v>104</v>
      </c>
      <c r="N21" s="79" t="s">
        <v>105</v>
      </c>
      <c r="O21">
        <v>1600</v>
      </c>
      <c r="P21">
        <v>0.10403052197960699</v>
      </c>
      <c r="Q21" s="79" t="s">
        <v>1</v>
      </c>
      <c r="R21">
        <v>4.0571903572046751E-3</v>
      </c>
      <c r="S21">
        <f t="shared" si="1"/>
        <v>0</v>
      </c>
      <c r="U21">
        <f>IF(K21&gt;=5000,R21*VLOOKUP(Q21,emissions!$A$2:$B$5,2,FALSE),0)</f>
        <v>0</v>
      </c>
      <c r="V21">
        <f t="shared" si="2"/>
        <v>0</v>
      </c>
      <c r="W21">
        <f t="shared" si="3"/>
        <v>0</v>
      </c>
      <c r="Y21" t="s">
        <v>4</v>
      </c>
      <c r="Z21">
        <v>142.58091130610279</v>
      </c>
      <c r="AA21">
        <f t="shared" si="4"/>
        <v>1</v>
      </c>
      <c r="AB21" t="s">
        <v>1</v>
      </c>
      <c r="AC21">
        <f t="shared" si="5"/>
        <v>0</v>
      </c>
      <c r="AK21" t="str">
        <v>Other Cargo</v>
      </c>
      <c r="AL21">
        <f>SUMIF(raw!$J$2:$J$820,AK21,raw!$R$2:$R$820)</f>
        <v>0.44863749785702489</v>
      </c>
      <c r="AM21">
        <f>SUMIF(raw!$J$2:$J$820,AK21,raw!$P$2:$P$820)</f>
        <v>11.50352558607756</v>
      </c>
      <c r="AO21" t="s">
        <v>30</v>
      </c>
      <c r="AP21">
        <v>469.24271566031507</v>
      </c>
      <c r="BD21" t="s">
        <v>30</v>
      </c>
      <c r="BE21">
        <v>18.30046591075229</v>
      </c>
      <c r="BG21" t="s">
        <v>36</v>
      </c>
      <c r="BH21">
        <f>SUM(CD2:CD1195)</f>
        <v>0</v>
      </c>
      <c r="BI21">
        <f t="shared" si="10"/>
        <v>1</v>
      </c>
      <c r="BJ21" s="9">
        <f t="shared" si="11"/>
        <v>0</v>
      </c>
      <c r="BK21">
        <f t="shared" si="12"/>
        <v>0</v>
      </c>
      <c r="BL21">
        <f t="shared" si="12"/>
        <v>0</v>
      </c>
      <c r="BM21">
        <f t="shared" si="12"/>
        <v>0</v>
      </c>
      <c r="BN21">
        <f t="shared" si="12"/>
        <v>0</v>
      </c>
      <c r="BO21">
        <f t="shared" si="12"/>
        <v>0</v>
      </c>
      <c r="BP21">
        <f t="shared" si="12"/>
        <v>0</v>
      </c>
      <c r="BQ21">
        <f t="shared" si="12"/>
        <v>0</v>
      </c>
      <c r="BR21">
        <f t="shared" si="12"/>
        <v>0</v>
      </c>
      <c r="BS21">
        <f t="shared" si="12"/>
        <v>0</v>
      </c>
      <c r="BT21">
        <f t="shared" si="12"/>
        <v>0</v>
      </c>
      <c r="BU21">
        <f t="shared" si="12"/>
        <v>0</v>
      </c>
      <c r="BV21">
        <f t="shared" si="12"/>
        <v>0</v>
      </c>
      <c r="BW21">
        <f t="shared" si="12"/>
        <v>0</v>
      </c>
      <c r="BX21">
        <f t="shared" si="12"/>
        <v>0</v>
      </c>
      <c r="BY21">
        <f t="shared" si="12"/>
        <v>0</v>
      </c>
      <c r="BZ21">
        <f t="shared" si="12"/>
        <v>0</v>
      </c>
      <c r="CA21">
        <f t="shared" si="13"/>
        <v>0</v>
      </c>
      <c r="CB21">
        <f t="shared" si="13"/>
        <v>0</v>
      </c>
      <c r="CC21">
        <f t="shared" si="13"/>
        <v>0</v>
      </c>
      <c r="CD21">
        <f t="shared" si="13"/>
        <v>0</v>
      </c>
      <c r="CE21">
        <f t="shared" si="13"/>
        <v>0</v>
      </c>
      <c r="CF21">
        <f t="shared" si="14"/>
        <v>0</v>
      </c>
      <c r="CG21">
        <f t="shared" si="14"/>
        <v>0</v>
      </c>
    </row>
    <row r="22" spans="1:85" x14ac:dyDescent="0.2">
      <c r="A22" s="79" t="s">
        <v>131</v>
      </c>
      <c r="B22" s="79" t="s">
        <v>144</v>
      </c>
      <c r="C22" s="79">
        <v>0</v>
      </c>
      <c r="D22" s="79" t="s">
        <v>51</v>
      </c>
      <c r="E22" s="79">
        <v>2</v>
      </c>
      <c r="F22" s="79"/>
      <c r="G22" s="79">
        <v>24</v>
      </c>
      <c r="H22" s="79">
        <v>0</v>
      </c>
      <c r="I22">
        <v>6.3610704149237813</v>
      </c>
      <c r="J22" s="79" t="s">
        <v>51</v>
      </c>
      <c r="K22" s="79">
        <v>0</v>
      </c>
      <c r="L22">
        <v>80.583333333333329</v>
      </c>
      <c r="M22" s="79" t="s">
        <v>108</v>
      </c>
      <c r="N22" s="79" t="s">
        <v>105</v>
      </c>
      <c r="O22">
        <v>14712.16666666667</v>
      </c>
      <c r="P22">
        <v>103.7780920699644</v>
      </c>
      <c r="Q22" s="79" t="s">
        <v>70</v>
      </c>
      <c r="R22">
        <v>4.4417023405944747</v>
      </c>
      <c r="S22">
        <f t="shared" si="1"/>
        <v>0</v>
      </c>
      <c r="U22">
        <f>IF(K22&gt;=5000,R22*VLOOKUP(Q22,emissions!$A$2:$B$5,2,FALSE),0)</f>
        <v>0</v>
      </c>
      <c r="V22">
        <f t="shared" si="2"/>
        <v>0</v>
      </c>
      <c r="W22">
        <f t="shared" si="3"/>
        <v>0</v>
      </c>
      <c r="Y22" t="s">
        <v>10</v>
      </c>
      <c r="Z22">
        <v>2839.697053628141</v>
      </c>
      <c r="AA22">
        <f t="shared" si="4"/>
        <v>1</v>
      </c>
      <c r="AB22" t="s">
        <v>1</v>
      </c>
      <c r="AC22">
        <f t="shared" si="5"/>
        <v>1</v>
      </c>
      <c r="AK22" t="str">
        <v>Special Cargo</v>
      </c>
      <c r="AL22">
        <f>SUMIF(raw!$J$2:$J$820,AK22,raw!$R$2:$R$820)</f>
        <v>60.877048192666209</v>
      </c>
      <c r="AM22">
        <f>SUMIF(raw!$J$2:$J$820,AK22,raw!$P$2:$P$820)</f>
        <v>1560.9499536581079</v>
      </c>
      <c r="AO22" t="s">
        <v>6</v>
      </c>
      <c r="AP22">
        <v>271.30133320762371</v>
      </c>
      <c r="BD22" t="s">
        <v>6</v>
      </c>
      <c r="BE22">
        <v>11.611697061286293</v>
      </c>
      <c r="BG22" t="s">
        <v>22</v>
      </c>
      <c r="BH22">
        <f>SUM(CE2:CE1195)</f>
        <v>0</v>
      </c>
      <c r="BI22">
        <f t="shared" si="10"/>
        <v>1</v>
      </c>
      <c r="BJ22" s="9">
        <f t="shared" si="11"/>
        <v>0</v>
      </c>
      <c r="BK22">
        <f t="shared" si="12"/>
        <v>0</v>
      </c>
      <c r="BL22">
        <f t="shared" si="12"/>
        <v>0</v>
      </c>
      <c r="BM22">
        <f t="shared" si="12"/>
        <v>0</v>
      </c>
      <c r="BN22">
        <f t="shared" si="12"/>
        <v>0</v>
      </c>
      <c r="BO22">
        <f t="shared" si="12"/>
        <v>0</v>
      </c>
      <c r="BP22">
        <f t="shared" si="12"/>
        <v>0</v>
      </c>
      <c r="BQ22">
        <f t="shared" si="12"/>
        <v>0</v>
      </c>
      <c r="BR22">
        <f t="shared" si="12"/>
        <v>0</v>
      </c>
      <c r="BS22">
        <f t="shared" si="12"/>
        <v>0</v>
      </c>
      <c r="BT22">
        <f t="shared" si="12"/>
        <v>0</v>
      </c>
      <c r="BU22">
        <f t="shared" si="12"/>
        <v>0</v>
      </c>
      <c r="BV22">
        <f t="shared" si="12"/>
        <v>0</v>
      </c>
      <c r="BW22">
        <f t="shared" si="12"/>
        <v>0</v>
      </c>
      <c r="BX22">
        <f t="shared" si="12"/>
        <v>0</v>
      </c>
      <c r="BY22">
        <f t="shared" si="12"/>
        <v>0</v>
      </c>
      <c r="BZ22">
        <f t="shared" si="12"/>
        <v>0</v>
      </c>
      <c r="CA22">
        <f t="shared" si="13"/>
        <v>0</v>
      </c>
      <c r="CB22">
        <f t="shared" si="13"/>
        <v>0</v>
      </c>
      <c r="CC22">
        <f t="shared" si="13"/>
        <v>0</v>
      </c>
      <c r="CD22">
        <f t="shared" si="13"/>
        <v>0</v>
      </c>
      <c r="CE22">
        <f t="shared" si="13"/>
        <v>0</v>
      </c>
      <c r="CF22">
        <f t="shared" si="14"/>
        <v>0</v>
      </c>
      <c r="CG22">
        <f t="shared" si="14"/>
        <v>0</v>
      </c>
    </row>
    <row r="23" spans="1:85" x14ac:dyDescent="0.2">
      <c r="A23" s="79" t="s">
        <v>136</v>
      </c>
      <c r="B23" s="79" t="s">
        <v>142</v>
      </c>
      <c r="C23" s="79">
        <v>0</v>
      </c>
      <c r="D23" s="79" t="s">
        <v>103</v>
      </c>
      <c r="E23" s="79">
        <v>3.2</v>
      </c>
      <c r="F23" s="79"/>
      <c r="G23" s="79">
        <v>68</v>
      </c>
      <c r="H23" s="79">
        <v>0</v>
      </c>
      <c r="I23">
        <v>7.7756653992395437</v>
      </c>
      <c r="J23" s="79" t="s">
        <v>45</v>
      </c>
      <c r="K23" s="79">
        <v>0</v>
      </c>
      <c r="L23">
        <v>20</v>
      </c>
      <c r="M23" s="79" t="s">
        <v>104</v>
      </c>
      <c r="N23" s="79" t="s">
        <v>105</v>
      </c>
      <c r="O23">
        <v>1778.9112531250851</v>
      </c>
      <c r="P23">
        <v>11.50352558607756</v>
      </c>
      <c r="Q23" s="79" t="s">
        <v>1</v>
      </c>
      <c r="R23">
        <v>0.44863749785702489</v>
      </c>
      <c r="S23">
        <f t="shared" si="1"/>
        <v>0</v>
      </c>
      <c r="U23">
        <f>IF(K23&gt;=5000,R23*VLOOKUP(Q23,emissions!$A$2:$B$5,2,FALSE),0)</f>
        <v>0</v>
      </c>
      <c r="V23">
        <f t="shared" si="2"/>
        <v>0</v>
      </c>
      <c r="W23">
        <f t="shared" si="3"/>
        <v>0</v>
      </c>
      <c r="Y23" t="s">
        <v>11</v>
      </c>
      <c r="Z23">
        <v>272.68849467847832</v>
      </c>
      <c r="AA23">
        <f t="shared" si="4"/>
        <v>1</v>
      </c>
      <c r="AB23" t="s">
        <v>1</v>
      </c>
      <c r="AC23">
        <f t="shared" si="5"/>
        <v>0</v>
      </c>
      <c r="AK23" t="str">
        <v>Other Passenger</v>
      </c>
      <c r="AL23">
        <f>SUMIF(raw!$J$2:$J$820,AK23,raw!$R$2:$R$820)</f>
        <v>23.940914614338261</v>
      </c>
      <c r="AM23">
        <f>SUMIF(raw!$J$2:$J$820,AK23,raw!$P$2:$P$820)</f>
        <v>589.67769986054827</v>
      </c>
      <c r="AO23" t="s">
        <v>33</v>
      </c>
      <c r="AP23">
        <v>204.75916168962627</v>
      </c>
      <c r="BD23" t="s">
        <v>33</v>
      </c>
      <c r="BE23">
        <v>8.3132219645988279</v>
      </c>
      <c r="BG23" t="s">
        <v>45</v>
      </c>
      <c r="BH23">
        <f>SUM(CF2:CF1195)</f>
        <v>0</v>
      </c>
      <c r="BI23">
        <f t="shared" si="10"/>
        <v>1</v>
      </c>
      <c r="BJ23" s="9">
        <f t="shared" si="11"/>
        <v>0</v>
      </c>
      <c r="BK23">
        <f t="shared" si="12"/>
        <v>0</v>
      </c>
      <c r="BL23">
        <f t="shared" si="12"/>
        <v>0</v>
      </c>
      <c r="BM23">
        <f t="shared" si="12"/>
        <v>0</v>
      </c>
      <c r="BN23">
        <f t="shared" si="12"/>
        <v>0</v>
      </c>
      <c r="BO23">
        <f t="shared" si="12"/>
        <v>0</v>
      </c>
      <c r="BP23">
        <f t="shared" si="12"/>
        <v>0</v>
      </c>
      <c r="BQ23">
        <f t="shared" si="12"/>
        <v>0</v>
      </c>
      <c r="BR23">
        <f t="shared" si="12"/>
        <v>0</v>
      </c>
      <c r="BS23">
        <f t="shared" si="12"/>
        <v>0</v>
      </c>
      <c r="BT23">
        <f t="shared" si="12"/>
        <v>0</v>
      </c>
      <c r="BU23">
        <f t="shared" si="12"/>
        <v>0</v>
      </c>
      <c r="BV23">
        <f t="shared" si="12"/>
        <v>0</v>
      </c>
      <c r="BW23">
        <f t="shared" si="12"/>
        <v>0</v>
      </c>
      <c r="BX23">
        <f t="shared" si="12"/>
        <v>0</v>
      </c>
      <c r="BY23">
        <f t="shared" si="12"/>
        <v>0</v>
      </c>
      <c r="BZ23">
        <f t="shared" si="12"/>
        <v>0</v>
      </c>
      <c r="CA23">
        <f t="shared" si="13"/>
        <v>0</v>
      </c>
      <c r="CB23">
        <f t="shared" si="13"/>
        <v>0</v>
      </c>
      <c r="CC23">
        <f t="shared" si="13"/>
        <v>0</v>
      </c>
      <c r="CD23">
        <f t="shared" si="13"/>
        <v>0</v>
      </c>
      <c r="CE23">
        <f t="shared" si="13"/>
        <v>0</v>
      </c>
      <c r="CF23">
        <f t="shared" si="14"/>
        <v>0</v>
      </c>
      <c r="CG23">
        <f t="shared" si="14"/>
        <v>0</v>
      </c>
    </row>
    <row r="24" spans="1:85" x14ac:dyDescent="0.2">
      <c r="A24" s="79" t="s">
        <v>114</v>
      </c>
      <c r="B24" s="79" t="s">
        <v>138</v>
      </c>
      <c r="C24" s="79">
        <v>9861471</v>
      </c>
      <c r="D24" s="79" t="s">
        <v>103</v>
      </c>
      <c r="E24" s="79">
        <v>10.5</v>
      </c>
      <c r="F24" s="79">
        <v>2020</v>
      </c>
      <c r="G24" s="79">
        <v>210</v>
      </c>
      <c r="H24" s="79">
        <v>64522</v>
      </c>
      <c r="I24">
        <v>8.0645806617081295</v>
      </c>
      <c r="J24" s="79" t="s">
        <v>16</v>
      </c>
      <c r="K24" s="79">
        <v>52245</v>
      </c>
      <c r="L24">
        <v>222</v>
      </c>
      <c r="M24" s="79" t="s">
        <v>104</v>
      </c>
      <c r="N24" s="79" t="s">
        <v>105</v>
      </c>
      <c r="O24">
        <v>64522</v>
      </c>
      <c r="P24">
        <v>1560.9499536581079</v>
      </c>
      <c r="Q24" s="79" t="s">
        <v>1</v>
      </c>
      <c r="R24">
        <v>60.877048192666209</v>
      </c>
      <c r="S24">
        <f t="shared" si="1"/>
        <v>0</v>
      </c>
      <c r="U24">
        <f>IF(K24&gt;=5000,R24*VLOOKUP(Q24,emissions!$A$2:$B$5,2,FALSE),0)</f>
        <v>8888.0490361292668</v>
      </c>
      <c r="V24">
        <f t="shared" si="2"/>
        <v>60.877048192666209</v>
      </c>
      <c r="W24">
        <f t="shared" si="3"/>
        <v>146</v>
      </c>
      <c r="Y24" t="s">
        <v>21</v>
      </c>
      <c r="Z24">
        <v>4086.3592970248719</v>
      </c>
      <c r="AA24">
        <f t="shared" si="4"/>
        <v>1</v>
      </c>
      <c r="AB24" t="s">
        <v>72</v>
      </c>
      <c r="AC24">
        <f t="shared" si="5"/>
        <v>1</v>
      </c>
      <c r="AK24" t="str">
        <v>Special Passenger Vessel</v>
      </c>
      <c r="AL24">
        <f>SUMIF(raw!$J$2:$J$820,AK24,raw!$R$2:$R$820)</f>
        <v>0.1375060242206462</v>
      </c>
      <c r="AM24">
        <f>SUMIF(raw!$J$2:$J$820,AK24,raw!$P$2:$P$820)</f>
        <v>3.2127575752487441</v>
      </c>
      <c r="AO24" t="s">
        <v>36</v>
      </c>
      <c r="AP24">
        <v>154.31866052002104</v>
      </c>
      <c r="BD24" t="s">
        <v>36</v>
      </c>
      <c r="BE24">
        <v>6.6048386702569015</v>
      </c>
      <c r="BG24" t="s">
        <v>51</v>
      </c>
      <c r="BH24">
        <f>SUM(CG2:CG1195)</f>
        <v>0</v>
      </c>
      <c r="BI24">
        <f t="shared" si="10"/>
        <v>1</v>
      </c>
      <c r="BJ24" s="9">
        <f t="shared" si="11"/>
        <v>0</v>
      </c>
      <c r="BK24">
        <f t="shared" si="12"/>
        <v>0</v>
      </c>
      <c r="BL24">
        <f t="shared" si="12"/>
        <v>0</v>
      </c>
      <c r="BM24">
        <f t="shared" si="12"/>
        <v>0</v>
      </c>
      <c r="BN24">
        <f t="shared" si="12"/>
        <v>0</v>
      </c>
      <c r="BO24">
        <f t="shared" si="12"/>
        <v>0</v>
      </c>
      <c r="BP24">
        <f t="shared" si="12"/>
        <v>0</v>
      </c>
      <c r="BQ24">
        <f t="shared" si="12"/>
        <v>0</v>
      </c>
      <c r="BR24">
        <f t="shared" si="12"/>
        <v>0</v>
      </c>
      <c r="BS24">
        <f t="shared" si="12"/>
        <v>1</v>
      </c>
      <c r="BT24">
        <f t="shared" si="12"/>
        <v>0</v>
      </c>
      <c r="BU24">
        <f t="shared" si="12"/>
        <v>0</v>
      </c>
      <c r="BV24">
        <f t="shared" si="12"/>
        <v>0</v>
      </c>
      <c r="BW24">
        <f t="shared" si="12"/>
        <v>0</v>
      </c>
      <c r="BX24">
        <f t="shared" si="12"/>
        <v>0</v>
      </c>
      <c r="BY24">
        <f t="shared" si="12"/>
        <v>0</v>
      </c>
      <c r="BZ24">
        <f t="shared" si="12"/>
        <v>0</v>
      </c>
      <c r="CA24">
        <f t="shared" si="13"/>
        <v>0</v>
      </c>
      <c r="CB24">
        <f t="shared" si="13"/>
        <v>0</v>
      </c>
      <c r="CC24">
        <f t="shared" si="13"/>
        <v>0</v>
      </c>
      <c r="CD24">
        <f t="shared" si="13"/>
        <v>0</v>
      </c>
      <c r="CE24">
        <f t="shared" si="13"/>
        <v>0</v>
      </c>
      <c r="CF24">
        <f t="shared" si="14"/>
        <v>0</v>
      </c>
      <c r="CG24">
        <f t="shared" si="14"/>
        <v>0</v>
      </c>
    </row>
    <row r="25" spans="1:85" x14ac:dyDescent="0.2">
      <c r="A25" s="79" t="s">
        <v>131</v>
      </c>
      <c r="B25" s="79" t="s">
        <v>139</v>
      </c>
      <c r="C25" s="79">
        <v>0</v>
      </c>
      <c r="D25" s="79" t="s">
        <v>99</v>
      </c>
      <c r="E25" s="79">
        <v>3.9</v>
      </c>
      <c r="F25" s="79"/>
      <c r="G25" s="79">
        <v>69</v>
      </c>
      <c r="H25" s="79">
        <v>0</v>
      </c>
      <c r="I25">
        <v>10.19254486300852</v>
      </c>
      <c r="J25" s="79" t="s">
        <v>43</v>
      </c>
      <c r="K25" s="79">
        <v>0</v>
      </c>
      <c r="L25">
        <v>229.7352941176471</v>
      </c>
      <c r="M25" s="79" t="s">
        <v>100</v>
      </c>
      <c r="N25" s="79" t="s">
        <v>105</v>
      </c>
      <c r="O25">
        <v>4961.1287914823843</v>
      </c>
      <c r="P25">
        <v>589.67769986054827</v>
      </c>
      <c r="Q25" s="79" t="s">
        <v>2</v>
      </c>
      <c r="R25">
        <v>23.940914614338261</v>
      </c>
      <c r="S25">
        <f t="shared" si="1"/>
        <v>0</v>
      </c>
      <c r="U25">
        <f>IF(K25&gt;=5000,R25*VLOOKUP(Q25,emissions!$A$2:$B$5,2,FALSE),0)</f>
        <v>0</v>
      </c>
      <c r="V25">
        <f t="shared" si="2"/>
        <v>0</v>
      </c>
      <c r="W25">
        <f t="shared" si="3"/>
        <v>0</v>
      </c>
      <c r="Y25" t="s">
        <v>10</v>
      </c>
      <c r="Z25">
        <v>1848.89721098478</v>
      </c>
      <c r="AA25">
        <f t="shared" si="4"/>
        <v>1</v>
      </c>
      <c r="AB25" t="s">
        <v>1</v>
      </c>
      <c r="AC25">
        <f t="shared" si="5"/>
        <v>1</v>
      </c>
      <c r="AK25">
        <v>0</v>
      </c>
      <c r="AL25" s="40">
        <f>SUM(AL2:AL24)</f>
        <v>818.39679788021965</v>
      </c>
      <c r="AM25" s="40">
        <f>SUM(AM2:AM24)</f>
        <v>19693.068463475309</v>
      </c>
      <c r="BH25" s="40">
        <f>SUM(BH2:BH24)</f>
        <v>12</v>
      </c>
      <c r="BI25" s="40">
        <f>SUM(BI2:BI24)</f>
        <v>25</v>
      </c>
      <c r="BJ25" s="41">
        <f>BH25/BI25</f>
        <v>0.48</v>
      </c>
      <c r="BK25">
        <f t="shared" si="12"/>
        <v>0</v>
      </c>
      <c r="BL25">
        <f t="shared" si="12"/>
        <v>0</v>
      </c>
      <c r="BM25">
        <f t="shared" si="12"/>
        <v>0</v>
      </c>
      <c r="BN25">
        <f t="shared" si="12"/>
        <v>0</v>
      </c>
      <c r="BO25">
        <f t="shared" si="12"/>
        <v>0</v>
      </c>
      <c r="BP25">
        <f t="shared" si="12"/>
        <v>0</v>
      </c>
      <c r="BQ25">
        <f t="shared" si="12"/>
        <v>0</v>
      </c>
      <c r="BR25">
        <f t="shared" si="12"/>
        <v>0</v>
      </c>
      <c r="BS25">
        <f t="shared" si="12"/>
        <v>0</v>
      </c>
      <c r="BT25">
        <f t="shared" si="12"/>
        <v>0</v>
      </c>
      <c r="BU25">
        <f t="shared" si="12"/>
        <v>0</v>
      </c>
      <c r="BV25">
        <f t="shared" si="12"/>
        <v>0</v>
      </c>
      <c r="BW25">
        <f t="shared" si="12"/>
        <v>0</v>
      </c>
      <c r="BX25">
        <f t="shared" si="12"/>
        <v>0</v>
      </c>
      <c r="BY25">
        <f t="shared" si="12"/>
        <v>0</v>
      </c>
      <c r="BZ25">
        <f t="shared" si="12"/>
        <v>0</v>
      </c>
      <c r="CA25">
        <f t="shared" si="13"/>
        <v>0</v>
      </c>
      <c r="CB25">
        <f t="shared" si="13"/>
        <v>0</v>
      </c>
      <c r="CC25">
        <f t="shared" si="13"/>
        <v>0</v>
      </c>
      <c r="CD25">
        <f t="shared" si="13"/>
        <v>0</v>
      </c>
      <c r="CE25">
        <f t="shared" si="13"/>
        <v>0</v>
      </c>
      <c r="CF25">
        <f t="shared" si="14"/>
        <v>0</v>
      </c>
      <c r="CG25">
        <f t="shared" si="14"/>
        <v>0</v>
      </c>
    </row>
    <row r="26" spans="1:85" x14ac:dyDescent="0.2">
      <c r="A26" s="79" t="s">
        <v>140</v>
      </c>
      <c r="B26" s="79" t="s">
        <v>141</v>
      </c>
      <c r="C26" s="79">
        <v>9644586</v>
      </c>
      <c r="D26" s="79" t="s">
        <v>99</v>
      </c>
      <c r="E26" s="79">
        <v>1.2</v>
      </c>
      <c r="F26" s="79">
        <v>2014</v>
      </c>
      <c r="G26" s="79">
        <v>45.5</v>
      </c>
      <c r="H26" s="79">
        <v>200</v>
      </c>
      <c r="I26">
        <v>4.338970588235294</v>
      </c>
      <c r="J26" s="79" t="s">
        <v>22</v>
      </c>
      <c r="K26" s="79">
        <v>487</v>
      </c>
      <c r="L26">
        <v>138</v>
      </c>
      <c r="M26" s="79" t="s">
        <v>100</v>
      </c>
      <c r="N26" s="79" t="s">
        <v>22</v>
      </c>
      <c r="O26">
        <v>200</v>
      </c>
      <c r="P26">
        <v>3.2127575752487441</v>
      </c>
      <c r="Q26" s="79" t="s">
        <v>70</v>
      </c>
      <c r="R26">
        <v>0.1375060242206462</v>
      </c>
      <c r="S26">
        <f t="shared" si="1"/>
        <v>0</v>
      </c>
      <c r="U26">
        <f>IF(K26&gt;=5000,R26*VLOOKUP(Q26,emissions!$A$2:$B$5,2,FALSE),0)</f>
        <v>0</v>
      </c>
      <c r="V26">
        <f t="shared" si="2"/>
        <v>0</v>
      </c>
      <c r="W26">
        <f t="shared" si="3"/>
        <v>0</v>
      </c>
      <c r="Y26" t="s">
        <v>21</v>
      </c>
      <c r="Z26">
        <v>1801.0961930663159</v>
      </c>
      <c r="AA26">
        <f t="shared" si="4"/>
        <v>1</v>
      </c>
      <c r="AB26" t="s">
        <v>72</v>
      </c>
      <c r="AC26">
        <f t="shared" si="5"/>
        <v>1</v>
      </c>
      <c r="BK26">
        <f t="shared" si="12"/>
        <v>0</v>
      </c>
      <c r="BL26">
        <f t="shared" si="12"/>
        <v>0</v>
      </c>
      <c r="BM26">
        <f t="shared" si="12"/>
        <v>0</v>
      </c>
      <c r="BN26">
        <f t="shared" si="12"/>
        <v>0</v>
      </c>
      <c r="BO26">
        <f t="shared" si="12"/>
        <v>0</v>
      </c>
      <c r="BP26">
        <f t="shared" si="12"/>
        <v>0</v>
      </c>
      <c r="BQ26">
        <f t="shared" si="12"/>
        <v>0</v>
      </c>
      <c r="BR26">
        <f t="shared" si="12"/>
        <v>0</v>
      </c>
      <c r="BS26">
        <f t="shared" si="12"/>
        <v>0</v>
      </c>
      <c r="BT26">
        <f t="shared" si="12"/>
        <v>0</v>
      </c>
      <c r="BU26">
        <f t="shared" si="12"/>
        <v>0</v>
      </c>
      <c r="BV26">
        <f t="shared" si="12"/>
        <v>0</v>
      </c>
      <c r="BW26">
        <f t="shared" si="12"/>
        <v>0</v>
      </c>
      <c r="BX26">
        <f t="shared" si="12"/>
        <v>0</v>
      </c>
      <c r="BY26">
        <f t="shared" si="12"/>
        <v>0</v>
      </c>
      <c r="BZ26">
        <f t="shared" si="12"/>
        <v>0</v>
      </c>
      <c r="CA26">
        <f t="shared" si="13"/>
        <v>0</v>
      </c>
      <c r="CB26">
        <f t="shared" si="13"/>
        <v>0</v>
      </c>
      <c r="CC26">
        <f t="shared" si="13"/>
        <v>0</v>
      </c>
      <c r="CD26">
        <f t="shared" si="13"/>
        <v>0</v>
      </c>
      <c r="CE26">
        <f t="shared" si="13"/>
        <v>0</v>
      </c>
      <c r="CF26">
        <f t="shared" si="14"/>
        <v>0</v>
      </c>
      <c r="CG26">
        <f t="shared" si="14"/>
        <v>0</v>
      </c>
    </row>
    <row r="149" spans="1:18" x14ac:dyDescent="0.2">
      <c r="A149" s="66"/>
      <c r="B149" s="66"/>
      <c r="C149" s="66"/>
      <c r="D149" s="66"/>
      <c r="E149" s="66"/>
      <c r="F149" s="66"/>
      <c r="G149" s="66"/>
      <c r="H149" s="66"/>
      <c r="I149" s="66"/>
      <c r="J149" s="66"/>
      <c r="L149" s="66"/>
      <c r="M149" s="66"/>
      <c r="N149" s="66"/>
      <c r="O149" s="66"/>
      <c r="P149" s="66"/>
      <c r="Q149" s="66"/>
      <c r="R149" s="66"/>
    </row>
    <row r="310" spans="1:18" x14ac:dyDescent="0.2">
      <c r="A310" s="66"/>
      <c r="B310" s="66"/>
      <c r="C310" s="66"/>
      <c r="D310" s="66"/>
      <c r="E310" s="66"/>
      <c r="F310" s="66"/>
      <c r="G310" s="66"/>
      <c r="H310" s="66"/>
      <c r="I310" s="66"/>
      <c r="J310" s="66"/>
      <c r="L310" s="66"/>
      <c r="M310" s="66"/>
      <c r="N310" s="66"/>
      <c r="O310" s="66"/>
      <c r="P310" s="66"/>
      <c r="Q310" s="66"/>
      <c r="R310" s="66"/>
    </row>
    <row r="332" spans="1:18" x14ac:dyDescent="0.2">
      <c r="A332" s="66"/>
      <c r="B332" s="66"/>
      <c r="C332" s="66"/>
      <c r="D332" s="66"/>
      <c r="E332" s="66"/>
      <c r="F332" s="66"/>
      <c r="G332" s="66"/>
      <c r="H332" s="66"/>
      <c r="I332" s="66"/>
      <c r="J332" s="66"/>
      <c r="L332" s="66"/>
      <c r="M332" s="66"/>
      <c r="N332" s="66"/>
      <c r="O332" s="66"/>
      <c r="P332" s="66"/>
      <c r="Q332" s="66"/>
      <c r="R332" s="66"/>
    </row>
    <row r="388" spans="1:18" x14ac:dyDescent="0.2">
      <c r="A388" s="67"/>
      <c r="B388" s="67"/>
      <c r="C388" s="67"/>
      <c r="D388" s="67"/>
      <c r="E388" s="67"/>
      <c r="F388" s="67"/>
      <c r="G388" s="67"/>
      <c r="H388" s="67"/>
      <c r="I388" s="67"/>
      <c r="J388" s="67"/>
      <c r="L388" s="67"/>
      <c r="M388" s="67"/>
      <c r="N388" s="67"/>
      <c r="O388" s="67"/>
      <c r="P388" s="67"/>
      <c r="Q388" s="67"/>
      <c r="R388" s="67"/>
    </row>
    <row r="404" spans="1:18" x14ac:dyDescent="0.2">
      <c r="A404" s="67"/>
      <c r="B404" s="67"/>
      <c r="C404" s="67"/>
      <c r="D404" s="67"/>
      <c r="E404" s="67"/>
      <c r="F404" s="67"/>
      <c r="G404" s="67"/>
      <c r="H404" s="67"/>
      <c r="I404" s="67"/>
      <c r="J404" s="67"/>
      <c r="L404" s="67"/>
      <c r="M404" s="67"/>
      <c r="N404" s="67"/>
      <c r="O404" s="67"/>
      <c r="P404" s="67"/>
      <c r="Q404" s="67"/>
      <c r="R404" s="67"/>
    </row>
    <row r="518" spans="1:18" x14ac:dyDescent="0.2">
      <c r="A518" s="67"/>
      <c r="B518" s="67"/>
      <c r="C518" s="67"/>
      <c r="D518" s="67"/>
      <c r="E518" s="67"/>
      <c r="F518" s="67"/>
      <c r="G518" s="67"/>
      <c r="H518" s="67"/>
      <c r="I518" s="67"/>
      <c r="J518" s="67"/>
      <c r="L518" s="67"/>
      <c r="M518" s="67"/>
      <c r="N518" s="67"/>
      <c r="O518" s="67"/>
      <c r="P518" s="67"/>
      <c r="Q518" s="67"/>
      <c r="R518" s="67"/>
    </row>
    <row r="607" spans="1:18" x14ac:dyDescent="0.2">
      <c r="A607" s="67"/>
      <c r="B607" s="67"/>
      <c r="C607" s="67"/>
      <c r="D607" s="67"/>
      <c r="E607" s="67"/>
      <c r="F607" s="67"/>
      <c r="G607" s="67"/>
      <c r="H607" s="67"/>
      <c r="I607" s="67"/>
      <c r="J607" s="67"/>
      <c r="L607" s="67"/>
      <c r="M607" s="67"/>
      <c r="N607" s="67"/>
      <c r="O607" s="67"/>
      <c r="P607" s="67"/>
      <c r="Q607" s="67"/>
      <c r="R607" s="67"/>
    </row>
    <row r="613" spans="1:18" x14ac:dyDescent="0.2">
      <c r="A613" s="67"/>
      <c r="B613" s="67"/>
      <c r="C613" s="67"/>
      <c r="D613" s="67"/>
      <c r="E613" s="67"/>
      <c r="F613" s="67"/>
      <c r="G613" s="67"/>
      <c r="H613" s="67"/>
      <c r="I613" s="67"/>
      <c r="J613" s="67"/>
      <c r="L613" s="67"/>
      <c r="M613" s="67"/>
      <c r="N613" s="67"/>
      <c r="O613" s="67"/>
      <c r="P613" s="67"/>
      <c r="Q613" s="67"/>
      <c r="R613" s="67"/>
    </row>
    <row r="699" spans="1:18" x14ac:dyDescent="0.2">
      <c r="A699" s="67"/>
      <c r="B699" s="67"/>
      <c r="C699" s="67"/>
      <c r="D699" s="67"/>
      <c r="E699" s="67"/>
      <c r="F699" s="67"/>
      <c r="G699" s="67"/>
      <c r="H699" s="67"/>
      <c r="I699" s="67"/>
      <c r="J699" s="67"/>
      <c r="L699" s="67"/>
      <c r="M699" s="67"/>
      <c r="N699" s="67"/>
      <c r="O699" s="67"/>
      <c r="P699" s="67"/>
      <c r="Q699" s="67"/>
      <c r="R699" s="67"/>
    </row>
    <row r="713" spans="1:18" x14ac:dyDescent="0.2">
      <c r="A713" s="67"/>
      <c r="B713" s="67"/>
      <c r="C713" s="67"/>
      <c r="D713" s="67"/>
      <c r="E713" s="67"/>
      <c r="F713" s="67"/>
      <c r="G713" s="67"/>
      <c r="H713" s="67"/>
      <c r="I713" s="67"/>
      <c r="J713" s="67"/>
      <c r="L713" s="67"/>
      <c r="M713" s="67"/>
      <c r="N713" s="67"/>
      <c r="O713" s="67"/>
      <c r="P713" s="67"/>
      <c r="Q713" s="67"/>
      <c r="R713" s="67"/>
    </row>
    <row r="780" spans="1:18" x14ac:dyDescent="0.2">
      <c r="A780" s="67"/>
      <c r="B780" s="67"/>
      <c r="C780" s="67"/>
      <c r="D780" s="67"/>
      <c r="E780" s="67"/>
      <c r="F780" s="67"/>
      <c r="G780" s="67"/>
      <c r="H780" s="67"/>
      <c r="I780" s="67"/>
      <c r="J780" s="67"/>
      <c r="L780" s="67"/>
      <c r="M780" s="67"/>
      <c r="N780" s="67"/>
      <c r="O780" s="67"/>
      <c r="P780" s="67"/>
      <c r="Q780" s="67"/>
      <c r="R780" s="67"/>
    </row>
    <row r="828" spans="1:18" x14ac:dyDescent="0.2">
      <c r="A828" s="66"/>
      <c r="B828" s="66"/>
      <c r="C828" s="66"/>
      <c r="D828" s="66"/>
      <c r="E828" s="66"/>
      <c r="F828" s="66"/>
      <c r="G828" s="66"/>
      <c r="H828" s="66"/>
      <c r="J828" s="66"/>
      <c r="M828" s="66"/>
      <c r="N828" s="66"/>
      <c r="O828" s="66"/>
      <c r="P828" s="66"/>
      <c r="R828" s="66"/>
    </row>
    <row r="845" spans="1:18" x14ac:dyDescent="0.2">
      <c r="A845" s="66"/>
      <c r="B845" s="66"/>
      <c r="C845" s="66"/>
      <c r="D845" s="66"/>
      <c r="E845" s="66"/>
      <c r="F845" s="66"/>
      <c r="G845" s="66"/>
      <c r="H845" s="66"/>
      <c r="J845" s="66"/>
      <c r="M845" s="66"/>
      <c r="N845" s="66"/>
      <c r="O845" s="66"/>
      <c r="P845" s="66"/>
      <c r="R845" s="66"/>
    </row>
    <row r="954" spans="1:18" x14ac:dyDescent="0.2">
      <c r="A954" s="66"/>
      <c r="B954" s="66"/>
      <c r="C954" s="66"/>
      <c r="D954" s="66"/>
      <c r="E954" s="66"/>
      <c r="F954" s="66"/>
      <c r="G954" s="66"/>
      <c r="H954" s="66"/>
      <c r="J954" s="66"/>
      <c r="M954" s="66"/>
      <c r="N954" s="66"/>
      <c r="O954" s="66"/>
      <c r="P954" s="66"/>
      <c r="R954" s="66"/>
    </row>
    <row r="1005" spans="1:18" x14ac:dyDescent="0.2">
      <c r="A1005" s="66"/>
      <c r="B1005" s="66"/>
      <c r="C1005" s="66"/>
      <c r="D1005" s="66"/>
      <c r="E1005" s="66"/>
      <c r="F1005" s="66"/>
      <c r="G1005" s="66"/>
      <c r="H1005" s="66"/>
      <c r="J1005" s="66"/>
      <c r="M1005" s="66"/>
      <c r="N1005" s="66"/>
      <c r="O1005" s="66"/>
      <c r="P1005" s="66"/>
      <c r="R1005" s="66"/>
    </row>
  </sheetData>
  <sortState xmlns:xlrd2="http://schemas.microsoft.com/office/spreadsheetml/2017/richdata2" ref="BD2:BE24">
    <sortCondition descending="1" ref="BE2:BE24"/>
  </sortState>
  <conditionalFormatting sqref="S1:S1048576">
    <cfRule type="cellIs" dxfId="0" priority="1" operator="equal">
      <formula>1</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1FFB-975E-D74B-91A6-BE75FC7F0716}">
  <sheetPr>
    <tabColor theme="4" tint="0.79998168889431442"/>
  </sheetPr>
  <dimension ref="A1:AY37"/>
  <sheetViews>
    <sheetView zoomScale="136" zoomScaleNormal="125" workbookViewId="0">
      <selection activeCell="C8" sqref="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18</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s="36">
        <f>VLOOKUP(B1,'consumptions per type'!A2:B24,2,FALSE)</f>
        <v>130.67116473394779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130.67116473394779</v>
      </c>
      <c r="N8">
        <f>IF($N$7="LFO",M8/(1+EXP(-$I$4*(B8-$J$4)))-M8/(1+EXP($I$4*$J$4)),IF($N$7="MGO",M8/(1+EXP(-$I$5*(B8-$J$5)))-M8/(1+EXP($I$5*$J$5)),0))</f>
        <v>0</v>
      </c>
      <c r="O8">
        <f>M8-N8</f>
        <v>130.67116473394779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130.67116473394779</v>
      </c>
      <c r="AB8">
        <f>O8/M8*AA8</f>
        <v>130.67116473394779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133.41525919336067</v>
      </c>
      <c r="D9">
        <f>IF($E$2=0,0,C9/(1+EXP(-$E$2*(B9-$G$2)))-C9/(1+EXP($E$2*$G$2)))</f>
        <v>0.99605078545013015</v>
      </c>
      <c r="E9">
        <f t="shared" ref="E9:E33" si="4">IF($E$3=0,0,C9/(1+EXP(-$E$3*(B9-$G$3)))-C9/(1+EXP($E$3*$G$3)))</f>
        <v>0</v>
      </c>
      <c r="F9">
        <f t="shared" ref="F9:F33" si="5">IF($E$4=0,0,C9/(1+EXP(-$E$4*(B9-$G$4)))-C9/(1+EXP($E$4*$G$4)))</f>
        <v>0.3327860444270172</v>
      </c>
      <c r="G9" s="9">
        <f t="shared" ref="G9:I33" si="6">D9/$C9</f>
        <v>7.4657935791777709E-3</v>
      </c>
      <c r="H9" s="9">
        <f t="shared" si="6"/>
        <v>0</v>
      </c>
      <c r="I9" s="9">
        <f t="shared" si="6"/>
        <v>2.4943626871398988E-3</v>
      </c>
      <c r="J9" s="9">
        <f t="shared" ref="J9:J33" si="7">G9*$F$2</f>
        <v>9.7055316529311023E-4</v>
      </c>
      <c r="K9" s="9">
        <f t="shared" ref="K9:K33" si="8">H9*$F$3</f>
        <v>0</v>
      </c>
      <c r="L9" s="9">
        <f t="shared" ref="L9:L33" si="9">I9*$F$4</f>
        <v>9.9774507485595951E-4</v>
      </c>
      <c r="M9">
        <f t="shared" si="0"/>
        <v>133.15278736810086</v>
      </c>
      <c r="N9">
        <f t="shared" ref="N9:N33" si="10">IF($N$7="LFO",M9/(1+EXP(-$I$4*(B9-$J$4)))-M9/(1+EXP($I$4*$J$4)),IF($N$7="MGO",M9/(1+EXP(-$I$5*(B9-$J$5)))-M9/(1+EXP($I$5*$J$5)),0))</f>
        <v>0</v>
      </c>
      <c r="O9">
        <f>M9-N9</f>
        <v>133.15278736810086</v>
      </c>
      <c r="P9">
        <f>IF($I$3=0,0,M9/(1+EXP(-$I$3*(B9-$J$3)))-M9/(1+EXP($I$3*$J$3)))</f>
        <v>0.81717073105647398</v>
      </c>
      <c r="Q9" s="9">
        <f t="shared" si="1"/>
        <v>6.1370906851345563E-3</v>
      </c>
      <c r="R9">
        <f>VLOOKUP($B$1,dictionary!$A$3:$K$51,3,FALSE)*Q9</f>
        <v>6.1370906851345569E-4</v>
      </c>
      <c r="S9">
        <f>VLOOKUP($B$1,dictionary!$A$3:$K$51,4,FALSE)*Q9</f>
        <v>6.1370906851345569E-4</v>
      </c>
      <c r="T9">
        <f>VLOOKUP($B$1,dictionary!$A$3:$K$51,5,FALSE)*Q9</f>
        <v>3.375399876824006E-3</v>
      </c>
      <c r="U9">
        <f>VLOOKUP($B$1,dictionary!$A$3:$K$51,6,FALSE)*Q9</f>
        <v>0</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132.33561663704438</v>
      </c>
      <c r="AB9">
        <f t="shared" ref="AB9:AB33" si="11">O9/M9*AA9</f>
        <v>132.33561663704438</v>
      </c>
      <c r="AC9">
        <f t="shared" ref="AC9:AC33" si="12">N9/M9*AA9</f>
        <v>0</v>
      </c>
      <c r="AD9">
        <f t="shared" si="3"/>
        <v>8.1717073105647409E-2</v>
      </c>
      <c r="AE9">
        <f t="shared" ref="AE9:AE33" si="13">S9*$O9*$AE$2+S9*$N9*$AE$3</f>
        <v>3.6318699158065515E-2</v>
      </c>
      <c r="AF9">
        <f t="shared" ref="AF9:AF33" si="14">T9*$O9*$AF$2+T9*$N9*$AF$3</f>
        <v>0.49938211342340083</v>
      </c>
      <c r="AG9">
        <f t="shared" ref="AG9:AG33" si="15">U9*$O9*$AG$2+U9*$N9*$AG$3</f>
        <v>0</v>
      </c>
      <c r="AH9">
        <f t="shared" ref="AH9:AH33" si="16">V9*$O9*$AH$2+V9*$N9*$AH$3</f>
        <v>0</v>
      </c>
      <c r="AI9">
        <f t="shared" ref="AI9:AI33" si="17">W9*$O9*$AI$2+W9*$N9*$AI$3</f>
        <v>4.3008985845077584E-2</v>
      </c>
      <c r="AJ9">
        <f t="shared" ref="AJ9:AJ33" si="18">X9*$O9*$AJ$2+X9*$N9*$AJ$3</f>
        <v>0</v>
      </c>
      <c r="AK9">
        <f t="shared" ref="AK9:AK33" si="19">Y9*$O9*$AK$2+Y9*$N9*$AK$3</f>
        <v>0.16343414621129482</v>
      </c>
      <c r="AL9">
        <f t="shared" ref="AL9:AL33" si="20">Z9*$O9*$AL$2+Z9*$N9*$AL$3</f>
        <v>0</v>
      </c>
    </row>
    <row r="10" spans="1:51" x14ac:dyDescent="0.2">
      <c r="A10">
        <v>2027</v>
      </c>
      <c r="B10">
        <v>2</v>
      </c>
      <c r="C10">
        <f t="shared" ref="C10:C33" si="21">C9*(1+$I$2)</f>
        <v>136.21697963642123</v>
      </c>
      <c r="D10">
        <f>IF($E$2=0,0,C10/(1+EXP(-$E$2*(B10-$G$2)))-C10/(1+EXP($E$2*$G$2)))</f>
        <v>2.0357655601907965</v>
      </c>
      <c r="E10">
        <f t="shared" si="4"/>
        <v>0</v>
      </c>
      <c r="F10">
        <f t="shared" si="5"/>
        <v>0.67970193123474587</v>
      </c>
      <c r="G10" s="9">
        <f t="shared" si="6"/>
        <v>1.4945020551949462E-2</v>
      </c>
      <c r="H10" s="9">
        <f t="shared" si="6"/>
        <v>0</v>
      </c>
      <c r="I10" s="9">
        <f t="shared" si="6"/>
        <v>4.9898473233582806E-3</v>
      </c>
      <c r="J10" s="9">
        <f t="shared" si="7"/>
        <v>1.9428526717534301E-3</v>
      </c>
      <c r="K10" s="9">
        <f t="shared" si="8"/>
        <v>0</v>
      </c>
      <c r="L10" s="9">
        <f t="shared" si="9"/>
        <v>1.9959389293433124E-3</v>
      </c>
      <c r="M10">
        <f t="shared" si="0"/>
        <v>135.68097756538776</v>
      </c>
      <c r="N10">
        <f t="shared" si="10"/>
        <v>0</v>
      </c>
      <c r="O10">
        <f>M10-N10</f>
        <v>135.68097756538776</v>
      </c>
      <c r="P10">
        <f t="shared" ref="P10:P33" si="22">IF($I$3=0,0,M10/(1+EXP(-$I$3*(B10-$J$3)))-M10/(1+EXP($I$3*$J$3)))</f>
        <v>2.1179869722357827</v>
      </c>
      <c r="Q10" s="9">
        <f t="shared" si="1"/>
        <v>1.5610050946272673E-2</v>
      </c>
      <c r="R10">
        <f>VLOOKUP($B$1,dictionary!$A$3:$K$51,3,FALSE)*Q10</f>
        <v>1.5610050946272675E-3</v>
      </c>
      <c r="S10">
        <f>VLOOKUP($B$1,dictionary!$A$3:$K$51,4,FALSE)*Q10</f>
        <v>1.5610050946272675E-3</v>
      </c>
      <c r="T10">
        <f>VLOOKUP($B$1,dictionary!$A$3:$K$51,5,FALSE)*Q10</f>
        <v>8.5855280204499718E-3</v>
      </c>
      <c r="U10">
        <f>VLOOKUP($B$1,dictionary!$A$3:$K$51,6,FALSE)*Q10</f>
        <v>0</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133.56299059315199</v>
      </c>
      <c r="AB10">
        <f t="shared" si="11"/>
        <v>133.56299059315199</v>
      </c>
      <c r="AC10">
        <f t="shared" si="12"/>
        <v>0</v>
      </c>
      <c r="AD10">
        <f t="shared" si="3"/>
        <v>0.21179869722357827</v>
      </c>
      <c r="AE10">
        <f t="shared" si="13"/>
        <v>9.4132754321590351E-2</v>
      </c>
      <c r="AF10">
        <f t="shared" si="14"/>
        <v>1.2943253719218675</v>
      </c>
      <c r="AG10">
        <f t="shared" si="15"/>
        <v>0</v>
      </c>
      <c r="AH10">
        <f t="shared" si="16"/>
        <v>0</v>
      </c>
      <c r="AI10">
        <f t="shared" si="17"/>
        <v>0.1114729985387254</v>
      </c>
      <c r="AJ10">
        <f t="shared" si="18"/>
        <v>0</v>
      </c>
      <c r="AK10">
        <f t="shared" si="19"/>
        <v>0.42359739444715655</v>
      </c>
      <c r="AL10">
        <f t="shared" si="20"/>
        <v>0</v>
      </c>
    </row>
    <row r="11" spans="1:51" x14ac:dyDescent="0.2">
      <c r="A11">
        <v>2028</v>
      </c>
      <c r="B11">
        <v>3</v>
      </c>
      <c r="C11">
        <f t="shared" si="21"/>
        <v>139.07753620878606</v>
      </c>
      <c r="D11">
        <f t="shared" ref="D11:D33" si="23">IF($E$2=0,0,C11/(1+EXP(-$E$2*(B11-$G$2)))-C11/(1+EXP($E$2*$G$2)))</f>
        <v>3.1201132516421666</v>
      </c>
      <c r="E11">
        <f t="shared" si="4"/>
        <v>0</v>
      </c>
      <c r="F11">
        <f t="shared" si="5"/>
        <v>1.0411803055758782</v>
      </c>
      <c r="G11" s="9">
        <f t="shared" si="6"/>
        <v>2.243434372433941E-2</v>
      </c>
      <c r="H11" s="9">
        <f t="shared" si="6"/>
        <v>0</v>
      </c>
      <c r="I11" s="9">
        <f t="shared" si="6"/>
        <v>7.4863298125502943E-3</v>
      </c>
      <c r="J11" s="9">
        <f t="shared" si="7"/>
        <v>2.9164646841641235E-3</v>
      </c>
      <c r="K11" s="9">
        <f t="shared" si="8"/>
        <v>0</v>
      </c>
      <c r="L11" s="9">
        <f t="shared" si="9"/>
        <v>2.9945319250201177E-3</v>
      </c>
      <c r="M11">
        <f t="shared" si="0"/>
        <v>138.25666399007864</v>
      </c>
      <c r="N11">
        <f t="shared" si="10"/>
        <v>0</v>
      </c>
      <c r="O11">
        <f t="shared" ref="O11:O33" si="24">M11-N11</f>
        <v>138.25666399007864</v>
      </c>
      <c r="P11">
        <f t="shared" si="22"/>
        <v>4.1621250075283429</v>
      </c>
      <c r="Q11" s="9">
        <f t="shared" si="1"/>
        <v>3.0104335569871837E-2</v>
      </c>
      <c r="R11">
        <f>VLOOKUP($B$1,dictionary!$A$3:$K$51,3,FALSE)*Q11</f>
        <v>3.0104335569871837E-3</v>
      </c>
      <c r="S11">
        <f>VLOOKUP($B$1,dictionary!$A$3:$K$51,4,FALSE)*Q11</f>
        <v>3.0104335569871837E-3</v>
      </c>
      <c r="T11">
        <f>VLOOKUP($B$1,dictionary!$A$3:$K$51,5,FALSE)*Q11</f>
        <v>1.6557384563429513E-2</v>
      </c>
      <c r="U11">
        <f>VLOOKUP($B$1,dictionary!$A$3:$K$51,6,FALSE)*Q11</f>
        <v>0</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134.09453898255029</v>
      </c>
      <c r="AB11">
        <f t="shared" si="11"/>
        <v>134.09453898255029</v>
      </c>
      <c r="AC11">
        <f t="shared" si="12"/>
        <v>0</v>
      </c>
      <c r="AD11">
        <f t="shared" si="3"/>
        <v>0.41621250075283428</v>
      </c>
      <c r="AE11">
        <f t="shared" si="13"/>
        <v>0.18498333366792635</v>
      </c>
      <c r="AF11">
        <f t="shared" si="14"/>
        <v>2.543520837933988</v>
      </c>
      <c r="AG11">
        <f t="shared" si="15"/>
        <v>0</v>
      </c>
      <c r="AH11">
        <f t="shared" si="16"/>
        <v>0</v>
      </c>
      <c r="AI11">
        <f t="shared" si="17"/>
        <v>0.21905921092254435</v>
      </c>
      <c r="AJ11">
        <f t="shared" si="18"/>
        <v>0</v>
      </c>
      <c r="AK11">
        <f t="shared" si="19"/>
        <v>0.83242500150566856</v>
      </c>
      <c r="AL11">
        <f t="shared" si="20"/>
        <v>0</v>
      </c>
    </row>
    <row r="12" spans="1:51" x14ac:dyDescent="0.2">
      <c r="A12">
        <v>2029</v>
      </c>
      <c r="B12">
        <v>4</v>
      </c>
      <c r="C12">
        <f t="shared" si="21"/>
        <v>141.99816446917055</v>
      </c>
      <c r="D12">
        <f t="shared" si="23"/>
        <v>4.2500629684381011</v>
      </c>
      <c r="E12">
        <f t="shared" si="4"/>
        <v>0</v>
      </c>
      <c r="F12">
        <f t="shared" si="5"/>
        <v>1.4176650666900628</v>
      </c>
      <c r="G12" s="9">
        <f t="shared" si="6"/>
        <v>2.993040779312918E-2</v>
      </c>
      <c r="H12" s="9">
        <f t="shared" si="6"/>
        <v>0</v>
      </c>
      <c r="I12" s="9">
        <f t="shared" si="6"/>
        <v>9.9836858595299255E-3</v>
      </c>
      <c r="J12" s="9">
        <f t="shared" si="7"/>
        <v>3.8909530131067934E-3</v>
      </c>
      <c r="K12" s="9">
        <f t="shared" si="8"/>
        <v>0</v>
      </c>
      <c r="L12" s="9">
        <f t="shared" si="9"/>
        <v>3.9934743438119705E-3</v>
      </c>
      <c r="M12">
        <f t="shared" si="0"/>
        <v>140.88079668386271</v>
      </c>
      <c r="N12">
        <f t="shared" si="10"/>
        <v>0</v>
      </c>
      <c r="O12">
        <f t="shared" si="24"/>
        <v>140.88079668386271</v>
      </c>
      <c r="P12">
        <f t="shared" si="22"/>
        <v>7.3238873402483531</v>
      </c>
      <c r="Q12" s="9">
        <f t="shared" si="1"/>
        <v>5.1986413426403297E-2</v>
      </c>
      <c r="R12">
        <f>VLOOKUP($B$1,dictionary!$A$3:$K$51,3,FALSE)*Q12</f>
        <v>5.1986413426403297E-3</v>
      </c>
      <c r="S12">
        <f>VLOOKUP($B$1,dictionary!$A$3:$K$51,4,FALSE)*Q12</f>
        <v>5.1986413426403297E-3</v>
      </c>
      <c r="T12">
        <f>VLOOKUP($B$1,dictionary!$A$3:$K$51,5,FALSE)*Q12</f>
        <v>2.8592527384521817E-2</v>
      </c>
      <c r="U12">
        <f>VLOOKUP($B$1,dictionary!$A$3:$K$51,6,FALSE)*Q12</f>
        <v>0</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133.55690934361436</v>
      </c>
      <c r="AB12">
        <f t="shared" si="11"/>
        <v>133.55690934361436</v>
      </c>
      <c r="AC12">
        <f t="shared" si="12"/>
        <v>0</v>
      </c>
      <c r="AD12">
        <f t="shared" si="3"/>
        <v>0.7323887340248354</v>
      </c>
      <c r="AE12">
        <f t="shared" si="13"/>
        <v>0.32550610401103797</v>
      </c>
      <c r="AF12">
        <f t="shared" si="14"/>
        <v>4.4757089301517725</v>
      </c>
      <c r="AG12">
        <f t="shared" si="15"/>
        <v>0</v>
      </c>
      <c r="AH12">
        <f t="shared" si="16"/>
        <v>0</v>
      </c>
      <c r="AI12">
        <f t="shared" si="17"/>
        <v>0.38546775474991335</v>
      </c>
      <c r="AJ12">
        <f t="shared" si="18"/>
        <v>0</v>
      </c>
      <c r="AK12">
        <f t="shared" si="19"/>
        <v>1.4647774680496708</v>
      </c>
      <c r="AL12">
        <f t="shared" si="20"/>
        <v>0</v>
      </c>
    </row>
    <row r="13" spans="1:51" x14ac:dyDescent="0.2">
      <c r="A13">
        <v>2030</v>
      </c>
      <c r="B13">
        <v>5</v>
      </c>
      <c r="C13">
        <f t="shared" si="21"/>
        <v>144.98012592302311</v>
      </c>
      <c r="D13">
        <f t="shared" si="23"/>
        <v>5.426583691216095</v>
      </c>
      <c r="E13">
        <f t="shared" si="4"/>
        <v>0</v>
      </c>
      <c r="F13">
        <f t="shared" si="5"/>
        <v>1.8096116301607452</v>
      </c>
      <c r="G13" s="9">
        <f t="shared" si="6"/>
        <v>3.7429845343749588E-2</v>
      </c>
      <c r="H13" s="9">
        <f t="shared" si="6"/>
        <v>0</v>
      </c>
      <c r="I13" s="9">
        <f t="shared" si="6"/>
        <v>1.2481790994729545E-2</v>
      </c>
      <c r="J13" s="9">
        <f t="shared" si="7"/>
        <v>4.8658798946874466E-3</v>
      </c>
      <c r="K13" s="9">
        <f t="shared" si="8"/>
        <v>0</v>
      </c>
      <c r="L13" s="9">
        <f t="shared" si="9"/>
        <v>4.9927163978918179E-3</v>
      </c>
      <c r="M13">
        <f t="shared" si="0"/>
        <v>143.55434753224006</v>
      </c>
      <c r="N13">
        <f t="shared" si="10"/>
        <v>0</v>
      </c>
      <c r="O13">
        <f t="shared" si="24"/>
        <v>143.55434753224006</v>
      </c>
      <c r="P13">
        <f t="shared" si="22"/>
        <v>12.110606840430931</v>
      </c>
      <c r="Q13" s="9">
        <f t="shared" si="1"/>
        <v>8.4362522268516302E-2</v>
      </c>
      <c r="R13">
        <f>VLOOKUP($B$1,dictionary!$A$3:$K$51,3,FALSE)*Q13</f>
        <v>8.4362522268516312E-3</v>
      </c>
      <c r="S13">
        <f>VLOOKUP($B$1,dictionary!$A$3:$K$51,4,FALSE)*Q13</f>
        <v>8.4362522268516312E-3</v>
      </c>
      <c r="T13">
        <f>VLOOKUP($B$1,dictionary!$A$3:$K$51,5,FALSE)*Q13</f>
        <v>4.6399387247683971E-2</v>
      </c>
      <c r="U13">
        <f>VLOOKUP($B$1,dictionary!$A$3:$K$51,6,FALSE)*Q13</f>
        <v>0</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131.44374069180913</v>
      </c>
      <c r="AB13">
        <f t="shared" si="11"/>
        <v>131.44374069180913</v>
      </c>
      <c r="AC13">
        <f t="shared" si="12"/>
        <v>0</v>
      </c>
      <c r="AD13">
        <f t="shared" si="3"/>
        <v>1.2110606840430931</v>
      </c>
      <c r="AE13">
        <f t="shared" si="13"/>
        <v>0.53824919290804141</v>
      </c>
      <c r="AF13">
        <f t="shared" si="14"/>
        <v>7.4009264024855694</v>
      </c>
      <c r="AG13">
        <f t="shared" si="15"/>
        <v>0</v>
      </c>
      <c r="AH13">
        <f t="shared" si="16"/>
        <v>0</v>
      </c>
      <c r="AI13">
        <f t="shared" si="17"/>
        <v>0.63740036002268052</v>
      </c>
      <c r="AJ13">
        <f t="shared" si="18"/>
        <v>0</v>
      </c>
      <c r="AK13">
        <f t="shared" si="19"/>
        <v>2.4221213680861862</v>
      </c>
      <c r="AL13">
        <f t="shared" si="20"/>
        <v>0</v>
      </c>
    </row>
    <row r="14" spans="1:51" x14ac:dyDescent="0.2">
      <c r="A14">
        <v>2031</v>
      </c>
      <c r="B14">
        <v>6</v>
      </c>
      <c r="C14">
        <f t="shared" si="21"/>
        <v>148.02470856740658</v>
      </c>
      <c r="D14">
        <f t="shared" si="23"/>
        <v>6.6506440065816719</v>
      </c>
      <c r="E14">
        <f t="shared" si="4"/>
        <v>0</v>
      </c>
      <c r="F14">
        <f t="shared" si="5"/>
        <v>2.2174871958512483</v>
      </c>
      <c r="G14" s="9">
        <f t="shared" si="6"/>
        <v>4.4929282894369912E-2</v>
      </c>
      <c r="H14" s="9">
        <f t="shared" si="6"/>
        <v>0</v>
      </c>
      <c r="I14" s="9">
        <f t="shared" si="6"/>
        <v>1.4980520598974614E-2</v>
      </c>
      <c r="J14" s="9">
        <f t="shared" si="7"/>
        <v>5.8408067762680885E-3</v>
      </c>
      <c r="K14" s="9">
        <f t="shared" si="8"/>
        <v>0</v>
      </c>
      <c r="L14" s="9">
        <f t="shared" si="9"/>
        <v>5.992208239589846E-3</v>
      </c>
      <c r="M14">
        <f t="shared" si="0"/>
        <v>146.27831073390638</v>
      </c>
      <c r="N14">
        <f t="shared" si="10"/>
        <v>0</v>
      </c>
      <c r="O14">
        <f t="shared" si="24"/>
        <v>146.27831073390638</v>
      </c>
      <c r="P14">
        <f t="shared" si="22"/>
        <v>19.142582741315561</v>
      </c>
      <c r="Q14" s="9">
        <f t="shared" si="1"/>
        <v>0.13086412226989461</v>
      </c>
      <c r="R14">
        <f>VLOOKUP($B$1,dictionary!$A$3:$K$51,3,FALSE)*Q14</f>
        <v>1.3086412226989461E-2</v>
      </c>
      <c r="S14">
        <f>VLOOKUP($B$1,dictionary!$A$3:$K$51,4,FALSE)*Q14</f>
        <v>1.3086412226989461E-2</v>
      </c>
      <c r="T14">
        <f>VLOOKUP($B$1,dictionary!$A$3:$K$51,5,FALSE)*Q14</f>
        <v>7.197526724844204E-2</v>
      </c>
      <c r="U14">
        <f>VLOOKUP($B$1,dictionary!$A$3:$K$51,6,FALSE)*Q14</f>
        <v>0</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127.13572799259082</v>
      </c>
      <c r="AB14">
        <f t="shared" si="11"/>
        <v>127.13572799259082</v>
      </c>
      <c r="AC14">
        <f t="shared" si="12"/>
        <v>0</v>
      </c>
      <c r="AD14">
        <f t="shared" si="3"/>
        <v>1.9142582741315561</v>
      </c>
      <c r="AE14">
        <f t="shared" si="13"/>
        <v>0.85078145516958059</v>
      </c>
      <c r="AF14">
        <f t="shared" si="14"/>
        <v>11.698245008581734</v>
      </c>
      <c r="AG14">
        <f t="shared" si="15"/>
        <v>0</v>
      </c>
      <c r="AH14">
        <f t="shared" si="16"/>
        <v>0</v>
      </c>
      <c r="AI14">
        <f t="shared" si="17"/>
        <v>1.007504354806082</v>
      </c>
      <c r="AJ14">
        <f t="shared" si="18"/>
        <v>0</v>
      </c>
      <c r="AK14">
        <f t="shared" si="19"/>
        <v>3.8285165482631123</v>
      </c>
      <c r="AL14">
        <f t="shared" si="20"/>
        <v>0</v>
      </c>
    </row>
    <row r="15" spans="1:51" x14ac:dyDescent="0.2">
      <c r="A15">
        <v>2032</v>
      </c>
      <c r="B15">
        <v>7</v>
      </c>
      <c r="C15">
        <f t="shared" si="21"/>
        <v>151.1332274473221</v>
      </c>
      <c r="D15">
        <f t="shared" si="23"/>
        <v>7.9232118865879784</v>
      </c>
      <c r="E15">
        <f t="shared" si="4"/>
        <v>0</v>
      </c>
      <c r="F15">
        <f t="shared" si="5"/>
        <v>2.6417710216390446</v>
      </c>
      <c r="G15" s="9">
        <f t="shared" si="6"/>
        <v>5.2425346963159612E-2</v>
      </c>
      <c r="H15" s="9">
        <f t="shared" si="6"/>
        <v>0</v>
      </c>
      <c r="I15" s="9">
        <f t="shared" si="6"/>
        <v>1.7479749928319643E-2</v>
      </c>
      <c r="J15" s="9">
        <f t="shared" si="7"/>
        <v>6.8152951052107497E-3</v>
      </c>
      <c r="K15" s="9">
        <f t="shared" si="8"/>
        <v>0</v>
      </c>
      <c r="L15" s="9">
        <f t="shared" si="9"/>
        <v>6.9918999713278578E-3</v>
      </c>
      <c r="M15">
        <f t="shared" si="0"/>
        <v>149.05370327305519</v>
      </c>
      <c r="N15">
        <f t="shared" si="10"/>
        <v>0</v>
      </c>
      <c r="O15">
        <f t="shared" si="24"/>
        <v>149.05370327305519</v>
      </c>
      <c r="P15">
        <f>IF($I$3=0,0,M15/(1+EXP(-$I$3*(B15-$J$3)))-M15/(1+EXP($I$3*$J$3)))</f>
        <v>29.048096824393436</v>
      </c>
      <c r="Q15" s="9">
        <f t="shared" si="1"/>
        <v>0.19488342917035414</v>
      </c>
      <c r="R15">
        <f>VLOOKUP($B$1,dictionary!$A$3:$K$51,3,FALSE)*Q15</f>
        <v>1.9488342917035415E-2</v>
      </c>
      <c r="S15">
        <f>VLOOKUP($B$1,dictionary!$A$3:$K$51,4,FALSE)*Q15</f>
        <v>1.9488342917035415E-2</v>
      </c>
      <c r="T15">
        <f>VLOOKUP($B$1,dictionary!$A$3:$K$51,5,FALSE)*Q15</f>
        <v>0.10718588604369479</v>
      </c>
      <c r="U15">
        <f>VLOOKUP($B$1,dictionary!$A$3:$K$51,6,FALSE)*Q15</f>
        <v>0</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120.00560644866175</v>
      </c>
      <c r="AB15">
        <f t="shared" si="11"/>
        <v>120.00560644866175</v>
      </c>
      <c r="AC15">
        <f t="shared" si="12"/>
        <v>0</v>
      </c>
      <c r="AD15">
        <f t="shared" si="3"/>
        <v>2.9048096824393435</v>
      </c>
      <c r="AE15">
        <f t="shared" si="13"/>
        <v>1.2910265255285971</v>
      </c>
      <c r="AF15">
        <f t="shared" si="14"/>
        <v>17.751614726018214</v>
      </c>
      <c r="AG15">
        <f t="shared" si="15"/>
        <v>0</v>
      </c>
      <c r="AH15">
        <f t="shared" si="16"/>
        <v>0</v>
      </c>
      <c r="AI15">
        <f t="shared" si="17"/>
        <v>1.528847201283865</v>
      </c>
      <c r="AJ15">
        <f t="shared" si="18"/>
        <v>0</v>
      </c>
      <c r="AK15">
        <f t="shared" si="19"/>
        <v>5.8096193648786869</v>
      </c>
      <c r="AL15">
        <f t="shared" si="20"/>
        <v>0</v>
      </c>
    </row>
    <row r="16" spans="1:51" x14ac:dyDescent="0.2">
      <c r="A16">
        <v>2033</v>
      </c>
      <c r="B16">
        <v>8</v>
      </c>
      <c r="C16">
        <f t="shared" si="21"/>
        <v>154.30702522371584</v>
      </c>
      <c r="D16">
        <f t="shared" si="23"/>
        <v>9.24525451587688</v>
      </c>
      <c r="E16">
        <f t="shared" si="4"/>
        <v>0</v>
      </c>
      <c r="F16">
        <f t="shared" si="5"/>
        <v>3.0829547030710103</v>
      </c>
      <c r="G16" s="9">
        <f t="shared" si="6"/>
        <v>5.9914670135549686E-2</v>
      </c>
      <c r="H16" s="9">
        <f t="shared" si="6"/>
        <v>0</v>
      </c>
      <c r="I16" s="9">
        <f t="shared" si="6"/>
        <v>1.9979354138940288E-2</v>
      </c>
      <c r="J16" s="9">
        <f t="shared" si="7"/>
        <v>7.7889071176214597E-3</v>
      </c>
      <c r="K16" s="9">
        <f t="shared" si="8"/>
        <v>0</v>
      </c>
      <c r="L16" s="9">
        <f t="shared" si="9"/>
        <v>7.9917416555761161E-3</v>
      </c>
      <c r="M16">
        <f t="shared" si="0"/>
        <v>151.88156539455545</v>
      </c>
      <c r="N16">
        <f t="shared" si="10"/>
        <v>0</v>
      </c>
      <c r="O16">
        <f t="shared" si="24"/>
        <v>151.88156539455545</v>
      </c>
      <c r="P16">
        <f t="shared" si="22"/>
        <v>42.232727973754571</v>
      </c>
      <c r="Q16" s="9">
        <f t="shared" si="1"/>
        <v>0.27806355474440286</v>
      </c>
      <c r="R16">
        <f>VLOOKUP($B$1,dictionary!$A$3:$K$51,3,FALSE)*Q16</f>
        <v>2.7806355474440287E-2</v>
      </c>
      <c r="S16">
        <f>VLOOKUP($B$1,dictionary!$A$3:$K$51,4,FALSE)*Q16</f>
        <v>2.7806355474440287E-2</v>
      </c>
      <c r="T16">
        <f>VLOOKUP($B$1,dictionary!$A$3:$K$51,5,FALSE)*Q16</f>
        <v>0.15293495510942159</v>
      </c>
      <c r="U16">
        <f>VLOOKUP($B$1,dictionary!$A$3:$K$51,6,FALSE)*Q16</f>
        <v>0</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109.64883742080087</v>
      </c>
      <c r="AB16">
        <f t="shared" si="11"/>
        <v>109.64883742080087</v>
      </c>
      <c r="AC16">
        <f t="shared" si="12"/>
        <v>0</v>
      </c>
      <c r="AD16">
        <f t="shared" si="3"/>
        <v>4.2232727973754578</v>
      </c>
      <c r="AE16">
        <f t="shared" si="13"/>
        <v>1.8770101321668702</v>
      </c>
      <c r="AF16">
        <f t="shared" si="14"/>
        <v>25.808889317294465</v>
      </c>
      <c r="AG16">
        <f t="shared" si="15"/>
        <v>0</v>
      </c>
      <c r="AH16">
        <f t="shared" si="16"/>
        <v>0</v>
      </c>
      <c r="AI16">
        <f t="shared" si="17"/>
        <v>2.2227751565133986</v>
      </c>
      <c r="AJ16">
        <f t="shared" si="18"/>
        <v>0</v>
      </c>
      <c r="AK16">
        <f t="shared" si="19"/>
        <v>8.4465455947509156</v>
      </c>
      <c r="AL16">
        <f t="shared" si="20"/>
        <v>0</v>
      </c>
    </row>
    <row r="17" spans="1:38" x14ac:dyDescent="0.2">
      <c r="A17">
        <v>2034</v>
      </c>
      <c r="B17">
        <v>9</v>
      </c>
      <c r="C17">
        <f t="shared" si="21"/>
        <v>157.54747275341387</v>
      </c>
      <c r="D17">
        <f t="shared" si="23"/>
        <v>10.617738168419621</v>
      </c>
      <c r="E17">
        <f t="shared" si="4"/>
        <v>0</v>
      </c>
      <c r="F17">
        <f t="shared" si="5"/>
        <v>3.5415424590633791</v>
      </c>
      <c r="G17" s="9">
        <f t="shared" si="6"/>
        <v>6.7393897108321249E-2</v>
      </c>
      <c r="H17" s="9">
        <f t="shared" si="6"/>
        <v>0</v>
      </c>
      <c r="I17" s="9">
        <f t="shared" si="6"/>
        <v>2.2479208312065024E-2</v>
      </c>
      <c r="J17" s="9">
        <f t="shared" si="7"/>
        <v>8.7612066240817625E-3</v>
      </c>
      <c r="K17" s="9">
        <f t="shared" si="8"/>
        <v>0</v>
      </c>
      <c r="L17" s="9">
        <f t="shared" si="9"/>
        <v>8.9916833248260102E-3</v>
      </c>
      <c r="M17">
        <f t="shared" si="0"/>
        <v>154.76296108199469</v>
      </c>
      <c r="N17">
        <f t="shared" si="10"/>
        <v>0</v>
      </c>
      <c r="O17">
        <f t="shared" si="24"/>
        <v>154.76296108199469</v>
      </c>
      <c r="P17">
        <f t="shared" si="22"/>
        <v>58.558253308423595</v>
      </c>
      <c r="Q17" s="9">
        <f t="shared" si="1"/>
        <v>0.37837382342018483</v>
      </c>
      <c r="R17">
        <f>VLOOKUP($B$1,dictionary!$A$3:$K$51,3,FALSE)*Q17</f>
        <v>3.7837382342018486E-2</v>
      </c>
      <c r="S17">
        <f>VLOOKUP($B$1,dictionary!$A$3:$K$51,4,FALSE)*Q17</f>
        <v>3.7837382342018486E-2</v>
      </c>
      <c r="T17">
        <f>VLOOKUP($B$1,dictionary!$A$3:$K$51,5,FALSE)*Q17</f>
        <v>0.20810560288110166</v>
      </c>
      <c r="U17">
        <f>VLOOKUP($B$1,dictionary!$A$3:$K$51,6,FALSE)*Q17</f>
        <v>0</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96.204707773571101</v>
      </c>
      <c r="AB17">
        <f t="shared" si="11"/>
        <v>96.204707773571101</v>
      </c>
      <c r="AC17">
        <f t="shared" si="12"/>
        <v>0</v>
      </c>
      <c r="AD17">
        <f t="shared" si="3"/>
        <v>5.85582533084236</v>
      </c>
      <c r="AE17">
        <f t="shared" si="13"/>
        <v>2.6025890359299382</v>
      </c>
      <c r="AF17">
        <f t="shared" si="14"/>
        <v>35.785599244036639</v>
      </c>
      <c r="AG17">
        <f t="shared" si="15"/>
        <v>0</v>
      </c>
      <c r="AH17">
        <f t="shared" si="16"/>
        <v>0</v>
      </c>
      <c r="AI17">
        <f t="shared" si="17"/>
        <v>3.0820133320222944</v>
      </c>
      <c r="AJ17">
        <f t="shared" si="18"/>
        <v>0</v>
      </c>
      <c r="AK17">
        <f t="shared" si="19"/>
        <v>11.71165066168472</v>
      </c>
      <c r="AL17">
        <f t="shared" si="20"/>
        <v>0</v>
      </c>
    </row>
    <row r="18" spans="1:38" x14ac:dyDescent="0.2">
      <c r="A18">
        <v>2035</v>
      </c>
      <c r="B18">
        <v>10</v>
      </c>
      <c r="C18">
        <f t="shared" si="21"/>
        <v>160.85596968123554</v>
      </c>
      <c r="D18">
        <f t="shared" si="23"/>
        <v>12.041628135575024</v>
      </c>
      <c r="E18">
        <f t="shared" si="4"/>
        <v>0</v>
      </c>
      <c r="F18">
        <f t="shared" si="5"/>
        <v>4.0180514237742671</v>
      </c>
      <c r="G18" s="9">
        <f t="shared" si="6"/>
        <v>7.4859690687499092E-2</v>
      </c>
      <c r="H18" s="9">
        <f t="shared" si="6"/>
        <v>0</v>
      </c>
      <c r="I18" s="9">
        <f t="shared" si="6"/>
        <v>2.4979187478939974E-2</v>
      </c>
      <c r="J18" s="9">
        <f t="shared" si="7"/>
        <v>9.7317597893748827E-3</v>
      </c>
      <c r="K18" s="9">
        <f t="shared" si="8"/>
        <v>0</v>
      </c>
      <c r="L18" s="9">
        <f t="shared" si="9"/>
        <v>9.9916749915759905E-3</v>
      </c>
      <c r="M18">
        <f t="shared" si="0"/>
        <v>157.6989785386121</v>
      </c>
      <c r="N18">
        <f t="shared" si="10"/>
        <v>0</v>
      </c>
      <c r="O18">
        <f t="shared" si="24"/>
        <v>157.6989785386121</v>
      </c>
      <c r="P18">
        <f t="shared" si="22"/>
        <v>77.116859639199177</v>
      </c>
      <c r="Q18" s="9">
        <f t="shared" si="1"/>
        <v>0.48901305736940687</v>
      </c>
      <c r="R18">
        <f>VLOOKUP($B$1,dictionary!$A$3:$K$51,3,FALSE)*Q18</f>
        <v>4.8901305736940688E-2</v>
      </c>
      <c r="S18">
        <f>VLOOKUP($B$1,dictionary!$A$3:$K$51,4,FALSE)*Q18</f>
        <v>4.8901305736940688E-2</v>
      </c>
      <c r="T18">
        <f>VLOOKUP($B$1,dictionary!$A$3:$K$51,5,FALSE)*Q18</f>
        <v>0.26895718155317377</v>
      </c>
      <c r="U18">
        <f>VLOOKUP($B$1,dictionary!$A$3:$K$51,6,FALSE)*Q18</f>
        <v>0</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80.582118899412919</v>
      </c>
      <c r="AB18">
        <f t="shared" si="11"/>
        <v>80.582118899412919</v>
      </c>
      <c r="AC18">
        <f t="shared" si="12"/>
        <v>0</v>
      </c>
      <c r="AD18">
        <f t="shared" si="3"/>
        <v>7.7116859639199182</v>
      </c>
      <c r="AE18">
        <f t="shared" si="13"/>
        <v>3.4274159839644085</v>
      </c>
      <c r="AF18">
        <f t="shared" si="14"/>
        <v>47.12696977951061</v>
      </c>
      <c r="AG18">
        <f t="shared" si="15"/>
        <v>0</v>
      </c>
      <c r="AH18">
        <f t="shared" si="16"/>
        <v>0</v>
      </c>
      <c r="AI18">
        <f t="shared" si="17"/>
        <v>4.0587820862736406</v>
      </c>
      <c r="AJ18">
        <f t="shared" si="18"/>
        <v>0</v>
      </c>
      <c r="AK18">
        <f t="shared" si="19"/>
        <v>15.423371927839836</v>
      </c>
      <c r="AL18">
        <f t="shared" si="20"/>
        <v>0</v>
      </c>
    </row>
    <row r="19" spans="1:38" x14ac:dyDescent="0.2">
      <c r="A19">
        <v>2036</v>
      </c>
      <c r="B19">
        <v>11</v>
      </c>
      <c r="C19">
        <f t="shared" si="21"/>
        <v>164.23394504454146</v>
      </c>
      <c r="D19">
        <f t="shared" si="23"/>
        <v>13.517888706953485</v>
      </c>
      <c r="E19">
        <f t="shared" si="4"/>
        <v>0</v>
      </c>
      <c r="F19">
        <f t="shared" si="5"/>
        <v>4.513011944778583</v>
      </c>
      <c r="G19" s="9">
        <f t="shared" si="6"/>
        <v>8.2308737717329591E-2</v>
      </c>
      <c r="H19" s="9">
        <f t="shared" si="6"/>
        <v>0</v>
      </c>
      <c r="I19" s="9">
        <f t="shared" si="6"/>
        <v>2.7479166645815036E-2</v>
      </c>
      <c r="J19" s="9">
        <f t="shared" si="7"/>
        <v>1.0700135903252847E-2</v>
      </c>
      <c r="K19" s="9">
        <f t="shared" si="8"/>
        <v>0</v>
      </c>
      <c r="L19" s="9">
        <f t="shared" si="9"/>
        <v>1.0991666658326016E-2</v>
      </c>
      <c r="M19">
        <f t="shared" si="0"/>
        <v>160.69073067118293</v>
      </c>
      <c r="N19">
        <f t="shared" si="10"/>
        <v>0</v>
      </c>
      <c r="O19">
        <f t="shared" si="24"/>
        <v>160.69073067118293</v>
      </c>
      <c r="P19">
        <f t="shared" si="22"/>
        <v>96.358564840639517</v>
      </c>
      <c r="Q19" s="9">
        <f t="shared" si="1"/>
        <v>0.59965229131862885</v>
      </c>
      <c r="R19">
        <f>VLOOKUP($B$1,dictionary!$A$3:$K$51,3,FALSE)*Q19</f>
        <v>5.996522913186289E-2</v>
      </c>
      <c r="S19">
        <f>VLOOKUP($B$1,dictionary!$A$3:$K$51,4,FALSE)*Q19</f>
        <v>5.996522913186289E-2</v>
      </c>
      <c r="T19">
        <f>VLOOKUP($B$1,dictionary!$A$3:$K$51,5,FALSE)*Q19</f>
        <v>0.32980876022524591</v>
      </c>
      <c r="U19">
        <f>VLOOKUP($B$1,dictionary!$A$3:$K$51,6,FALSE)*Q19</f>
        <v>0</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64.332165830543417</v>
      </c>
      <c r="AB19">
        <f t="shared" si="11"/>
        <v>64.332165830543417</v>
      </c>
      <c r="AC19">
        <f t="shared" si="12"/>
        <v>0</v>
      </c>
      <c r="AD19">
        <f t="shared" si="3"/>
        <v>9.635856484063952</v>
      </c>
      <c r="AE19">
        <f t="shared" si="13"/>
        <v>4.2826028818062012</v>
      </c>
      <c r="AF19">
        <f t="shared" si="14"/>
        <v>58.885789624835269</v>
      </c>
      <c r="AG19">
        <f t="shared" si="15"/>
        <v>0</v>
      </c>
      <c r="AH19">
        <f t="shared" si="16"/>
        <v>0</v>
      </c>
      <c r="AI19">
        <f t="shared" si="17"/>
        <v>5.0715034126652379</v>
      </c>
      <c r="AJ19">
        <f t="shared" si="18"/>
        <v>0</v>
      </c>
      <c r="AK19">
        <f t="shared" si="19"/>
        <v>19.271712968127904</v>
      </c>
      <c r="AL19">
        <f t="shared" si="20"/>
        <v>0</v>
      </c>
    </row>
    <row r="20" spans="1:38" x14ac:dyDescent="0.2">
      <c r="A20">
        <v>2037</v>
      </c>
      <c r="B20">
        <v>12</v>
      </c>
      <c r="C20">
        <f t="shared" si="21"/>
        <v>167.68285789047681</v>
      </c>
      <c r="D20">
        <f t="shared" si="23"/>
        <v>15.047483205337969</v>
      </c>
      <c r="E20">
        <f t="shared" si="4"/>
        <v>0</v>
      </c>
      <c r="F20">
        <f t="shared" si="5"/>
        <v>5.0269678876779267</v>
      </c>
      <c r="G20" s="9">
        <f t="shared" si="6"/>
        <v>8.9737754918074772E-2</v>
      </c>
      <c r="H20" s="9">
        <f t="shared" si="6"/>
        <v>0</v>
      </c>
      <c r="I20" s="9">
        <f t="shared" si="6"/>
        <v>2.997902081893979E-2</v>
      </c>
      <c r="J20" s="9">
        <f t="shared" si="7"/>
        <v>1.166590813934972E-2</v>
      </c>
      <c r="K20" s="9">
        <f t="shared" si="8"/>
        <v>0</v>
      </c>
      <c r="L20" s="9">
        <f t="shared" si="9"/>
        <v>1.1991608327575917E-2</v>
      </c>
      <c r="M20">
        <f t="shared" si="0"/>
        <v>163.73935557695054</v>
      </c>
      <c r="N20">
        <f t="shared" si="10"/>
        <v>0</v>
      </c>
      <c r="O20">
        <f t="shared" si="24"/>
        <v>163.73935557695054</v>
      </c>
      <c r="P20">
        <f>IF($I$3=0,0,M20/(1+EXP(-$I$3*(B20-$J$3)))-M20/(1+EXP($I$3*$J$3)))</f>
        <v>114.6114185014774</v>
      </c>
      <c r="Q20" s="9">
        <f t="shared" si="1"/>
        <v>0.69996255999441082</v>
      </c>
      <c r="R20">
        <f>VLOOKUP($B$1,dictionary!$A$3:$K$51,3,FALSE)*Q20</f>
        <v>6.9996255999441079E-2</v>
      </c>
      <c r="S20">
        <f>VLOOKUP($B$1,dictionary!$A$3:$K$51,4,FALSE)*Q20</f>
        <v>6.9996255999441079E-2</v>
      </c>
      <c r="T20">
        <f>VLOOKUP($B$1,dictionary!$A$3:$K$51,5,FALSE)*Q20</f>
        <v>0.38497940799692598</v>
      </c>
      <c r="U20">
        <f>VLOOKUP($B$1,dictionary!$A$3:$K$51,6,FALSE)*Q20</f>
        <v>0</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49.127937075473142</v>
      </c>
      <c r="AB20">
        <f t="shared" si="11"/>
        <v>49.127937075473142</v>
      </c>
      <c r="AC20">
        <f t="shared" si="12"/>
        <v>0</v>
      </c>
      <c r="AD20">
        <f t="shared" si="3"/>
        <v>11.46114185014774</v>
      </c>
      <c r="AE20">
        <f t="shared" si="13"/>
        <v>5.093840822287885</v>
      </c>
      <c r="AF20">
        <f t="shared" si="14"/>
        <v>70.04031130645842</v>
      </c>
      <c r="AG20">
        <f t="shared" si="15"/>
        <v>0</v>
      </c>
      <c r="AH20">
        <f t="shared" si="16"/>
        <v>0</v>
      </c>
      <c r="AI20">
        <f t="shared" si="17"/>
        <v>6.032179921130389</v>
      </c>
      <c r="AJ20">
        <f t="shared" si="18"/>
        <v>0</v>
      </c>
      <c r="AK20">
        <f t="shared" si="19"/>
        <v>22.92228370029548</v>
      </c>
      <c r="AL20">
        <f t="shared" si="20"/>
        <v>0</v>
      </c>
    </row>
    <row r="21" spans="1:38" x14ac:dyDescent="0.2">
      <c r="A21">
        <v>2038</v>
      </c>
      <c r="B21">
        <v>13</v>
      </c>
      <c r="C21">
        <f t="shared" si="21"/>
        <v>171.2041979061768</v>
      </c>
      <c r="D21">
        <f t="shared" si="23"/>
        <v>16.631374076669417</v>
      </c>
      <c r="E21">
        <f t="shared" si="4"/>
        <v>0</v>
      </c>
      <c r="F21">
        <f t="shared" si="5"/>
        <v>5.5604769472813587</v>
      </c>
      <c r="G21" s="9">
        <f t="shared" si="6"/>
        <v>9.7143494610942488E-2</v>
      </c>
      <c r="H21" s="9">
        <f t="shared" si="6"/>
        <v>0</v>
      </c>
      <c r="I21" s="9">
        <f t="shared" si="6"/>
        <v>3.2478625029560358E-2</v>
      </c>
      <c r="J21" s="9">
        <f t="shared" si="7"/>
        <v>1.2628654299422525E-2</v>
      </c>
      <c r="K21" s="9">
        <f t="shared" si="8"/>
        <v>0</v>
      </c>
      <c r="L21" s="9">
        <f t="shared" si="9"/>
        <v>1.2991450011824144E-2</v>
      </c>
      <c r="M21">
        <f t="shared" si="0"/>
        <v>166.84601703374008</v>
      </c>
      <c r="N21">
        <f t="shared" si="10"/>
        <v>0</v>
      </c>
      <c r="O21">
        <f t="shared" si="24"/>
        <v>166.84601703374008</v>
      </c>
      <c r="P21">
        <f t="shared" si="22"/>
        <v>130.66423785620412</v>
      </c>
      <c r="Q21" s="9">
        <f t="shared" si="1"/>
        <v>0.78314268556845934</v>
      </c>
      <c r="R21">
        <f>VLOOKUP($B$1,dictionary!$A$3:$K$51,3,FALSE)*Q21</f>
        <v>7.8314268556845937E-2</v>
      </c>
      <c r="S21">
        <f>VLOOKUP($B$1,dictionary!$A$3:$K$51,4,FALSE)*Q21</f>
        <v>7.8314268556845937E-2</v>
      </c>
      <c r="T21">
        <f>VLOOKUP($B$1,dictionary!$A$3:$K$51,5,FALSE)*Q21</f>
        <v>0.43072847706265266</v>
      </c>
      <c r="U21">
        <f>VLOOKUP($B$1,dictionary!$A$3:$K$51,6,FALSE)*Q21</f>
        <v>0</v>
      </c>
      <c r="V21">
        <f>VLOOKUP($B$1,dictionary!$A$3:$K$51,7,FALSE)*Q21</f>
        <v>0</v>
      </c>
      <c r="W21">
        <f>VLOOKUP($B$1,dictionary!$A$3:$K$51,8,FALSE)*Q21</f>
        <v>3.9157134278422968E-2</v>
      </c>
      <c r="X21">
        <f>VLOOKUP($B$1,dictionary!$A$3:$K$51,9,FALSE)*Q21</f>
        <v>0</v>
      </c>
      <c r="Y21">
        <f>VLOOKUP($B$1,dictionary!$A$3:$K$51,10,FALSE)*Q21</f>
        <v>0.15662853711369187</v>
      </c>
      <c r="Z21">
        <f>VLOOKUP($B$1,dictionary!$A$3:$K$51,11,FALSE)*Q21</f>
        <v>0</v>
      </c>
      <c r="AA21">
        <f t="shared" si="2"/>
        <v>36.181779177535958</v>
      </c>
      <c r="AB21">
        <f t="shared" si="11"/>
        <v>36.181779177535958</v>
      </c>
      <c r="AC21">
        <f t="shared" si="12"/>
        <v>0</v>
      </c>
      <c r="AD21">
        <f t="shared" si="3"/>
        <v>13.066423785620412</v>
      </c>
      <c r="AE21">
        <f t="shared" si="13"/>
        <v>5.8072994602757388</v>
      </c>
      <c r="AF21">
        <f t="shared" si="14"/>
        <v>79.85036757879142</v>
      </c>
      <c r="AG21">
        <f t="shared" si="15"/>
        <v>0</v>
      </c>
      <c r="AH21">
        <f t="shared" si="16"/>
        <v>0</v>
      </c>
      <c r="AI21">
        <f t="shared" si="17"/>
        <v>6.8770651503265325</v>
      </c>
      <c r="AJ21">
        <f t="shared" si="18"/>
        <v>0</v>
      </c>
      <c r="AK21">
        <f t="shared" si="19"/>
        <v>26.132847571240823</v>
      </c>
      <c r="AL21">
        <f t="shared" si="20"/>
        <v>0</v>
      </c>
    </row>
    <row r="22" spans="1:38" x14ac:dyDescent="0.2">
      <c r="A22">
        <v>2039</v>
      </c>
      <c r="B22">
        <v>14</v>
      </c>
      <c r="C22">
        <f t="shared" si="21"/>
        <v>174.79948606220651</v>
      </c>
      <c r="D22">
        <f t="shared" si="23"/>
        <v>18.270523035857181</v>
      </c>
      <c r="E22">
        <f t="shared" si="4"/>
        <v>0</v>
      </c>
      <c r="F22">
        <f t="shared" si="5"/>
        <v>6.1141109654953851</v>
      </c>
      <c r="G22" s="9">
        <f t="shared" si="6"/>
        <v>0.10452275030920391</v>
      </c>
      <c r="H22" s="9">
        <f t="shared" si="6"/>
        <v>0</v>
      </c>
      <c r="I22" s="9">
        <f t="shared" si="6"/>
        <v>3.4977854358905464E-2</v>
      </c>
      <c r="J22" s="9">
        <f t="shared" si="7"/>
        <v>1.3587957540196509E-2</v>
      </c>
      <c r="K22" s="9">
        <f t="shared" si="8"/>
        <v>0</v>
      </c>
      <c r="L22" s="9">
        <f t="shared" si="9"/>
        <v>1.3991141743562186E-2</v>
      </c>
      <c r="M22">
        <f t="shared" si="0"/>
        <v>170.01190499342499</v>
      </c>
      <c r="N22">
        <f t="shared" si="10"/>
        <v>0</v>
      </c>
      <c r="O22">
        <f t="shared" si="24"/>
        <v>170.01190499342499</v>
      </c>
      <c r="P22">
        <f t="shared" si="22"/>
        <v>144.02762417766647</v>
      </c>
      <c r="Q22" s="9">
        <f t="shared" si="1"/>
        <v>0.84716199246891899</v>
      </c>
      <c r="R22">
        <f>VLOOKUP($B$1,dictionary!$A$3:$K$51,3,FALSE)*Q22</f>
        <v>8.4716199246891902E-2</v>
      </c>
      <c r="S22">
        <f>VLOOKUP($B$1,dictionary!$A$3:$K$51,4,FALSE)*Q22</f>
        <v>8.4716199246891902E-2</v>
      </c>
      <c r="T22">
        <f>VLOOKUP($B$1,dictionary!$A$3:$K$51,5,FALSE)*Q22</f>
        <v>0.46593909585790549</v>
      </c>
      <c r="U22">
        <f>VLOOKUP($B$1,dictionary!$A$3:$K$51,6,FALSE)*Q22</f>
        <v>0</v>
      </c>
      <c r="V22">
        <f>VLOOKUP($B$1,dictionary!$A$3:$K$51,7,FALSE)*Q22</f>
        <v>0</v>
      </c>
      <c r="W22">
        <f>VLOOKUP($B$1,dictionary!$A$3:$K$51,8,FALSE)*Q22</f>
        <v>4.2358099623445951E-2</v>
      </c>
      <c r="X22">
        <f>VLOOKUP($B$1,dictionary!$A$3:$K$51,9,FALSE)*Q22</f>
        <v>0</v>
      </c>
      <c r="Y22">
        <f>VLOOKUP($B$1,dictionary!$A$3:$K$51,10,FALSE)*Q22</f>
        <v>0.1694323984937838</v>
      </c>
      <c r="Z22">
        <f>VLOOKUP($B$1,dictionary!$A$3:$K$51,11,FALSE)*Q22</f>
        <v>0</v>
      </c>
      <c r="AA22">
        <f t="shared" si="2"/>
        <v>25.984280815758524</v>
      </c>
      <c r="AB22">
        <f t="shared" si="11"/>
        <v>25.984280815758524</v>
      </c>
      <c r="AC22">
        <f t="shared" si="12"/>
        <v>0</v>
      </c>
      <c r="AD22">
        <f t="shared" si="3"/>
        <v>14.402762417766647</v>
      </c>
      <c r="AE22">
        <f t="shared" si="13"/>
        <v>6.4012277412296212</v>
      </c>
      <c r="AF22">
        <f t="shared" si="14"/>
        <v>88.016881441907302</v>
      </c>
      <c r="AG22">
        <f t="shared" si="15"/>
        <v>0</v>
      </c>
      <c r="AH22">
        <f t="shared" si="16"/>
        <v>0</v>
      </c>
      <c r="AI22">
        <f t="shared" si="17"/>
        <v>7.5804012725087615</v>
      </c>
      <c r="AJ22">
        <f t="shared" si="18"/>
        <v>0</v>
      </c>
      <c r="AK22">
        <f t="shared" si="19"/>
        <v>28.805524835533294</v>
      </c>
      <c r="AL22">
        <f t="shared" si="20"/>
        <v>0</v>
      </c>
    </row>
    <row r="23" spans="1:38" x14ac:dyDescent="0.2">
      <c r="A23">
        <v>2040</v>
      </c>
      <c r="B23">
        <v>15</v>
      </c>
      <c r="C23">
        <f t="shared" si="21"/>
        <v>178.47027526951283</v>
      </c>
      <c r="D23">
        <f t="shared" si="23"/>
        <v>19.965891268926399</v>
      </c>
      <c r="E23">
        <f t="shared" si="4"/>
        <v>0</v>
      </c>
      <c r="F23">
        <f t="shared" si="5"/>
        <v>6.6884562560644412</v>
      </c>
      <c r="G23" s="9">
        <f t="shared" si="6"/>
        <v>0.11187236215540858</v>
      </c>
      <c r="H23" s="9">
        <f t="shared" si="6"/>
        <v>0</v>
      </c>
      <c r="I23" s="9">
        <f t="shared" si="6"/>
        <v>3.7476583963150283E-2</v>
      </c>
      <c r="J23" s="9">
        <f t="shared" si="7"/>
        <v>1.4543407080203116E-2</v>
      </c>
      <c r="K23" s="9">
        <f t="shared" si="8"/>
        <v>0</v>
      </c>
      <c r="L23" s="9">
        <f t="shared" si="9"/>
        <v>1.4990633585260114E-2</v>
      </c>
      <c r="M23">
        <f t="shared" si="0"/>
        <v>173.23823607895466</v>
      </c>
      <c r="N23">
        <f t="shared" si="10"/>
        <v>0</v>
      </c>
      <c r="O23">
        <f t="shared" si="24"/>
        <v>173.23823607895466</v>
      </c>
      <c r="P23">
        <f t="shared" si="22"/>
        <v>154.81670440753612</v>
      </c>
      <c r="Q23" s="9">
        <f t="shared" si="1"/>
        <v>0.89366359247029747</v>
      </c>
      <c r="R23">
        <f>VLOOKUP($B$1,dictionary!$A$3:$K$51,3,FALSE)*Q23</f>
        <v>8.936635924702975E-2</v>
      </c>
      <c r="S23">
        <f>VLOOKUP($B$1,dictionary!$A$3:$K$51,4,FALSE)*Q23</f>
        <v>8.936635924702975E-2</v>
      </c>
      <c r="T23">
        <f>VLOOKUP($B$1,dictionary!$A$3:$K$51,5,FALSE)*Q23</f>
        <v>0.49151497585866366</v>
      </c>
      <c r="U23">
        <f>VLOOKUP($B$1,dictionary!$A$3:$K$51,6,FALSE)*Q23</f>
        <v>0</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18.421531671418535</v>
      </c>
      <c r="AB23">
        <f t="shared" si="11"/>
        <v>18.421531671418535</v>
      </c>
      <c r="AC23">
        <f t="shared" si="12"/>
        <v>0</v>
      </c>
      <c r="AD23">
        <f t="shared" si="3"/>
        <v>15.481670440753613</v>
      </c>
      <c r="AE23">
        <f t="shared" si="13"/>
        <v>6.8807424181127175</v>
      </c>
      <c r="AF23">
        <f t="shared" si="14"/>
        <v>94.610208249049862</v>
      </c>
      <c r="AG23">
        <f t="shared" si="15"/>
        <v>0</v>
      </c>
      <c r="AH23">
        <f t="shared" si="16"/>
        <v>0</v>
      </c>
      <c r="AI23">
        <f t="shared" si="17"/>
        <v>8.1482476003966369</v>
      </c>
      <c r="AJ23">
        <f t="shared" si="18"/>
        <v>0</v>
      </c>
      <c r="AK23">
        <f t="shared" si="19"/>
        <v>30.963340881507225</v>
      </c>
      <c r="AL23">
        <f t="shared" si="20"/>
        <v>0</v>
      </c>
    </row>
    <row r="24" spans="1:38" x14ac:dyDescent="0.2">
      <c r="A24">
        <v>2041</v>
      </c>
      <c r="B24">
        <v>16</v>
      </c>
      <c r="C24">
        <f t="shared" si="21"/>
        <v>182.21815105017257</v>
      </c>
      <c r="D24">
        <f t="shared" si="23"/>
        <v>21.718439691765653</v>
      </c>
      <c r="E24">
        <f t="shared" si="4"/>
        <v>0</v>
      </c>
      <c r="F24">
        <f t="shared" si="5"/>
        <v>7.2841139363068237</v>
      </c>
      <c r="G24" s="9">
        <f t="shared" si="6"/>
        <v>0.11918922218558581</v>
      </c>
      <c r="H24" s="9">
        <f t="shared" si="6"/>
        <v>0</v>
      </c>
      <c r="I24" s="9">
        <f t="shared" si="6"/>
        <v>3.9974689098349982E-2</v>
      </c>
      <c r="J24" s="9">
        <f t="shared" si="7"/>
        <v>1.5494598884126156E-2</v>
      </c>
      <c r="K24" s="9">
        <f t="shared" si="8"/>
        <v>0</v>
      </c>
      <c r="L24" s="9">
        <f t="shared" si="9"/>
        <v>1.5989875639339995E-2</v>
      </c>
      <c r="M24">
        <f t="shared" si="0"/>
        <v>176.52625408518804</v>
      </c>
      <c r="N24">
        <f t="shared" si="10"/>
        <v>0</v>
      </c>
      <c r="O24">
        <f t="shared" si="24"/>
        <v>176.52625408518804</v>
      </c>
      <c r="P24">
        <f t="shared" si="22"/>
        <v>163.4703196068462</v>
      </c>
      <c r="Q24" s="9">
        <f t="shared" si="1"/>
        <v>0.92603970131241042</v>
      </c>
      <c r="R24">
        <f>VLOOKUP($B$1,dictionary!$A$3:$K$51,3,FALSE)*Q24</f>
        <v>9.2603970131241053E-2</v>
      </c>
      <c r="S24">
        <f>VLOOKUP($B$1,dictionary!$A$3:$K$51,4,FALSE)*Q24</f>
        <v>9.2603970131241053E-2</v>
      </c>
      <c r="T24">
        <f>VLOOKUP($B$1,dictionary!$A$3:$K$51,5,FALSE)*Q24</f>
        <v>0.50932183572182577</v>
      </c>
      <c r="U24">
        <f>VLOOKUP($B$1,dictionary!$A$3:$K$51,6,FALSE)*Q24</f>
        <v>0</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13.05593447834184</v>
      </c>
      <c r="AB24">
        <f t="shared" si="11"/>
        <v>13.05593447834184</v>
      </c>
      <c r="AC24">
        <f t="shared" si="12"/>
        <v>0</v>
      </c>
      <c r="AD24">
        <f t="shared" si="3"/>
        <v>16.347031960684621</v>
      </c>
      <c r="AE24">
        <f t="shared" si="13"/>
        <v>7.2653475380820547</v>
      </c>
      <c r="AF24">
        <f t="shared" si="14"/>
        <v>99.898528648628243</v>
      </c>
      <c r="AG24">
        <f t="shared" si="15"/>
        <v>0</v>
      </c>
      <c r="AH24">
        <f t="shared" si="16"/>
        <v>0</v>
      </c>
      <c r="AI24">
        <f t="shared" si="17"/>
        <v>8.6037010319392735</v>
      </c>
      <c r="AJ24">
        <f t="shared" si="18"/>
        <v>0</v>
      </c>
      <c r="AK24">
        <f t="shared" si="19"/>
        <v>32.694063921369242</v>
      </c>
      <c r="AL24">
        <f t="shared" si="20"/>
        <v>0</v>
      </c>
    </row>
    <row r="25" spans="1:38" x14ac:dyDescent="0.2">
      <c r="A25">
        <v>2042</v>
      </c>
      <c r="B25">
        <v>17</v>
      </c>
      <c r="C25">
        <f t="shared" si="21"/>
        <v>186.04473222222617</v>
      </c>
      <c r="D25">
        <f t="shared" si="23"/>
        <v>23.529129265492358</v>
      </c>
      <c r="E25">
        <f t="shared" si="4"/>
        <v>0</v>
      </c>
      <c r="F25">
        <f t="shared" si="5"/>
        <v>7.9017002659931705</v>
      </c>
      <c r="G25" s="9">
        <f t="shared" si="6"/>
        <v>0.12647027940241465</v>
      </c>
      <c r="H25" s="9">
        <f t="shared" si="6"/>
        <v>0</v>
      </c>
      <c r="I25" s="9">
        <f t="shared" si="6"/>
        <v>4.2472045145329727E-2</v>
      </c>
      <c r="J25" s="9">
        <f t="shared" si="7"/>
        <v>1.6441136322313903E-2</v>
      </c>
      <c r="K25" s="9">
        <f t="shared" si="8"/>
        <v>0</v>
      </c>
      <c r="L25" s="9">
        <f t="shared" si="9"/>
        <v>1.6988818058131891E-2</v>
      </c>
      <c r="M25">
        <f t="shared" si="0"/>
        <v>179.8772304838154</v>
      </c>
      <c r="N25">
        <f t="shared" si="10"/>
        <v>0</v>
      </c>
      <c r="O25">
        <f t="shared" si="24"/>
        <v>179.8772304838154</v>
      </c>
      <c r="P25">
        <f>IF($I$3=0,0,M25/(1+EXP(-$I$3*(B25-$J$3)))-M25/(1+EXP($I$3*$J$3)))</f>
        <v>170.50954435220012</v>
      </c>
      <c r="Q25" s="9">
        <f t="shared" si="1"/>
        <v>0.94792177916894194</v>
      </c>
      <c r="R25">
        <f>VLOOKUP($B$1,dictionary!$A$3:$K$51,3,FALSE)*Q25</f>
        <v>9.4792177916894205E-2</v>
      </c>
      <c r="S25">
        <f>VLOOKUP($B$1,dictionary!$A$3:$K$51,4,FALSE)*Q25</f>
        <v>9.4792177916894205E-2</v>
      </c>
      <c r="T25">
        <f>VLOOKUP($B$1,dictionary!$A$3:$K$51,5,FALSE)*Q25</f>
        <v>0.52135697854291807</v>
      </c>
      <c r="U25">
        <f>VLOOKUP($B$1,dictionary!$A$3:$K$51,6,FALSE)*Q25</f>
        <v>0</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9.3676861316152724</v>
      </c>
      <c r="AB25">
        <f t="shared" si="11"/>
        <v>9.3676861316152724</v>
      </c>
      <c r="AC25">
        <f t="shared" si="12"/>
        <v>0</v>
      </c>
      <c r="AD25">
        <f t="shared" si="3"/>
        <v>17.050954435220014</v>
      </c>
      <c r="AE25">
        <f t="shared" si="13"/>
        <v>7.5782019712088955</v>
      </c>
      <c r="AF25">
        <f t="shared" si="14"/>
        <v>104.20027710412229</v>
      </c>
      <c r="AG25">
        <f t="shared" si="15"/>
        <v>0</v>
      </c>
      <c r="AH25">
        <f t="shared" si="16"/>
        <v>0</v>
      </c>
      <c r="AI25">
        <f t="shared" si="17"/>
        <v>8.974186544852639</v>
      </c>
      <c r="AJ25">
        <f t="shared" si="18"/>
        <v>0</v>
      </c>
      <c r="AK25">
        <f t="shared" si="19"/>
        <v>34.101908870440027</v>
      </c>
      <c r="AL25">
        <f t="shared" si="20"/>
        <v>0</v>
      </c>
    </row>
    <row r="26" spans="1:38" x14ac:dyDescent="0.2">
      <c r="A26">
        <v>2043</v>
      </c>
      <c r="B26">
        <v>18</v>
      </c>
      <c r="C26">
        <f t="shared" si="21"/>
        <v>189.95167159889291</v>
      </c>
      <c r="D26">
        <f t="shared" si="23"/>
        <v>25.398921368211674</v>
      </c>
      <c r="E26">
        <f t="shared" si="4"/>
        <v>0</v>
      </c>
      <c r="F26">
        <f t="shared" si="5"/>
        <v>8.5418469935184334</v>
      </c>
      <c r="G26" s="9">
        <f t="shared" si="6"/>
        <v>0.13371254464053742</v>
      </c>
      <c r="H26" s="9">
        <f t="shared" si="6"/>
        <v>0</v>
      </c>
      <c r="I26" s="9">
        <f t="shared" si="6"/>
        <v>4.4968527634521839E-2</v>
      </c>
      <c r="J26" s="9">
        <f t="shared" si="7"/>
        <v>1.7382630803269863E-2</v>
      </c>
      <c r="K26" s="9">
        <f t="shared" si="8"/>
        <v>0</v>
      </c>
      <c r="L26" s="9">
        <f t="shared" si="9"/>
        <v>1.7987411053808737E-2</v>
      </c>
      <c r="M26">
        <f t="shared" si="0"/>
        <v>183.29246493268457</v>
      </c>
      <c r="N26">
        <f t="shared" si="10"/>
        <v>0</v>
      </c>
      <c r="O26">
        <f t="shared" si="24"/>
        <v>183.29246493268457</v>
      </c>
      <c r="P26">
        <f t="shared" si="22"/>
        <v>176.40361262334662</v>
      </c>
      <c r="Q26" s="9">
        <f t="shared" si="1"/>
        <v>0.96241606379254097</v>
      </c>
      <c r="R26">
        <f>VLOOKUP($B$1,dictionary!$A$3:$K$51,3,FALSE)*Q26</f>
        <v>9.6241606379254108E-2</v>
      </c>
      <c r="S26">
        <f>VLOOKUP($B$1,dictionary!$A$3:$K$51,4,FALSE)*Q26</f>
        <v>9.6241606379254108E-2</v>
      </c>
      <c r="T26">
        <f>VLOOKUP($B$1,dictionary!$A$3:$K$51,5,FALSE)*Q26</f>
        <v>0.52932883508589756</v>
      </c>
      <c r="U26">
        <f>VLOOKUP($B$1,dictionary!$A$3:$K$51,6,FALSE)*Q26</f>
        <v>0</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6.888852309337949</v>
      </c>
      <c r="AB26">
        <f t="shared" si="11"/>
        <v>6.888852309337949</v>
      </c>
      <c r="AC26">
        <f t="shared" si="12"/>
        <v>0</v>
      </c>
      <c r="AD26">
        <f t="shared" si="3"/>
        <v>17.640361262334665</v>
      </c>
      <c r="AE26">
        <f t="shared" si="13"/>
        <v>7.8401605610376297</v>
      </c>
      <c r="AF26">
        <f t="shared" si="14"/>
        <v>107.8022077142674</v>
      </c>
      <c r="AG26">
        <f t="shared" si="15"/>
        <v>0</v>
      </c>
      <c r="AH26">
        <f t="shared" si="16"/>
        <v>0</v>
      </c>
      <c r="AI26">
        <f t="shared" si="17"/>
        <v>9.2844006643866646</v>
      </c>
      <c r="AJ26">
        <f t="shared" si="18"/>
        <v>0</v>
      </c>
      <c r="AK26">
        <f t="shared" si="19"/>
        <v>35.280722524669329</v>
      </c>
      <c r="AL26">
        <f t="shared" si="20"/>
        <v>0</v>
      </c>
    </row>
    <row r="27" spans="1:38" x14ac:dyDescent="0.2">
      <c r="A27">
        <v>2044</v>
      </c>
      <c r="B27">
        <v>19</v>
      </c>
      <c r="C27">
        <f t="shared" si="21"/>
        <v>193.94065670246965</v>
      </c>
      <c r="D27">
        <f t="shared" si="23"/>
        <v>27.328778222709431</v>
      </c>
      <c r="E27">
        <f t="shared" si="4"/>
        <v>0</v>
      </c>
      <c r="F27">
        <f t="shared" si="5"/>
        <v>9.2052017095214183</v>
      </c>
      <c r="G27" s="9">
        <f t="shared" si="6"/>
        <v>0.14091309520847584</v>
      </c>
      <c r="H27" s="9">
        <f t="shared" si="6"/>
        <v>0</v>
      </c>
      <c r="I27" s="9">
        <f t="shared" si="6"/>
        <v>4.7464012270740125E-2</v>
      </c>
      <c r="J27" s="9">
        <f t="shared" si="7"/>
        <v>1.8318702377101859E-2</v>
      </c>
      <c r="K27" s="9">
        <f t="shared" si="8"/>
        <v>0</v>
      </c>
      <c r="L27" s="9">
        <f t="shared" si="9"/>
        <v>1.8985604908296053E-2</v>
      </c>
      <c r="M27">
        <f t="shared" si="0"/>
        <v>186.77328578988403</v>
      </c>
      <c r="N27">
        <f t="shared" si="10"/>
        <v>0</v>
      </c>
      <c r="O27">
        <f t="shared" si="24"/>
        <v>186.77328578988403</v>
      </c>
      <c r="P27">
        <f t="shared" si="22"/>
        <v>181.5229064456293</v>
      </c>
      <c r="Q27" s="9">
        <f t="shared" si="1"/>
        <v>0.97188902405367927</v>
      </c>
      <c r="R27">
        <f>VLOOKUP($B$1,dictionary!$A$3:$K$51,3,FALSE)*Q27</f>
        <v>9.7188902405367927E-2</v>
      </c>
      <c r="S27">
        <f>VLOOKUP($B$1,dictionary!$A$3:$K$51,4,FALSE)*Q27</f>
        <v>9.7188902405367927E-2</v>
      </c>
      <c r="T27">
        <f>VLOOKUP($B$1,dictionary!$A$3:$K$51,5,FALSE)*Q27</f>
        <v>0.53453896322952366</v>
      </c>
      <c r="U27">
        <f>VLOOKUP($B$1,dictionary!$A$3:$K$51,6,FALSE)*Q27</f>
        <v>0</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5.2503793442547249</v>
      </c>
      <c r="AB27">
        <f t="shared" si="11"/>
        <v>5.2503793442547249</v>
      </c>
      <c r="AC27">
        <f t="shared" si="12"/>
        <v>0</v>
      </c>
      <c r="AD27">
        <f t="shared" si="3"/>
        <v>18.152290644562932</v>
      </c>
      <c r="AE27">
        <f t="shared" si="13"/>
        <v>8.0676847309168593</v>
      </c>
      <c r="AF27">
        <f t="shared" si="14"/>
        <v>110.93066505010681</v>
      </c>
      <c r="AG27">
        <f t="shared" si="15"/>
        <v>0</v>
      </c>
      <c r="AH27">
        <f t="shared" si="16"/>
        <v>0</v>
      </c>
      <c r="AI27">
        <f t="shared" si="17"/>
        <v>9.5538371813489107</v>
      </c>
      <c r="AJ27">
        <f t="shared" si="18"/>
        <v>0</v>
      </c>
      <c r="AK27">
        <f t="shared" si="19"/>
        <v>36.304581289125863</v>
      </c>
      <c r="AL27">
        <f t="shared" si="20"/>
        <v>0</v>
      </c>
    </row>
    <row r="28" spans="1:38" x14ac:dyDescent="0.2">
      <c r="A28">
        <v>2045</v>
      </c>
      <c r="B28">
        <v>20</v>
      </c>
      <c r="C28">
        <f t="shared" si="21"/>
        <v>198.0134104932215</v>
      </c>
      <c r="D28">
        <f t="shared" si="23"/>
        <v>29.319663379392551</v>
      </c>
      <c r="E28">
        <f t="shared" si="4"/>
        <v>0</v>
      </c>
      <c r="F28">
        <f t="shared" si="5"/>
        <v>9.8924282081089814</v>
      </c>
      <c r="G28" s="9">
        <f t="shared" si="6"/>
        <v>0.14806907929297161</v>
      </c>
      <c r="H28" s="9">
        <f t="shared" si="6"/>
        <v>0</v>
      </c>
      <c r="I28" s="9">
        <f t="shared" si="6"/>
        <v>4.995837495788006E-2</v>
      </c>
      <c r="J28" s="9">
        <f t="shared" si="7"/>
        <v>1.9248980308086309E-2</v>
      </c>
      <c r="K28" s="9">
        <f t="shared" si="8"/>
        <v>0</v>
      </c>
      <c r="L28" s="9">
        <f t="shared" si="9"/>
        <v>1.9983349983152026E-2</v>
      </c>
      <c r="M28">
        <f t="shared" si="0"/>
        <v>190.32105063296771</v>
      </c>
      <c r="N28">
        <f t="shared" si="10"/>
        <v>0</v>
      </c>
      <c r="O28">
        <f t="shared" si="24"/>
        <v>190.32105063296771</v>
      </c>
      <c r="P28">
        <f t="shared" si="22"/>
        <v>186.13895770357044</v>
      </c>
      <c r="Q28" s="9">
        <f t="shared" si="1"/>
        <v>0.97802611473881362</v>
      </c>
      <c r="R28">
        <f>VLOOKUP($B$1,dictionary!$A$3:$K$51,3,FALSE)*Q28</f>
        <v>9.7802611473881362E-2</v>
      </c>
      <c r="S28">
        <f>VLOOKUP($B$1,dictionary!$A$3:$K$51,4,FALSE)*Q28</f>
        <v>9.7802611473881362E-2</v>
      </c>
      <c r="T28">
        <f>VLOOKUP($B$1,dictionary!$A$3:$K$51,5,FALSE)*Q28</f>
        <v>0.53791436310634755</v>
      </c>
      <c r="U28">
        <f>VLOOKUP($B$1,dictionary!$A$3:$K$51,6,FALSE)*Q28</f>
        <v>0</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4.1820929293972711</v>
      </c>
      <c r="AB28">
        <f t="shared" si="11"/>
        <v>4.1820929293972711</v>
      </c>
      <c r="AC28">
        <f t="shared" si="12"/>
        <v>0</v>
      </c>
      <c r="AD28">
        <f t="shared" si="3"/>
        <v>18.613895770357043</v>
      </c>
      <c r="AE28">
        <f t="shared" si="13"/>
        <v>8.2728425646031312</v>
      </c>
      <c r="AF28">
        <f t="shared" si="14"/>
        <v>113.75158526329307</v>
      </c>
      <c r="AG28">
        <f t="shared" si="15"/>
        <v>0</v>
      </c>
      <c r="AH28">
        <f t="shared" si="16"/>
        <v>0</v>
      </c>
      <c r="AI28">
        <f t="shared" si="17"/>
        <v>9.7967872475563382</v>
      </c>
      <c r="AJ28">
        <f t="shared" si="18"/>
        <v>0</v>
      </c>
      <c r="AK28">
        <f t="shared" si="19"/>
        <v>37.227791540714087</v>
      </c>
      <c r="AL28">
        <f t="shared" si="20"/>
        <v>0</v>
      </c>
    </row>
    <row r="29" spans="1:38" x14ac:dyDescent="0.2">
      <c r="A29">
        <v>2046</v>
      </c>
      <c r="B29">
        <v>21</v>
      </c>
      <c r="C29">
        <f t="shared" si="21"/>
        <v>202.17169211357913</v>
      </c>
      <c r="D29">
        <f t="shared" si="23"/>
        <v>31.372542253572277</v>
      </c>
      <c r="E29">
        <f t="shared" si="4"/>
        <v>0</v>
      </c>
      <c r="F29">
        <f t="shared" si="5"/>
        <v>10.604206855845376</v>
      </c>
      <c r="G29" s="9">
        <f t="shared" si="6"/>
        <v>0.15517772011299844</v>
      </c>
      <c r="H29" s="9">
        <f t="shared" si="6"/>
        <v>0</v>
      </c>
      <c r="I29" s="9">
        <f t="shared" si="6"/>
        <v>5.2451491823533737E-2</v>
      </c>
      <c r="J29" s="9">
        <f t="shared" si="7"/>
        <v>2.0173103614689797E-2</v>
      </c>
      <c r="K29" s="9">
        <f t="shared" si="8"/>
        <v>0</v>
      </c>
      <c r="L29" s="9">
        <f t="shared" si="9"/>
        <v>2.0980596729413496E-2</v>
      </c>
      <c r="M29">
        <f t="shared" si="0"/>
        <v>193.9371467837384</v>
      </c>
      <c r="N29">
        <f t="shared" si="10"/>
        <v>0</v>
      </c>
      <c r="O29">
        <f t="shared" si="24"/>
        <v>193.9371467837384</v>
      </c>
      <c r="P29">
        <f t="shared" si="22"/>
        <v>190.44229665359003</v>
      </c>
      <c r="Q29" s="9">
        <f t="shared" si="1"/>
        <v>0.98197947021441168</v>
      </c>
      <c r="R29">
        <f>VLOOKUP($B$1,dictionary!$A$3:$K$51,3,FALSE)*Q29</f>
        <v>9.8197947021441176E-2</v>
      </c>
      <c r="S29">
        <f>VLOOKUP($B$1,dictionary!$A$3:$K$51,4,FALSE)*Q29</f>
        <v>9.8197947021441176E-2</v>
      </c>
      <c r="T29">
        <f>VLOOKUP($B$1,dictionary!$A$3:$K$51,5,FALSE)*Q29</f>
        <v>0.54008870861792646</v>
      </c>
      <c r="U29">
        <f>VLOOKUP($B$1,dictionary!$A$3:$K$51,6,FALSE)*Q29</f>
        <v>0</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3.4948501301483645</v>
      </c>
      <c r="AB29">
        <f t="shared" si="11"/>
        <v>3.4948501301483645</v>
      </c>
      <c r="AC29">
        <f t="shared" si="12"/>
        <v>0</v>
      </c>
      <c r="AD29">
        <f t="shared" si="3"/>
        <v>19.044229665359005</v>
      </c>
      <c r="AE29">
        <f t="shared" si="13"/>
        <v>8.4641020734928922</v>
      </c>
      <c r="AF29">
        <f t="shared" si="14"/>
        <v>116.38140351052725</v>
      </c>
      <c r="AG29">
        <f t="shared" si="15"/>
        <v>0</v>
      </c>
      <c r="AH29">
        <f t="shared" si="16"/>
        <v>0</v>
      </c>
      <c r="AI29">
        <f t="shared" si="17"/>
        <v>10.02327877124158</v>
      </c>
      <c r="AJ29">
        <f t="shared" si="18"/>
        <v>0</v>
      </c>
      <c r="AK29">
        <f t="shared" si="19"/>
        <v>38.08845933071801</v>
      </c>
      <c r="AL29">
        <f t="shared" si="20"/>
        <v>0</v>
      </c>
    </row>
    <row r="30" spans="1:38" x14ac:dyDescent="0.2">
      <c r="A30">
        <v>2047</v>
      </c>
      <c r="B30">
        <v>22</v>
      </c>
      <c r="C30">
        <f t="shared" si="21"/>
        <v>206.41729764796426</v>
      </c>
      <c r="D30">
        <f t="shared" si="23"/>
        <v>33.488382715980833</v>
      </c>
      <c r="E30">
        <f t="shared" si="4"/>
        <v>0</v>
      </c>
      <c r="F30">
        <f t="shared" si="5"/>
        <v>11.341234968671273</v>
      </c>
      <c r="G30" s="9">
        <f t="shared" si="6"/>
        <v>0.16223631981217881</v>
      </c>
      <c r="H30" s="9">
        <f t="shared" si="6"/>
        <v>0</v>
      </c>
      <c r="I30" s="9">
        <f t="shared" si="6"/>
        <v>5.4943239243511736E-2</v>
      </c>
      <c r="J30" s="9">
        <f t="shared" si="7"/>
        <v>2.1090721575583248E-2</v>
      </c>
      <c r="K30" s="9">
        <f t="shared" si="8"/>
        <v>0</v>
      </c>
      <c r="L30" s="9">
        <f t="shared" si="9"/>
        <v>2.1977295697404697E-2</v>
      </c>
      <c r="M30">
        <f t="shared" si="0"/>
        <v>197.62299183903727</v>
      </c>
      <c r="N30">
        <f t="shared" si="10"/>
        <v>0</v>
      </c>
      <c r="O30">
        <f t="shared" si="24"/>
        <v>197.62299183903727</v>
      </c>
      <c r="P30">
        <f t="shared" si="22"/>
        <v>194.56315241102482</v>
      </c>
      <c r="Q30" s="9">
        <f t="shared" si="1"/>
        <v>0.98451678420846567</v>
      </c>
      <c r="R30">
        <f>VLOOKUP($B$1,dictionary!$A$3:$K$51,3,FALSE)*Q30</f>
        <v>9.8451678420846567E-2</v>
      </c>
      <c r="S30">
        <f>VLOOKUP($B$1,dictionary!$A$3:$K$51,4,FALSE)*Q30</f>
        <v>9.8451678420846567E-2</v>
      </c>
      <c r="T30">
        <f>VLOOKUP($B$1,dictionary!$A$3:$K$51,5,FALSE)*Q30</f>
        <v>0.54148423131465617</v>
      </c>
      <c r="U30">
        <f>VLOOKUP($B$1,dictionary!$A$3:$K$51,6,FALSE)*Q30</f>
        <v>0</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3.0598394280124523</v>
      </c>
      <c r="AB30">
        <f t="shared" si="11"/>
        <v>3.0598394280124523</v>
      </c>
      <c r="AC30">
        <f t="shared" si="12"/>
        <v>0</v>
      </c>
      <c r="AD30">
        <f t="shared" si="3"/>
        <v>19.456315241102484</v>
      </c>
      <c r="AE30">
        <f t="shared" si="13"/>
        <v>8.6472512182677708</v>
      </c>
      <c r="AF30">
        <f t="shared" si="14"/>
        <v>118.89970425118186</v>
      </c>
      <c r="AG30">
        <f t="shared" si="15"/>
        <v>0</v>
      </c>
      <c r="AH30">
        <f t="shared" si="16"/>
        <v>0</v>
      </c>
      <c r="AI30">
        <f t="shared" si="17"/>
        <v>10.240165916369728</v>
      </c>
      <c r="AJ30">
        <f t="shared" si="18"/>
        <v>0</v>
      </c>
      <c r="AK30">
        <f t="shared" si="19"/>
        <v>38.912630482204968</v>
      </c>
      <c r="AL30">
        <f t="shared" si="20"/>
        <v>0</v>
      </c>
    </row>
    <row r="31" spans="1:38" x14ac:dyDescent="0.2">
      <c r="A31">
        <v>2048</v>
      </c>
      <c r="B31">
        <v>23</v>
      </c>
      <c r="C31">
        <f t="shared" si="21"/>
        <v>210.7520608985715</v>
      </c>
      <c r="D31">
        <f t="shared" si="23"/>
        <v>35.668155735216857</v>
      </c>
      <c r="E31">
        <f t="shared" si="4"/>
        <v>0</v>
      </c>
      <c r="F31">
        <f t="shared" si="5"/>
        <v>12.104227196919496</v>
      </c>
      <c r="G31" s="9">
        <f t="shared" si="6"/>
        <v>0.16924226307985119</v>
      </c>
      <c r="H31" s="9">
        <f t="shared" si="6"/>
        <v>0</v>
      </c>
      <c r="I31" s="9">
        <f t="shared" si="6"/>
        <v>5.7433493866258747E-2</v>
      </c>
      <c r="J31" s="9">
        <f t="shared" si="7"/>
        <v>2.2001494200380656E-2</v>
      </c>
      <c r="K31" s="9">
        <f t="shared" si="8"/>
        <v>0</v>
      </c>
      <c r="L31" s="9">
        <f t="shared" si="9"/>
        <v>2.2973397546503502E-2</v>
      </c>
      <c r="M31">
        <f t="shared" si="0"/>
        <v>201.38003420801476</v>
      </c>
      <c r="N31">
        <f t="shared" si="10"/>
        <v>0</v>
      </c>
      <c r="O31">
        <f t="shared" si="24"/>
        <v>201.38003420801476</v>
      </c>
      <c r="P31">
        <f t="shared" si="22"/>
        <v>198.58919454761673</v>
      </c>
      <c r="Q31" s="9">
        <f t="shared" si="1"/>
        <v>0.98614142821370643</v>
      </c>
      <c r="R31">
        <f>VLOOKUP($B$1,dictionary!$A$3:$K$51,3,FALSE)*Q31</f>
        <v>9.8614142821370654E-2</v>
      </c>
      <c r="S31">
        <f>VLOOKUP($B$1,dictionary!$A$3:$K$51,4,FALSE)*Q31</f>
        <v>9.8614142821370654E-2</v>
      </c>
      <c r="T31">
        <f>VLOOKUP($B$1,dictionary!$A$3:$K$51,5,FALSE)*Q31</f>
        <v>0.54237778551753857</v>
      </c>
      <c r="U31">
        <f>VLOOKUP($B$1,dictionary!$A$3:$K$51,6,FALSE)*Q31</f>
        <v>0</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2.790839660398035</v>
      </c>
      <c r="AB31">
        <f t="shared" si="11"/>
        <v>2.790839660398035</v>
      </c>
      <c r="AC31">
        <f t="shared" si="12"/>
        <v>0</v>
      </c>
      <c r="AD31">
        <f t="shared" si="3"/>
        <v>19.858919454761676</v>
      </c>
      <c r="AE31">
        <f t="shared" si="13"/>
        <v>8.8261864243385233</v>
      </c>
      <c r="AF31">
        <f t="shared" si="14"/>
        <v>121.36006333465468</v>
      </c>
      <c r="AG31">
        <f t="shared" si="15"/>
        <v>0</v>
      </c>
      <c r="AH31">
        <f t="shared" si="16"/>
        <v>0</v>
      </c>
      <c r="AI31">
        <f t="shared" si="17"/>
        <v>10.452062870927197</v>
      </c>
      <c r="AJ31">
        <f t="shared" si="18"/>
        <v>0</v>
      </c>
      <c r="AK31">
        <f t="shared" si="19"/>
        <v>39.717838909523351</v>
      </c>
      <c r="AL31">
        <f t="shared" si="20"/>
        <v>0</v>
      </c>
    </row>
    <row r="32" spans="1:38" x14ac:dyDescent="0.2">
      <c r="A32">
        <v>2049</v>
      </c>
      <c r="B32">
        <v>24</v>
      </c>
      <c r="C32">
        <f t="shared" si="21"/>
        <v>215.17785417744147</v>
      </c>
      <c r="D32">
        <f t="shared" si="23"/>
        <v>37.912836070637809</v>
      </c>
      <c r="E32">
        <f t="shared" si="4"/>
        <v>0</v>
      </c>
      <c r="F32">
        <f t="shared" si="5"/>
        <v>12.893915918598935</v>
      </c>
      <c r="G32" s="9">
        <f t="shared" si="6"/>
        <v>0.1761930204925915</v>
      </c>
      <c r="H32" s="9">
        <f t="shared" si="6"/>
        <v>0</v>
      </c>
      <c r="I32" s="9">
        <f t="shared" si="6"/>
        <v>5.9922132637154492E-2</v>
      </c>
      <c r="J32" s="9">
        <f t="shared" si="7"/>
        <v>2.2905092664036897E-2</v>
      </c>
      <c r="K32" s="9">
        <f t="shared" si="8"/>
        <v>0</v>
      </c>
      <c r="L32" s="9">
        <f t="shared" si="9"/>
        <v>2.3968853054861797E-2</v>
      </c>
      <c r="M32">
        <f t="shared" si="0"/>
        <v>205.20975365638611</v>
      </c>
      <c r="N32">
        <f t="shared" si="10"/>
        <v>0</v>
      </c>
      <c r="O32">
        <f t="shared" si="24"/>
        <v>205.20975365638611</v>
      </c>
      <c r="P32">
        <f t="shared" si="22"/>
        <v>202.57898891686909</v>
      </c>
      <c r="Q32" s="9">
        <f t="shared" si="1"/>
        <v>0.987180118426914</v>
      </c>
      <c r="R32">
        <f>VLOOKUP($B$1,dictionary!$A$3:$K$51,3,FALSE)*Q32</f>
        <v>9.8718011842691411E-2</v>
      </c>
      <c r="S32">
        <f>VLOOKUP($B$1,dictionary!$A$3:$K$51,4,FALSE)*Q32</f>
        <v>9.8718011842691411E-2</v>
      </c>
      <c r="T32">
        <f>VLOOKUP($B$1,dictionary!$A$3:$K$51,5,FALSE)*Q32</f>
        <v>0.54294906513480279</v>
      </c>
      <c r="U32">
        <f>VLOOKUP($B$1,dictionary!$A$3:$K$51,6,FALSE)*Q32</f>
        <v>0</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2.6307647395170193</v>
      </c>
      <c r="AB32">
        <f t="shared" si="11"/>
        <v>2.6307647395170193</v>
      </c>
      <c r="AC32">
        <f t="shared" si="12"/>
        <v>0</v>
      </c>
      <c r="AD32">
        <f t="shared" si="3"/>
        <v>20.25789889168691</v>
      </c>
      <c r="AE32">
        <f t="shared" si="13"/>
        <v>9.0035106185275158</v>
      </c>
      <c r="AF32">
        <f t="shared" si="14"/>
        <v>123.79827100475336</v>
      </c>
      <c r="AG32">
        <f t="shared" si="15"/>
        <v>0</v>
      </c>
      <c r="AH32">
        <f t="shared" si="16"/>
        <v>0</v>
      </c>
      <c r="AI32">
        <f t="shared" si="17"/>
        <v>10.662052048256268</v>
      </c>
      <c r="AJ32">
        <f t="shared" si="18"/>
        <v>0</v>
      </c>
      <c r="AK32">
        <f t="shared" si="19"/>
        <v>40.51579778337382</v>
      </c>
      <c r="AL32">
        <f t="shared" si="20"/>
        <v>0</v>
      </c>
    </row>
    <row r="33" spans="1:38" x14ac:dyDescent="0.2">
      <c r="A33">
        <v>2050</v>
      </c>
      <c r="B33">
        <v>25</v>
      </c>
      <c r="C33">
        <f t="shared" si="21"/>
        <v>219.69658911516774</v>
      </c>
      <c r="D33">
        <f t="shared" si="23"/>
        <v>40.223403014051655</v>
      </c>
      <c r="E33">
        <f t="shared" si="4"/>
        <v>0</v>
      </c>
      <c r="F33">
        <f t="shared" si="5"/>
        <v>13.711051641121443</v>
      </c>
      <c r="G33" s="9">
        <f t="shared" si="6"/>
        <v>0.18308615156954502</v>
      </c>
      <c r="H33" s="9">
        <f t="shared" si="6"/>
        <v>0</v>
      </c>
      <c r="I33" s="9">
        <f t="shared" si="6"/>
        <v>6.2409032822689552E-2</v>
      </c>
      <c r="J33" s="9">
        <f t="shared" si="7"/>
        <v>2.3801199704040855E-2</v>
      </c>
      <c r="K33" s="9">
        <f t="shared" si="8"/>
        <v>0</v>
      </c>
      <c r="L33" s="9">
        <f t="shared" si="9"/>
        <v>2.4963613129075822E-2</v>
      </c>
      <c r="M33">
        <f t="shared" si="0"/>
        <v>209.11366185819756</v>
      </c>
      <c r="N33">
        <f t="shared" si="10"/>
        <v>0</v>
      </c>
      <c r="O33">
        <f t="shared" si="24"/>
        <v>209.11366185819756</v>
      </c>
      <c r="P33">
        <f t="shared" si="22"/>
        <v>206.57158147798177</v>
      </c>
      <c r="Q33" s="9">
        <f t="shared" si="1"/>
        <v>0.98784354710435129</v>
      </c>
      <c r="R33">
        <f>VLOOKUP($B$1,dictionary!$A$3:$K$51,3,FALSE)*Q33</f>
        <v>9.8784354710435132E-2</v>
      </c>
      <c r="S33">
        <f>VLOOKUP($B$1,dictionary!$A$3:$K$51,4,FALSE)*Q33</f>
        <v>9.8784354710435132E-2</v>
      </c>
      <c r="T33">
        <f>VLOOKUP($B$1,dictionary!$A$3:$K$51,5,FALSE)*Q33</f>
        <v>0.54331395090739321</v>
      </c>
      <c r="U33">
        <f>VLOOKUP($B$1,dictionary!$A$3:$K$51,6,FALSE)*Q33</f>
        <v>0</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2.5420803802157934</v>
      </c>
      <c r="AB33">
        <f t="shared" si="11"/>
        <v>2.5420803802157934</v>
      </c>
      <c r="AC33">
        <f t="shared" si="12"/>
        <v>0</v>
      </c>
      <c r="AD33">
        <f t="shared" si="3"/>
        <v>20.657158147798178</v>
      </c>
      <c r="AE33">
        <f t="shared" si="13"/>
        <v>9.18095917679919</v>
      </c>
      <c r="AF33">
        <f t="shared" si="14"/>
        <v>126.23818868098887</v>
      </c>
      <c r="AG33">
        <f t="shared" si="15"/>
        <v>0</v>
      </c>
      <c r="AH33">
        <f t="shared" si="16"/>
        <v>0</v>
      </c>
      <c r="AI33">
        <f t="shared" si="17"/>
        <v>10.872188498841146</v>
      </c>
      <c r="AJ33">
        <f t="shared" si="18"/>
        <v>0</v>
      </c>
      <c r="AK33">
        <f t="shared" si="19"/>
        <v>41.314316295596356</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6456A-2CFD-8845-B0CD-8E2E73F85098}">
  <sheetPr>
    <tabColor theme="4" tint="0.79998168889431442"/>
  </sheetPr>
  <dimension ref="A1:AY37"/>
  <sheetViews>
    <sheetView topLeftCell="C1" zoomScale="136" zoomScaleNormal="125" workbookViewId="0">
      <selection activeCell="C8" sqref="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18</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s="36">
        <f>emissions!N19</f>
        <v>130.67116473394779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130.67116473394779</v>
      </c>
      <c r="N8">
        <f>IF($N$7="LFO",M8/(1+EXP(-$I$4*(B8-$J$4)))-M8/(1+EXP($I$4*$J$4)),IF($N$7="MGO",M8/(1+EXP(-$I$5*(B8-$J$5)))-M8/(1+EXP($I$5*$J$5)),0))</f>
        <v>0</v>
      </c>
      <c r="O8">
        <f>M8-N8</f>
        <v>130.67116473394779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130.67116473394779</v>
      </c>
      <c r="AB8">
        <f>O8/M8*AA8</f>
        <v>130.67116473394779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133.41525919336067</v>
      </c>
      <c r="D9">
        <f>IF($E$2=0,0,C9/(1+EXP(-$E$2*(B9-$G$2)))-C9/(1+EXP($E$2*$G$2)))</f>
        <v>0.99605078545013015</v>
      </c>
      <c r="E9">
        <f t="shared" ref="E9:E33" si="4">IF($E$3=0,0,C9/(1+EXP(-$E$3*(B9-$G$3)))-C9/(1+EXP($E$3*$G$3)))</f>
        <v>0</v>
      </c>
      <c r="F9">
        <f t="shared" ref="F9:F33" si="5">IF($E$4=0,0,C9/(1+EXP(-$E$4*(B9-$G$4)))-C9/(1+EXP($E$4*$G$4)))</f>
        <v>0.3327860444270172</v>
      </c>
      <c r="G9" s="9">
        <f t="shared" ref="G9:I33" si="6">D9/$C9</f>
        <v>7.4657935791777709E-3</v>
      </c>
      <c r="H9" s="9">
        <f t="shared" si="6"/>
        <v>0</v>
      </c>
      <c r="I9" s="9">
        <f t="shared" si="6"/>
        <v>2.4943626871398988E-3</v>
      </c>
      <c r="J9" s="9">
        <f t="shared" ref="J9:J33" si="7">G9*$F$2</f>
        <v>9.7055316529311023E-4</v>
      </c>
      <c r="K9" s="9">
        <f t="shared" ref="K9:K33" si="8">H9*$F$3</f>
        <v>0</v>
      </c>
      <c r="L9" s="9">
        <f t="shared" ref="L9:L33" si="9">I9*$F$4</f>
        <v>9.9774507485595951E-4</v>
      </c>
      <c r="M9">
        <f t="shared" si="0"/>
        <v>133.15278736810086</v>
      </c>
      <c r="N9">
        <f t="shared" ref="N9:N33" si="10">IF($N$7="LFO",M9/(1+EXP(-$I$4*(B9-$J$4)))-M9/(1+EXP($I$4*$J$4)),IF($N$7="MGO",M9/(1+EXP(-$I$5*(B9-$J$5)))-M9/(1+EXP($I$5*$J$5)),0))</f>
        <v>0</v>
      </c>
      <c r="O9">
        <f>M9-N9</f>
        <v>133.15278736810086</v>
      </c>
      <c r="P9">
        <f>IF($I$3=0,0,M9/(1+EXP(-$I$3*(B9-$J$3)))-M9/(1+EXP($I$3*$J$3)))</f>
        <v>0.81717073105647398</v>
      </c>
      <c r="Q9" s="9">
        <f t="shared" si="1"/>
        <v>6.1370906851345563E-3</v>
      </c>
      <c r="R9">
        <f>VLOOKUP($B$1,dictionary!$A$3:$K$51,3,FALSE)*Q9</f>
        <v>6.1370906851345569E-4</v>
      </c>
      <c r="S9">
        <f>VLOOKUP($B$1,dictionary!$A$3:$K$51,4,FALSE)*Q9</f>
        <v>6.1370906851345569E-4</v>
      </c>
      <c r="T9">
        <f>VLOOKUP($B$1,dictionary!$A$3:$K$51,5,FALSE)*Q9</f>
        <v>3.375399876824006E-3</v>
      </c>
      <c r="U9">
        <f>VLOOKUP($B$1,dictionary!$A$3:$K$51,6,FALSE)*Q9</f>
        <v>0</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132.33561663704438</v>
      </c>
      <c r="AB9">
        <f t="shared" ref="AB9:AB33" si="11">O9/M9*AA9</f>
        <v>132.33561663704438</v>
      </c>
      <c r="AC9">
        <f t="shared" ref="AC9:AC33" si="12">N9/M9*AA9</f>
        <v>0</v>
      </c>
      <c r="AD9">
        <f t="shared" si="3"/>
        <v>8.1717073105647409E-2</v>
      </c>
      <c r="AE9">
        <f t="shared" ref="AE9:AE33" si="13">S9*$O9*$AE$2+S9*$N9*$AE$3</f>
        <v>3.6318699158065515E-2</v>
      </c>
      <c r="AF9">
        <f t="shared" ref="AF9:AF33" si="14">T9*$O9*$AF$2+T9*$N9*$AF$3</f>
        <v>0.49938211342340083</v>
      </c>
      <c r="AG9">
        <f t="shared" ref="AG9:AG33" si="15">U9*$O9*$AG$2+U9*$N9*$AG$3</f>
        <v>0</v>
      </c>
      <c r="AH9">
        <f t="shared" ref="AH9:AH33" si="16">V9*$O9*$AH$2+V9*$N9*$AH$3</f>
        <v>0</v>
      </c>
      <c r="AI9">
        <f t="shared" ref="AI9:AI33" si="17">W9*$O9*$AI$2+W9*$N9*$AI$3</f>
        <v>4.3008985845077584E-2</v>
      </c>
      <c r="AJ9">
        <f t="shared" ref="AJ9:AJ33" si="18">X9*$O9*$AJ$2+X9*$N9*$AJ$3</f>
        <v>0</v>
      </c>
      <c r="AK9">
        <f t="shared" ref="AK9:AK33" si="19">Y9*$O9*$AK$2+Y9*$N9*$AK$3</f>
        <v>0.16343414621129482</v>
      </c>
      <c r="AL9">
        <f t="shared" ref="AL9:AL33" si="20">Z9*$O9*$AL$2+Z9*$N9*$AL$3</f>
        <v>0</v>
      </c>
    </row>
    <row r="10" spans="1:51" x14ac:dyDescent="0.2">
      <c r="A10">
        <v>2027</v>
      </c>
      <c r="B10">
        <v>2</v>
      </c>
      <c r="C10">
        <f t="shared" ref="C10:C33" si="21">C9*(1+$I$2)</f>
        <v>136.21697963642123</v>
      </c>
      <c r="D10">
        <f>IF($E$2=0,0,C10/(1+EXP(-$E$2*(B10-$G$2)))-C10/(1+EXP($E$2*$G$2)))</f>
        <v>2.0357655601907965</v>
      </c>
      <c r="E10">
        <f t="shared" si="4"/>
        <v>0</v>
      </c>
      <c r="F10">
        <f t="shared" si="5"/>
        <v>0.67970193123474587</v>
      </c>
      <c r="G10" s="9">
        <f t="shared" si="6"/>
        <v>1.4945020551949462E-2</v>
      </c>
      <c r="H10" s="9">
        <f t="shared" si="6"/>
        <v>0</v>
      </c>
      <c r="I10" s="9">
        <f t="shared" si="6"/>
        <v>4.9898473233582806E-3</v>
      </c>
      <c r="J10" s="9">
        <f t="shared" si="7"/>
        <v>1.9428526717534301E-3</v>
      </c>
      <c r="K10" s="9">
        <f t="shared" si="8"/>
        <v>0</v>
      </c>
      <c r="L10" s="9">
        <f t="shared" si="9"/>
        <v>1.9959389293433124E-3</v>
      </c>
      <c r="M10">
        <f t="shared" si="0"/>
        <v>135.68097756538776</v>
      </c>
      <c r="N10">
        <f t="shared" si="10"/>
        <v>0</v>
      </c>
      <c r="O10">
        <f>M10-N10</f>
        <v>135.68097756538776</v>
      </c>
      <c r="P10">
        <f t="shared" ref="P10:P33" si="22">IF($I$3=0,0,M10/(1+EXP(-$I$3*(B10-$J$3)))-M10/(1+EXP($I$3*$J$3)))</f>
        <v>2.1179869722357827</v>
      </c>
      <c r="Q10" s="9">
        <f t="shared" si="1"/>
        <v>1.5610050946272673E-2</v>
      </c>
      <c r="R10">
        <f>VLOOKUP($B$1,dictionary!$A$3:$K$51,3,FALSE)*Q10</f>
        <v>1.5610050946272675E-3</v>
      </c>
      <c r="S10">
        <f>VLOOKUP($B$1,dictionary!$A$3:$K$51,4,FALSE)*Q10</f>
        <v>1.5610050946272675E-3</v>
      </c>
      <c r="T10">
        <f>VLOOKUP($B$1,dictionary!$A$3:$K$51,5,FALSE)*Q10</f>
        <v>8.5855280204499718E-3</v>
      </c>
      <c r="U10">
        <f>VLOOKUP($B$1,dictionary!$A$3:$K$51,6,FALSE)*Q10</f>
        <v>0</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133.56299059315199</v>
      </c>
      <c r="AB10">
        <f t="shared" si="11"/>
        <v>133.56299059315199</v>
      </c>
      <c r="AC10">
        <f t="shared" si="12"/>
        <v>0</v>
      </c>
      <c r="AD10">
        <f t="shared" si="3"/>
        <v>0.21179869722357827</v>
      </c>
      <c r="AE10">
        <f t="shared" si="13"/>
        <v>9.4132754321590351E-2</v>
      </c>
      <c r="AF10">
        <f t="shared" si="14"/>
        <v>1.2943253719218675</v>
      </c>
      <c r="AG10">
        <f t="shared" si="15"/>
        <v>0</v>
      </c>
      <c r="AH10">
        <f t="shared" si="16"/>
        <v>0</v>
      </c>
      <c r="AI10">
        <f t="shared" si="17"/>
        <v>0.1114729985387254</v>
      </c>
      <c r="AJ10">
        <f t="shared" si="18"/>
        <v>0</v>
      </c>
      <c r="AK10">
        <f t="shared" si="19"/>
        <v>0.42359739444715655</v>
      </c>
      <c r="AL10">
        <f t="shared" si="20"/>
        <v>0</v>
      </c>
    </row>
    <row r="11" spans="1:51" x14ac:dyDescent="0.2">
      <c r="A11">
        <v>2028</v>
      </c>
      <c r="B11">
        <v>3</v>
      </c>
      <c r="C11">
        <f t="shared" si="21"/>
        <v>139.07753620878606</v>
      </c>
      <c r="D11">
        <f t="shared" ref="D11:D33" si="23">IF($E$2=0,0,C11/(1+EXP(-$E$2*(B11-$G$2)))-C11/(1+EXP($E$2*$G$2)))</f>
        <v>3.1201132516421666</v>
      </c>
      <c r="E11">
        <f t="shared" si="4"/>
        <v>0</v>
      </c>
      <c r="F11">
        <f t="shared" si="5"/>
        <v>1.0411803055758782</v>
      </c>
      <c r="G11" s="9">
        <f t="shared" si="6"/>
        <v>2.243434372433941E-2</v>
      </c>
      <c r="H11" s="9">
        <f t="shared" si="6"/>
        <v>0</v>
      </c>
      <c r="I11" s="9">
        <f t="shared" si="6"/>
        <v>7.4863298125502943E-3</v>
      </c>
      <c r="J11" s="9">
        <f t="shared" si="7"/>
        <v>2.9164646841641235E-3</v>
      </c>
      <c r="K11" s="9">
        <f t="shared" si="8"/>
        <v>0</v>
      </c>
      <c r="L11" s="9">
        <f t="shared" si="9"/>
        <v>2.9945319250201177E-3</v>
      </c>
      <c r="M11">
        <f t="shared" si="0"/>
        <v>138.25666399007864</v>
      </c>
      <c r="N11">
        <f t="shared" si="10"/>
        <v>0</v>
      </c>
      <c r="O11">
        <f t="shared" ref="O11:O33" si="24">M11-N11</f>
        <v>138.25666399007864</v>
      </c>
      <c r="P11">
        <f t="shared" si="22"/>
        <v>4.1621250075283429</v>
      </c>
      <c r="Q11" s="9">
        <f t="shared" si="1"/>
        <v>3.0104335569871837E-2</v>
      </c>
      <c r="R11">
        <f>VLOOKUP($B$1,dictionary!$A$3:$K$51,3,FALSE)*Q11</f>
        <v>3.0104335569871837E-3</v>
      </c>
      <c r="S11">
        <f>VLOOKUP($B$1,dictionary!$A$3:$K$51,4,FALSE)*Q11</f>
        <v>3.0104335569871837E-3</v>
      </c>
      <c r="T11">
        <f>VLOOKUP($B$1,dictionary!$A$3:$K$51,5,FALSE)*Q11</f>
        <v>1.6557384563429513E-2</v>
      </c>
      <c r="U11">
        <f>VLOOKUP($B$1,dictionary!$A$3:$K$51,6,FALSE)*Q11</f>
        <v>0</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134.09453898255029</v>
      </c>
      <c r="AB11">
        <f t="shared" si="11"/>
        <v>134.09453898255029</v>
      </c>
      <c r="AC11">
        <f t="shared" si="12"/>
        <v>0</v>
      </c>
      <c r="AD11">
        <f t="shared" si="3"/>
        <v>0.41621250075283428</v>
      </c>
      <c r="AE11">
        <f t="shared" si="13"/>
        <v>0.18498333366792635</v>
      </c>
      <c r="AF11">
        <f t="shared" si="14"/>
        <v>2.543520837933988</v>
      </c>
      <c r="AG11">
        <f t="shared" si="15"/>
        <v>0</v>
      </c>
      <c r="AH11">
        <f t="shared" si="16"/>
        <v>0</v>
      </c>
      <c r="AI11">
        <f t="shared" si="17"/>
        <v>0.21905921092254435</v>
      </c>
      <c r="AJ11">
        <f t="shared" si="18"/>
        <v>0</v>
      </c>
      <c r="AK11">
        <f t="shared" si="19"/>
        <v>0.83242500150566856</v>
      </c>
      <c r="AL11">
        <f t="shared" si="20"/>
        <v>0</v>
      </c>
    </row>
    <row r="12" spans="1:51" x14ac:dyDescent="0.2">
      <c r="A12">
        <v>2029</v>
      </c>
      <c r="B12">
        <v>4</v>
      </c>
      <c r="C12">
        <f t="shared" si="21"/>
        <v>141.99816446917055</v>
      </c>
      <c r="D12">
        <f t="shared" si="23"/>
        <v>4.2500629684381011</v>
      </c>
      <c r="E12">
        <f t="shared" si="4"/>
        <v>0</v>
      </c>
      <c r="F12">
        <f t="shared" si="5"/>
        <v>1.4176650666900628</v>
      </c>
      <c r="G12" s="9">
        <f t="shared" si="6"/>
        <v>2.993040779312918E-2</v>
      </c>
      <c r="H12" s="9">
        <f t="shared" si="6"/>
        <v>0</v>
      </c>
      <c r="I12" s="9">
        <f t="shared" si="6"/>
        <v>9.9836858595299255E-3</v>
      </c>
      <c r="J12" s="9">
        <f t="shared" si="7"/>
        <v>3.8909530131067934E-3</v>
      </c>
      <c r="K12" s="9">
        <f t="shared" si="8"/>
        <v>0</v>
      </c>
      <c r="L12" s="9">
        <f t="shared" si="9"/>
        <v>3.9934743438119705E-3</v>
      </c>
      <c r="M12">
        <f t="shared" si="0"/>
        <v>140.88079668386271</v>
      </c>
      <c r="N12">
        <f t="shared" si="10"/>
        <v>0</v>
      </c>
      <c r="O12">
        <f t="shared" si="24"/>
        <v>140.88079668386271</v>
      </c>
      <c r="P12">
        <f t="shared" si="22"/>
        <v>7.3238873402483531</v>
      </c>
      <c r="Q12" s="9">
        <f t="shared" si="1"/>
        <v>5.1986413426403297E-2</v>
      </c>
      <c r="R12">
        <f>VLOOKUP($B$1,dictionary!$A$3:$K$51,3,FALSE)*Q12</f>
        <v>5.1986413426403297E-3</v>
      </c>
      <c r="S12">
        <f>VLOOKUP($B$1,dictionary!$A$3:$K$51,4,FALSE)*Q12</f>
        <v>5.1986413426403297E-3</v>
      </c>
      <c r="T12">
        <f>VLOOKUP($B$1,dictionary!$A$3:$K$51,5,FALSE)*Q12</f>
        <v>2.8592527384521817E-2</v>
      </c>
      <c r="U12">
        <f>VLOOKUP($B$1,dictionary!$A$3:$K$51,6,FALSE)*Q12</f>
        <v>0</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133.55690934361436</v>
      </c>
      <c r="AB12">
        <f t="shared" si="11"/>
        <v>133.55690934361436</v>
      </c>
      <c r="AC12">
        <f t="shared" si="12"/>
        <v>0</v>
      </c>
      <c r="AD12">
        <f t="shared" si="3"/>
        <v>0.7323887340248354</v>
      </c>
      <c r="AE12">
        <f t="shared" si="13"/>
        <v>0.32550610401103797</v>
      </c>
      <c r="AF12">
        <f t="shared" si="14"/>
        <v>4.4757089301517725</v>
      </c>
      <c r="AG12">
        <f t="shared" si="15"/>
        <v>0</v>
      </c>
      <c r="AH12">
        <f t="shared" si="16"/>
        <v>0</v>
      </c>
      <c r="AI12">
        <f t="shared" si="17"/>
        <v>0.38546775474991335</v>
      </c>
      <c r="AJ12">
        <f t="shared" si="18"/>
        <v>0</v>
      </c>
      <c r="AK12">
        <f t="shared" si="19"/>
        <v>1.4647774680496708</v>
      </c>
      <c r="AL12">
        <f t="shared" si="20"/>
        <v>0</v>
      </c>
    </row>
    <row r="13" spans="1:51" x14ac:dyDescent="0.2">
      <c r="A13">
        <v>2030</v>
      </c>
      <c r="B13">
        <v>5</v>
      </c>
      <c r="C13">
        <f t="shared" si="21"/>
        <v>144.98012592302311</v>
      </c>
      <c r="D13">
        <f t="shared" si="23"/>
        <v>5.426583691216095</v>
      </c>
      <c r="E13">
        <f t="shared" si="4"/>
        <v>0</v>
      </c>
      <c r="F13">
        <f t="shared" si="5"/>
        <v>1.8096116301607452</v>
      </c>
      <c r="G13" s="9">
        <f t="shared" si="6"/>
        <v>3.7429845343749588E-2</v>
      </c>
      <c r="H13" s="9">
        <f t="shared" si="6"/>
        <v>0</v>
      </c>
      <c r="I13" s="9">
        <f t="shared" si="6"/>
        <v>1.2481790994729545E-2</v>
      </c>
      <c r="J13" s="9">
        <f t="shared" si="7"/>
        <v>4.8658798946874466E-3</v>
      </c>
      <c r="K13" s="9">
        <f t="shared" si="8"/>
        <v>0</v>
      </c>
      <c r="L13" s="9">
        <f t="shared" si="9"/>
        <v>4.9927163978918179E-3</v>
      </c>
      <c r="M13">
        <f t="shared" si="0"/>
        <v>143.55434753224006</v>
      </c>
      <c r="N13">
        <f t="shared" si="10"/>
        <v>0</v>
      </c>
      <c r="O13">
        <f t="shared" si="24"/>
        <v>143.55434753224006</v>
      </c>
      <c r="P13">
        <f t="shared" si="22"/>
        <v>12.110606840430931</v>
      </c>
      <c r="Q13" s="9">
        <f t="shared" si="1"/>
        <v>8.4362522268516302E-2</v>
      </c>
      <c r="R13">
        <f>VLOOKUP($B$1,dictionary!$A$3:$K$51,3,FALSE)*Q13</f>
        <v>8.4362522268516312E-3</v>
      </c>
      <c r="S13">
        <f>VLOOKUP($B$1,dictionary!$A$3:$K$51,4,FALSE)*Q13</f>
        <v>8.4362522268516312E-3</v>
      </c>
      <c r="T13">
        <f>VLOOKUP($B$1,dictionary!$A$3:$K$51,5,FALSE)*Q13</f>
        <v>4.6399387247683971E-2</v>
      </c>
      <c r="U13">
        <f>VLOOKUP($B$1,dictionary!$A$3:$K$51,6,FALSE)*Q13</f>
        <v>0</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131.44374069180913</v>
      </c>
      <c r="AB13">
        <f t="shared" si="11"/>
        <v>131.44374069180913</v>
      </c>
      <c r="AC13">
        <f t="shared" si="12"/>
        <v>0</v>
      </c>
      <c r="AD13">
        <f t="shared" si="3"/>
        <v>1.2110606840430931</v>
      </c>
      <c r="AE13">
        <f t="shared" si="13"/>
        <v>0.53824919290804141</v>
      </c>
      <c r="AF13">
        <f t="shared" si="14"/>
        <v>7.4009264024855694</v>
      </c>
      <c r="AG13">
        <f t="shared" si="15"/>
        <v>0</v>
      </c>
      <c r="AH13">
        <f t="shared" si="16"/>
        <v>0</v>
      </c>
      <c r="AI13">
        <f t="shared" si="17"/>
        <v>0.63740036002268052</v>
      </c>
      <c r="AJ13">
        <f t="shared" si="18"/>
        <v>0</v>
      </c>
      <c r="AK13">
        <f t="shared" si="19"/>
        <v>2.4221213680861862</v>
      </c>
      <c r="AL13">
        <f t="shared" si="20"/>
        <v>0</v>
      </c>
    </row>
    <row r="14" spans="1:51" x14ac:dyDescent="0.2">
      <c r="A14">
        <v>2031</v>
      </c>
      <c r="B14">
        <v>6</v>
      </c>
      <c r="C14">
        <f t="shared" si="21"/>
        <v>148.02470856740658</v>
      </c>
      <c r="D14">
        <f t="shared" si="23"/>
        <v>6.6506440065816719</v>
      </c>
      <c r="E14">
        <f t="shared" si="4"/>
        <v>0</v>
      </c>
      <c r="F14">
        <f t="shared" si="5"/>
        <v>2.2174871958512483</v>
      </c>
      <c r="G14" s="9">
        <f t="shared" si="6"/>
        <v>4.4929282894369912E-2</v>
      </c>
      <c r="H14" s="9">
        <f t="shared" si="6"/>
        <v>0</v>
      </c>
      <c r="I14" s="9">
        <f t="shared" si="6"/>
        <v>1.4980520598974614E-2</v>
      </c>
      <c r="J14" s="9">
        <f t="shared" si="7"/>
        <v>5.8408067762680885E-3</v>
      </c>
      <c r="K14" s="9">
        <f t="shared" si="8"/>
        <v>0</v>
      </c>
      <c r="L14" s="9">
        <f t="shared" si="9"/>
        <v>5.992208239589846E-3</v>
      </c>
      <c r="M14">
        <f t="shared" si="0"/>
        <v>146.27831073390638</v>
      </c>
      <c r="N14">
        <f t="shared" si="10"/>
        <v>0</v>
      </c>
      <c r="O14">
        <f t="shared" si="24"/>
        <v>146.27831073390638</v>
      </c>
      <c r="P14">
        <f t="shared" si="22"/>
        <v>19.142582741315561</v>
      </c>
      <c r="Q14" s="9">
        <f t="shared" si="1"/>
        <v>0.13086412226989461</v>
      </c>
      <c r="R14">
        <f>VLOOKUP($B$1,dictionary!$A$3:$K$51,3,FALSE)*Q14</f>
        <v>1.3086412226989461E-2</v>
      </c>
      <c r="S14">
        <f>VLOOKUP($B$1,dictionary!$A$3:$K$51,4,FALSE)*Q14</f>
        <v>1.3086412226989461E-2</v>
      </c>
      <c r="T14">
        <f>VLOOKUP($B$1,dictionary!$A$3:$K$51,5,FALSE)*Q14</f>
        <v>7.197526724844204E-2</v>
      </c>
      <c r="U14">
        <f>VLOOKUP($B$1,dictionary!$A$3:$K$51,6,FALSE)*Q14</f>
        <v>0</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127.13572799259082</v>
      </c>
      <c r="AB14">
        <f t="shared" si="11"/>
        <v>127.13572799259082</v>
      </c>
      <c r="AC14">
        <f t="shared" si="12"/>
        <v>0</v>
      </c>
      <c r="AD14">
        <f t="shared" si="3"/>
        <v>1.9142582741315561</v>
      </c>
      <c r="AE14">
        <f t="shared" si="13"/>
        <v>0.85078145516958059</v>
      </c>
      <c r="AF14">
        <f t="shared" si="14"/>
        <v>11.698245008581734</v>
      </c>
      <c r="AG14">
        <f t="shared" si="15"/>
        <v>0</v>
      </c>
      <c r="AH14">
        <f t="shared" si="16"/>
        <v>0</v>
      </c>
      <c r="AI14">
        <f t="shared" si="17"/>
        <v>1.007504354806082</v>
      </c>
      <c r="AJ14">
        <f t="shared" si="18"/>
        <v>0</v>
      </c>
      <c r="AK14">
        <f t="shared" si="19"/>
        <v>3.8285165482631123</v>
      </c>
      <c r="AL14">
        <f t="shared" si="20"/>
        <v>0</v>
      </c>
    </row>
    <row r="15" spans="1:51" x14ac:dyDescent="0.2">
      <c r="A15">
        <v>2032</v>
      </c>
      <c r="B15">
        <v>7</v>
      </c>
      <c r="C15">
        <f t="shared" si="21"/>
        <v>151.1332274473221</v>
      </c>
      <c r="D15">
        <f t="shared" si="23"/>
        <v>7.9232118865879784</v>
      </c>
      <c r="E15">
        <f t="shared" si="4"/>
        <v>0</v>
      </c>
      <c r="F15">
        <f t="shared" si="5"/>
        <v>2.6417710216390446</v>
      </c>
      <c r="G15" s="9">
        <f t="shared" si="6"/>
        <v>5.2425346963159612E-2</v>
      </c>
      <c r="H15" s="9">
        <f t="shared" si="6"/>
        <v>0</v>
      </c>
      <c r="I15" s="9">
        <f t="shared" si="6"/>
        <v>1.7479749928319643E-2</v>
      </c>
      <c r="J15" s="9">
        <f t="shared" si="7"/>
        <v>6.8152951052107497E-3</v>
      </c>
      <c r="K15" s="9">
        <f t="shared" si="8"/>
        <v>0</v>
      </c>
      <c r="L15" s="9">
        <f t="shared" si="9"/>
        <v>6.9918999713278578E-3</v>
      </c>
      <c r="M15">
        <f t="shared" si="0"/>
        <v>149.05370327305519</v>
      </c>
      <c r="N15">
        <f t="shared" si="10"/>
        <v>0</v>
      </c>
      <c r="O15">
        <f t="shared" si="24"/>
        <v>149.05370327305519</v>
      </c>
      <c r="P15">
        <f>IF($I$3=0,0,M15/(1+EXP(-$I$3*(B15-$J$3)))-M15/(1+EXP($I$3*$J$3)))</f>
        <v>29.048096824393436</v>
      </c>
      <c r="Q15" s="9">
        <f t="shared" si="1"/>
        <v>0.19488342917035414</v>
      </c>
      <c r="R15">
        <f>VLOOKUP($B$1,dictionary!$A$3:$K$51,3,FALSE)*Q15</f>
        <v>1.9488342917035415E-2</v>
      </c>
      <c r="S15">
        <f>VLOOKUP($B$1,dictionary!$A$3:$K$51,4,FALSE)*Q15</f>
        <v>1.9488342917035415E-2</v>
      </c>
      <c r="T15">
        <f>VLOOKUP($B$1,dictionary!$A$3:$K$51,5,FALSE)*Q15</f>
        <v>0.10718588604369479</v>
      </c>
      <c r="U15">
        <f>VLOOKUP($B$1,dictionary!$A$3:$K$51,6,FALSE)*Q15</f>
        <v>0</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120.00560644866175</v>
      </c>
      <c r="AB15">
        <f t="shared" si="11"/>
        <v>120.00560644866175</v>
      </c>
      <c r="AC15">
        <f t="shared" si="12"/>
        <v>0</v>
      </c>
      <c r="AD15">
        <f t="shared" si="3"/>
        <v>2.9048096824393435</v>
      </c>
      <c r="AE15">
        <f t="shared" si="13"/>
        <v>1.2910265255285971</v>
      </c>
      <c r="AF15">
        <f t="shared" si="14"/>
        <v>17.751614726018214</v>
      </c>
      <c r="AG15">
        <f t="shared" si="15"/>
        <v>0</v>
      </c>
      <c r="AH15">
        <f t="shared" si="16"/>
        <v>0</v>
      </c>
      <c r="AI15">
        <f t="shared" si="17"/>
        <v>1.528847201283865</v>
      </c>
      <c r="AJ15">
        <f t="shared" si="18"/>
        <v>0</v>
      </c>
      <c r="AK15">
        <f t="shared" si="19"/>
        <v>5.8096193648786869</v>
      </c>
      <c r="AL15">
        <f t="shared" si="20"/>
        <v>0</v>
      </c>
    </row>
    <row r="16" spans="1:51" x14ac:dyDescent="0.2">
      <c r="A16">
        <v>2033</v>
      </c>
      <c r="B16">
        <v>8</v>
      </c>
      <c r="C16">
        <f t="shared" si="21"/>
        <v>154.30702522371584</v>
      </c>
      <c r="D16">
        <f t="shared" si="23"/>
        <v>9.24525451587688</v>
      </c>
      <c r="E16">
        <f t="shared" si="4"/>
        <v>0</v>
      </c>
      <c r="F16">
        <f t="shared" si="5"/>
        <v>3.0829547030710103</v>
      </c>
      <c r="G16" s="9">
        <f t="shared" si="6"/>
        <v>5.9914670135549686E-2</v>
      </c>
      <c r="H16" s="9">
        <f t="shared" si="6"/>
        <v>0</v>
      </c>
      <c r="I16" s="9">
        <f t="shared" si="6"/>
        <v>1.9979354138940288E-2</v>
      </c>
      <c r="J16" s="9">
        <f t="shared" si="7"/>
        <v>7.7889071176214597E-3</v>
      </c>
      <c r="K16" s="9">
        <f t="shared" si="8"/>
        <v>0</v>
      </c>
      <c r="L16" s="9">
        <f t="shared" si="9"/>
        <v>7.9917416555761161E-3</v>
      </c>
      <c r="M16">
        <f t="shared" si="0"/>
        <v>151.88156539455545</v>
      </c>
      <c r="N16">
        <f t="shared" si="10"/>
        <v>0</v>
      </c>
      <c r="O16">
        <f t="shared" si="24"/>
        <v>151.88156539455545</v>
      </c>
      <c r="P16">
        <f t="shared" si="22"/>
        <v>42.232727973754571</v>
      </c>
      <c r="Q16" s="9">
        <f t="shared" si="1"/>
        <v>0.27806355474440286</v>
      </c>
      <c r="R16">
        <f>VLOOKUP($B$1,dictionary!$A$3:$K$51,3,FALSE)*Q16</f>
        <v>2.7806355474440287E-2</v>
      </c>
      <c r="S16">
        <f>VLOOKUP($B$1,dictionary!$A$3:$K$51,4,FALSE)*Q16</f>
        <v>2.7806355474440287E-2</v>
      </c>
      <c r="T16">
        <f>VLOOKUP($B$1,dictionary!$A$3:$K$51,5,FALSE)*Q16</f>
        <v>0.15293495510942159</v>
      </c>
      <c r="U16">
        <f>VLOOKUP($B$1,dictionary!$A$3:$K$51,6,FALSE)*Q16</f>
        <v>0</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109.64883742080087</v>
      </c>
      <c r="AB16">
        <f t="shared" si="11"/>
        <v>109.64883742080087</v>
      </c>
      <c r="AC16">
        <f t="shared" si="12"/>
        <v>0</v>
      </c>
      <c r="AD16">
        <f t="shared" si="3"/>
        <v>4.2232727973754578</v>
      </c>
      <c r="AE16">
        <f t="shared" si="13"/>
        <v>1.8770101321668702</v>
      </c>
      <c r="AF16">
        <f t="shared" si="14"/>
        <v>25.808889317294465</v>
      </c>
      <c r="AG16">
        <f t="shared" si="15"/>
        <v>0</v>
      </c>
      <c r="AH16">
        <f t="shared" si="16"/>
        <v>0</v>
      </c>
      <c r="AI16">
        <f t="shared" si="17"/>
        <v>2.2227751565133986</v>
      </c>
      <c r="AJ16">
        <f t="shared" si="18"/>
        <v>0</v>
      </c>
      <c r="AK16">
        <f t="shared" si="19"/>
        <v>8.4465455947509156</v>
      </c>
      <c r="AL16">
        <f t="shared" si="20"/>
        <v>0</v>
      </c>
    </row>
    <row r="17" spans="1:38" x14ac:dyDescent="0.2">
      <c r="A17">
        <v>2034</v>
      </c>
      <c r="B17">
        <v>9</v>
      </c>
      <c r="C17">
        <f t="shared" si="21"/>
        <v>157.54747275341387</v>
      </c>
      <c r="D17">
        <f t="shared" si="23"/>
        <v>10.617738168419621</v>
      </c>
      <c r="E17">
        <f t="shared" si="4"/>
        <v>0</v>
      </c>
      <c r="F17">
        <f t="shared" si="5"/>
        <v>3.5415424590633791</v>
      </c>
      <c r="G17" s="9">
        <f t="shared" si="6"/>
        <v>6.7393897108321249E-2</v>
      </c>
      <c r="H17" s="9">
        <f t="shared" si="6"/>
        <v>0</v>
      </c>
      <c r="I17" s="9">
        <f t="shared" si="6"/>
        <v>2.2479208312065024E-2</v>
      </c>
      <c r="J17" s="9">
        <f t="shared" si="7"/>
        <v>8.7612066240817625E-3</v>
      </c>
      <c r="K17" s="9">
        <f t="shared" si="8"/>
        <v>0</v>
      </c>
      <c r="L17" s="9">
        <f t="shared" si="9"/>
        <v>8.9916833248260102E-3</v>
      </c>
      <c r="M17">
        <f t="shared" si="0"/>
        <v>154.76296108199469</v>
      </c>
      <c r="N17">
        <f t="shared" si="10"/>
        <v>0</v>
      </c>
      <c r="O17">
        <f t="shared" si="24"/>
        <v>154.76296108199469</v>
      </c>
      <c r="P17">
        <f t="shared" si="22"/>
        <v>58.558253308423595</v>
      </c>
      <c r="Q17" s="9">
        <f t="shared" si="1"/>
        <v>0.37837382342018483</v>
      </c>
      <c r="R17">
        <f>VLOOKUP($B$1,dictionary!$A$3:$K$51,3,FALSE)*Q17</f>
        <v>3.7837382342018486E-2</v>
      </c>
      <c r="S17">
        <f>VLOOKUP($B$1,dictionary!$A$3:$K$51,4,FALSE)*Q17</f>
        <v>3.7837382342018486E-2</v>
      </c>
      <c r="T17">
        <f>VLOOKUP($B$1,dictionary!$A$3:$K$51,5,FALSE)*Q17</f>
        <v>0.20810560288110166</v>
      </c>
      <c r="U17">
        <f>VLOOKUP($B$1,dictionary!$A$3:$K$51,6,FALSE)*Q17</f>
        <v>0</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96.204707773571101</v>
      </c>
      <c r="AB17">
        <f t="shared" si="11"/>
        <v>96.204707773571101</v>
      </c>
      <c r="AC17">
        <f t="shared" si="12"/>
        <v>0</v>
      </c>
      <c r="AD17">
        <f t="shared" si="3"/>
        <v>5.85582533084236</v>
      </c>
      <c r="AE17">
        <f t="shared" si="13"/>
        <v>2.6025890359299382</v>
      </c>
      <c r="AF17">
        <f t="shared" si="14"/>
        <v>35.785599244036639</v>
      </c>
      <c r="AG17">
        <f t="shared" si="15"/>
        <v>0</v>
      </c>
      <c r="AH17">
        <f t="shared" si="16"/>
        <v>0</v>
      </c>
      <c r="AI17">
        <f t="shared" si="17"/>
        <v>3.0820133320222944</v>
      </c>
      <c r="AJ17">
        <f t="shared" si="18"/>
        <v>0</v>
      </c>
      <c r="AK17">
        <f t="shared" si="19"/>
        <v>11.71165066168472</v>
      </c>
      <c r="AL17">
        <f t="shared" si="20"/>
        <v>0</v>
      </c>
    </row>
    <row r="18" spans="1:38" x14ac:dyDescent="0.2">
      <c r="A18">
        <v>2035</v>
      </c>
      <c r="B18">
        <v>10</v>
      </c>
      <c r="C18">
        <f t="shared" si="21"/>
        <v>160.85596968123554</v>
      </c>
      <c r="D18">
        <f t="shared" si="23"/>
        <v>12.041628135575024</v>
      </c>
      <c r="E18">
        <f t="shared" si="4"/>
        <v>0</v>
      </c>
      <c r="F18">
        <f t="shared" si="5"/>
        <v>4.0180514237742671</v>
      </c>
      <c r="G18" s="9">
        <f t="shared" si="6"/>
        <v>7.4859690687499092E-2</v>
      </c>
      <c r="H18" s="9">
        <f t="shared" si="6"/>
        <v>0</v>
      </c>
      <c r="I18" s="9">
        <f t="shared" si="6"/>
        <v>2.4979187478939974E-2</v>
      </c>
      <c r="J18" s="9">
        <f t="shared" si="7"/>
        <v>9.7317597893748827E-3</v>
      </c>
      <c r="K18" s="9">
        <f t="shared" si="8"/>
        <v>0</v>
      </c>
      <c r="L18" s="9">
        <f t="shared" si="9"/>
        <v>9.9916749915759905E-3</v>
      </c>
      <c r="M18">
        <f t="shared" si="0"/>
        <v>157.6989785386121</v>
      </c>
      <c r="N18">
        <f t="shared" si="10"/>
        <v>0</v>
      </c>
      <c r="O18">
        <f t="shared" si="24"/>
        <v>157.6989785386121</v>
      </c>
      <c r="P18">
        <f t="shared" si="22"/>
        <v>77.116859639199177</v>
      </c>
      <c r="Q18" s="9">
        <f t="shared" si="1"/>
        <v>0.48901305736940687</v>
      </c>
      <c r="R18">
        <f>VLOOKUP($B$1,dictionary!$A$3:$K$51,3,FALSE)*Q18</f>
        <v>4.8901305736940688E-2</v>
      </c>
      <c r="S18">
        <f>VLOOKUP($B$1,dictionary!$A$3:$K$51,4,FALSE)*Q18</f>
        <v>4.8901305736940688E-2</v>
      </c>
      <c r="T18">
        <f>VLOOKUP($B$1,dictionary!$A$3:$K$51,5,FALSE)*Q18</f>
        <v>0.26895718155317377</v>
      </c>
      <c r="U18">
        <f>VLOOKUP($B$1,dictionary!$A$3:$K$51,6,FALSE)*Q18</f>
        <v>0</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80.582118899412919</v>
      </c>
      <c r="AB18">
        <f t="shared" si="11"/>
        <v>80.582118899412919</v>
      </c>
      <c r="AC18">
        <f t="shared" si="12"/>
        <v>0</v>
      </c>
      <c r="AD18">
        <f t="shared" si="3"/>
        <v>7.7116859639199182</v>
      </c>
      <c r="AE18">
        <f t="shared" si="13"/>
        <v>3.4274159839644085</v>
      </c>
      <c r="AF18">
        <f t="shared" si="14"/>
        <v>47.12696977951061</v>
      </c>
      <c r="AG18">
        <f t="shared" si="15"/>
        <v>0</v>
      </c>
      <c r="AH18">
        <f t="shared" si="16"/>
        <v>0</v>
      </c>
      <c r="AI18">
        <f t="shared" si="17"/>
        <v>4.0587820862736406</v>
      </c>
      <c r="AJ18">
        <f t="shared" si="18"/>
        <v>0</v>
      </c>
      <c r="AK18">
        <f t="shared" si="19"/>
        <v>15.423371927839836</v>
      </c>
      <c r="AL18">
        <f t="shared" si="20"/>
        <v>0</v>
      </c>
    </row>
    <row r="19" spans="1:38" x14ac:dyDescent="0.2">
      <c r="A19">
        <v>2036</v>
      </c>
      <c r="B19">
        <v>11</v>
      </c>
      <c r="C19">
        <f t="shared" si="21"/>
        <v>164.23394504454146</v>
      </c>
      <c r="D19">
        <f t="shared" si="23"/>
        <v>13.517888706953485</v>
      </c>
      <c r="E19">
        <f t="shared" si="4"/>
        <v>0</v>
      </c>
      <c r="F19">
        <f t="shared" si="5"/>
        <v>4.513011944778583</v>
      </c>
      <c r="G19" s="9">
        <f t="shared" si="6"/>
        <v>8.2308737717329591E-2</v>
      </c>
      <c r="H19" s="9">
        <f t="shared" si="6"/>
        <v>0</v>
      </c>
      <c r="I19" s="9">
        <f t="shared" si="6"/>
        <v>2.7479166645815036E-2</v>
      </c>
      <c r="J19" s="9">
        <f t="shared" si="7"/>
        <v>1.0700135903252847E-2</v>
      </c>
      <c r="K19" s="9">
        <f t="shared" si="8"/>
        <v>0</v>
      </c>
      <c r="L19" s="9">
        <f t="shared" si="9"/>
        <v>1.0991666658326016E-2</v>
      </c>
      <c r="M19">
        <f t="shared" si="0"/>
        <v>160.69073067118293</v>
      </c>
      <c r="N19">
        <f t="shared" si="10"/>
        <v>0</v>
      </c>
      <c r="O19">
        <f t="shared" si="24"/>
        <v>160.69073067118293</v>
      </c>
      <c r="P19">
        <f t="shared" si="22"/>
        <v>96.358564840639517</v>
      </c>
      <c r="Q19" s="9">
        <f t="shared" si="1"/>
        <v>0.59965229131862885</v>
      </c>
      <c r="R19">
        <f>VLOOKUP($B$1,dictionary!$A$3:$K$51,3,FALSE)*Q19</f>
        <v>5.996522913186289E-2</v>
      </c>
      <c r="S19">
        <f>VLOOKUP($B$1,dictionary!$A$3:$K$51,4,FALSE)*Q19</f>
        <v>5.996522913186289E-2</v>
      </c>
      <c r="T19">
        <f>VLOOKUP($B$1,dictionary!$A$3:$K$51,5,FALSE)*Q19</f>
        <v>0.32980876022524591</v>
      </c>
      <c r="U19">
        <f>VLOOKUP($B$1,dictionary!$A$3:$K$51,6,FALSE)*Q19</f>
        <v>0</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64.332165830543417</v>
      </c>
      <c r="AB19">
        <f t="shared" si="11"/>
        <v>64.332165830543417</v>
      </c>
      <c r="AC19">
        <f t="shared" si="12"/>
        <v>0</v>
      </c>
      <c r="AD19">
        <f t="shared" si="3"/>
        <v>9.635856484063952</v>
      </c>
      <c r="AE19">
        <f t="shared" si="13"/>
        <v>4.2826028818062012</v>
      </c>
      <c r="AF19">
        <f t="shared" si="14"/>
        <v>58.885789624835269</v>
      </c>
      <c r="AG19">
        <f t="shared" si="15"/>
        <v>0</v>
      </c>
      <c r="AH19">
        <f t="shared" si="16"/>
        <v>0</v>
      </c>
      <c r="AI19">
        <f t="shared" si="17"/>
        <v>5.0715034126652379</v>
      </c>
      <c r="AJ19">
        <f t="shared" si="18"/>
        <v>0</v>
      </c>
      <c r="AK19">
        <f t="shared" si="19"/>
        <v>19.271712968127904</v>
      </c>
      <c r="AL19">
        <f t="shared" si="20"/>
        <v>0</v>
      </c>
    </row>
    <row r="20" spans="1:38" x14ac:dyDescent="0.2">
      <c r="A20">
        <v>2037</v>
      </c>
      <c r="B20">
        <v>12</v>
      </c>
      <c r="C20">
        <f t="shared" si="21"/>
        <v>167.68285789047681</v>
      </c>
      <c r="D20">
        <f t="shared" si="23"/>
        <v>15.047483205337969</v>
      </c>
      <c r="E20">
        <f t="shared" si="4"/>
        <v>0</v>
      </c>
      <c r="F20">
        <f t="shared" si="5"/>
        <v>5.0269678876779267</v>
      </c>
      <c r="G20" s="9">
        <f t="shared" si="6"/>
        <v>8.9737754918074772E-2</v>
      </c>
      <c r="H20" s="9">
        <f t="shared" si="6"/>
        <v>0</v>
      </c>
      <c r="I20" s="9">
        <f t="shared" si="6"/>
        <v>2.997902081893979E-2</v>
      </c>
      <c r="J20" s="9">
        <f t="shared" si="7"/>
        <v>1.166590813934972E-2</v>
      </c>
      <c r="K20" s="9">
        <f t="shared" si="8"/>
        <v>0</v>
      </c>
      <c r="L20" s="9">
        <f t="shared" si="9"/>
        <v>1.1991608327575917E-2</v>
      </c>
      <c r="M20">
        <f t="shared" si="0"/>
        <v>163.73935557695054</v>
      </c>
      <c r="N20">
        <f t="shared" si="10"/>
        <v>0</v>
      </c>
      <c r="O20">
        <f t="shared" si="24"/>
        <v>163.73935557695054</v>
      </c>
      <c r="P20">
        <f>IF($I$3=0,0,M20/(1+EXP(-$I$3*(B20-$J$3)))-M20/(1+EXP($I$3*$J$3)))</f>
        <v>114.6114185014774</v>
      </c>
      <c r="Q20" s="9">
        <f t="shared" si="1"/>
        <v>0.69996255999441082</v>
      </c>
      <c r="R20">
        <f>VLOOKUP($B$1,dictionary!$A$3:$K$51,3,FALSE)*Q20</f>
        <v>6.9996255999441079E-2</v>
      </c>
      <c r="S20">
        <f>VLOOKUP($B$1,dictionary!$A$3:$K$51,4,FALSE)*Q20</f>
        <v>6.9996255999441079E-2</v>
      </c>
      <c r="T20">
        <f>VLOOKUP($B$1,dictionary!$A$3:$K$51,5,FALSE)*Q20</f>
        <v>0.38497940799692598</v>
      </c>
      <c r="U20">
        <f>VLOOKUP($B$1,dictionary!$A$3:$K$51,6,FALSE)*Q20</f>
        <v>0</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49.127937075473142</v>
      </c>
      <c r="AB20">
        <f t="shared" si="11"/>
        <v>49.127937075473142</v>
      </c>
      <c r="AC20">
        <f t="shared" si="12"/>
        <v>0</v>
      </c>
      <c r="AD20">
        <f t="shared" si="3"/>
        <v>11.46114185014774</v>
      </c>
      <c r="AE20">
        <f t="shared" si="13"/>
        <v>5.093840822287885</v>
      </c>
      <c r="AF20">
        <f t="shared" si="14"/>
        <v>70.04031130645842</v>
      </c>
      <c r="AG20">
        <f t="shared" si="15"/>
        <v>0</v>
      </c>
      <c r="AH20">
        <f t="shared" si="16"/>
        <v>0</v>
      </c>
      <c r="AI20">
        <f t="shared" si="17"/>
        <v>6.032179921130389</v>
      </c>
      <c r="AJ20">
        <f t="shared" si="18"/>
        <v>0</v>
      </c>
      <c r="AK20">
        <f t="shared" si="19"/>
        <v>22.92228370029548</v>
      </c>
      <c r="AL20">
        <f t="shared" si="20"/>
        <v>0</v>
      </c>
    </row>
    <row r="21" spans="1:38" x14ac:dyDescent="0.2">
      <c r="A21">
        <v>2038</v>
      </c>
      <c r="B21">
        <v>13</v>
      </c>
      <c r="C21">
        <f t="shared" si="21"/>
        <v>171.2041979061768</v>
      </c>
      <c r="D21">
        <f t="shared" si="23"/>
        <v>16.631374076669417</v>
      </c>
      <c r="E21">
        <f t="shared" si="4"/>
        <v>0</v>
      </c>
      <c r="F21">
        <f t="shared" si="5"/>
        <v>5.5604769472813587</v>
      </c>
      <c r="G21" s="9">
        <f t="shared" si="6"/>
        <v>9.7143494610942488E-2</v>
      </c>
      <c r="H21" s="9">
        <f t="shared" si="6"/>
        <v>0</v>
      </c>
      <c r="I21" s="9">
        <f t="shared" si="6"/>
        <v>3.2478625029560358E-2</v>
      </c>
      <c r="J21" s="9">
        <f t="shared" si="7"/>
        <v>1.2628654299422525E-2</v>
      </c>
      <c r="K21" s="9">
        <f t="shared" si="8"/>
        <v>0</v>
      </c>
      <c r="L21" s="9">
        <f t="shared" si="9"/>
        <v>1.2991450011824144E-2</v>
      </c>
      <c r="M21">
        <f t="shared" si="0"/>
        <v>166.84601703374008</v>
      </c>
      <c r="N21">
        <f t="shared" si="10"/>
        <v>0</v>
      </c>
      <c r="O21">
        <f t="shared" si="24"/>
        <v>166.84601703374008</v>
      </c>
      <c r="P21">
        <f t="shared" si="22"/>
        <v>130.66423785620412</v>
      </c>
      <c r="Q21" s="9">
        <f t="shared" si="1"/>
        <v>0.78314268556845934</v>
      </c>
      <c r="R21">
        <f>VLOOKUP($B$1,dictionary!$A$3:$K$51,3,FALSE)*Q21</f>
        <v>7.8314268556845937E-2</v>
      </c>
      <c r="S21">
        <f>VLOOKUP($B$1,dictionary!$A$3:$K$51,4,FALSE)*Q21</f>
        <v>7.8314268556845937E-2</v>
      </c>
      <c r="T21">
        <f>VLOOKUP($B$1,dictionary!$A$3:$K$51,5,FALSE)*Q21</f>
        <v>0.43072847706265266</v>
      </c>
      <c r="U21">
        <f>VLOOKUP($B$1,dictionary!$A$3:$K$51,6,FALSE)*Q21</f>
        <v>0</v>
      </c>
      <c r="V21">
        <f>VLOOKUP($B$1,dictionary!$A$3:$K$51,7,FALSE)*Q21</f>
        <v>0</v>
      </c>
      <c r="W21">
        <f>VLOOKUP($B$1,dictionary!$A$3:$K$51,8,FALSE)*Q21</f>
        <v>3.9157134278422968E-2</v>
      </c>
      <c r="X21">
        <f>VLOOKUP($B$1,dictionary!$A$3:$K$51,9,FALSE)*Q21</f>
        <v>0</v>
      </c>
      <c r="Y21">
        <f>VLOOKUP($B$1,dictionary!$A$3:$K$51,10,FALSE)*Q21</f>
        <v>0.15662853711369187</v>
      </c>
      <c r="Z21">
        <f>VLOOKUP($B$1,dictionary!$A$3:$K$51,11,FALSE)*Q21</f>
        <v>0</v>
      </c>
      <c r="AA21">
        <f t="shared" si="2"/>
        <v>36.181779177535958</v>
      </c>
      <c r="AB21">
        <f t="shared" si="11"/>
        <v>36.181779177535958</v>
      </c>
      <c r="AC21">
        <f t="shared" si="12"/>
        <v>0</v>
      </c>
      <c r="AD21">
        <f t="shared" si="3"/>
        <v>13.066423785620412</v>
      </c>
      <c r="AE21">
        <f t="shared" si="13"/>
        <v>5.8072994602757388</v>
      </c>
      <c r="AF21">
        <f t="shared" si="14"/>
        <v>79.85036757879142</v>
      </c>
      <c r="AG21">
        <f t="shared" si="15"/>
        <v>0</v>
      </c>
      <c r="AH21">
        <f t="shared" si="16"/>
        <v>0</v>
      </c>
      <c r="AI21">
        <f t="shared" si="17"/>
        <v>6.8770651503265325</v>
      </c>
      <c r="AJ21">
        <f t="shared" si="18"/>
        <v>0</v>
      </c>
      <c r="AK21">
        <f t="shared" si="19"/>
        <v>26.132847571240823</v>
      </c>
      <c r="AL21">
        <f t="shared" si="20"/>
        <v>0</v>
      </c>
    </row>
    <row r="22" spans="1:38" x14ac:dyDescent="0.2">
      <c r="A22">
        <v>2039</v>
      </c>
      <c r="B22">
        <v>14</v>
      </c>
      <c r="C22">
        <f t="shared" si="21"/>
        <v>174.79948606220651</v>
      </c>
      <c r="D22">
        <f t="shared" si="23"/>
        <v>18.270523035857181</v>
      </c>
      <c r="E22">
        <f t="shared" si="4"/>
        <v>0</v>
      </c>
      <c r="F22">
        <f t="shared" si="5"/>
        <v>6.1141109654953851</v>
      </c>
      <c r="G22" s="9">
        <f t="shared" si="6"/>
        <v>0.10452275030920391</v>
      </c>
      <c r="H22" s="9">
        <f t="shared" si="6"/>
        <v>0</v>
      </c>
      <c r="I22" s="9">
        <f t="shared" si="6"/>
        <v>3.4977854358905464E-2</v>
      </c>
      <c r="J22" s="9">
        <f t="shared" si="7"/>
        <v>1.3587957540196509E-2</v>
      </c>
      <c r="K22" s="9">
        <f t="shared" si="8"/>
        <v>0</v>
      </c>
      <c r="L22" s="9">
        <f t="shared" si="9"/>
        <v>1.3991141743562186E-2</v>
      </c>
      <c r="M22">
        <f t="shared" si="0"/>
        <v>170.01190499342499</v>
      </c>
      <c r="N22">
        <f t="shared" si="10"/>
        <v>0</v>
      </c>
      <c r="O22">
        <f t="shared" si="24"/>
        <v>170.01190499342499</v>
      </c>
      <c r="P22">
        <f t="shared" si="22"/>
        <v>144.02762417766647</v>
      </c>
      <c r="Q22" s="9">
        <f t="shared" si="1"/>
        <v>0.84716199246891899</v>
      </c>
      <c r="R22">
        <f>VLOOKUP($B$1,dictionary!$A$3:$K$51,3,FALSE)*Q22</f>
        <v>8.4716199246891902E-2</v>
      </c>
      <c r="S22">
        <f>VLOOKUP($B$1,dictionary!$A$3:$K$51,4,FALSE)*Q22</f>
        <v>8.4716199246891902E-2</v>
      </c>
      <c r="T22">
        <f>VLOOKUP($B$1,dictionary!$A$3:$K$51,5,FALSE)*Q22</f>
        <v>0.46593909585790549</v>
      </c>
      <c r="U22">
        <f>VLOOKUP($B$1,dictionary!$A$3:$K$51,6,FALSE)*Q22</f>
        <v>0</v>
      </c>
      <c r="V22">
        <f>VLOOKUP($B$1,dictionary!$A$3:$K$51,7,FALSE)*Q22</f>
        <v>0</v>
      </c>
      <c r="W22">
        <f>VLOOKUP($B$1,dictionary!$A$3:$K$51,8,FALSE)*Q22</f>
        <v>4.2358099623445951E-2</v>
      </c>
      <c r="X22">
        <f>VLOOKUP($B$1,dictionary!$A$3:$K$51,9,FALSE)*Q22</f>
        <v>0</v>
      </c>
      <c r="Y22">
        <f>VLOOKUP($B$1,dictionary!$A$3:$K$51,10,FALSE)*Q22</f>
        <v>0.1694323984937838</v>
      </c>
      <c r="Z22">
        <f>VLOOKUP($B$1,dictionary!$A$3:$K$51,11,FALSE)*Q22</f>
        <v>0</v>
      </c>
      <c r="AA22">
        <f t="shared" si="2"/>
        <v>25.984280815758524</v>
      </c>
      <c r="AB22">
        <f t="shared" si="11"/>
        <v>25.984280815758524</v>
      </c>
      <c r="AC22">
        <f t="shared" si="12"/>
        <v>0</v>
      </c>
      <c r="AD22">
        <f t="shared" si="3"/>
        <v>14.402762417766647</v>
      </c>
      <c r="AE22">
        <f t="shared" si="13"/>
        <v>6.4012277412296212</v>
      </c>
      <c r="AF22">
        <f t="shared" si="14"/>
        <v>88.016881441907302</v>
      </c>
      <c r="AG22">
        <f t="shared" si="15"/>
        <v>0</v>
      </c>
      <c r="AH22">
        <f t="shared" si="16"/>
        <v>0</v>
      </c>
      <c r="AI22">
        <f t="shared" si="17"/>
        <v>7.5804012725087615</v>
      </c>
      <c r="AJ22">
        <f t="shared" si="18"/>
        <v>0</v>
      </c>
      <c r="AK22">
        <f t="shared" si="19"/>
        <v>28.805524835533294</v>
      </c>
      <c r="AL22">
        <f t="shared" si="20"/>
        <v>0</v>
      </c>
    </row>
    <row r="23" spans="1:38" x14ac:dyDescent="0.2">
      <c r="A23">
        <v>2040</v>
      </c>
      <c r="B23">
        <v>15</v>
      </c>
      <c r="C23">
        <f t="shared" si="21"/>
        <v>178.47027526951283</v>
      </c>
      <c r="D23">
        <f t="shared" si="23"/>
        <v>19.965891268926399</v>
      </c>
      <c r="E23">
        <f t="shared" si="4"/>
        <v>0</v>
      </c>
      <c r="F23">
        <f t="shared" si="5"/>
        <v>6.6884562560644412</v>
      </c>
      <c r="G23" s="9">
        <f t="shared" si="6"/>
        <v>0.11187236215540858</v>
      </c>
      <c r="H23" s="9">
        <f t="shared" si="6"/>
        <v>0</v>
      </c>
      <c r="I23" s="9">
        <f t="shared" si="6"/>
        <v>3.7476583963150283E-2</v>
      </c>
      <c r="J23" s="9">
        <f t="shared" si="7"/>
        <v>1.4543407080203116E-2</v>
      </c>
      <c r="K23" s="9">
        <f t="shared" si="8"/>
        <v>0</v>
      </c>
      <c r="L23" s="9">
        <f t="shared" si="9"/>
        <v>1.4990633585260114E-2</v>
      </c>
      <c r="M23">
        <f t="shared" si="0"/>
        <v>173.23823607895466</v>
      </c>
      <c r="N23">
        <f t="shared" si="10"/>
        <v>0</v>
      </c>
      <c r="O23">
        <f t="shared" si="24"/>
        <v>173.23823607895466</v>
      </c>
      <c r="P23">
        <f t="shared" si="22"/>
        <v>154.81670440753612</v>
      </c>
      <c r="Q23" s="9">
        <f t="shared" si="1"/>
        <v>0.89366359247029747</v>
      </c>
      <c r="R23">
        <f>VLOOKUP($B$1,dictionary!$A$3:$K$51,3,FALSE)*Q23</f>
        <v>8.936635924702975E-2</v>
      </c>
      <c r="S23">
        <f>VLOOKUP($B$1,dictionary!$A$3:$K$51,4,FALSE)*Q23</f>
        <v>8.936635924702975E-2</v>
      </c>
      <c r="T23">
        <f>VLOOKUP($B$1,dictionary!$A$3:$K$51,5,FALSE)*Q23</f>
        <v>0.49151497585866366</v>
      </c>
      <c r="U23">
        <f>VLOOKUP($B$1,dictionary!$A$3:$K$51,6,FALSE)*Q23</f>
        <v>0</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18.421531671418535</v>
      </c>
      <c r="AB23">
        <f t="shared" si="11"/>
        <v>18.421531671418535</v>
      </c>
      <c r="AC23">
        <f t="shared" si="12"/>
        <v>0</v>
      </c>
      <c r="AD23">
        <f t="shared" si="3"/>
        <v>15.481670440753613</v>
      </c>
      <c r="AE23">
        <f t="shared" si="13"/>
        <v>6.8807424181127175</v>
      </c>
      <c r="AF23">
        <f t="shared" si="14"/>
        <v>94.610208249049862</v>
      </c>
      <c r="AG23">
        <f t="shared" si="15"/>
        <v>0</v>
      </c>
      <c r="AH23">
        <f t="shared" si="16"/>
        <v>0</v>
      </c>
      <c r="AI23">
        <f t="shared" si="17"/>
        <v>8.1482476003966369</v>
      </c>
      <c r="AJ23">
        <f t="shared" si="18"/>
        <v>0</v>
      </c>
      <c r="AK23">
        <f t="shared" si="19"/>
        <v>30.963340881507225</v>
      </c>
      <c r="AL23">
        <f t="shared" si="20"/>
        <v>0</v>
      </c>
    </row>
    <row r="24" spans="1:38" x14ac:dyDescent="0.2">
      <c r="A24">
        <v>2041</v>
      </c>
      <c r="B24">
        <v>16</v>
      </c>
      <c r="C24">
        <f t="shared" si="21"/>
        <v>182.21815105017257</v>
      </c>
      <c r="D24">
        <f t="shared" si="23"/>
        <v>21.718439691765653</v>
      </c>
      <c r="E24">
        <f t="shared" si="4"/>
        <v>0</v>
      </c>
      <c r="F24">
        <f t="shared" si="5"/>
        <v>7.2841139363068237</v>
      </c>
      <c r="G24" s="9">
        <f t="shared" si="6"/>
        <v>0.11918922218558581</v>
      </c>
      <c r="H24" s="9">
        <f t="shared" si="6"/>
        <v>0</v>
      </c>
      <c r="I24" s="9">
        <f t="shared" si="6"/>
        <v>3.9974689098349982E-2</v>
      </c>
      <c r="J24" s="9">
        <f t="shared" si="7"/>
        <v>1.5494598884126156E-2</v>
      </c>
      <c r="K24" s="9">
        <f t="shared" si="8"/>
        <v>0</v>
      </c>
      <c r="L24" s="9">
        <f t="shared" si="9"/>
        <v>1.5989875639339995E-2</v>
      </c>
      <c r="M24">
        <f t="shared" si="0"/>
        <v>176.52625408518804</v>
      </c>
      <c r="N24">
        <f t="shared" si="10"/>
        <v>0</v>
      </c>
      <c r="O24">
        <f t="shared" si="24"/>
        <v>176.52625408518804</v>
      </c>
      <c r="P24">
        <f t="shared" si="22"/>
        <v>163.4703196068462</v>
      </c>
      <c r="Q24" s="9">
        <f t="shared" si="1"/>
        <v>0.92603970131241042</v>
      </c>
      <c r="R24">
        <f>VLOOKUP($B$1,dictionary!$A$3:$K$51,3,FALSE)*Q24</f>
        <v>9.2603970131241053E-2</v>
      </c>
      <c r="S24">
        <f>VLOOKUP($B$1,dictionary!$A$3:$K$51,4,FALSE)*Q24</f>
        <v>9.2603970131241053E-2</v>
      </c>
      <c r="T24">
        <f>VLOOKUP($B$1,dictionary!$A$3:$K$51,5,FALSE)*Q24</f>
        <v>0.50932183572182577</v>
      </c>
      <c r="U24">
        <f>VLOOKUP($B$1,dictionary!$A$3:$K$51,6,FALSE)*Q24</f>
        <v>0</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13.05593447834184</v>
      </c>
      <c r="AB24">
        <f t="shared" si="11"/>
        <v>13.05593447834184</v>
      </c>
      <c r="AC24">
        <f t="shared" si="12"/>
        <v>0</v>
      </c>
      <c r="AD24">
        <f t="shared" si="3"/>
        <v>16.347031960684621</v>
      </c>
      <c r="AE24">
        <f t="shared" si="13"/>
        <v>7.2653475380820547</v>
      </c>
      <c r="AF24">
        <f t="shared" si="14"/>
        <v>99.898528648628243</v>
      </c>
      <c r="AG24">
        <f t="shared" si="15"/>
        <v>0</v>
      </c>
      <c r="AH24">
        <f t="shared" si="16"/>
        <v>0</v>
      </c>
      <c r="AI24">
        <f t="shared" si="17"/>
        <v>8.6037010319392735</v>
      </c>
      <c r="AJ24">
        <f t="shared" si="18"/>
        <v>0</v>
      </c>
      <c r="AK24">
        <f t="shared" si="19"/>
        <v>32.694063921369242</v>
      </c>
      <c r="AL24">
        <f t="shared" si="20"/>
        <v>0</v>
      </c>
    </row>
    <row r="25" spans="1:38" x14ac:dyDescent="0.2">
      <c r="A25">
        <v>2042</v>
      </c>
      <c r="B25">
        <v>17</v>
      </c>
      <c r="C25">
        <f t="shared" si="21"/>
        <v>186.04473222222617</v>
      </c>
      <c r="D25">
        <f t="shared" si="23"/>
        <v>23.529129265492358</v>
      </c>
      <c r="E25">
        <f t="shared" si="4"/>
        <v>0</v>
      </c>
      <c r="F25">
        <f t="shared" si="5"/>
        <v>7.9017002659931705</v>
      </c>
      <c r="G25" s="9">
        <f t="shared" si="6"/>
        <v>0.12647027940241465</v>
      </c>
      <c r="H25" s="9">
        <f t="shared" si="6"/>
        <v>0</v>
      </c>
      <c r="I25" s="9">
        <f t="shared" si="6"/>
        <v>4.2472045145329727E-2</v>
      </c>
      <c r="J25" s="9">
        <f t="shared" si="7"/>
        <v>1.6441136322313903E-2</v>
      </c>
      <c r="K25" s="9">
        <f t="shared" si="8"/>
        <v>0</v>
      </c>
      <c r="L25" s="9">
        <f t="shared" si="9"/>
        <v>1.6988818058131891E-2</v>
      </c>
      <c r="M25">
        <f t="shared" si="0"/>
        <v>179.8772304838154</v>
      </c>
      <c r="N25">
        <f t="shared" si="10"/>
        <v>0</v>
      </c>
      <c r="O25">
        <f t="shared" si="24"/>
        <v>179.8772304838154</v>
      </c>
      <c r="P25">
        <f>IF($I$3=0,0,M25/(1+EXP(-$I$3*(B25-$J$3)))-M25/(1+EXP($I$3*$J$3)))</f>
        <v>170.50954435220012</v>
      </c>
      <c r="Q25" s="9">
        <f t="shared" si="1"/>
        <v>0.94792177916894194</v>
      </c>
      <c r="R25">
        <f>VLOOKUP($B$1,dictionary!$A$3:$K$51,3,FALSE)*Q25</f>
        <v>9.4792177916894205E-2</v>
      </c>
      <c r="S25">
        <f>VLOOKUP($B$1,dictionary!$A$3:$K$51,4,FALSE)*Q25</f>
        <v>9.4792177916894205E-2</v>
      </c>
      <c r="T25">
        <f>VLOOKUP($B$1,dictionary!$A$3:$K$51,5,FALSE)*Q25</f>
        <v>0.52135697854291807</v>
      </c>
      <c r="U25">
        <f>VLOOKUP($B$1,dictionary!$A$3:$K$51,6,FALSE)*Q25</f>
        <v>0</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9.3676861316152724</v>
      </c>
      <c r="AB25">
        <f t="shared" si="11"/>
        <v>9.3676861316152724</v>
      </c>
      <c r="AC25">
        <f t="shared" si="12"/>
        <v>0</v>
      </c>
      <c r="AD25">
        <f t="shared" si="3"/>
        <v>17.050954435220014</v>
      </c>
      <c r="AE25">
        <f t="shared" si="13"/>
        <v>7.5782019712088955</v>
      </c>
      <c r="AF25">
        <f t="shared" si="14"/>
        <v>104.20027710412229</v>
      </c>
      <c r="AG25">
        <f t="shared" si="15"/>
        <v>0</v>
      </c>
      <c r="AH25">
        <f t="shared" si="16"/>
        <v>0</v>
      </c>
      <c r="AI25">
        <f t="shared" si="17"/>
        <v>8.974186544852639</v>
      </c>
      <c r="AJ25">
        <f t="shared" si="18"/>
        <v>0</v>
      </c>
      <c r="AK25">
        <f t="shared" si="19"/>
        <v>34.101908870440027</v>
      </c>
      <c r="AL25">
        <f t="shared" si="20"/>
        <v>0</v>
      </c>
    </row>
    <row r="26" spans="1:38" x14ac:dyDescent="0.2">
      <c r="A26">
        <v>2043</v>
      </c>
      <c r="B26">
        <v>18</v>
      </c>
      <c r="C26">
        <f t="shared" si="21"/>
        <v>189.95167159889291</v>
      </c>
      <c r="D26">
        <f t="shared" si="23"/>
        <v>25.398921368211674</v>
      </c>
      <c r="E26">
        <f t="shared" si="4"/>
        <v>0</v>
      </c>
      <c r="F26">
        <f t="shared" si="5"/>
        <v>8.5418469935184334</v>
      </c>
      <c r="G26" s="9">
        <f t="shared" si="6"/>
        <v>0.13371254464053742</v>
      </c>
      <c r="H26" s="9">
        <f t="shared" si="6"/>
        <v>0</v>
      </c>
      <c r="I26" s="9">
        <f t="shared" si="6"/>
        <v>4.4968527634521839E-2</v>
      </c>
      <c r="J26" s="9">
        <f t="shared" si="7"/>
        <v>1.7382630803269863E-2</v>
      </c>
      <c r="K26" s="9">
        <f t="shared" si="8"/>
        <v>0</v>
      </c>
      <c r="L26" s="9">
        <f t="shared" si="9"/>
        <v>1.7987411053808737E-2</v>
      </c>
      <c r="M26">
        <f t="shared" si="0"/>
        <v>183.29246493268457</v>
      </c>
      <c r="N26">
        <f t="shared" si="10"/>
        <v>0</v>
      </c>
      <c r="O26">
        <f t="shared" si="24"/>
        <v>183.29246493268457</v>
      </c>
      <c r="P26">
        <f t="shared" si="22"/>
        <v>176.40361262334662</v>
      </c>
      <c r="Q26" s="9">
        <f t="shared" si="1"/>
        <v>0.96241606379254097</v>
      </c>
      <c r="R26">
        <f>VLOOKUP($B$1,dictionary!$A$3:$K$51,3,FALSE)*Q26</f>
        <v>9.6241606379254108E-2</v>
      </c>
      <c r="S26">
        <f>VLOOKUP($B$1,dictionary!$A$3:$K$51,4,FALSE)*Q26</f>
        <v>9.6241606379254108E-2</v>
      </c>
      <c r="T26">
        <f>VLOOKUP($B$1,dictionary!$A$3:$K$51,5,FALSE)*Q26</f>
        <v>0.52932883508589756</v>
      </c>
      <c r="U26">
        <f>VLOOKUP($B$1,dictionary!$A$3:$K$51,6,FALSE)*Q26</f>
        <v>0</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6.888852309337949</v>
      </c>
      <c r="AB26">
        <f t="shared" si="11"/>
        <v>6.888852309337949</v>
      </c>
      <c r="AC26">
        <f t="shared" si="12"/>
        <v>0</v>
      </c>
      <c r="AD26">
        <f t="shared" si="3"/>
        <v>17.640361262334665</v>
      </c>
      <c r="AE26">
        <f t="shared" si="13"/>
        <v>7.8401605610376297</v>
      </c>
      <c r="AF26">
        <f t="shared" si="14"/>
        <v>107.8022077142674</v>
      </c>
      <c r="AG26">
        <f t="shared" si="15"/>
        <v>0</v>
      </c>
      <c r="AH26">
        <f t="shared" si="16"/>
        <v>0</v>
      </c>
      <c r="AI26">
        <f t="shared" si="17"/>
        <v>9.2844006643866646</v>
      </c>
      <c r="AJ26">
        <f t="shared" si="18"/>
        <v>0</v>
      </c>
      <c r="AK26">
        <f t="shared" si="19"/>
        <v>35.280722524669329</v>
      </c>
      <c r="AL26">
        <f t="shared" si="20"/>
        <v>0</v>
      </c>
    </row>
    <row r="27" spans="1:38" x14ac:dyDescent="0.2">
      <c r="A27">
        <v>2044</v>
      </c>
      <c r="B27">
        <v>19</v>
      </c>
      <c r="C27">
        <f t="shared" si="21"/>
        <v>193.94065670246965</v>
      </c>
      <c r="D27">
        <f t="shared" si="23"/>
        <v>27.328778222709431</v>
      </c>
      <c r="E27">
        <f t="shared" si="4"/>
        <v>0</v>
      </c>
      <c r="F27">
        <f t="shared" si="5"/>
        <v>9.2052017095214183</v>
      </c>
      <c r="G27" s="9">
        <f t="shared" si="6"/>
        <v>0.14091309520847584</v>
      </c>
      <c r="H27" s="9">
        <f t="shared" si="6"/>
        <v>0</v>
      </c>
      <c r="I27" s="9">
        <f t="shared" si="6"/>
        <v>4.7464012270740125E-2</v>
      </c>
      <c r="J27" s="9">
        <f t="shared" si="7"/>
        <v>1.8318702377101859E-2</v>
      </c>
      <c r="K27" s="9">
        <f t="shared" si="8"/>
        <v>0</v>
      </c>
      <c r="L27" s="9">
        <f t="shared" si="9"/>
        <v>1.8985604908296053E-2</v>
      </c>
      <c r="M27">
        <f t="shared" si="0"/>
        <v>186.77328578988403</v>
      </c>
      <c r="N27">
        <f t="shared" si="10"/>
        <v>0</v>
      </c>
      <c r="O27">
        <f t="shared" si="24"/>
        <v>186.77328578988403</v>
      </c>
      <c r="P27">
        <f t="shared" si="22"/>
        <v>181.5229064456293</v>
      </c>
      <c r="Q27" s="9">
        <f t="shared" si="1"/>
        <v>0.97188902405367927</v>
      </c>
      <c r="R27">
        <f>VLOOKUP($B$1,dictionary!$A$3:$K$51,3,FALSE)*Q27</f>
        <v>9.7188902405367927E-2</v>
      </c>
      <c r="S27">
        <f>VLOOKUP($B$1,dictionary!$A$3:$K$51,4,FALSE)*Q27</f>
        <v>9.7188902405367927E-2</v>
      </c>
      <c r="T27">
        <f>VLOOKUP($B$1,dictionary!$A$3:$K$51,5,FALSE)*Q27</f>
        <v>0.53453896322952366</v>
      </c>
      <c r="U27">
        <f>VLOOKUP($B$1,dictionary!$A$3:$K$51,6,FALSE)*Q27</f>
        <v>0</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5.2503793442547249</v>
      </c>
      <c r="AB27">
        <f t="shared" si="11"/>
        <v>5.2503793442547249</v>
      </c>
      <c r="AC27">
        <f t="shared" si="12"/>
        <v>0</v>
      </c>
      <c r="AD27">
        <f t="shared" si="3"/>
        <v>18.152290644562932</v>
      </c>
      <c r="AE27">
        <f t="shared" si="13"/>
        <v>8.0676847309168593</v>
      </c>
      <c r="AF27">
        <f t="shared" si="14"/>
        <v>110.93066505010681</v>
      </c>
      <c r="AG27">
        <f t="shared" si="15"/>
        <v>0</v>
      </c>
      <c r="AH27">
        <f t="shared" si="16"/>
        <v>0</v>
      </c>
      <c r="AI27">
        <f t="shared" si="17"/>
        <v>9.5538371813489107</v>
      </c>
      <c r="AJ27">
        <f t="shared" si="18"/>
        <v>0</v>
      </c>
      <c r="AK27">
        <f t="shared" si="19"/>
        <v>36.304581289125863</v>
      </c>
      <c r="AL27">
        <f t="shared" si="20"/>
        <v>0</v>
      </c>
    </row>
    <row r="28" spans="1:38" x14ac:dyDescent="0.2">
      <c r="A28">
        <v>2045</v>
      </c>
      <c r="B28">
        <v>20</v>
      </c>
      <c r="C28">
        <f t="shared" si="21"/>
        <v>198.0134104932215</v>
      </c>
      <c r="D28">
        <f t="shared" si="23"/>
        <v>29.319663379392551</v>
      </c>
      <c r="E28">
        <f t="shared" si="4"/>
        <v>0</v>
      </c>
      <c r="F28">
        <f t="shared" si="5"/>
        <v>9.8924282081089814</v>
      </c>
      <c r="G28" s="9">
        <f t="shared" si="6"/>
        <v>0.14806907929297161</v>
      </c>
      <c r="H28" s="9">
        <f t="shared" si="6"/>
        <v>0</v>
      </c>
      <c r="I28" s="9">
        <f t="shared" si="6"/>
        <v>4.995837495788006E-2</v>
      </c>
      <c r="J28" s="9">
        <f t="shared" si="7"/>
        <v>1.9248980308086309E-2</v>
      </c>
      <c r="K28" s="9">
        <f t="shared" si="8"/>
        <v>0</v>
      </c>
      <c r="L28" s="9">
        <f t="shared" si="9"/>
        <v>1.9983349983152026E-2</v>
      </c>
      <c r="M28">
        <f t="shared" si="0"/>
        <v>190.32105063296771</v>
      </c>
      <c r="N28">
        <f t="shared" si="10"/>
        <v>0</v>
      </c>
      <c r="O28">
        <f t="shared" si="24"/>
        <v>190.32105063296771</v>
      </c>
      <c r="P28">
        <f t="shared" si="22"/>
        <v>186.13895770357044</v>
      </c>
      <c r="Q28" s="9">
        <f t="shared" si="1"/>
        <v>0.97802611473881362</v>
      </c>
      <c r="R28">
        <f>VLOOKUP($B$1,dictionary!$A$3:$K$51,3,FALSE)*Q28</f>
        <v>9.7802611473881362E-2</v>
      </c>
      <c r="S28">
        <f>VLOOKUP($B$1,dictionary!$A$3:$K$51,4,FALSE)*Q28</f>
        <v>9.7802611473881362E-2</v>
      </c>
      <c r="T28">
        <f>VLOOKUP($B$1,dictionary!$A$3:$K$51,5,FALSE)*Q28</f>
        <v>0.53791436310634755</v>
      </c>
      <c r="U28">
        <f>VLOOKUP($B$1,dictionary!$A$3:$K$51,6,FALSE)*Q28</f>
        <v>0</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4.1820929293972711</v>
      </c>
      <c r="AB28">
        <f t="shared" si="11"/>
        <v>4.1820929293972711</v>
      </c>
      <c r="AC28">
        <f t="shared" si="12"/>
        <v>0</v>
      </c>
      <c r="AD28">
        <f t="shared" si="3"/>
        <v>18.613895770357043</v>
      </c>
      <c r="AE28">
        <f t="shared" si="13"/>
        <v>8.2728425646031312</v>
      </c>
      <c r="AF28">
        <f t="shared" si="14"/>
        <v>113.75158526329307</v>
      </c>
      <c r="AG28">
        <f t="shared" si="15"/>
        <v>0</v>
      </c>
      <c r="AH28">
        <f t="shared" si="16"/>
        <v>0</v>
      </c>
      <c r="AI28">
        <f t="shared" si="17"/>
        <v>9.7967872475563382</v>
      </c>
      <c r="AJ28">
        <f t="shared" si="18"/>
        <v>0</v>
      </c>
      <c r="AK28">
        <f t="shared" si="19"/>
        <v>37.227791540714087</v>
      </c>
      <c r="AL28">
        <f t="shared" si="20"/>
        <v>0</v>
      </c>
    </row>
    <row r="29" spans="1:38" x14ac:dyDescent="0.2">
      <c r="A29">
        <v>2046</v>
      </c>
      <c r="B29">
        <v>21</v>
      </c>
      <c r="C29">
        <f t="shared" si="21"/>
        <v>202.17169211357913</v>
      </c>
      <c r="D29">
        <f t="shared" si="23"/>
        <v>31.372542253572277</v>
      </c>
      <c r="E29">
        <f t="shared" si="4"/>
        <v>0</v>
      </c>
      <c r="F29">
        <f t="shared" si="5"/>
        <v>10.604206855845376</v>
      </c>
      <c r="G29" s="9">
        <f t="shared" si="6"/>
        <v>0.15517772011299844</v>
      </c>
      <c r="H29" s="9">
        <f t="shared" si="6"/>
        <v>0</v>
      </c>
      <c r="I29" s="9">
        <f t="shared" si="6"/>
        <v>5.2451491823533737E-2</v>
      </c>
      <c r="J29" s="9">
        <f t="shared" si="7"/>
        <v>2.0173103614689797E-2</v>
      </c>
      <c r="K29" s="9">
        <f t="shared" si="8"/>
        <v>0</v>
      </c>
      <c r="L29" s="9">
        <f t="shared" si="9"/>
        <v>2.0980596729413496E-2</v>
      </c>
      <c r="M29">
        <f t="shared" si="0"/>
        <v>193.9371467837384</v>
      </c>
      <c r="N29">
        <f t="shared" si="10"/>
        <v>0</v>
      </c>
      <c r="O29">
        <f t="shared" si="24"/>
        <v>193.9371467837384</v>
      </c>
      <c r="P29">
        <f t="shared" si="22"/>
        <v>190.44229665359003</v>
      </c>
      <c r="Q29" s="9">
        <f t="shared" si="1"/>
        <v>0.98197947021441168</v>
      </c>
      <c r="R29">
        <f>VLOOKUP($B$1,dictionary!$A$3:$K$51,3,FALSE)*Q29</f>
        <v>9.8197947021441176E-2</v>
      </c>
      <c r="S29">
        <f>VLOOKUP($B$1,dictionary!$A$3:$K$51,4,FALSE)*Q29</f>
        <v>9.8197947021441176E-2</v>
      </c>
      <c r="T29">
        <f>VLOOKUP($B$1,dictionary!$A$3:$K$51,5,FALSE)*Q29</f>
        <v>0.54008870861792646</v>
      </c>
      <c r="U29">
        <f>VLOOKUP($B$1,dictionary!$A$3:$K$51,6,FALSE)*Q29</f>
        <v>0</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3.4948501301483645</v>
      </c>
      <c r="AB29">
        <f t="shared" si="11"/>
        <v>3.4948501301483645</v>
      </c>
      <c r="AC29">
        <f t="shared" si="12"/>
        <v>0</v>
      </c>
      <c r="AD29">
        <f t="shared" si="3"/>
        <v>19.044229665359005</v>
      </c>
      <c r="AE29">
        <f t="shared" si="13"/>
        <v>8.4641020734928922</v>
      </c>
      <c r="AF29">
        <f t="shared" si="14"/>
        <v>116.38140351052725</v>
      </c>
      <c r="AG29">
        <f t="shared" si="15"/>
        <v>0</v>
      </c>
      <c r="AH29">
        <f t="shared" si="16"/>
        <v>0</v>
      </c>
      <c r="AI29">
        <f t="shared" si="17"/>
        <v>10.02327877124158</v>
      </c>
      <c r="AJ29">
        <f t="shared" si="18"/>
        <v>0</v>
      </c>
      <c r="AK29">
        <f t="shared" si="19"/>
        <v>38.08845933071801</v>
      </c>
      <c r="AL29">
        <f t="shared" si="20"/>
        <v>0</v>
      </c>
    </row>
    <row r="30" spans="1:38" x14ac:dyDescent="0.2">
      <c r="A30">
        <v>2047</v>
      </c>
      <c r="B30">
        <v>22</v>
      </c>
      <c r="C30">
        <f t="shared" si="21"/>
        <v>206.41729764796426</v>
      </c>
      <c r="D30">
        <f t="shared" si="23"/>
        <v>33.488382715980833</v>
      </c>
      <c r="E30">
        <f t="shared" si="4"/>
        <v>0</v>
      </c>
      <c r="F30">
        <f t="shared" si="5"/>
        <v>11.341234968671273</v>
      </c>
      <c r="G30" s="9">
        <f t="shared" si="6"/>
        <v>0.16223631981217881</v>
      </c>
      <c r="H30" s="9">
        <f t="shared" si="6"/>
        <v>0</v>
      </c>
      <c r="I30" s="9">
        <f t="shared" si="6"/>
        <v>5.4943239243511736E-2</v>
      </c>
      <c r="J30" s="9">
        <f t="shared" si="7"/>
        <v>2.1090721575583248E-2</v>
      </c>
      <c r="K30" s="9">
        <f t="shared" si="8"/>
        <v>0</v>
      </c>
      <c r="L30" s="9">
        <f t="shared" si="9"/>
        <v>2.1977295697404697E-2</v>
      </c>
      <c r="M30">
        <f t="shared" si="0"/>
        <v>197.62299183903727</v>
      </c>
      <c r="N30">
        <f t="shared" si="10"/>
        <v>0</v>
      </c>
      <c r="O30">
        <f t="shared" si="24"/>
        <v>197.62299183903727</v>
      </c>
      <c r="P30">
        <f t="shared" si="22"/>
        <v>194.56315241102482</v>
      </c>
      <c r="Q30" s="9">
        <f t="shared" si="1"/>
        <v>0.98451678420846567</v>
      </c>
      <c r="R30">
        <f>VLOOKUP($B$1,dictionary!$A$3:$K$51,3,FALSE)*Q30</f>
        <v>9.8451678420846567E-2</v>
      </c>
      <c r="S30">
        <f>VLOOKUP($B$1,dictionary!$A$3:$K$51,4,FALSE)*Q30</f>
        <v>9.8451678420846567E-2</v>
      </c>
      <c r="T30">
        <f>VLOOKUP($B$1,dictionary!$A$3:$K$51,5,FALSE)*Q30</f>
        <v>0.54148423131465617</v>
      </c>
      <c r="U30">
        <f>VLOOKUP($B$1,dictionary!$A$3:$K$51,6,FALSE)*Q30</f>
        <v>0</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3.0598394280124523</v>
      </c>
      <c r="AB30">
        <f t="shared" si="11"/>
        <v>3.0598394280124523</v>
      </c>
      <c r="AC30">
        <f t="shared" si="12"/>
        <v>0</v>
      </c>
      <c r="AD30">
        <f t="shared" si="3"/>
        <v>19.456315241102484</v>
      </c>
      <c r="AE30">
        <f t="shared" si="13"/>
        <v>8.6472512182677708</v>
      </c>
      <c r="AF30">
        <f t="shared" si="14"/>
        <v>118.89970425118186</v>
      </c>
      <c r="AG30">
        <f t="shared" si="15"/>
        <v>0</v>
      </c>
      <c r="AH30">
        <f t="shared" si="16"/>
        <v>0</v>
      </c>
      <c r="AI30">
        <f t="shared" si="17"/>
        <v>10.240165916369728</v>
      </c>
      <c r="AJ30">
        <f t="shared" si="18"/>
        <v>0</v>
      </c>
      <c r="AK30">
        <f t="shared" si="19"/>
        <v>38.912630482204968</v>
      </c>
      <c r="AL30">
        <f t="shared" si="20"/>
        <v>0</v>
      </c>
    </row>
    <row r="31" spans="1:38" x14ac:dyDescent="0.2">
      <c r="A31">
        <v>2048</v>
      </c>
      <c r="B31">
        <v>23</v>
      </c>
      <c r="C31">
        <f t="shared" si="21"/>
        <v>210.7520608985715</v>
      </c>
      <c r="D31">
        <f t="shared" si="23"/>
        <v>35.668155735216857</v>
      </c>
      <c r="E31">
        <f t="shared" si="4"/>
        <v>0</v>
      </c>
      <c r="F31">
        <f t="shared" si="5"/>
        <v>12.104227196919496</v>
      </c>
      <c r="G31" s="9">
        <f t="shared" si="6"/>
        <v>0.16924226307985119</v>
      </c>
      <c r="H31" s="9">
        <f t="shared" si="6"/>
        <v>0</v>
      </c>
      <c r="I31" s="9">
        <f t="shared" si="6"/>
        <v>5.7433493866258747E-2</v>
      </c>
      <c r="J31" s="9">
        <f t="shared" si="7"/>
        <v>2.2001494200380656E-2</v>
      </c>
      <c r="K31" s="9">
        <f t="shared" si="8"/>
        <v>0</v>
      </c>
      <c r="L31" s="9">
        <f t="shared" si="9"/>
        <v>2.2973397546503502E-2</v>
      </c>
      <c r="M31">
        <f t="shared" si="0"/>
        <v>201.38003420801476</v>
      </c>
      <c r="N31">
        <f t="shared" si="10"/>
        <v>0</v>
      </c>
      <c r="O31">
        <f t="shared" si="24"/>
        <v>201.38003420801476</v>
      </c>
      <c r="P31">
        <f t="shared" si="22"/>
        <v>198.58919454761673</v>
      </c>
      <c r="Q31" s="9">
        <f t="shared" si="1"/>
        <v>0.98614142821370643</v>
      </c>
      <c r="R31">
        <f>VLOOKUP($B$1,dictionary!$A$3:$K$51,3,FALSE)*Q31</f>
        <v>9.8614142821370654E-2</v>
      </c>
      <c r="S31">
        <f>VLOOKUP($B$1,dictionary!$A$3:$K$51,4,FALSE)*Q31</f>
        <v>9.8614142821370654E-2</v>
      </c>
      <c r="T31">
        <f>VLOOKUP($B$1,dictionary!$A$3:$K$51,5,FALSE)*Q31</f>
        <v>0.54237778551753857</v>
      </c>
      <c r="U31">
        <f>VLOOKUP($B$1,dictionary!$A$3:$K$51,6,FALSE)*Q31</f>
        <v>0</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2.790839660398035</v>
      </c>
      <c r="AB31">
        <f t="shared" si="11"/>
        <v>2.790839660398035</v>
      </c>
      <c r="AC31">
        <f t="shared" si="12"/>
        <v>0</v>
      </c>
      <c r="AD31">
        <f t="shared" si="3"/>
        <v>19.858919454761676</v>
      </c>
      <c r="AE31">
        <f t="shared" si="13"/>
        <v>8.8261864243385233</v>
      </c>
      <c r="AF31">
        <f t="shared" si="14"/>
        <v>121.36006333465468</v>
      </c>
      <c r="AG31">
        <f t="shared" si="15"/>
        <v>0</v>
      </c>
      <c r="AH31">
        <f t="shared" si="16"/>
        <v>0</v>
      </c>
      <c r="AI31">
        <f t="shared" si="17"/>
        <v>10.452062870927197</v>
      </c>
      <c r="AJ31">
        <f t="shared" si="18"/>
        <v>0</v>
      </c>
      <c r="AK31">
        <f t="shared" si="19"/>
        <v>39.717838909523351</v>
      </c>
      <c r="AL31">
        <f t="shared" si="20"/>
        <v>0</v>
      </c>
    </row>
    <row r="32" spans="1:38" x14ac:dyDescent="0.2">
      <c r="A32">
        <v>2049</v>
      </c>
      <c r="B32">
        <v>24</v>
      </c>
      <c r="C32">
        <f t="shared" si="21"/>
        <v>215.17785417744147</v>
      </c>
      <c r="D32">
        <f t="shared" si="23"/>
        <v>37.912836070637809</v>
      </c>
      <c r="E32">
        <f t="shared" si="4"/>
        <v>0</v>
      </c>
      <c r="F32">
        <f t="shared" si="5"/>
        <v>12.893915918598935</v>
      </c>
      <c r="G32" s="9">
        <f t="shared" si="6"/>
        <v>0.1761930204925915</v>
      </c>
      <c r="H32" s="9">
        <f t="shared" si="6"/>
        <v>0</v>
      </c>
      <c r="I32" s="9">
        <f t="shared" si="6"/>
        <v>5.9922132637154492E-2</v>
      </c>
      <c r="J32" s="9">
        <f t="shared" si="7"/>
        <v>2.2905092664036897E-2</v>
      </c>
      <c r="K32" s="9">
        <f t="shared" si="8"/>
        <v>0</v>
      </c>
      <c r="L32" s="9">
        <f t="shared" si="9"/>
        <v>2.3968853054861797E-2</v>
      </c>
      <c r="M32">
        <f t="shared" si="0"/>
        <v>205.20975365638611</v>
      </c>
      <c r="N32">
        <f t="shared" si="10"/>
        <v>0</v>
      </c>
      <c r="O32">
        <f t="shared" si="24"/>
        <v>205.20975365638611</v>
      </c>
      <c r="P32">
        <f t="shared" si="22"/>
        <v>202.57898891686909</v>
      </c>
      <c r="Q32" s="9">
        <f t="shared" si="1"/>
        <v>0.987180118426914</v>
      </c>
      <c r="R32">
        <f>VLOOKUP($B$1,dictionary!$A$3:$K$51,3,FALSE)*Q32</f>
        <v>9.8718011842691411E-2</v>
      </c>
      <c r="S32">
        <f>VLOOKUP($B$1,dictionary!$A$3:$K$51,4,FALSE)*Q32</f>
        <v>9.8718011842691411E-2</v>
      </c>
      <c r="T32">
        <f>VLOOKUP($B$1,dictionary!$A$3:$K$51,5,FALSE)*Q32</f>
        <v>0.54294906513480279</v>
      </c>
      <c r="U32">
        <f>VLOOKUP($B$1,dictionary!$A$3:$K$51,6,FALSE)*Q32</f>
        <v>0</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2.6307647395170193</v>
      </c>
      <c r="AB32">
        <f t="shared" si="11"/>
        <v>2.6307647395170193</v>
      </c>
      <c r="AC32">
        <f t="shared" si="12"/>
        <v>0</v>
      </c>
      <c r="AD32">
        <f t="shared" si="3"/>
        <v>20.25789889168691</v>
      </c>
      <c r="AE32">
        <f t="shared" si="13"/>
        <v>9.0035106185275158</v>
      </c>
      <c r="AF32">
        <f t="shared" si="14"/>
        <v>123.79827100475336</v>
      </c>
      <c r="AG32">
        <f t="shared" si="15"/>
        <v>0</v>
      </c>
      <c r="AH32">
        <f t="shared" si="16"/>
        <v>0</v>
      </c>
      <c r="AI32">
        <f t="shared" si="17"/>
        <v>10.662052048256268</v>
      </c>
      <c r="AJ32">
        <f t="shared" si="18"/>
        <v>0</v>
      </c>
      <c r="AK32">
        <f t="shared" si="19"/>
        <v>40.51579778337382</v>
      </c>
      <c r="AL32">
        <f t="shared" si="20"/>
        <v>0</v>
      </c>
    </row>
    <row r="33" spans="1:38" x14ac:dyDescent="0.2">
      <c r="A33">
        <v>2050</v>
      </c>
      <c r="B33">
        <v>25</v>
      </c>
      <c r="C33">
        <f t="shared" si="21"/>
        <v>219.69658911516774</v>
      </c>
      <c r="D33">
        <f t="shared" si="23"/>
        <v>40.223403014051655</v>
      </c>
      <c r="E33">
        <f t="shared" si="4"/>
        <v>0</v>
      </c>
      <c r="F33">
        <f t="shared" si="5"/>
        <v>13.711051641121443</v>
      </c>
      <c r="G33" s="9">
        <f t="shared" si="6"/>
        <v>0.18308615156954502</v>
      </c>
      <c r="H33" s="9">
        <f t="shared" si="6"/>
        <v>0</v>
      </c>
      <c r="I33" s="9">
        <f t="shared" si="6"/>
        <v>6.2409032822689552E-2</v>
      </c>
      <c r="J33" s="9">
        <f t="shared" si="7"/>
        <v>2.3801199704040855E-2</v>
      </c>
      <c r="K33" s="9">
        <f t="shared" si="8"/>
        <v>0</v>
      </c>
      <c r="L33" s="9">
        <f t="shared" si="9"/>
        <v>2.4963613129075822E-2</v>
      </c>
      <c r="M33">
        <f t="shared" si="0"/>
        <v>209.11366185819756</v>
      </c>
      <c r="N33">
        <f t="shared" si="10"/>
        <v>0</v>
      </c>
      <c r="O33">
        <f t="shared" si="24"/>
        <v>209.11366185819756</v>
      </c>
      <c r="P33">
        <f t="shared" si="22"/>
        <v>206.57158147798177</v>
      </c>
      <c r="Q33" s="9">
        <f t="shared" si="1"/>
        <v>0.98784354710435129</v>
      </c>
      <c r="R33">
        <f>VLOOKUP($B$1,dictionary!$A$3:$K$51,3,FALSE)*Q33</f>
        <v>9.8784354710435132E-2</v>
      </c>
      <c r="S33">
        <f>VLOOKUP($B$1,dictionary!$A$3:$K$51,4,FALSE)*Q33</f>
        <v>9.8784354710435132E-2</v>
      </c>
      <c r="T33">
        <f>VLOOKUP($B$1,dictionary!$A$3:$K$51,5,FALSE)*Q33</f>
        <v>0.54331395090739321</v>
      </c>
      <c r="U33">
        <f>VLOOKUP($B$1,dictionary!$A$3:$K$51,6,FALSE)*Q33</f>
        <v>0</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2.5420803802157934</v>
      </c>
      <c r="AB33">
        <f t="shared" si="11"/>
        <v>2.5420803802157934</v>
      </c>
      <c r="AC33">
        <f t="shared" si="12"/>
        <v>0</v>
      </c>
      <c r="AD33">
        <f t="shared" si="3"/>
        <v>20.657158147798178</v>
      </c>
      <c r="AE33">
        <f t="shared" si="13"/>
        <v>9.18095917679919</v>
      </c>
      <c r="AF33">
        <f t="shared" si="14"/>
        <v>126.23818868098887</v>
      </c>
      <c r="AG33">
        <f t="shared" si="15"/>
        <v>0</v>
      </c>
      <c r="AH33">
        <f t="shared" si="16"/>
        <v>0</v>
      </c>
      <c r="AI33">
        <f t="shared" si="17"/>
        <v>10.872188498841146</v>
      </c>
      <c r="AJ33">
        <f t="shared" si="18"/>
        <v>0</v>
      </c>
      <c r="AK33">
        <f t="shared" si="19"/>
        <v>41.314316295596356</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EB01-75DA-9441-AD45-0ECF4923E81F}">
  <sheetPr>
    <tabColor theme="4" tint="0.79998168889431442"/>
  </sheetPr>
  <dimension ref="A1:AY37"/>
  <sheetViews>
    <sheetView topLeftCell="R1" zoomScale="125" zoomScaleNormal="125" workbookViewId="0">
      <selection activeCell="AC8" sqref="A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tr">
        <f>'consumptions per type'!A3</f>
        <v>General Cargo</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2.4794096439495958</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2.4794096439495958</v>
      </c>
      <c r="N8">
        <f>IF($N$7="LFO",M8/(1+EXP(-$I$4*(B8-$J$4)))-M8/(1+EXP($I$4*$J$4)),IF($N$7="MGO",M8/(1+EXP(-$I$5*(B8-$J$5)))-M8/(1+EXP($I$5*$J$5)),0))</f>
        <v>0</v>
      </c>
      <c r="O8">
        <f>M8-N8</f>
        <v>2.4794096439495958</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2.4794096439495958</v>
      </c>
      <c r="AB8">
        <f>O8/M8*AA8</f>
        <v>2.4794096439495958</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2.5314772464725372</v>
      </c>
      <c r="D9">
        <f>IF($E$2=0,0,C9/(1+EXP(-$E$2*(B9-$G$2)))-C9/(1+EXP($E$2*$G$2)))</f>
        <v>1.8899486572549362E-2</v>
      </c>
      <c r="E9">
        <f t="shared" ref="E9:E33" si="4">IF($E$3=0,0,C9/(1+EXP(-$E$3*(B9-$G$3)))-C9/(1+EXP($E$3*$G$3)))</f>
        <v>1.8899486572549362E-2</v>
      </c>
      <c r="F9">
        <f t="shared" ref="F9:F33" si="5">IF($E$4=0,0,C9/(1+EXP(-$E$4*(B9-$G$4)))-C9/(1+EXP($E$4*$G$4)))</f>
        <v>6.3144223869446847E-3</v>
      </c>
      <c r="G9" s="9">
        <f t="shared" ref="G9:I33" si="6">D9/$C9</f>
        <v>7.4657935791777987E-3</v>
      </c>
      <c r="H9" s="9">
        <f t="shared" si="6"/>
        <v>7.4657935791777987E-3</v>
      </c>
      <c r="I9" s="9">
        <f t="shared" si="6"/>
        <v>2.4943626871398732E-3</v>
      </c>
      <c r="J9" s="9">
        <f t="shared" ref="J9:J33" si="7">G9*$F$2</f>
        <v>9.7055316529311392E-4</v>
      </c>
      <c r="K9" s="9">
        <f t="shared" ref="K9:K33" si="8">H9*$F$3</f>
        <v>1.4931587158355597E-3</v>
      </c>
      <c r="L9" s="9">
        <f t="shared" ref="L9:L33" si="9">I9*$F$4</f>
        <v>9.9774507485594932E-4</v>
      </c>
      <c r="M9">
        <f t="shared" si="0"/>
        <v>2.5227245346467848</v>
      </c>
      <c r="N9">
        <f t="shared" ref="N9:N33" si="10">IF($N$7="LFO",M9/(1+EXP(-$I$4*(B9-$J$4)))-M9/(1+EXP($I$4*$J$4)),IF($N$7="MGO",M9/(1+EXP(-$I$5*(B9-$J$5)))-M9/(1+EXP($I$5*$J$5)),0))</f>
        <v>0.12373886317761817</v>
      </c>
      <c r="O9">
        <f>M9-N9</f>
        <v>2.3989856714691666</v>
      </c>
      <c r="P9">
        <f>IF($I$3=0,0,M9/(1+EXP(-$I$3*(B9-$J$3)))-M9/(1+EXP($I$3*$J$3)))</f>
        <v>1.5482189242741196E-2</v>
      </c>
      <c r="Q9" s="9">
        <f t="shared" si="1"/>
        <v>6.137090685134558E-3</v>
      </c>
      <c r="R9">
        <f>VLOOKUP($B$1,dictionary!$A$3:$K$51,3,FALSE)*Q9</f>
        <v>1.2274181370269116E-3</v>
      </c>
      <c r="S9">
        <f>VLOOKUP($B$1,dictionary!$A$3:$K$51,4,FALSE)*Q9</f>
        <v>0</v>
      </c>
      <c r="T9">
        <f>VLOOKUP($B$1,dictionary!$A$3:$K$51,5,FALSE)*Q9</f>
        <v>3.6822544110807348E-3</v>
      </c>
      <c r="U9">
        <f>VLOOKUP($B$1,dictionary!$A$3:$K$51,6,FALSE)*Q9</f>
        <v>6.137090685134558E-4</v>
      </c>
      <c r="V9">
        <f>VLOOKUP($B$1,dictionary!$A$3:$K$51,7,FALSE)*Q9</f>
        <v>0</v>
      </c>
      <c r="W9">
        <f>VLOOKUP($B$1,dictionary!$A$3:$K$51,8,FALSE)*Q9</f>
        <v>3.068545342567279E-4</v>
      </c>
      <c r="X9">
        <f>VLOOKUP($B$1,dictionary!$A$3:$K$51,9,FALSE)*Q9</f>
        <v>0</v>
      </c>
      <c r="Y9">
        <f>VLOOKUP($B$1,dictionary!$A$3:$K$51,10,FALSE)*Q9</f>
        <v>3.068545342567279E-4</v>
      </c>
      <c r="Z9">
        <f>VLOOKUP($B$1,dictionary!$A$3:$K$51,11,FALSE)*Q9</f>
        <v>0</v>
      </c>
      <c r="AA9">
        <f t="shared" si="2"/>
        <v>2.5072423454040438</v>
      </c>
      <c r="AB9">
        <f>O9/M9*AA9</f>
        <v>2.3842628788510223</v>
      </c>
      <c r="AC9">
        <f t="shared" ref="AC9:AC33" si="11">N9/M9*AA9</f>
        <v>0.12297946655302169</v>
      </c>
      <c r="AD9">
        <f t="shared" si="3"/>
        <v>3.0964378485482391E-3</v>
      </c>
      <c r="AE9">
        <f t="shared" ref="AE9:AE33" si="12">S9*$O9*$AE$2+S9*$N9*$AE$3</f>
        <v>0</v>
      </c>
      <c r="AF9">
        <f t="shared" ref="AF9:AF33" si="13">T9*$O9*$AF$2+T9*$N9*$AF$3</f>
        <v>1.0321459495160799E-2</v>
      </c>
      <c r="AG9">
        <f t="shared" ref="AG9:AG33" si="14">U9*$O9*$AG$2+U9*$N9*$AG$3</f>
        <v>1.7693930563132797E-3</v>
      </c>
      <c r="AH9">
        <f t="shared" ref="AH9:AH33" si="15">V9*$O9*$AH$2+V9*$N9*$AH$3</f>
        <v>0</v>
      </c>
      <c r="AI9">
        <f t="shared" ref="AI9:AI33" si="16">W9*$O9*$AI$2+W9*$N9*$AI$3</f>
        <v>8.1485206540743123E-4</v>
      </c>
      <c r="AJ9">
        <f t="shared" ref="AJ9:AJ33" si="17">X9*$O9*$AJ$2+X9*$N9*$AJ$3</f>
        <v>0</v>
      </c>
      <c r="AK9">
        <f t="shared" ref="AK9:AK33" si="18">Y9*$O9*$AK$2+Y9*$N9*$AK$3</f>
        <v>7.7410946213705978E-4</v>
      </c>
      <c r="AL9">
        <f t="shared" ref="AL9:AL33" si="19">Z9*$O9*$AL$2+Z9*$N9*$AL$3</f>
        <v>0</v>
      </c>
    </row>
    <row r="10" spans="1:51" x14ac:dyDescent="0.2">
      <c r="A10">
        <v>2027</v>
      </c>
      <c r="B10">
        <v>2</v>
      </c>
      <c r="C10">
        <f t="shared" ref="C10:C33" si="20">C9*(1+$I$2)</f>
        <v>2.5846382686484604</v>
      </c>
      <c r="D10">
        <f>IF($E$2=0,0,C10/(1+EXP(-$E$2*(B10-$G$2)))-C10/(1+EXP($E$2*$G$2)))</f>
        <v>3.8627472044306277E-2</v>
      </c>
      <c r="E10">
        <f t="shared" si="4"/>
        <v>3.8627472044306277E-2</v>
      </c>
      <c r="F10">
        <f t="shared" si="5"/>
        <v>1.2896950346664937E-2</v>
      </c>
      <c r="G10" s="9">
        <f t="shared" si="6"/>
        <v>1.4945020551949448E-2</v>
      </c>
      <c r="H10" s="9">
        <f t="shared" si="6"/>
        <v>1.4945020551949448E-2</v>
      </c>
      <c r="I10" s="9">
        <f t="shared" si="6"/>
        <v>4.9898473233582945E-3</v>
      </c>
      <c r="J10" s="9">
        <f t="shared" si="7"/>
        <v>1.9428526717534282E-3</v>
      </c>
      <c r="K10" s="9">
        <f t="shared" si="8"/>
        <v>2.9890041103898899E-3</v>
      </c>
      <c r="L10" s="9">
        <f t="shared" si="9"/>
        <v>1.9959389293433181E-3</v>
      </c>
      <c r="M10">
        <f t="shared" si="0"/>
        <v>2.5667728446394</v>
      </c>
      <c r="N10">
        <f t="shared" si="10"/>
        <v>0.27368208671637823</v>
      </c>
      <c r="O10">
        <f>M10-N10</f>
        <v>2.293090757923022</v>
      </c>
      <c r="P10">
        <f t="shared" ref="P10:P33" si="21">IF($I$3=0,0,M10/(1+EXP(-$I$3*(B10-$J$3)))-M10/(1+EXP($I$3*$J$3)))</f>
        <v>4.006745487233028E-2</v>
      </c>
      <c r="Q10" s="9">
        <f t="shared" si="1"/>
        <v>1.5610050946272679E-2</v>
      </c>
      <c r="R10">
        <f>VLOOKUP($B$1,dictionary!$A$3:$K$51,3,FALSE)*Q10</f>
        <v>3.1220101892545358E-3</v>
      </c>
      <c r="S10">
        <f>VLOOKUP($B$1,dictionary!$A$3:$K$51,4,FALSE)*Q10</f>
        <v>0</v>
      </c>
      <c r="T10">
        <f>VLOOKUP($B$1,dictionary!$A$3:$K$51,5,FALSE)*Q10</f>
        <v>9.3660305677636061E-3</v>
      </c>
      <c r="U10">
        <f>VLOOKUP($B$1,dictionary!$A$3:$K$51,6,FALSE)*Q10</f>
        <v>1.5610050946272679E-3</v>
      </c>
      <c r="V10">
        <f>VLOOKUP($B$1,dictionary!$A$3:$K$51,7,FALSE)*Q10</f>
        <v>0</v>
      </c>
      <c r="W10">
        <f>VLOOKUP($B$1,dictionary!$A$3:$K$51,8,FALSE)*Q10</f>
        <v>7.8050254731363395E-4</v>
      </c>
      <c r="X10">
        <f>VLOOKUP($B$1,dictionary!$A$3:$K$51,9,FALSE)*Q10</f>
        <v>0</v>
      </c>
      <c r="Y10">
        <f>VLOOKUP($B$1,dictionary!$A$3:$K$51,10,FALSE)*Q10</f>
        <v>7.8050254731363395E-4</v>
      </c>
      <c r="Z10">
        <f>VLOOKUP($B$1,dictionary!$A$3:$K$51,11,FALSE)*Q10</f>
        <v>0</v>
      </c>
      <c r="AA10">
        <f t="shared" si="2"/>
        <v>2.5267053897670699</v>
      </c>
      <c r="AB10">
        <f>O10/M10*AA10</f>
        <v>2.2572954943674168</v>
      </c>
      <c r="AC10">
        <f t="shared" si="11"/>
        <v>0.26940989539965338</v>
      </c>
      <c r="AD10">
        <f t="shared" si="3"/>
        <v>8.0134909744660563E-3</v>
      </c>
      <c r="AE10">
        <f t="shared" si="12"/>
        <v>0</v>
      </c>
      <c r="AF10">
        <f t="shared" si="13"/>
        <v>2.6711636581553521E-2</v>
      </c>
      <c r="AG10">
        <f t="shared" si="14"/>
        <v>4.5791376996948902E-3</v>
      </c>
      <c r="AH10">
        <f t="shared" si="15"/>
        <v>0</v>
      </c>
      <c r="AI10">
        <f t="shared" si="16"/>
        <v>2.1088134143331726E-3</v>
      </c>
      <c r="AJ10">
        <f t="shared" si="17"/>
        <v>0</v>
      </c>
      <c r="AK10">
        <f t="shared" si="18"/>
        <v>2.0033727436165141E-3</v>
      </c>
      <c r="AL10">
        <f t="shared" si="19"/>
        <v>0</v>
      </c>
    </row>
    <row r="11" spans="1:51" x14ac:dyDescent="0.2">
      <c r="A11">
        <v>2028</v>
      </c>
      <c r="B11">
        <v>3</v>
      </c>
      <c r="C11">
        <f t="shared" si="20"/>
        <v>2.6389156722900777</v>
      </c>
      <c r="D11">
        <f t="shared" ref="D11:D33" si="22">IF($E$2=0,0,C11/(1+EXP(-$E$2*(B11-$G$2)))-C11/(1+EXP($E$2*$G$2)))</f>
        <v>5.9202341251701984E-2</v>
      </c>
      <c r="E11">
        <f t="shared" si="4"/>
        <v>5.9202341251701984E-2</v>
      </c>
      <c r="F11">
        <f t="shared" si="5"/>
        <v>1.9755793070271421E-2</v>
      </c>
      <c r="G11" s="9">
        <f t="shared" si="6"/>
        <v>2.2434343724339473E-2</v>
      </c>
      <c r="H11" s="9">
        <f t="shared" si="6"/>
        <v>2.2434343724339473E-2</v>
      </c>
      <c r="I11" s="9">
        <f t="shared" si="6"/>
        <v>7.4863298125502978E-3</v>
      </c>
      <c r="J11" s="9">
        <f t="shared" si="7"/>
        <v>2.9164646841641317E-3</v>
      </c>
      <c r="K11" s="9">
        <f t="shared" si="8"/>
        <v>4.4868687448678946E-3</v>
      </c>
      <c r="L11" s="9">
        <f t="shared" si="9"/>
        <v>2.9945319250201195E-3</v>
      </c>
      <c r="M11">
        <f t="shared" si="0"/>
        <v>2.6115695148376079</v>
      </c>
      <c r="N11">
        <f t="shared" si="10"/>
        <v>0.44897625173470268</v>
      </c>
      <c r="O11">
        <f t="shared" ref="O11:O33" si="23">M11-N11</f>
        <v>2.162593263102905</v>
      </c>
      <c r="P11">
        <f t="shared" si="21"/>
        <v>7.8619565038718725E-2</v>
      </c>
      <c r="Q11" s="9">
        <f t="shared" si="1"/>
        <v>3.0104335569871833E-2</v>
      </c>
      <c r="R11">
        <f>VLOOKUP($B$1,dictionary!$A$3:$K$51,3,FALSE)*Q11</f>
        <v>6.0208671139743673E-3</v>
      </c>
      <c r="S11">
        <f>VLOOKUP($B$1,dictionary!$A$3:$K$51,4,FALSE)*Q11</f>
        <v>0</v>
      </c>
      <c r="T11">
        <f>VLOOKUP($B$1,dictionary!$A$3:$K$51,5,FALSE)*Q11</f>
        <v>1.8062601341923099E-2</v>
      </c>
      <c r="U11">
        <f>VLOOKUP($B$1,dictionary!$A$3:$K$51,6,FALSE)*Q11</f>
        <v>3.0104335569871837E-3</v>
      </c>
      <c r="V11">
        <f>VLOOKUP($B$1,dictionary!$A$3:$K$51,7,FALSE)*Q11</f>
        <v>0</v>
      </c>
      <c r="W11">
        <f>VLOOKUP($B$1,dictionary!$A$3:$K$51,8,FALSE)*Q11</f>
        <v>1.5052167784935918E-3</v>
      </c>
      <c r="X11">
        <f>VLOOKUP($B$1,dictionary!$A$3:$K$51,9,FALSE)*Q11</f>
        <v>0</v>
      </c>
      <c r="Y11">
        <f>VLOOKUP($B$1,dictionary!$A$3:$K$51,10,FALSE)*Q11</f>
        <v>1.5052167784935918E-3</v>
      </c>
      <c r="Z11">
        <f>VLOOKUP($B$1,dictionary!$A$3:$K$51,11,FALSE)*Q11</f>
        <v>0</v>
      </c>
      <c r="AA11">
        <f t="shared" si="2"/>
        <v>2.5329499497988892</v>
      </c>
      <c r="AB11">
        <f t="shared" ref="AB11:AB33" si="24">O11/M11*AA11</f>
        <v>2.097489829809311</v>
      </c>
      <c r="AC11">
        <f t="shared" si="11"/>
        <v>0.43546011998957795</v>
      </c>
      <c r="AD11">
        <f t="shared" si="3"/>
        <v>1.5723913007743746E-2</v>
      </c>
      <c r="AE11">
        <f t="shared" si="12"/>
        <v>0</v>
      </c>
      <c r="AF11">
        <f t="shared" si="13"/>
        <v>5.2413043359145803E-2</v>
      </c>
      <c r="AG11">
        <f t="shared" si="14"/>
        <v>8.9850931472821409E-3</v>
      </c>
      <c r="AH11">
        <f t="shared" si="15"/>
        <v>0</v>
      </c>
      <c r="AI11">
        <f t="shared" si="16"/>
        <v>4.1378718441430909E-3</v>
      </c>
      <c r="AJ11">
        <f t="shared" si="17"/>
        <v>0</v>
      </c>
      <c r="AK11">
        <f t="shared" si="18"/>
        <v>3.9309782519359364E-3</v>
      </c>
      <c r="AL11">
        <f t="shared" si="19"/>
        <v>0</v>
      </c>
    </row>
    <row r="12" spans="1:51" x14ac:dyDescent="0.2">
      <c r="A12">
        <v>2029</v>
      </c>
      <c r="B12">
        <v>4</v>
      </c>
      <c r="C12">
        <f t="shared" si="20"/>
        <v>2.6943329014081692</v>
      </c>
      <c r="D12">
        <f t="shared" si="22"/>
        <v>8.064248246959127E-2</v>
      </c>
      <c r="E12">
        <f t="shared" si="4"/>
        <v>8.064248246959127E-2</v>
      </c>
      <c r="F12">
        <f t="shared" si="5"/>
        <v>2.6899373288655104E-2</v>
      </c>
      <c r="G12" s="9">
        <f t="shared" si="6"/>
        <v>2.9930407793129124E-2</v>
      </c>
      <c r="H12" s="9">
        <f t="shared" si="6"/>
        <v>2.9930407793129124E-2</v>
      </c>
      <c r="I12" s="9">
        <f t="shared" si="6"/>
        <v>9.9836858595299741E-3</v>
      </c>
      <c r="J12" s="9">
        <f t="shared" si="7"/>
        <v>3.8909530131067864E-3</v>
      </c>
      <c r="K12" s="9">
        <f t="shared" si="8"/>
        <v>5.9860815586258252E-3</v>
      </c>
      <c r="L12" s="9">
        <f t="shared" si="9"/>
        <v>3.9934743438119896E-3</v>
      </c>
      <c r="M12">
        <f t="shared" si="0"/>
        <v>2.6571299119043745</v>
      </c>
      <c r="N12">
        <f t="shared" si="10"/>
        <v>0.64603320181379087</v>
      </c>
      <c r="O12">
        <f t="shared" si="23"/>
        <v>2.0110967100905839</v>
      </c>
      <c r="P12">
        <f t="shared" si="21"/>
        <v>0.13813465412792339</v>
      </c>
      <c r="Q12" s="9">
        <f t="shared" si="1"/>
        <v>5.1986413426403297E-2</v>
      </c>
      <c r="R12">
        <f>VLOOKUP($B$1,dictionary!$A$3:$K$51,3,FALSE)*Q12</f>
        <v>1.0397282685280659E-2</v>
      </c>
      <c r="S12">
        <f>VLOOKUP($B$1,dictionary!$A$3:$K$51,4,FALSE)*Q12</f>
        <v>0</v>
      </c>
      <c r="T12">
        <f>VLOOKUP($B$1,dictionary!$A$3:$K$51,5,FALSE)*Q12</f>
        <v>3.1191848055841978E-2</v>
      </c>
      <c r="U12">
        <f>VLOOKUP($B$1,dictionary!$A$3:$K$51,6,FALSE)*Q12</f>
        <v>5.1986413426403297E-3</v>
      </c>
      <c r="V12">
        <f>VLOOKUP($B$1,dictionary!$A$3:$K$51,7,FALSE)*Q12</f>
        <v>0</v>
      </c>
      <c r="W12">
        <f>VLOOKUP($B$1,dictionary!$A$3:$K$51,8,FALSE)*Q12</f>
        <v>2.5993206713201648E-3</v>
      </c>
      <c r="X12">
        <f>VLOOKUP($B$1,dictionary!$A$3:$K$51,9,FALSE)*Q12</f>
        <v>0</v>
      </c>
      <c r="Y12">
        <f>VLOOKUP($B$1,dictionary!$A$3:$K$51,10,FALSE)*Q12</f>
        <v>2.5993206713201648E-3</v>
      </c>
      <c r="Z12">
        <f>VLOOKUP($B$1,dictionary!$A$3:$K$51,11,FALSE)*Q12</f>
        <v>0</v>
      </c>
      <c r="AA12">
        <f t="shared" si="2"/>
        <v>2.5189952577764512</v>
      </c>
      <c r="AB12">
        <f t="shared" si="24"/>
        <v>1.9065470050793352</v>
      </c>
      <c r="AC12">
        <f t="shared" si="11"/>
        <v>0.61244825269711611</v>
      </c>
      <c r="AD12">
        <f t="shared" si="3"/>
        <v>2.7626930825584678E-2</v>
      </c>
      <c r="AE12">
        <f t="shared" si="12"/>
        <v>0</v>
      </c>
      <c r="AF12">
        <f t="shared" si="13"/>
        <v>9.2089769418615602E-2</v>
      </c>
      <c r="AG12">
        <f t="shared" si="14"/>
        <v>1.5786817614619822E-2</v>
      </c>
      <c r="AH12">
        <f t="shared" si="15"/>
        <v>0</v>
      </c>
      <c r="AI12">
        <f t="shared" si="16"/>
        <v>7.2702449541012307E-3</v>
      </c>
      <c r="AJ12">
        <f t="shared" si="17"/>
        <v>0</v>
      </c>
      <c r="AK12">
        <f t="shared" si="18"/>
        <v>6.9067327063961695E-3</v>
      </c>
      <c r="AL12">
        <f t="shared" si="19"/>
        <v>0</v>
      </c>
    </row>
    <row r="13" spans="1:51" x14ac:dyDescent="0.2">
      <c r="A13">
        <v>2030</v>
      </c>
      <c r="B13">
        <v>5</v>
      </c>
      <c r="C13">
        <f t="shared" si="20"/>
        <v>2.7509138923377403</v>
      </c>
      <c r="D13">
        <f t="shared" si="22"/>
        <v>0.10296628154417364</v>
      </c>
      <c r="E13">
        <f t="shared" si="4"/>
        <v>0.10296628154417364</v>
      </c>
      <c r="F13">
        <f t="shared" si="5"/>
        <v>3.4336332248657619E-2</v>
      </c>
      <c r="G13" s="9">
        <f t="shared" si="6"/>
        <v>3.7429845343749525E-2</v>
      </c>
      <c r="H13" s="9">
        <f t="shared" si="6"/>
        <v>3.7429845343749525E-2</v>
      </c>
      <c r="I13" s="9">
        <f t="shared" si="6"/>
        <v>1.2481790994729548E-2</v>
      </c>
      <c r="J13" s="9">
        <f t="shared" si="7"/>
        <v>4.8658798946874388E-3</v>
      </c>
      <c r="K13" s="9">
        <f t="shared" si="8"/>
        <v>7.4859690687499054E-3</v>
      </c>
      <c r="L13" s="9">
        <f t="shared" si="9"/>
        <v>4.9927163978918197E-3</v>
      </c>
      <c r="M13">
        <f t="shared" si="0"/>
        <v>2.7034698374247865</v>
      </c>
      <c r="N13">
        <f t="shared" si="10"/>
        <v>0.85855301752549151</v>
      </c>
      <c r="O13">
        <f t="shared" si="23"/>
        <v>1.8449168198992951</v>
      </c>
      <c r="P13">
        <f t="shared" si="21"/>
        <v>0.22807153436201072</v>
      </c>
      <c r="Q13" s="9">
        <f t="shared" si="1"/>
        <v>8.4362522268516316E-2</v>
      </c>
      <c r="R13">
        <f>VLOOKUP($B$1,dictionary!$A$3:$K$51,3,FALSE)*Q13</f>
        <v>1.6872504453703262E-2</v>
      </c>
      <c r="S13">
        <f>VLOOKUP($B$1,dictionary!$A$3:$K$51,4,FALSE)*Q13</f>
        <v>0</v>
      </c>
      <c r="T13">
        <f>VLOOKUP($B$1,dictionary!$A$3:$K$51,5,FALSE)*Q13</f>
        <v>5.0617513361109791E-2</v>
      </c>
      <c r="U13">
        <f>VLOOKUP($B$1,dictionary!$A$3:$K$51,6,FALSE)*Q13</f>
        <v>8.4362522268516312E-3</v>
      </c>
      <c r="V13">
        <f>VLOOKUP($B$1,dictionary!$A$3:$K$51,7,FALSE)*Q13</f>
        <v>0</v>
      </c>
      <c r="W13">
        <f>VLOOKUP($B$1,dictionary!$A$3:$K$51,8,FALSE)*Q13</f>
        <v>4.2181261134258156E-3</v>
      </c>
      <c r="X13">
        <f>VLOOKUP($B$1,dictionary!$A$3:$K$51,9,FALSE)*Q13</f>
        <v>0</v>
      </c>
      <c r="Y13">
        <f>VLOOKUP($B$1,dictionary!$A$3:$K$51,10,FALSE)*Q13</f>
        <v>4.2181261134258156E-3</v>
      </c>
      <c r="Z13">
        <f>VLOOKUP($B$1,dictionary!$A$3:$K$51,11,FALSE)*Q13</f>
        <v>0</v>
      </c>
      <c r="AA13">
        <f t="shared" si="2"/>
        <v>2.475398303062776</v>
      </c>
      <c r="AB13">
        <f t="shared" si="24"/>
        <v>1.6892749835969805</v>
      </c>
      <c r="AC13">
        <f t="shared" si="11"/>
        <v>0.78612331946579539</v>
      </c>
      <c r="AD13">
        <f t="shared" si="3"/>
        <v>4.5614306872402144E-2</v>
      </c>
      <c r="AE13">
        <f t="shared" si="12"/>
        <v>0</v>
      </c>
      <c r="AF13">
        <f t="shared" si="13"/>
        <v>0.15204768957467385</v>
      </c>
      <c r="AG13">
        <f t="shared" si="14"/>
        <v>2.6065318212801232E-2</v>
      </c>
      <c r="AH13">
        <f t="shared" si="15"/>
        <v>0</v>
      </c>
      <c r="AI13">
        <f t="shared" si="16"/>
        <v>1.2003764966421616E-2</v>
      </c>
      <c r="AJ13">
        <f t="shared" si="17"/>
        <v>0</v>
      </c>
      <c r="AK13">
        <f t="shared" si="18"/>
        <v>1.1403576718100536E-2</v>
      </c>
      <c r="AL13">
        <f t="shared" si="19"/>
        <v>0</v>
      </c>
    </row>
    <row r="14" spans="1:51" x14ac:dyDescent="0.2">
      <c r="A14">
        <v>2031</v>
      </c>
      <c r="B14">
        <v>6</v>
      </c>
      <c r="C14">
        <f t="shared" si="20"/>
        <v>2.8086830840768324</v>
      </c>
      <c r="D14">
        <f t="shared" si="22"/>
        <v>0.12619211684511922</v>
      </c>
      <c r="E14">
        <f t="shared" si="4"/>
        <v>0.12619211684511922</v>
      </c>
      <c r="F14">
        <f t="shared" si="5"/>
        <v>4.2075534797004321E-2</v>
      </c>
      <c r="G14" s="9">
        <f t="shared" si="6"/>
        <v>4.4929282894369864E-2</v>
      </c>
      <c r="H14" s="9">
        <f t="shared" si="6"/>
        <v>4.4929282894369864E-2</v>
      </c>
      <c r="I14" s="9">
        <f t="shared" si="6"/>
        <v>1.4980520598974537E-2</v>
      </c>
      <c r="J14" s="9">
        <f t="shared" si="7"/>
        <v>5.8408067762680824E-3</v>
      </c>
      <c r="K14" s="9">
        <f t="shared" si="8"/>
        <v>8.9858565788739735E-3</v>
      </c>
      <c r="L14" s="9">
        <f t="shared" si="9"/>
        <v>5.9922082395898156E-3</v>
      </c>
      <c r="M14">
        <f t="shared" si="0"/>
        <v>2.7506055369414262</v>
      </c>
      <c r="N14">
        <f t="shared" si="10"/>
        <v>1.078284111535514</v>
      </c>
      <c r="O14">
        <f t="shared" si="23"/>
        <v>1.6723214254059122</v>
      </c>
      <c r="P14">
        <f t="shared" si="21"/>
        <v>0.3599555793025519</v>
      </c>
      <c r="Q14" s="9">
        <f t="shared" si="1"/>
        <v>0.13086412226989461</v>
      </c>
      <c r="R14">
        <f>VLOOKUP($B$1,dictionary!$A$3:$K$51,3,FALSE)*Q14</f>
        <v>2.6172824453978921E-2</v>
      </c>
      <c r="S14">
        <f>VLOOKUP($B$1,dictionary!$A$3:$K$51,4,FALSE)*Q14</f>
        <v>0</v>
      </c>
      <c r="T14">
        <f>VLOOKUP($B$1,dictionary!$A$3:$K$51,5,FALSE)*Q14</f>
        <v>7.8518473361936764E-2</v>
      </c>
      <c r="U14">
        <f>VLOOKUP($B$1,dictionary!$A$3:$K$51,6,FALSE)*Q14</f>
        <v>1.3086412226989461E-2</v>
      </c>
      <c r="V14">
        <f>VLOOKUP($B$1,dictionary!$A$3:$K$51,7,FALSE)*Q14</f>
        <v>0</v>
      </c>
      <c r="W14">
        <f>VLOOKUP($B$1,dictionary!$A$3:$K$51,8,FALSE)*Q14</f>
        <v>6.5432061134947303E-3</v>
      </c>
      <c r="X14">
        <f>VLOOKUP($B$1,dictionary!$A$3:$K$51,9,FALSE)*Q14</f>
        <v>0</v>
      </c>
      <c r="Y14">
        <f>VLOOKUP($B$1,dictionary!$A$3:$K$51,10,FALSE)*Q14</f>
        <v>6.5432061134947303E-3</v>
      </c>
      <c r="Z14">
        <f>VLOOKUP($B$1,dictionary!$A$3:$K$51,11,FALSE)*Q14</f>
        <v>0</v>
      </c>
      <c r="AA14">
        <f t="shared" si="2"/>
        <v>2.3906499576388742</v>
      </c>
      <c r="AB14">
        <f t="shared" si="24"/>
        <v>1.4534745499170285</v>
      </c>
      <c r="AC14">
        <f t="shared" si="11"/>
        <v>0.93717540772184571</v>
      </c>
      <c r="AD14">
        <f t="shared" si="3"/>
        <v>7.199111586051038E-2</v>
      </c>
      <c r="AE14">
        <f t="shared" si="12"/>
        <v>0</v>
      </c>
      <c r="AF14">
        <f t="shared" si="13"/>
        <v>0.2399703862017013</v>
      </c>
      <c r="AG14">
        <f t="shared" si="14"/>
        <v>4.1137780491720219E-2</v>
      </c>
      <c r="AH14">
        <f t="shared" si="15"/>
        <v>0</v>
      </c>
      <c r="AI14">
        <f t="shared" si="16"/>
        <v>1.8945030489607995E-2</v>
      </c>
      <c r="AJ14">
        <f t="shared" si="17"/>
        <v>0</v>
      </c>
      <c r="AK14">
        <f t="shared" si="18"/>
        <v>1.7997778965127595E-2</v>
      </c>
      <c r="AL14">
        <f t="shared" si="19"/>
        <v>0</v>
      </c>
    </row>
    <row r="15" spans="1:51" x14ac:dyDescent="0.2">
      <c r="A15">
        <v>2032</v>
      </c>
      <c r="B15">
        <v>7</v>
      </c>
      <c r="C15">
        <f t="shared" si="20"/>
        <v>2.8676654288424457</v>
      </c>
      <c r="D15">
        <f t="shared" si="22"/>
        <v>0.15033835508132287</v>
      </c>
      <c r="E15">
        <f t="shared" si="4"/>
        <v>0.15033835508132287</v>
      </c>
      <c r="F15">
        <f t="shared" si="5"/>
        <v>5.0126074574253554E-2</v>
      </c>
      <c r="G15" s="9">
        <f t="shared" si="6"/>
        <v>5.2425346963159529E-2</v>
      </c>
      <c r="H15" s="9">
        <f t="shared" si="6"/>
        <v>5.2425346963159529E-2</v>
      </c>
      <c r="I15" s="9">
        <f t="shared" si="6"/>
        <v>1.7479749928319677E-2</v>
      </c>
      <c r="J15" s="9">
        <f t="shared" si="7"/>
        <v>6.8152951052107393E-3</v>
      </c>
      <c r="K15" s="9">
        <f t="shared" si="8"/>
        <v>1.0485069392631906E-2</v>
      </c>
      <c r="L15" s="9">
        <f t="shared" si="9"/>
        <v>6.9918999713278716E-3</v>
      </c>
      <c r="M15">
        <f t="shared" si="0"/>
        <v>2.7985537088509025</v>
      </c>
      <c r="N15">
        <f t="shared" si="10"/>
        <v>1.2963762241938266</v>
      </c>
      <c r="O15">
        <f t="shared" si="23"/>
        <v>1.5021774846570759</v>
      </c>
      <c r="P15">
        <f>IF($I$3=0,0,M15/(1+EXP(-$I$3*(B15-$J$3)))-M15/(1+EXP($I$3*$J$3)))</f>
        <v>0.54539174349827668</v>
      </c>
      <c r="Q15" s="9">
        <f t="shared" si="1"/>
        <v>0.19488342917035412</v>
      </c>
      <c r="R15">
        <f>VLOOKUP($B$1,dictionary!$A$3:$K$51,3,FALSE)*Q15</f>
        <v>3.8976685834070823E-2</v>
      </c>
      <c r="S15">
        <f>VLOOKUP($B$1,dictionary!$A$3:$K$51,4,FALSE)*Q15</f>
        <v>0</v>
      </c>
      <c r="T15">
        <f>VLOOKUP($B$1,dictionary!$A$3:$K$51,5,FALSE)*Q15</f>
        <v>0.11693005750221247</v>
      </c>
      <c r="U15">
        <f>VLOOKUP($B$1,dictionary!$A$3:$K$51,6,FALSE)*Q15</f>
        <v>1.9488342917035412E-2</v>
      </c>
      <c r="V15">
        <f>VLOOKUP($B$1,dictionary!$A$3:$K$51,7,FALSE)*Q15</f>
        <v>0</v>
      </c>
      <c r="W15">
        <f>VLOOKUP($B$1,dictionary!$A$3:$K$51,8,FALSE)*Q15</f>
        <v>9.7441714585177058E-3</v>
      </c>
      <c r="X15">
        <f>VLOOKUP($B$1,dictionary!$A$3:$K$51,9,FALSE)*Q15</f>
        <v>0</v>
      </c>
      <c r="Y15">
        <f>VLOOKUP($B$1,dictionary!$A$3:$K$51,10,FALSE)*Q15</f>
        <v>9.7441714585177058E-3</v>
      </c>
      <c r="Z15">
        <f>VLOOKUP($B$1,dictionary!$A$3:$K$51,11,FALSE)*Q15</f>
        <v>0</v>
      </c>
      <c r="AA15">
        <f t="shared" si="2"/>
        <v>2.2531619653526258</v>
      </c>
      <c r="AB15">
        <f t="shared" si="24"/>
        <v>1.2094279852246079</v>
      </c>
      <c r="AC15">
        <f t="shared" si="11"/>
        <v>1.0437339801280179</v>
      </c>
      <c r="AD15">
        <f t="shared" si="3"/>
        <v>0.10907834869965533</v>
      </c>
      <c r="AE15">
        <f t="shared" si="12"/>
        <v>0</v>
      </c>
      <c r="AF15">
        <f t="shared" si="13"/>
        <v>0.36359449566551783</v>
      </c>
      <c r="AG15">
        <f t="shared" si="14"/>
        <v>6.2330484971231628E-2</v>
      </c>
      <c r="AH15">
        <f t="shared" si="15"/>
        <v>0</v>
      </c>
      <c r="AI15">
        <f t="shared" si="16"/>
        <v>2.8704828605172455E-2</v>
      </c>
      <c r="AJ15">
        <f t="shared" si="17"/>
        <v>0</v>
      </c>
      <c r="AK15">
        <f t="shared" si="18"/>
        <v>2.7269587174913831E-2</v>
      </c>
      <c r="AL15">
        <f t="shared" si="19"/>
        <v>0</v>
      </c>
    </row>
    <row r="16" spans="1:51" x14ac:dyDescent="0.2">
      <c r="A16">
        <v>2033</v>
      </c>
      <c r="B16">
        <v>8</v>
      </c>
      <c r="C16">
        <f t="shared" si="20"/>
        <v>2.9278864028481366</v>
      </c>
      <c r="D16">
        <f t="shared" si="22"/>
        <v>0.17542334802100701</v>
      </c>
      <c r="E16">
        <f t="shared" si="4"/>
        <v>0.17542334802100701</v>
      </c>
      <c r="F16">
        <f t="shared" si="5"/>
        <v>5.8497279321090945E-2</v>
      </c>
      <c r="G16" s="9">
        <f t="shared" si="6"/>
        <v>5.9914670135549603E-2</v>
      </c>
      <c r="H16" s="9">
        <f t="shared" si="6"/>
        <v>5.9914670135549603E-2</v>
      </c>
      <c r="I16" s="9">
        <f t="shared" si="6"/>
        <v>1.9979354138940301E-2</v>
      </c>
      <c r="J16" s="9">
        <f t="shared" si="7"/>
        <v>7.7889071176214485E-3</v>
      </c>
      <c r="K16" s="9">
        <f t="shared" si="8"/>
        <v>1.1982934027109921E-2</v>
      </c>
      <c r="L16" s="9">
        <f t="shared" si="9"/>
        <v>7.9917416555761213E-3</v>
      </c>
      <c r="M16">
        <f t="shared" si="0"/>
        <v>2.8473315131581272</v>
      </c>
      <c r="N16">
        <f t="shared" si="10"/>
        <v>1.5048829803500536</v>
      </c>
      <c r="O16">
        <f t="shared" si="23"/>
        <v>1.3424485328080735</v>
      </c>
      <c r="P16">
        <f t="shared" si="21"/>
        <v>0.79173912208450825</v>
      </c>
      <c r="Q16" s="9">
        <f t="shared" si="1"/>
        <v>0.27806355474440281</v>
      </c>
      <c r="R16">
        <f>VLOOKUP($B$1,dictionary!$A$3:$K$51,3,FALSE)*Q16</f>
        <v>5.5612710948880567E-2</v>
      </c>
      <c r="S16">
        <f>VLOOKUP($B$1,dictionary!$A$3:$K$51,4,FALSE)*Q16</f>
        <v>0</v>
      </c>
      <c r="T16">
        <f>VLOOKUP($B$1,dictionary!$A$3:$K$51,5,FALSE)*Q16</f>
        <v>0.16683813284664167</v>
      </c>
      <c r="U16">
        <f>VLOOKUP($B$1,dictionary!$A$3:$K$51,6,FALSE)*Q16</f>
        <v>2.7806355474440284E-2</v>
      </c>
      <c r="V16">
        <f>VLOOKUP($B$1,dictionary!$A$3:$K$51,7,FALSE)*Q16</f>
        <v>0</v>
      </c>
      <c r="W16">
        <f>VLOOKUP($B$1,dictionary!$A$3:$K$51,8,FALSE)*Q16</f>
        <v>1.3903177737220142E-2</v>
      </c>
      <c r="X16">
        <f>VLOOKUP($B$1,dictionary!$A$3:$K$51,9,FALSE)*Q16</f>
        <v>0</v>
      </c>
      <c r="Y16">
        <f>VLOOKUP($B$1,dictionary!$A$3:$K$51,10,FALSE)*Q16</f>
        <v>1.3903177737220142E-2</v>
      </c>
      <c r="Z16">
        <f>VLOOKUP($B$1,dictionary!$A$3:$K$51,11,FALSE)*Q16</f>
        <v>0</v>
      </c>
      <c r="AA16">
        <f t="shared" si="2"/>
        <v>2.0555923910736187</v>
      </c>
      <c r="AB16">
        <f t="shared" si="24"/>
        <v>0.96916252171405237</v>
      </c>
      <c r="AC16">
        <f t="shared" si="11"/>
        <v>1.0864298693595662</v>
      </c>
      <c r="AD16">
        <f t="shared" si="3"/>
        <v>0.15834782441690165</v>
      </c>
      <c r="AE16">
        <f t="shared" si="12"/>
        <v>0</v>
      </c>
      <c r="AF16">
        <f t="shared" si="13"/>
        <v>0.52782608138967213</v>
      </c>
      <c r="AG16">
        <f t="shared" si="14"/>
        <v>9.0484471095372387E-2</v>
      </c>
      <c r="AH16">
        <f t="shared" si="15"/>
        <v>0</v>
      </c>
      <c r="AI16">
        <f t="shared" si="16"/>
        <v>4.1670480109710958E-2</v>
      </c>
      <c r="AJ16">
        <f t="shared" si="17"/>
        <v>0</v>
      </c>
      <c r="AK16">
        <f t="shared" si="18"/>
        <v>3.9586956104225413E-2</v>
      </c>
      <c r="AL16">
        <f t="shared" si="19"/>
        <v>0</v>
      </c>
    </row>
    <row r="17" spans="1:38" x14ac:dyDescent="0.2">
      <c r="A17">
        <v>2034</v>
      </c>
      <c r="B17">
        <v>9</v>
      </c>
      <c r="C17">
        <f t="shared" si="20"/>
        <v>2.989372017307947</v>
      </c>
      <c r="D17">
        <f t="shared" si="22"/>
        <v>0.2014654301529466</v>
      </c>
      <c r="E17">
        <f t="shared" si="4"/>
        <v>0.2014654301529466</v>
      </c>
      <c r="F17">
        <f t="shared" si="5"/>
        <v>6.719871629932328E-2</v>
      </c>
      <c r="G17" s="9">
        <f t="shared" si="6"/>
        <v>6.7393897108321277E-2</v>
      </c>
      <c r="H17" s="9">
        <f t="shared" si="6"/>
        <v>6.7393897108321277E-2</v>
      </c>
      <c r="I17" s="9">
        <f t="shared" si="6"/>
        <v>2.2479208312064985E-2</v>
      </c>
      <c r="J17" s="9">
        <f t="shared" si="7"/>
        <v>8.761206624081766E-3</v>
      </c>
      <c r="K17" s="9">
        <f t="shared" si="8"/>
        <v>1.3478779421664255E-2</v>
      </c>
      <c r="L17" s="9">
        <f t="shared" si="9"/>
        <v>8.9916833248259945E-3</v>
      </c>
      <c r="M17">
        <f t="shared" si="0"/>
        <v>2.8969565800865467</v>
      </c>
      <c r="N17">
        <f t="shared" si="10"/>
        <v>1.6979041069505088</v>
      </c>
      <c r="O17">
        <f t="shared" si="23"/>
        <v>1.1990524731360379</v>
      </c>
      <c r="P17">
        <f t="shared" si="21"/>
        <v>1.0961325374896096</v>
      </c>
      <c r="Q17" s="9">
        <f t="shared" si="1"/>
        <v>0.37837382342018483</v>
      </c>
      <c r="R17">
        <f>VLOOKUP($B$1,dictionary!$A$3:$K$51,3,FALSE)*Q17</f>
        <v>7.5674764684036971E-2</v>
      </c>
      <c r="S17">
        <f>VLOOKUP($B$1,dictionary!$A$3:$K$51,4,FALSE)*Q17</f>
        <v>0</v>
      </c>
      <c r="T17">
        <f>VLOOKUP($B$1,dictionary!$A$3:$K$51,5,FALSE)*Q17</f>
        <v>0.22702429405211089</v>
      </c>
      <c r="U17">
        <f>VLOOKUP($B$1,dictionary!$A$3:$K$51,6,FALSE)*Q17</f>
        <v>3.7837382342018486E-2</v>
      </c>
      <c r="V17">
        <f>VLOOKUP($B$1,dictionary!$A$3:$K$51,7,FALSE)*Q17</f>
        <v>0</v>
      </c>
      <c r="W17">
        <f>VLOOKUP($B$1,dictionary!$A$3:$K$51,8,FALSE)*Q17</f>
        <v>1.8918691171009243E-2</v>
      </c>
      <c r="X17">
        <f>VLOOKUP($B$1,dictionary!$A$3:$K$51,9,FALSE)*Q17</f>
        <v>0</v>
      </c>
      <c r="Y17">
        <f>VLOOKUP($B$1,dictionary!$A$3:$K$51,10,FALSE)*Q17</f>
        <v>1.8918691171009243E-2</v>
      </c>
      <c r="Z17">
        <f>VLOOKUP($B$1,dictionary!$A$3:$K$51,11,FALSE)*Q17</f>
        <v>0</v>
      </c>
      <c r="AA17">
        <f t="shared" si="2"/>
        <v>1.8008240425969371</v>
      </c>
      <c r="AB17">
        <f t="shared" si="24"/>
        <v>0.74536240439412682</v>
      </c>
      <c r="AC17">
        <f t="shared" si="11"/>
        <v>1.0554616382028104</v>
      </c>
      <c r="AD17">
        <f t="shared" si="3"/>
        <v>0.21922650749792194</v>
      </c>
      <c r="AE17">
        <f t="shared" si="12"/>
        <v>0</v>
      </c>
      <c r="AF17">
        <f t="shared" si="13"/>
        <v>0.73075502499307299</v>
      </c>
      <c r="AG17">
        <f t="shared" si="14"/>
        <v>0.12527228999881254</v>
      </c>
      <c r="AH17">
        <f t="shared" si="15"/>
        <v>0</v>
      </c>
      <c r="AI17">
        <f t="shared" si="16"/>
        <v>5.7691186183663659E-2</v>
      </c>
      <c r="AJ17">
        <f t="shared" si="17"/>
        <v>0</v>
      </c>
      <c r="AK17">
        <f t="shared" si="18"/>
        <v>5.4806626874480485E-2</v>
      </c>
      <c r="AL17">
        <f t="shared" si="19"/>
        <v>0</v>
      </c>
    </row>
    <row r="18" spans="1:38" x14ac:dyDescent="0.2">
      <c r="A18">
        <v>2035</v>
      </c>
      <c r="B18">
        <v>10</v>
      </c>
      <c r="C18">
        <f t="shared" si="20"/>
        <v>3.0521488296714137</v>
      </c>
      <c r="D18">
        <f t="shared" si="22"/>
        <v>0.22848291732141446</v>
      </c>
      <c r="E18">
        <f t="shared" si="4"/>
        <v>0.22848291732141446</v>
      </c>
      <c r="F18">
        <f t="shared" si="5"/>
        <v>7.6240197829989587E-2</v>
      </c>
      <c r="G18" s="9">
        <f t="shared" si="6"/>
        <v>7.485969068749912E-2</v>
      </c>
      <c r="H18" s="9">
        <f t="shared" si="6"/>
        <v>7.485969068749912E-2</v>
      </c>
      <c r="I18" s="9">
        <f t="shared" si="6"/>
        <v>2.4979187478940013E-2</v>
      </c>
      <c r="J18" s="9">
        <f t="shared" si="7"/>
        <v>9.7317597893748862E-3</v>
      </c>
      <c r="K18" s="9">
        <f t="shared" si="8"/>
        <v>1.4971938137499825E-2</v>
      </c>
      <c r="L18" s="9">
        <f t="shared" si="9"/>
        <v>9.9916749915760061E-3</v>
      </c>
      <c r="M18">
        <f t="shared" si="0"/>
        <v>2.9474470185441159</v>
      </c>
      <c r="N18">
        <f t="shared" si="10"/>
        <v>1.8720678860453284</v>
      </c>
      <c r="O18">
        <f t="shared" si="23"/>
        <v>1.0753791324987876</v>
      </c>
      <c r="P18">
        <f t="shared" si="21"/>
        <v>1.4413400779726009</v>
      </c>
      <c r="Q18" s="9">
        <f t="shared" si="1"/>
        <v>0.48901305736940681</v>
      </c>
      <c r="R18">
        <f>VLOOKUP($B$1,dictionary!$A$3:$K$51,3,FALSE)*Q18</f>
        <v>9.7802611473881362E-2</v>
      </c>
      <c r="S18">
        <f>VLOOKUP($B$1,dictionary!$A$3:$K$51,4,FALSE)*Q18</f>
        <v>0</v>
      </c>
      <c r="T18">
        <f>VLOOKUP($B$1,dictionary!$A$3:$K$51,5,FALSE)*Q18</f>
        <v>0.29340783442164409</v>
      </c>
      <c r="U18">
        <f>VLOOKUP($B$1,dictionary!$A$3:$K$51,6,FALSE)*Q18</f>
        <v>4.8901305736940681E-2</v>
      </c>
      <c r="V18">
        <f>VLOOKUP($B$1,dictionary!$A$3:$K$51,7,FALSE)*Q18</f>
        <v>0</v>
      </c>
      <c r="W18">
        <f>VLOOKUP($B$1,dictionary!$A$3:$K$51,8,FALSE)*Q18</f>
        <v>2.4450652868470341E-2</v>
      </c>
      <c r="X18">
        <f>VLOOKUP($B$1,dictionary!$A$3:$K$51,9,FALSE)*Q18</f>
        <v>0</v>
      </c>
      <c r="Y18">
        <f>VLOOKUP($B$1,dictionary!$A$3:$K$51,10,FALSE)*Q18</f>
        <v>2.4450652868470341E-2</v>
      </c>
      <c r="Z18">
        <f>VLOOKUP($B$1,dictionary!$A$3:$K$51,11,FALSE)*Q18</f>
        <v>0</v>
      </c>
      <c r="AA18">
        <f t="shared" si="2"/>
        <v>1.5061069405715151</v>
      </c>
      <c r="AB18">
        <f t="shared" si="24"/>
        <v>0.54950469508429511</v>
      </c>
      <c r="AC18">
        <f t="shared" si="11"/>
        <v>0.95660224548721995</v>
      </c>
      <c r="AD18">
        <f t="shared" si="3"/>
        <v>0.28826801559452014</v>
      </c>
      <c r="AE18">
        <f t="shared" si="12"/>
        <v>0</v>
      </c>
      <c r="AF18">
        <f t="shared" si="13"/>
        <v>0.96089338531506741</v>
      </c>
      <c r="AG18">
        <f t="shared" si="14"/>
        <v>0.16472458033972581</v>
      </c>
      <c r="AH18">
        <f t="shared" si="15"/>
        <v>0</v>
      </c>
      <c r="AI18">
        <f t="shared" si="16"/>
        <v>7.5860004103821085E-2</v>
      </c>
      <c r="AJ18">
        <f t="shared" si="17"/>
        <v>0</v>
      </c>
      <c r="AK18">
        <f t="shared" si="18"/>
        <v>7.2067003898630036E-2</v>
      </c>
      <c r="AL18">
        <f t="shared" si="19"/>
        <v>0</v>
      </c>
    </row>
    <row r="19" spans="1:38" x14ac:dyDescent="0.2">
      <c r="A19">
        <v>2036</v>
      </c>
      <c r="B19">
        <v>11</v>
      </c>
      <c r="C19">
        <f t="shared" si="20"/>
        <v>3.1162439550945131</v>
      </c>
      <c r="D19">
        <f t="shared" si="22"/>
        <v>0.25649410636308811</v>
      </c>
      <c r="E19">
        <f t="shared" si="4"/>
        <v>0.25649410636308811</v>
      </c>
      <c r="F19">
        <f t="shared" si="5"/>
        <v>8.5631786951055888E-2</v>
      </c>
      <c r="G19" s="9">
        <f t="shared" si="6"/>
        <v>8.2308737717329591E-2</v>
      </c>
      <c r="H19" s="9">
        <f t="shared" si="6"/>
        <v>8.2308737717329591E-2</v>
      </c>
      <c r="I19" s="9">
        <f t="shared" si="6"/>
        <v>2.747916664581504E-2</v>
      </c>
      <c r="J19" s="9">
        <f t="shared" si="7"/>
        <v>1.0700135903252847E-2</v>
      </c>
      <c r="K19" s="9">
        <f t="shared" si="8"/>
        <v>1.646174754346592E-2</v>
      </c>
      <c r="L19" s="9">
        <f t="shared" si="9"/>
        <v>1.0991666658326016E-2</v>
      </c>
      <c r="M19">
        <f t="shared" si="0"/>
        <v>2.9988214244464202</v>
      </c>
      <c r="N19">
        <f t="shared" si="10"/>
        <v>2.0263738427859361</v>
      </c>
      <c r="O19">
        <f t="shared" si="23"/>
        <v>0.97244758166048406</v>
      </c>
      <c r="P19">
        <f t="shared" si="21"/>
        <v>1.7982501384246903</v>
      </c>
      <c r="Q19" s="9">
        <f t="shared" si="1"/>
        <v>0.59965229131862885</v>
      </c>
      <c r="R19">
        <f>VLOOKUP($B$1,dictionary!$A$3:$K$51,3,FALSE)*Q19</f>
        <v>0.11993045826372578</v>
      </c>
      <c r="S19">
        <f>VLOOKUP($B$1,dictionary!$A$3:$K$51,4,FALSE)*Q19</f>
        <v>0</v>
      </c>
      <c r="T19">
        <f>VLOOKUP($B$1,dictionary!$A$3:$K$51,5,FALSE)*Q19</f>
        <v>0.35979137479117729</v>
      </c>
      <c r="U19">
        <f>VLOOKUP($B$1,dictionary!$A$3:$K$51,6,FALSE)*Q19</f>
        <v>5.996522913186289E-2</v>
      </c>
      <c r="V19">
        <f>VLOOKUP($B$1,dictionary!$A$3:$K$51,7,FALSE)*Q19</f>
        <v>0</v>
      </c>
      <c r="W19">
        <f>VLOOKUP($B$1,dictionary!$A$3:$K$51,8,FALSE)*Q19</f>
        <v>2.9982614565931445E-2</v>
      </c>
      <c r="X19">
        <f>VLOOKUP($B$1,dictionary!$A$3:$K$51,9,FALSE)*Q19</f>
        <v>0</v>
      </c>
      <c r="Y19">
        <f>VLOOKUP($B$1,dictionary!$A$3:$K$51,10,FALSE)*Q19</f>
        <v>2.9982614565931445E-2</v>
      </c>
      <c r="Z19">
        <f>VLOOKUP($B$1,dictionary!$A$3:$K$51,11,FALSE)*Q19</f>
        <v>0</v>
      </c>
      <c r="AA19">
        <f t="shared" si="2"/>
        <v>1.2005712860217299</v>
      </c>
      <c r="AB19">
        <f t="shared" si="24"/>
        <v>0.38931716113051534</v>
      </c>
      <c r="AC19">
        <f t="shared" si="11"/>
        <v>0.81125412489121451</v>
      </c>
      <c r="AD19">
        <f t="shared" si="3"/>
        <v>0.35965002768493809</v>
      </c>
      <c r="AE19">
        <f t="shared" si="12"/>
        <v>0</v>
      </c>
      <c r="AF19">
        <f t="shared" si="13"/>
        <v>1.1988334256164601</v>
      </c>
      <c r="AG19">
        <f t="shared" si="14"/>
        <v>0.20551430153425035</v>
      </c>
      <c r="AH19">
        <f t="shared" si="15"/>
        <v>0</v>
      </c>
      <c r="AI19">
        <f t="shared" si="16"/>
        <v>9.4644744127615268E-2</v>
      </c>
      <c r="AJ19">
        <f t="shared" si="17"/>
        <v>0</v>
      </c>
      <c r="AK19">
        <f t="shared" si="18"/>
        <v>8.9912506921234522E-2</v>
      </c>
      <c r="AL19">
        <f t="shared" si="19"/>
        <v>0</v>
      </c>
    </row>
    <row r="20" spans="1:38" x14ac:dyDescent="0.2">
      <c r="A20">
        <v>2037</v>
      </c>
      <c r="B20">
        <v>12</v>
      </c>
      <c r="C20">
        <f t="shared" si="20"/>
        <v>3.1816850781514976</v>
      </c>
      <c r="D20">
        <f t="shared" si="22"/>
        <v>0.28551727576965469</v>
      </c>
      <c r="E20">
        <f t="shared" si="4"/>
        <v>0.28551727576965469</v>
      </c>
      <c r="F20">
        <f t="shared" si="5"/>
        <v>9.5383803197213624E-2</v>
      </c>
      <c r="G20" s="9">
        <f t="shared" si="6"/>
        <v>8.9737754918074772E-2</v>
      </c>
      <c r="H20" s="9">
        <f t="shared" si="6"/>
        <v>8.9737754918074772E-2</v>
      </c>
      <c r="I20" s="9">
        <f t="shared" si="6"/>
        <v>2.9979020818939727E-2</v>
      </c>
      <c r="J20" s="9">
        <f t="shared" si="7"/>
        <v>1.166590813934972E-2</v>
      </c>
      <c r="K20" s="9">
        <f t="shared" si="8"/>
        <v>1.7947550983614956E-2</v>
      </c>
      <c r="L20" s="9">
        <f t="shared" si="9"/>
        <v>1.1991608327575891E-2</v>
      </c>
      <c r="M20">
        <f t="shared" si="0"/>
        <v>3.0510988888999608</v>
      </c>
      <c r="N20">
        <f t="shared" si="10"/>
        <v>2.1616353859749413</v>
      </c>
      <c r="O20">
        <f t="shared" si="23"/>
        <v>0.88946350292501952</v>
      </c>
      <c r="P20">
        <f>IF($I$3=0,0,M20/(1+EXP(-$I$3*(B20-$J$3)))-M20/(1+EXP($I$3*$J$3)))</f>
        <v>2.1356549890705185</v>
      </c>
      <c r="Q20" s="9">
        <f t="shared" si="1"/>
        <v>0.6999625599944107</v>
      </c>
      <c r="R20">
        <f>VLOOKUP($B$1,dictionary!$A$3:$K$51,3,FALSE)*Q20</f>
        <v>0.13999251199888216</v>
      </c>
      <c r="S20">
        <f>VLOOKUP($B$1,dictionary!$A$3:$K$51,4,FALSE)*Q20</f>
        <v>0</v>
      </c>
      <c r="T20">
        <f>VLOOKUP($B$1,dictionary!$A$3:$K$51,5,FALSE)*Q20</f>
        <v>0.41997753599664639</v>
      </c>
      <c r="U20">
        <f>VLOOKUP($B$1,dictionary!$A$3:$K$51,6,FALSE)*Q20</f>
        <v>6.9996255999441079E-2</v>
      </c>
      <c r="V20">
        <f>VLOOKUP($B$1,dictionary!$A$3:$K$51,7,FALSE)*Q20</f>
        <v>0</v>
      </c>
      <c r="W20">
        <f>VLOOKUP($B$1,dictionary!$A$3:$K$51,8,FALSE)*Q20</f>
        <v>3.4998127999720539E-2</v>
      </c>
      <c r="X20">
        <f>VLOOKUP($B$1,dictionary!$A$3:$K$51,9,FALSE)*Q20</f>
        <v>0</v>
      </c>
      <c r="Y20">
        <f>VLOOKUP($B$1,dictionary!$A$3:$K$51,10,FALSE)*Q20</f>
        <v>3.4998127999720539E-2</v>
      </c>
      <c r="Z20">
        <f>VLOOKUP($B$1,dictionary!$A$3:$K$51,11,FALSE)*Q20</f>
        <v>0</v>
      </c>
      <c r="AA20">
        <f t="shared" si="2"/>
        <v>0.9154438998294423</v>
      </c>
      <c r="AB20">
        <f t="shared" si="24"/>
        <v>0.26687235239602686</v>
      </c>
      <c r="AC20">
        <f t="shared" si="11"/>
        <v>0.64857154743341539</v>
      </c>
      <c r="AD20">
        <f t="shared" si="3"/>
        <v>0.4271309978141038</v>
      </c>
      <c r="AE20">
        <f t="shared" si="12"/>
        <v>0</v>
      </c>
      <c r="AF20">
        <f t="shared" si="13"/>
        <v>1.4237699927136791</v>
      </c>
      <c r="AG20">
        <f t="shared" si="14"/>
        <v>0.24407485589377365</v>
      </c>
      <c r="AH20">
        <f t="shared" si="15"/>
        <v>0</v>
      </c>
      <c r="AI20">
        <f t="shared" si="16"/>
        <v>0.11240289416160626</v>
      </c>
      <c r="AJ20">
        <f t="shared" si="17"/>
        <v>0</v>
      </c>
      <c r="AK20">
        <f t="shared" si="18"/>
        <v>0.10678274945352595</v>
      </c>
      <c r="AL20">
        <f t="shared" si="19"/>
        <v>0</v>
      </c>
    </row>
    <row r="21" spans="1:38" x14ac:dyDescent="0.2">
      <c r="A21">
        <v>2038</v>
      </c>
      <c r="B21">
        <v>13</v>
      </c>
      <c r="C21">
        <f t="shared" si="20"/>
        <v>3.248500464792679</v>
      </c>
      <c r="D21">
        <f t="shared" si="22"/>
        <v>0.31557068739523175</v>
      </c>
      <c r="E21">
        <f t="shared" si="4"/>
        <v>0.31557068739523175</v>
      </c>
      <c r="F21">
        <f t="shared" si="5"/>
        <v>0.10550682850435389</v>
      </c>
      <c r="G21" s="9">
        <f t="shared" si="6"/>
        <v>9.7143494610942474E-2</v>
      </c>
      <c r="H21" s="9">
        <f t="shared" si="6"/>
        <v>9.7143494610942474E-2</v>
      </c>
      <c r="I21" s="9">
        <f t="shared" si="6"/>
        <v>3.2478625029560337E-2</v>
      </c>
      <c r="J21" s="9">
        <f t="shared" si="7"/>
        <v>1.2628654299422523E-2</v>
      </c>
      <c r="K21" s="9">
        <f t="shared" si="8"/>
        <v>1.9428698922188497E-2</v>
      </c>
      <c r="L21" s="9">
        <f t="shared" si="9"/>
        <v>1.2991450011824135E-2</v>
      </c>
      <c r="M21">
        <f t="shared" si="0"/>
        <v>3.1042990062502347</v>
      </c>
      <c r="N21">
        <f t="shared" si="10"/>
        <v>2.2798027149102484</v>
      </c>
      <c r="O21">
        <f t="shared" si="23"/>
        <v>0.82449629133998625</v>
      </c>
      <c r="P21">
        <f t="shared" si="21"/>
        <v>2.4311090605623091</v>
      </c>
      <c r="Q21" s="9">
        <f t="shared" si="1"/>
        <v>0.78314268556845956</v>
      </c>
      <c r="R21">
        <f>VLOOKUP($B$1,dictionary!$A$3:$K$51,3,FALSE)*Q21</f>
        <v>0.15662853711369193</v>
      </c>
      <c r="S21">
        <f>VLOOKUP($B$1,dictionary!$A$3:$K$51,4,FALSE)*Q21</f>
        <v>0</v>
      </c>
      <c r="T21">
        <f>VLOOKUP($B$1,dictionary!$A$3:$K$51,5,FALSE)*Q21</f>
        <v>0.4698856113410757</v>
      </c>
      <c r="U21">
        <f>VLOOKUP($B$1,dictionary!$A$3:$K$51,6,FALSE)*Q21</f>
        <v>7.8314268556845965E-2</v>
      </c>
      <c r="V21">
        <f>VLOOKUP($B$1,dictionary!$A$3:$K$51,7,FALSE)*Q21</f>
        <v>0</v>
      </c>
      <c r="W21">
        <f>VLOOKUP($B$1,dictionary!$A$3:$K$51,8,FALSE)*Q21</f>
        <v>3.9157134278422982E-2</v>
      </c>
      <c r="X21">
        <f>VLOOKUP($B$1,dictionary!$A$3:$K$51,9,FALSE)*Q21</f>
        <v>0</v>
      </c>
      <c r="Y21">
        <f>VLOOKUP($B$1,dictionary!$A$3:$K$51,10,FALSE)*Q21</f>
        <v>3.9157134278422982E-2</v>
      </c>
      <c r="Z21">
        <f>VLOOKUP($B$1,dictionary!$A$3:$K$51,11,FALSE)*Q21</f>
        <v>0</v>
      </c>
      <c r="AA21">
        <f t="shared" si="2"/>
        <v>0.67318994568792556</v>
      </c>
      <c r="AB21">
        <f t="shared" si="24"/>
        <v>0.17879805149875433</v>
      </c>
      <c r="AC21">
        <f t="shared" si="11"/>
        <v>0.49439189418917118</v>
      </c>
      <c r="AD21">
        <f t="shared" si="3"/>
        <v>0.48622181211246185</v>
      </c>
      <c r="AE21">
        <f t="shared" si="12"/>
        <v>0</v>
      </c>
      <c r="AF21">
        <f t="shared" si="13"/>
        <v>1.6207393737082059</v>
      </c>
      <c r="AG21">
        <f t="shared" si="14"/>
        <v>0.2778410354928354</v>
      </c>
      <c r="AH21">
        <f t="shared" si="15"/>
        <v>0</v>
      </c>
      <c r="AI21">
        <f t="shared" si="16"/>
        <v>0.12795310845064783</v>
      </c>
      <c r="AJ21">
        <f t="shared" si="17"/>
        <v>0</v>
      </c>
      <c r="AK21">
        <f t="shared" si="18"/>
        <v>0.12155545302811546</v>
      </c>
      <c r="AL21">
        <f t="shared" si="19"/>
        <v>0</v>
      </c>
    </row>
    <row r="22" spans="1:38" x14ac:dyDescent="0.2">
      <c r="A22">
        <v>2039</v>
      </c>
      <c r="B22">
        <v>14</v>
      </c>
      <c r="C22">
        <f t="shared" si="20"/>
        <v>3.316718974553325</v>
      </c>
      <c r="D22">
        <f t="shared" si="22"/>
        <v>0.34667258922303579</v>
      </c>
      <c r="E22">
        <f t="shared" si="4"/>
        <v>0.34667258922303579</v>
      </c>
      <c r="F22">
        <f t="shared" si="5"/>
        <v>0.11601171324134452</v>
      </c>
      <c r="G22" s="9">
        <f t="shared" si="6"/>
        <v>0.10452275030920384</v>
      </c>
      <c r="H22" s="9">
        <f t="shared" si="6"/>
        <v>0.10452275030920384</v>
      </c>
      <c r="I22" s="9">
        <f t="shared" si="6"/>
        <v>3.4977854358905477E-2</v>
      </c>
      <c r="J22" s="9">
        <f t="shared" si="7"/>
        <v>1.35879575401965E-2</v>
      </c>
      <c r="K22" s="9">
        <f t="shared" si="8"/>
        <v>2.090455006184077E-2</v>
      </c>
      <c r="L22" s="9">
        <f t="shared" si="9"/>
        <v>1.3991141743562191E-2</v>
      </c>
      <c r="M22">
        <f t="shared" si="0"/>
        <v>3.1584418820007967</v>
      </c>
      <c r="N22">
        <f t="shared" si="10"/>
        <v>2.3833637820443014</v>
      </c>
      <c r="O22">
        <f t="shared" si="23"/>
        <v>0.77507809995649524</v>
      </c>
      <c r="P22">
        <f t="shared" si="21"/>
        <v>2.6757119178530777</v>
      </c>
      <c r="Q22" s="9">
        <f t="shared" si="1"/>
        <v>0.8471619924689191</v>
      </c>
      <c r="R22">
        <f>VLOOKUP($B$1,dictionary!$A$3:$K$51,3,FALSE)*Q22</f>
        <v>0.16943239849378383</v>
      </c>
      <c r="S22">
        <f>VLOOKUP($B$1,dictionary!$A$3:$K$51,4,FALSE)*Q22</f>
        <v>0</v>
      </c>
      <c r="T22">
        <f>VLOOKUP($B$1,dictionary!$A$3:$K$51,5,FALSE)*Q22</f>
        <v>0.50829719548135144</v>
      </c>
      <c r="U22">
        <f>VLOOKUP($B$1,dictionary!$A$3:$K$51,6,FALSE)*Q22</f>
        <v>8.4716199246891916E-2</v>
      </c>
      <c r="V22">
        <f>VLOOKUP($B$1,dictionary!$A$3:$K$51,7,FALSE)*Q22</f>
        <v>0</v>
      </c>
      <c r="W22">
        <f>VLOOKUP($B$1,dictionary!$A$3:$K$51,8,FALSE)*Q22</f>
        <v>4.2358099623445958E-2</v>
      </c>
      <c r="X22">
        <f>VLOOKUP($B$1,dictionary!$A$3:$K$51,9,FALSE)*Q22</f>
        <v>0</v>
      </c>
      <c r="Y22">
        <f>VLOOKUP($B$1,dictionary!$A$3:$K$51,10,FALSE)*Q22</f>
        <v>4.2358099623445958E-2</v>
      </c>
      <c r="Z22">
        <f>VLOOKUP($B$1,dictionary!$A$3:$K$51,11,FALSE)*Q22</f>
        <v>0</v>
      </c>
      <c r="AA22">
        <f t="shared" si="2"/>
        <v>0.48272996414771896</v>
      </c>
      <c r="AB22">
        <f t="shared" si="24"/>
        <v>0.11846139247832665</v>
      </c>
      <c r="AC22">
        <f t="shared" si="11"/>
        <v>0.3642685716693923</v>
      </c>
      <c r="AD22">
        <f t="shared" si="3"/>
        <v>0.5351423835706155</v>
      </c>
      <c r="AE22">
        <f t="shared" si="12"/>
        <v>0</v>
      </c>
      <c r="AF22">
        <f t="shared" si="13"/>
        <v>1.783807945235385</v>
      </c>
      <c r="AG22">
        <f t="shared" si="14"/>
        <v>0.30579564775463752</v>
      </c>
      <c r="AH22">
        <f t="shared" si="15"/>
        <v>0</v>
      </c>
      <c r="AI22">
        <f t="shared" si="16"/>
        <v>0.14082694304489882</v>
      </c>
      <c r="AJ22">
        <f t="shared" si="17"/>
        <v>0</v>
      </c>
      <c r="AK22">
        <f t="shared" si="18"/>
        <v>0.13378559589265387</v>
      </c>
      <c r="AL22">
        <f t="shared" si="19"/>
        <v>0</v>
      </c>
    </row>
    <row r="23" spans="1:38" x14ac:dyDescent="0.2">
      <c r="A23">
        <v>2040</v>
      </c>
      <c r="B23">
        <v>15</v>
      </c>
      <c r="C23">
        <f t="shared" si="20"/>
        <v>3.3863700730189445</v>
      </c>
      <c r="D23">
        <f t="shared" si="22"/>
        <v>0.37884121920101266</v>
      </c>
      <c r="E23">
        <f t="shared" si="4"/>
        <v>0.37884121920101266</v>
      </c>
      <c r="F23">
        <f t="shared" si="5"/>
        <v>0.12690958237179406</v>
      </c>
      <c r="G23" s="9">
        <f t="shared" si="6"/>
        <v>0.11187236215540855</v>
      </c>
      <c r="H23" s="9">
        <f t="shared" si="6"/>
        <v>0.11187236215540855</v>
      </c>
      <c r="I23" s="9">
        <f t="shared" si="6"/>
        <v>3.7476583963150352E-2</v>
      </c>
      <c r="J23" s="9">
        <f t="shared" si="7"/>
        <v>1.4543407080203113E-2</v>
      </c>
      <c r="K23" s="9">
        <f t="shared" si="8"/>
        <v>2.2374472431081711E-2</v>
      </c>
      <c r="L23" s="9">
        <f t="shared" si="9"/>
        <v>1.4990633585260142E-2</v>
      </c>
      <c r="M23">
        <f t="shared" si="0"/>
        <v>3.2135481406110546</v>
      </c>
      <c r="N23">
        <f t="shared" si="10"/>
        <v>2.4749096112165154</v>
      </c>
      <c r="O23">
        <f t="shared" si="23"/>
        <v>0.73863852939453922</v>
      </c>
      <c r="P23">
        <f t="shared" si="21"/>
        <v>2.8718309759147194</v>
      </c>
      <c r="Q23" s="9">
        <f t="shared" si="1"/>
        <v>0.89366359247029736</v>
      </c>
      <c r="R23">
        <f>VLOOKUP($B$1,dictionary!$A$3:$K$51,3,FALSE)*Q23</f>
        <v>0.17873271849405947</v>
      </c>
      <c r="S23">
        <f>VLOOKUP($B$1,dictionary!$A$3:$K$51,4,FALSE)*Q23</f>
        <v>0</v>
      </c>
      <c r="T23">
        <f>VLOOKUP($B$1,dictionary!$A$3:$K$51,5,FALSE)*Q23</f>
        <v>0.53619815548217842</v>
      </c>
      <c r="U23">
        <f>VLOOKUP($B$1,dictionary!$A$3:$K$51,6,FALSE)*Q23</f>
        <v>8.9366359247029736E-2</v>
      </c>
      <c r="V23">
        <f>VLOOKUP($B$1,dictionary!$A$3:$K$51,7,FALSE)*Q23</f>
        <v>0</v>
      </c>
      <c r="W23">
        <f>VLOOKUP($B$1,dictionary!$A$3:$K$51,8,FALSE)*Q23</f>
        <v>4.4683179623514868E-2</v>
      </c>
      <c r="X23">
        <f>VLOOKUP($B$1,dictionary!$A$3:$K$51,9,FALSE)*Q23</f>
        <v>0</v>
      </c>
      <c r="Y23">
        <f>VLOOKUP($B$1,dictionary!$A$3:$K$51,10,FALSE)*Q23</f>
        <v>4.4683179623514868E-2</v>
      </c>
      <c r="Z23">
        <f>VLOOKUP($B$1,dictionary!$A$3:$K$51,11,FALSE)*Q23</f>
        <v>0</v>
      </c>
      <c r="AA23">
        <f t="shared" si="2"/>
        <v>0.34171716469633528</v>
      </c>
      <c r="AB23">
        <f t="shared" si="24"/>
        <v>7.854416767883797E-2</v>
      </c>
      <c r="AC23">
        <f t="shared" si="11"/>
        <v>0.26317299701749736</v>
      </c>
      <c r="AD23">
        <f t="shared" si="3"/>
        <v>0.57436619518294385</v>
      </c>
      <c r="AE23">
        <f t="shared" si="12"/>
        <v>0</v>
      </c>
      <c r="AF23">
        <f t="shared" si="13"/>
        <v>1.9145539839431462</v>
      </c>
      <c r="AG23">
        <f t="shared" si="14"/>
        <v>0.32820925439025367</v>
      </c>
      <c r="AH23">
        <f t="shared" si="15"/>
        <v>0</v>
      </c>
      <c r="AI23">
        <f t="shared" si="16"/>
        <v>0.15114899873235366</v>
      </c>
      <c r="AJ23">
        <f t="shared" si="17"/>
        <v>0</v>
      </c>
      <c r="AK23">
        <f t="shared" si="18"/>
        <v>0.14359154879573596</v>
      </c>
      <c r="AL23">
        <f t="shared" si="19"/>
        <v>0</v>
      </c>
    </row>
    <row r="24" spans="1:38" x14ac:dyDescent="0.2">
      <c r="A24">
        <v>2041</v>
      </c>
      <c r="B24">
        <v>16</v>
      </c>
      <c r="C24">
        <f t="shared" si="20"/>
        <v>3.4574838445523421</v>
      </c>
      <c r="D24">
        <f t="shared" si="22"/>
        <v>0.41209481015142257</v>
      </c>
      <c r="E24">
        <f t="shared" si="4"/>
        <v>0.41209481015142257</v>
      </c>
      <c r="F24">
        <f t="shared" si="5"/>
        <v>0.13821184174854806</v>
      </c>
      <c r="G24" s="9">
        <f t="shared" si="6"/>
        <v>0.11918922218558582</v>
      </c>
      <c r="H24" s="9">
        <f t="shared" si="6"/>
        <v>0.11918922218558582</v>
      </c>
      <c r="I24" s="9">
        <f t="shared" si="6"/>
        <v>3.9974689098350086E-2</v>
      </c>
      <c r="J24" s="9">
        <f t="shared" si="7"/>
        <v>1.5494598884126158E-2</v>
      </c>
      <c r="K24" s="9">
        <f t="shared" si="8"/>
        <v>2.3837844437117166E-2</v>
      </c>
      <c r="L24" s="9">
        <f t="shared" si="9"/>
        <v>1.5989875639340036E-2</v>
      </c>
      <c r="M24">
        <f t="shared" si="0"/>
        <v>3.2696389331820073</v>
      </c>
      <c r="N24">
        <f t="shared" si="10"/>
        <v>2.5568683927932261</v>
      </c>
      <c r="O24">
        <f t="shared" si="23"/>
        <v>0.71277054038878118</v>
      </c>
      <c r="P24">
        <f t="shared" si="21"/>
        <v>3.0278154610832941</v>
      </c>
      <c r="Q24" s="9">
        <f t="shared" si="1"/>
        <v>0.92603970131241042</v>
      </c>
      <c r="R24">
        <f>VLOOKUP($B$1,dictionary!$A$3:$K$51,3,FALSE)*Q24</f>
        <v>0.18520794026248211</v>
      </c>
      <c r="S24">
        <f>VLOOKUP($B$1,dictionary!$A$3:$K$51,4,FALSE)*Q24</f>
        <v>0</v>
      </c>
      <c r="T24">
        <f>VLOOKUP($B$1,dictionary!$A$3:$K$51,5,FALSE)*Q24</f>
        <v>0.55562382078744621</v>
      </c>
      <c r="U24">
        <f>VLOOKUP($B$1,dictionary!$A$3:$K$51,6,FALSE)*Q24</f>
        <v>9.2603970131241053E-2</v>
      </c>
      <c r="V24">
        <f>VLOOKUP($B$1,dictionary!$A$3:$K$51,7,FALSE)*Q24</f>
        <v>0</v>
      </c>
      <c r="W24">
        <f>VLOOKUP($B$1,dictionary!$A$3:$K$51,8,FALSE)*Q24</f>
        <v>4.6301985065620527E-2</v>
      </c>
      <c r="X24">
        <f>VLOOKUP($B$1,dictionary!$A$3:$K$51,9,FALSE)*Q24</f>
        <v>0</v>
      </c>
      <c r="Y24">
        <f>VLOOKUP($B$1,dictionary!$A$3:$K$51,10,FALSE)*Q24</f>
        <v>4.6301985065620527E-2</v>
      </c>
      <c r="Z24">
        <f>VLOOKUP($B$1,dictionary!$A$3:$K$51,11,FALSE)*Q24</f>
        <v>0</v>
      </c>
      <c r="AA24">
        <f t="shared" si="2"/>
        <v>0.24182347209871313</v>
      </c>
      <c r="AB24">
        <f t="shared" si="24"/>
        <v>5.2716722062868919E-2</v>
      </c>
      <c r="AC24">
        <f t="shared" si="11"/>
        <v>0.18910675003584421</v>
      </c>
      <c r="AD24">
        <f t="shared" si="3"/>
        <v>0.60556309221665894</v>
      </c>
      <c r="AE24">
        <f t="shared" si="12"/>
        <v>0</v>
      </c>
      <c r="AF24">
        <f t="shared" si="13"/>
        <v>2.0185436407221959</v>
      </c>
      <c r="AG24">
        <f t="shared" si="14"/>
        <v>0.34603605269523374</v>
      </c>
      <c r="AH24">
        <f t="shared" si="15"/>
        <v>0</v>
      </c>
      <c r="AI24">
        <f t="shared" si="16"/>
        <v>0.15935870847806813</v>
      </c>
      <c r="AJ24">
        <f t="shared" si="17"/>
        <v>0</v>
      </c>
      <c r="AK24">
        <f t="shared" si="18"/>
        <v>0.15139077305416473</v>
      </c>
      <c r="AL24">
        <f t="shared" si="19"/>
        <v>0</v>
      </c>
    </row>
    <row r="25" spans="1:38" x14ac:dyDescent="0.2">
      <c r="A25">
        <v>2042</v>
      </c>
      <c r="B25">
        <v>17</v>
      </c>
      <c r="C25">
        <f t="shared" si="20"/>
        <v>3.5300910052879408</v>
      </c>
      <c r="D25">
        <f t="shared" si="22"/>
        <v>0.44645159575471682</v>
      </c>
      <c r="E25">
        <f t="shared" si="4"/>
        <v>0.44645159575471682</v>
      </c>
      <c r="F25">
        <f t="shared" si="5"/>
        <v>0.14993018454371176</v>
      </c>
      <c r="G25" s="9">
        <f t="shared" si="6"/>
        <v>0.12647027940241468</v>
      </c>
      <c r="H25" s="9">
        <f t="shared" si="6"/>
        <v>0.12647027940241468</v>
      </c>
      <c r="I25" s="9">
        <f t="shared" si="6"/>
        <v>4.2472045145329713E-2</v>
      </c>
      <c r="J25" s="9">
        <f t="shared" si="7"/>
        <v>1.6441136322313907E-2</v>
      </c>
      <c r="K25" s="9">
        <f t="shared" si="8"/>
        <v>2.5294055880482936E-2</v>
      </c>
      <c r="L25" s="9">
        <f t="shared" si="9"/>
        <v>1.6988818058131887E-2</v>
      </c>
      <c r="M25">
        <f t="shared" si="0"/>
        <v>3.3267359450406104</v>
      </c>
      <c r="N25">
        <f t="shared" si="10"/>
        <v>2.6313732231389686</v>
      </c>
      <c r="O25">
        <f t="shared" si="23"/>
        <v>0.69536272190164183</v>
      </c>
      <c r="P25">
        <f>IF($I$3=0,0,M25/(1+EXP(-$I$3*(B25-$J$3)))-M25/(1+EXP($I$3*$J$3)))</f>
        <v>3.1534854558481666</v>
      </c>
      <c r="Q25" s="9">
        <f t="shared" si="1"/>
        <v>0.94792177916894182</v>
      </c>
      <c r="R25">
        <f>VLOOKUP($B$1,dictionary!$A$3:$K$51,3,FALSE)*Q25</f>
        <v>0.18958435583378838</v>
      </c>
      <c r="S25">
        <f>VLOOKUP($B$1,dictionary!$A$3:$K$51,4,FALSE)*Q25</f>
        <v>0</v>
      </c>
      <c r="T25">
        <f>VLOOKUP($B$1,dictionary!$A$3:$K$51,5,FALSE)*Q25</f>
        <v>0.56875306750136512</v>
      </c>
      <c r="U25">
        <f>VLOOKUP($B$1,dictionary!$A$3:$K$51,6,FALSE)*Q25</f>
        <v>9.4792177916894191E-2</v>
      </c>
      <c r="V25">
        <f>VLOOKUP($B$1,dictionary!$A$3:$K$51,7,FALSE)*Q25</f>
        <v>0</v>
      </c>
      <c r="W25">
        <f>VLOOKUP($B$1,dictionary!$A$3:$K$51,8,FALSE)*Q25</f>
        <v>4.7396088958447095E-2</v>
      </c>
      <c r="X25">
        <f>VLOOKUP($B$1,dictionary!$A$3:$K$51,9,FALSE)*Q25</f>
        <v>0</v>
      </c>
      <c r="Y25">
        <f>VLOOKUP($B$1,dictionary!$A$3:$K$51,10,FALSE)*Q25</f>
        <v>4.7396088958447095E-2</v>
      </c>
      <c r="Z25">
        <f>VLOOKUP($B$1,dictionary!$A$3:$K$51,11,FALSE)*Q25</f>
        <v>0</v>
      </c>
      <c r="AA25">
        <f t="shared" si="2"/>
        <v>0.17325048919244379</v>
      </c>
      <c r="AB25">
        <f t="shared" si="24"/>
        <v>3.6213253388879367E-2</v>
      </c>
      <c r="AC25">
        <f t="shared" si="11"/>
        <v>0.13703723580356442</v>
      </c>
      <c r="AD25">
        <f t="shared" si="3"/>
        <v>0.63069709116963335</v>
      </c>
      <c r="AE25">
        <f t="shared" si="12"/>
        <v>0</v>
      </c>
      <c r="AF25">
        <f t="shared" si="13"/>
        <v>2.1023236372321112</v>
      </c>
      <c r="AG25">
        <f t="shared" si="14"/>
        <v>0.3603983378112191</v>
      </c>
      <c r="AH25">
        <f t="shared" si="15"/>
        <v>0</v>
      </c>
      <c r="AI25">
        <f t="shared" si="16"/>
        <v>0.16597291872885087</v>
      </c>
      <c r="AJ25">
        <f t="shared" si="17"/>
        <v>0</v>
      </c>
      <c r="AK25">
        <f t="shared" si="18"/>
        <v>0.15767427279240834</v>
      </c>
      <c r="AL25">
        <f t="shared" si="19"/>
        <v>0</v>
      </c>
    </row>
    <row r="26" spans="1:38" x14ac:dyDescent="0.2">
      <c r="A26">
        <v>2043</v>
      </c>
      <c r="B26">
        <v>18</v>
      </c>
      <c r="C26">
        <f t="shared" si="20"/>
        <v>3.6042229163989874</v>
      </c>
      <c r="D26">
        <f t="shared" si="22"/>
        <v>0.48192981760344766</v>
      </c>
      <c r="E26">
        <f t="shared" si="4"/>
        <v>0.48192981760344766</v>
      </c>
      <c r="F26">
        <f t="shared" si="5"/>
        <v>0.16207659781706485</v>
      </c>
      <c r="G26" s="9">
        <f t="shared" si="6"/>
        <v>0.13371254464053745</v>
      </c>
      <c r="H26" s="9">
        <f t="shared" si="6"/>
        <v>0.13371254464053745</v>
      </c>
      <c r="I26" s="9">
        <f t="shared" si="6"/>
        <v>4.4968527634521867E-2</v>
      </c>
      <c r="J26" s="9">
        <f t="shared" si="7"/>
        <v>1.7382630803269867E-2</v>
      </c>
      <c r="K26" s="9">
        <f t="shared" si="8"/>
        <v>2.6742508928107492E-2</v>
      </c>
      <c r="L26" s="9">
        <f t="shared" si="9"/>
        <v>1.7987411053808747E-2</v>
      </c>
      <c r="M26">
        <f t="shared" si="0"/>
        <v>3.3848614032347788</v>
      </c>
      <c r="N26">
        <f t="shared" si="10"/>
        <v>2.7002196036300994</v>
      </c>
      <c r="O26">
        <f t="shared" si="23"/>
        <v>0.68464179960467941</v>
      </c>
      <c r="P26">
        <f t="shared" si="21"/>
        <v>3.2576449881845124</v>
      </c>
      <c r="Q26" s="9">
        <f t="shared" si="1"/>
        <v>0.96241606379254097</v>
      </c>
      <c r="R26">
        <f>VLOOKUP($B$1,dictionary!$A$3:$K$51,3,FALSE)*Q26</f>
        <v>0.19248321275850822</v>
      </c>
      <c r="S26">
        <f>VLOOKUP($B$1,dictionary!$A$3:$K$51,4,FALSE)*Q26</f>
        <v>0</v>
      </c>
      <c r="T26">
        <f>VLOOKUP($B$1,dictionary!$A$3:$K$51,5,FALSE)*Q26</f>
        <v>0.57744963827552453</v>
      </c>
      <c r="U26">
        <f>VLOOKUP($B$1,dictionary!$A$3:$K$51,6,FALSE)*Q26</f>
        <v>9.6241606379254108E-2</v>
      </c>
      <c r="V26">
        <f>VLOOKUP($B$1,dictionary!$A$3:$K$51,7,FALSE)*Q26</f>
        <v>0</v>
      </c>
      <c r="W26">
        <f>VLOOKUP($B$1,dictionary!$A$3:$K$51,8,FALSE)*Q26</f>
        <v>4.8120803189627054E-2</v>
      </c>
      <c r="X26">
        <f>VLOOKUP($B$1,dictionary!$A$3:$K$51,9,FALSE)*Q26</f>
        <v>0</v>
      </c>
      <c r="Y26">
        <f>VLOOKUP($B$1,dictionary!$A$3:$K$51,10,FALSE)*Q26</f>
        <v>4.8120803189627054E-2</v>
      </c>
      <c r="Z26">
        <f>VLOOKUP($B$1,dictionary!$A$3:$K$51,11,FALSE)*Q26</f>
        <v>0</v>
      </c>
      <c r="AA26">
        <f t="shared" si="2"/>
        <v>0.12721641505026637</v>
      </c>
      <c r="AB26">
        <f t="shared" si="24"/>
        <v>2.5731533721302258E-2</v>
      </c>
      <c r="AC26">
        <f t="shared" si="11"/>
        <v>0.10148488132896412</v>
      </c>
      <c r="AD26">
        <f t="shared" si="3"/>
        <v>0.65152899763690264</v>
      </c>
      <c r="AE26">
        <f t="shared" si="12"/>
        <v>0</v>
      </c>
      <c r="AF26">
        <f t="shared" si="13"/>
        <v>2.1717633254563418</v>
      </c>
      <c r="AG26">
        <f t="shared" si="14"/>
        <v>0.37230228436394441</v>
      </c>
      <c r="AH26">
        <f t="shared" si="15"/>
        <v>0</v>
      </c>
      <c r="AI26">
        <f t="shared" si="16"/>
        <v>0.17145499937813227</v>
      </c>
      <c r="AJ26">
        <f t="shared" si="17"/>
        <v>0</v>
      </c>
      <c r="AK26">
        <f t="shared" si="18"/>
        <v>0.16288224940922566</v>
      </c>
      <c r="AL26">
        <f t="shared" si="19"/>
        <v>0</v>
      </c>
    </row>
    <row r="27" spans="1:38" x14ac:dyDescent="0.2">
      <c r="A27">
        <v>2044</v>
      </c>
      <c r="B27">
        <v>19</v>
      </c>
      <c r="C27">
        <f t="shared" si="20"/>
        <v>3.6799115976433656</v>
      </c>
      <c r="D27">
        <f t="shared" si="22"/>
        <v>0.51854773331749415</v>
      </c>
      <c r="E27">
        <f t="shared" si="4"/>
        <v>0.51854773331749415</v>
      </c>
      <c r="F27">
        <f t="shared" si="5"/>
        <v>0.17466336922578352</v>
      </c>
      <c r="G27" s="9">
        <f t="shared" si="6"/>
        <v>0.14091309520847586</v>
      </c>
      <c r="H27" s="9">
        <f t="shared" si="6"/>
        <v>0.14091309520847586</v>
      </c>
      <c r="I27" s="9">
        <f t="shared" si="6"/>
        <v>4.7464012270740104E-2</v>
      </c>
      <c r="J27" s="9">
        <f t="shared" si="7"/>
        <v>1.8318702377101863E-2</v>
      </c>
      <c r="K27" s="9">
        <f t="shared" si="8"/>
        <v>2.8182619041695174E-2</v>
      </c>
      <c r="L27" s="9">
        <f t="shared" si="9"/>
        <v>1.8985604908296042E-2</v>
      </c>
      <c r="M27">
        <f t="shared" si="0"/>
        <v>3.4440380839523401</v>
      </c>
      <c r="N27">
        <f t="shared" si="10"/>
        <v>2.7648753046731436</v>
      </c>
      <c r="O27">
        <f t="shared" si="23"/>
        <v>0.67916277927919655</v>
      </c>
      <c r="P27">
        <f t="shared" si="21"/>
        <v>3.3472228122161427</v>
      </c>
      <c r="Q27" s="9">
        <f t="shared" si="1"/>
        <v>0.97188902405367905</v>
      </c>
      <c r="R27">
        <f>VLOOKUP($B$1,dictionary!$A$3:$K$51,3,FALSE)*Q27</f>
        <v>0.19437780481073583</v>
      </c>
      <c r="S27">
        <f>VLOOKUP($B$1,dictionary!$A$3:$K$51,4,FALSE)*Q27</f>
        <v>0</v>
      </c>
      <c r="T27">
        <f>VLOOKUP($B$1,dictionary!$A$3:$K$51,5,FALSE)*Q27</f>
        <v>0.58313341443220745</v>
      </c>
      <c r="U27">
        <f>VLOOKUP($B$1,dictionary!$A$3:$K$51,6,FALSE)*Q27</f>
        <v>9.7188902405367913E-2</v>
      </c>
      <c r="V27">
        <f>VLOOKUP($B$1,dictionary!$A$3:$K$51,7,FALSE)*Q27</f>
        <v>0</v>
      </c>
      <c r="W27">
        <f>VLOOKUP($B$1,dictionary!$A$3:$K$51,8,FALSE)*Q27</f>
        <v>4.8594451202683957E-2</v>
      </c>
      <c r="X27">
        <f>VLOOKUP($B$1,dictionary!$A$3:$K$51,9,FALSE)*Q27</f>
        <v>0</v>
      </c>
      <c r="Y27">
        <f>VLOOKUP($B$1,dictionary!$A$3:$K$51,10,FALSE)*Q27</f>
        <v>4.8594451202683957E-2</v>
      </c>
      <c r="Z27">
        <f>VLOOKUP($B$1,dictionary!$A$3:$K$51,11,FALSE)*Q27</f>
        <v>0</v>
      </c>
      <c r="AA27">
        <f t="shared" si="2"/>
        <v>9.6815271736197417E-2</v>
      </c>
      <c r="AB27">
        <f t="shared" si="24"/>
        <v>1.9091928551953959E-2</v>
      </c>
      <c r="AC27">
        <f t="shared" si="11"/>
        <v>7.7723343184243468E-2</v>
      </c>
      <c r="AD27">
        <f t="shared" si="3"/>
        <v>0.66944456244322859</v>
      </c>
      <c r="AE27">
        <f t="shared" si="12"/>
        <v>0</v>
      </c>
      <c r="AF27">
        <f t="shared" si="13"/>
        <v>2.2314818748107621</v>
      </c>
      <c r="AG27">
        <f t="shared" si="14"/>
        <v>0.38253974996755918</v>
      </c>
      <c r="AH27">
        <f t="shared" si="15"/>
        <v>0</v>
      </c>
      <c r="AI27">
        <f t="shared" si="16"/>
        <v>0.17616962169558645</v>
      </c>
      <c r="AJ27">
        <f t="shared" si="17"/>
        <v>0</v>
      </c>
      <c r="AK27">
        <f t="shared" si="18"/>
        <v>0.16736114061080715</v>
      </c>
      <c r="AL27">
        <f t="shared" si="19"/>
        <v>0</v>
      </c>
    </row>
    <row r="28" spans="1:38" x14ac:dyDescent="0.2">
      <c r="A28">
        <v>2045</v>
      </c>
      <c r="B28">
        <v>20</v>
      </c>
      <c r="C28">
        <f t="shared" si="20"/>
        <v>3.7571897411938759</v>
      </c>
      <c r="D28">
        <f t="shared" si="22"/>
        <v>0.55632362570757521</v>
      </c>
      <c r="E28">
        <f t="shared" si="4"/>
        <v>0.55632362570757521</v>
      </c>
      <c r="F28">
        <f t="shared" si="5"/>
        <v>0.18770309387846362</v>
      </c>
      <c r="G28" s="9">
        <f t="shared" si="6"/>
        <v>0.14806907929297153</v>
      </c>
      <c r="H28" s="9">
        <f t="shared" si="6"/>
        <v>0.14806907929297153</v>
      </c>
      <c r="I28" s="9">
        <f t="shared" si="6"/>
        <v>4.9958374957879963E-2</v>
      </c>
      <c r="J28" s="9">
        <f t="shared" si="7"/>
        <v>1.9248980308086298E-2</v>
      </c>
      <c r="K28" s="9">
        <f t="shared" si="8"/>
        <v>2.9613815858594308E-2</v>
      </c>
      <c r="L28" s="9">
        <f t="shared" si="9"/>
        <v>1.9983349983151988E-2</v>
      </c>
      <c r="M28">
        <f t="shared" si="0"/>
        <v>3.504289319878457</v>
      </c>
      <c r="N28">
        <f t="shared" si="10"/>
        <v>2.8265160794121043</v>
      </c>
      <c r="O28">
        <f t="shared" si="23"/>
        <v>0.67777324046635279</v>
      </c>
      <c r="P28">
        <f t="shared" si="21"/>
        <v>3.427286468441447</v>
      </c>
      <c r="Q28" s="9">
        <f t="shared" si="1"/>
        <v>0.97802611473881362</v>
      </c>
      <c r="R28">
        <f>VLOOKUP($B$1,dictionary!$A$3:$K$51,3,FALSE)*Q28</f>
        <v>0.19560522294776272</v>
      </c>
      <c r="S28">
        <f>VLOOKUP($B$1,dictionary!$A$3:$K$51,4,FALSE)*Q28</f>
        <v>0</v>
      </c>
      <c r="T28">
        <f>VLOOKUP($B$1,dictionary!$A$3:$K$51,5,FALSE)*Q28</f>
        <v>0.58681566884328817</v>
      </c>
      <c r="U28">
        <f>VLOOKUP($B$1,dictionary!$A$3:$K$51,6,FALSE)*Q28</f>
        <v>9.7802611473881362E-2</v>
      </c>
      <c r="V28">
        <f>VLOOKUP($B$1,dictionary!$A$3:$K$51,7,FALSE)*Q28</f>
        <v>0</v>
      </c>
      <c r="W28">
        <f>VLOOKUP($B$1,dictionary!$A$3:$K$51,8,FALSE)*Q28</f>
        <v>4.8901305736940681E-2</v>
      </c>
      <c r="X28">
        <f>VLOOKUP($B$1,dictionary!$A$3:$K$51,9,FALSE)*Q28</f>
        <v>0</v>
      </c>
      <c r="Y28">
        <f>VLOOKUP($B$1,dictionary!$A$3:$K$51,10,FALSE)*Q28</f>
        <v>4.8901305736940681E-2</v>
      </c>
      <c r="Z28">
        <f>VLOOKUP($B$1,dictionary!$A$3:$K$51,11,FALSE)*Q28</f>
        <v>0</v>
      </c>
      <c r="AA28">
        <f t="shared" si="2"/>
        <v>7.7002851437010023E-2</v>
      </c>
      <c r="AB28">
        <f t="shared" si="24"/>
        <v>1.4893311419110112E-2</v>
      </c>
      <c r="AC28">
        <f t="shared" si="11"/>
        <v>6.2109540017899909E-2</v>
      </c>
      <c r="AD28">
        <f t="shared" si="3"/>
        <v>0.68545729368828934</v>
      </c>
      <c r="AE28">
        <f t="shared" si="12"/>
        <v>0</v>
      </c>
      <c r="AF28">
        <f t="shared" si="13"/>
        <v>2.2848576456276315</v>
      </c>
      <c r="AG28">
        <f t="shared" si="14"/>
        <v>0.39168988210759398</v>
      </c>
      <c r="AH28">
        <f t="shared" si="15"/>
        <v>0</v>
      </c>
      <c r="AI28">
        <f t="shared" si="16"/>
        <v>0.18038349833902351</v>
      </c>
      <c r="AJ28">
        <f t="shared" si="17"/>
        <v>0</v>
      </c>
      <c r="AK28">
        <f t="shared" si="18"/>
        <v>0.17136432342207233</v>
      </c>
      <c r="AL28">
        <f t="shared" si="19"/>
        <v>0</v>
      </c>
    </row>
    <row r="29" spans="1:38" x14ac:dyDescent="0.2">
      <c r="A29">
        <v>2046</v>
      </c>
      <c r="B29">
        <v>21</v>
      </c>
      <c r="C29">
        <f t="shared" si="20"/>
        <v>3.8360907257589472</v>
      </c>
      <c r="D29">
        <f t="shared" si="22"/>
        <v>0.59527581296989096</v>
      </c>
      <c r="E29">
        <f t="shared" si="4"/>
        <v>0.59527581296989096</v>
      </c>
      <c r="F29">
        <f t="shared" si="5"/>
        <v>0.20120868133647885</v>
      </c>
      <c r="G29" s="9">
        <f t="shared" si="6"/>
        <v>0.15517772011299844</v>
      </c>
      <c r="H29" s="9">
        <f t="shared" si="6"/>
        <v>0.15517772011299844</v>
      </c>
      <c r="I29" s="9">
        <f t="shared" si="6"/>
        <v>5.2451491823533695E-2</v>
      </c>
      <c r="J29" s="9">
        <f t="shared" si="7"/>
        <v>2.0173103614689797E-2</v>
      </c>
      <c r="K29" s="9">
        <f t="shared" si="8"/>
        <v>3.1035544022599688E-2</v>
      </c>
      <c r="L29" s="9">
        <f t="shared" si="9"/>
        <v>2.0980596729413478E-2</v>
      </c>
      <c r="M29">
        <f t="shared" si="0"/>
        <v>3.5656390075071349</v>
      </c>
      <c r="N29">
        <f t="shared" si="10"/>
        <v>2.8860706617530099</v>
      </c>
      <c r="O29">
        <f t="shared" si="23"/>
        <v>0.67956834575412506</v>
      </c>
      <c r="P29">
        <f t="shared" si="21"/>
        <v>3.501384303567697</v>
      </c>
      <c r="Q29" s="9">
        <f t="shared" si="1"/>
        <v>0.98197947021441168</v>
      </c>
      <c r="R29">
        <f>VLOOKUP($B$1,dictionary!$A$3:$K$51,3,FALSE)*Q29</f>
        <v>0.19639589404288235</v>
      </c>
      <c r="S29">
        <f>VLOOKUP($B$1,dictionary!$A$3:$K$51,4,FALSE)*Q29</f>
        <v>0</v>
      </c>
      <c r="T29">
        <f>VLOOKUP($B$1,dictionary!$A$3:$K$51,5,FALSE)*Q29</f>
        <v>0.58918768212864703</v>
      </c>
      <c r="U29">
        <f>VLOOKUP($B$1,dictionary!$A$3:$K$51,6,FALSE)*Q29</f>
        <v>9.8197947021441176E-2</v>
      </c>
      <c r="V29">
        <f>VLOOKUP($B$1,dictionary!$A$3:$K$51,7,FALSE)*Q29</f>
        <v>0</v>
      </c>
      <c r="W29">
        <f>VLOOKUP($B$1,dictionary!$A$3:$K$51,8,FALSE)*Q29</f>
        <v>4.9098973510720588E-2</v>
      </c>
      <c r="X29">
        <f>VLOOKUP($B$1,dictionary!$A$3:$K$51,9,FALSE)*Q29</f>
        <v>0</v>
      </c>
      <c r="Y29">
        <f>VLOOKUP($B$1,dictionary!$A$3:$K$51,10,FALSE)*Q29</f>
        <v>4.9098973510720588E-2</v>
      </c>
      <c r="Z29">
        <f>VLOOKUP($B$1,dictionary!$A$3:$K$51,11,FALSE)*Q29</f>
        <v>0</v>
      </c>
      <c r="AA29">
        <f t="shared" si="2"/>
        <v>6.4254703939437885E-2</v>
      </c>
      <c r="AB29">
        <f t="shared" si="24"/>
        <v>1.224618161600519E-2</v>
      </c>
      <c r="AC29">
        <f t="shared" si="11"/>
        <v>5.2008522323432699E-2</v>
      </c>
      <c r="AD29">
        <f t="shared" si="3"/>
        <v>0.70027686071353945</v>
      </c>
      <c r="AE29">
        <f t="shared" si="12"/>
        <v>0</v>
      </c>
      <c r="AF29">
        <f t="shared" si="13"/>
        <v>2.334256202378465</v>
      </c>
      <c r="AG29">
        <f t="shared" si="14"/>
        <v>0.40015820612202263</v>
      </c>
      <c r="AH29">
        <f t="shared" si="15"/>
        <v>0</v>
      </c>
      <c r="AI29">
        <f t="shared" si="16"/>
        <v>0.18428338439829983</v>
      </c>
      <c r="AJ29">
        <f t="shared" si="17"/>
        <v>0</v>
      </c>
      <c r="AK29">
        <f t="shared" si="18"/>
        <v>0.17506921517838486</v>
      </c>
      <c r="AL29">
        <f t="shared" si="19"/>
        <v>0</v>
      </c>
    </row>
    <row r="30" spans="1:38" x14ac:dyDescent="0.2">
      <c r="A30">
        <v>2047</v>
      </c>
      <c r="B30">
        <v>22</v>
      </c>
      <c r="C30">
        <f t="shared" si="20"/>
        <v>3.9166486309998847</v>
      </c>
      <c r="D30">
        <f t="shared" si="22"/>
        <v>0.63542265989082947</v>
      </c>
      <c r="E30">
        <f t="shared" si="4"/>
        <v>0.63542265989082947</v>
      </c>
      <c r="F30">
        <f t="shared" si="5"/>
        <v>0.21519336276579937</v>
      </c>
      <c r="G30" s="9">
        <f t="shared" si="6"/>
        <v>0.16223631981217879</v>
      </c>
      <c r="H30" s="9">
        <f t="shared" si="6"/>
        <v>0.16223631981217879</v>
      </c>
      <c r="I30" s="9">
        <f t="shared" si="6"/>
        <v>5.4943239243511729E-2</v>
      </c>
      <c r="J30" s="9">
        <f t="shared" si="7"/>
        <v>2.1090721575583244E-2</v>
      </c>
      <c r="K30" s="9">
        <f t="shared" si="8"/>
        <v>3.244726396243576E-2</v>
      </c>
      <c r="L30" s="9">
        <f t="shared" si="9"/>
        <v>2.1977295697404694E-2</v>
      </c>
      <c r="M30">
        <f t="shared" si="0"/>
        <v>3.6281116144234318</v>
      </c>
      <c r="N30">
        <f t="shared" si="10"/>
        <v>2.9442658165615949</v>
      </c>
      <c r="O30">
        <f t="shared" si="23"/>
        <v>0.68384579786183686</v>
      </c>
      <c r="P30">
        <f t="shared" si="21"/>
        <v>3.5719367793815415</v>
      </c>
      <c r="Q30" s="9">
        <f t="shared" si="1"/>
        <v>0.98451678420846556</v>
      </c>
      <c r="R30">
        <f>VLOOKUP($B$1,dictionary!$A$3:$K$51,3,FALSE)*Q30</f>
        <v>0.19690335684169313</v>
      </c>
      <c r="S30">
        <f>VLOOKUP($B$1,dictionary!$A$3:$K$51,4,FALSE)*Q30</f>
        <v>0</v>
      </c>
      <c r="T30">
        <f>VLOOKUP($B$1,dictionary!$A$3:$K$51,5,FALSE)*Q30</f>
        <v>0.59071007052507929</v>
      </c>
      <c r="U30">
        <f>VLOOKUP($B$1,dictionary!$A$3:$K$51,6,FALSE)*Q30</f>
        <v>9.8451678420846567E-2</v>
      </c>
      <c r="V30">
        <f>VLOOKUP($B$1,dictionary!$A$3:$K$51,7,FALSE)*Q30</f>
        <v>0</v>
      </c>
      <c r="W30">
        <f>VLOOKUP($B$1,dictionary!$A$3:$K$51,8,FALSE)*Q30</f>
        <v>4.9225839210423283E-2</v>
      </c>
      <c r="X30">
        <f>VLOOKUP($B$1,dictionary!$A$3:$K$51,9,FALSE)*Q30</f>
        <v>0</v>
      </c>
      <c r="Y30">
        <f>VLOOKUP($B$1,dictionary!$A$3:$K$51,10,FALSE)*Q30</f>
        <v>4.9225839210423283E-2</v>
      </c>
      <c r="Z30">
        <f>VLOOKUP($B$1,dictionary!$A$3:$K$51,11,FALSE)*Q30</f>
        <v>0</v>
      </c>
      <c r="AA30">
        <f t="shared" si="2"/>
        <v>5.6174835041890248E-2</v>
      </c>
      <c r="AB30">
        <f t="shared" si="24"/>
        <v>1.0588132056428834E-2</v>
      </c>
      <c r="AC30">
        <f t="shared" si="11"/>
        <v>4.5586702985461414E-2</v>
      </c>
      <c r="AD30">
        <f t="shared" si="3"/>
        <v>0.71438735587630831</v>
      </c>
      <c r="AE30">
        <f t="shared" si="12"/>
        <v>0</v>
      </c>
      <c r="AF30">
        <f t="shared" si="13"/>
        <v>2.3812911862543609</v>
      </c>
      <c r="AG30">
        <f t="shared" si="14"/>
        <v>0.40822134621503336</v>
      </c>
      <c r="AH30">
        <f t="shared" si="15"/>
        <v>0</v>
      </c>
      <c r="AI30">
        <f t="shared" si="16"/>
        <v>0.1879966725990285</v>
      </c>
      <c r="AJ30">
        <f t="shared" si="17"/>
        <v>0</v>
      </c>
      <c r="AK30">
        <f t="shared" si="18"/>
        <v>0.17859683896907708</v>
      </c>
      <c r="AL30">
        <f t="shared" si="19"/>
        <v>0</v>
      </c>
    </row>
    <row r="31" spans="1:38" x14ac:dyDescent="0.2">
      <c r="A31">
        <v>2048</v>
      </c>
      <c r="B31">
        <v>23</v>
      </c>
      <c r="C31">
        <f t="shared" si="20"/>
        <v>3.998898252250882</v>
      </c>
      <c r="D31">
        <f t="shared" si="22"/>
        <v>0.67678259003700059</v>
      </c>
      <c r="E31">
        <f t="shared" si="4"/>
        <v>0.67678259003700059</v>
      </c>
      <c r="F31">
        <f t="shared" si="5"/>
        <v>0.22967069824244368</v>
      </c>
      <c r="G31" s="9">
        <f t="shared" si="6"/>
        <v>0.1692422630798511</v>
      </c>
      <c r="H31" s="9">
        <f t="shared" si="6"/>
        <v>0.1692422630798511</v>
      </c>
      <c r="I31" s="9">
        <f t="shared" si="6"/>
        <v>5.7433493866258706E-2</v>
      </c>
      <c r="J31" s="9">
        <f t="shared" si="7"/>
        <v>2.2001494200380643E-2</v>
      </c>
      <c r="K31" s="9">
        <f t="shared" si="8"/>
        <v>3.384845261597022E-2</v>
      </c>
      <c r="L31" s="9">
        <f t="shared" si="9"/>
        <v>2.2973397546503484E-2</v>
      </c>
      <c r="M31">
        <f t="shared" si="0"/>
        <v>3.6917321865739279</v>
      </c>
      <c r="N31">
        <f t="shared" si="10"/>
        <v>3.0016669723375187</v>
      </c>
      <c r="O31">
        <f t="shared" si="23"/>
        <v>0.69006521423640921</v>
      </c>
      <c r="P31">
        <f t="shared" si="21"/>
        <v>3.6405700510505223</v>
      </c>
      <c r="Q31" s="9">
        <f t="shared" si="1"/>
        <v>0.98614142821370632</v>
      </c>
      <c r="R31">
        <f>VLOOKUP($B$1,dictionary!$A$3:$K$51,3,FALSE)*Q31</f>
        <v>0.19722828564274128</v>
      </c>
      <c r="S31">
        <f>VLOOKUP($B$1,dictionary!$A$3:$K$51,4,FALSE)*Q31</f>
        <v>0</v>
      </c>
      <c r="T31">
        <f>VLOOKUP($B$1,dictionary!$A$3:$K$51,5,FALSE)*Q31</f>
        <v>0.59168485692822381</v>
      </c>
      <c r="U31">
        <f>VLOOKUP($B$1,dictionary!$A$3:$K$51,6,FALSE)*Q31</f>
        <v>9.861414282137064E-2</v>
      </c>
      <c r="V31">
        <f>VLOOKUP($B$1,dictionary!$A$3:$K$51,7,FALSE)*Q31</f>
        <v>0</v>
      </c>
      <c r="W31">
        <f>VLOOKUP($B$1,dictionary!$A$3:$K$51,8,FALSE)*Q31</f>
        <v>4.930707141068532E-2</v>
      </c>
      <c r="X31">
        <f>VLOOKUP($B$1,dictionary!$A$3:$K$51,9,FALSE)*Q31</f>
        <v>0</v>
      </c>
      <c r="Y31">
        <f>VLOOKUP($B$1,dictionary!$A$3:$K$51,10,FALSE)*Q31</f>
        <v>4.930707141068532E-2</v>
      </c>
      <c r="Z31">
        <f>VLOOKUP($B$1,dictionary!$A$3:$K$51,11,FALSE)*Q31</f>
        <v>0</v>
      </c>
      <c r="AA31">
        <f t="shared" si="2"/>
        <v>5.1162135523405539E-2</v>
      </c>
      <c r="AB31">
        <f t="shared" si="24"/>
        <v>9.5633183087193725E-3</v>
      </c>
      <c r="AC31">
        <f t="shared" si="11"/>
        <v>4.1598817214686161E-2</v>
      </c>
      <c r="AD31">
        <f t="shared" si="3"/>
        <v>0.72811401021010447</v>
      </c>
      <c r="AE31">
        <f t="shared" si="12"/>
        <v>0</v>
      </c>
      <c r="AF31">
        <f t="shared" si="13"/>
        <v>2.4270467007003482</v>
      </c>
      <c r="AG31">
        <f t="shared" si="14"/>
        <v>0.41606514869148836</v>
      </c>
      <c r="AH31">
        <f t="shared" si="15"/>
        <v>0</v>
      </c>
      <c r="AI31">
        <f t="shared" si="16"/>
        <v>0.19160895005529063</v>
      </c>
      <c r="AJ31">
        <f t="shared" si="17"/>
        <v>0</v>
      </c>
      <c r="AK31">
        <f t="shared" si="18"/>
        <v>0.18202850255252612</v>
      </c>
      <c r="AL31">
        <f t="shared" si="19"/>
        <v>0</v>
      </c>
    </row>
    <row r="32" spans="1:38" x14ac:dyDescent="0.2">
      <c r="A32">
        <v>2049</v>
      </c>
      <c r="B32">
        <v>24</v>
      </c>
      <c r="C32">
        <f t="shared" si="20"/>
        <v>4.0828751155481502</v>
      </c>
      <c r="D32">
        <f t="shared" si="22"/>
        <v>0.71937409890246684</v>
      </c>
      <c r="E32">
        <f t="shared" si="4"/>
        <v>0.71937409890246684</v>
      </c>
      <c r="F32">
        <f t="shared" si="5"/>
        <v>0.24465458421481379</v>
      </c>
      <c r="G32" s="9">
        <f t="shared" si="6"/>
        <v>0.17619302049259145</v>
      </c>
      <c r="H32" s="9">
        <f t="shared" si="6"/>
        <v>0.17619302049259145</v>
      </c>
      <c r="I32" s="9">
        <f t="shared" si="6"/>
        <v>5.9922132637154506E-2</v>
      </c>
      <c r="J32" s="9">
        <f t="shared" si="7"/>
        <v>2.290509266403689E-2</v>
      </c>
      <c r="K32" s="9">
        <f t="shared" si="8"/>
        <v>3.5238604098518291E-2</v>
      </c>
      <c r="L32" s="9">
        <f t="shared" si="9"/>
        <v>2.3968853054861804E-2</v>
      </c>
      <c r="M32">
        <f t="shared" si="0"/>
        <v>3.7565263555437696</v>
      </c>
      <c r="N32">
        <f t="shared" si="10"/>
        <v>3.0587127759003567</v>
      </c>
      <c r="O32">
        <f t="shared" si="23"/>
        <v>0.69781357964341284</v>
      </c>
      <c r="P32">
        <f t="shared" si="21"/>
        <v>3.7083681325395226</v>
      </c>
      <c r="Q32" s="9">
        <f t="shared" si="1"/>
        <v>0.98718011842691411</v>
      </c>
      <c r="R32">
        <f>VLOOKUP($B$1,dictionary!$A$3:$K$51,3,FALSE)*Q32</f>
        <v>0.19743602368538282</v>
      </c>
      <c r="S32">
        <f>VLOOKUP($B$1,dictionary!$A$3:$K$51,4,FALSE)*Q32</f>
        <v>0</v>
      </c>
      <c r="T32">
        <f>VLOOKUP($B$1,dictionary!$A$3:$K$51,5,FALSE)*Q32</f>
        <v>0.59230807105614847</v>
      </c>
      <c r="U32">
        <f>VLOOKUP($B$1,dictionary!$A$3:$K$51,6,FALSE)*Q32</f>
        <v>9.8718011842691411E-2</v>
      </c>
      <c r="V32">
        <f>VLOOKUP($B$1,dictionary!$A$3:$K$51,7,FALSE)*Q32</f>
        <v>0</v>
      </c>
      <c r="W32">
        <f>VLOOKUP($B$1,dictionary!$A$3:$K$51,8,FALSE)*Q32</f>
        <v>4.9359005921345706E-2</v>
      </c>
      <c r="X32">
        <f>VLOOKUP($B$1,dictionary!$A$3:$K$51,9,FALSE)*Q32</f>
        <v>0</v>
      </c>
      <c r="Y32">
        <f>VLOOKUP($B$1,dictionary!$A$3:$K$51,10,FALSE)*Q32</f>
        <v>4.9359005921345706E-2</v>
      </c>
      <c r="Z32">
        <f>VLOOKUP($B$1,dictionary!$A$3:$K$51,11,FALSE)*Q32</f>
        <v>0</v>
      </c>
      <c r="AA32">
        <f t="shared" si="2"/>
        <v>4.8158223004246992E-2</v>
      </c>
      <c r="AB32">
        <f t="shared" si="24"/>
        <v>8.9458874511196777E-3</v>
      </c>
      <c r="AC32">
        <f t="shared" si="11"/>
        <v>3.9212335553127316E-2</v>
      </c>
      <c r="AD32">
        <f t="shared" si="3"/>
        <v>0.74167362650790447</v>
      </c>
      <c r="AE32">
        <f t="shared" si="12"/>
        <v>0</v>
      </c>
      <c r="AF32">
        <f t="shared" si="13"/>
        <v>2.4722454216930148</v>
      </c>
      <c r="AG32">
        <f t="shared" si="14"/>
        <v>0.42381350086165975</v>
      </c>
      <c r="AH32">
        <f t="shared" si="15"/>
        <v>0</v>
      </c>
      <c r="AI32">
        <f t="shared" si="16"/>
        <v>0.19517727013365904</v>
      </c>
      <c r="AJ32">
        <f t="shared" si="17"/>
        <v>0</v>
      </c>
      <c r="AK32">
        <f t="shared" si="18"/>
        <v>0.18541840662697612</v>
      </c>
      <c r="AL32">
        <f t="shared" si="19"/>
        <v>0</v>
      </c>
    </row>
    <row r="33" spans="1:38" x14ac:dyDescent="0.2">
      <c r="A33">
        <v>2050</v>
      </c>
      <c r="B33">
        <v>25</v>
      </c>
      <c r="C33">
        <f t="shared" si="20"/>
        <v>4.1686154929746611</v>
      </c>
      <c r="D33">
        <f t="shared" si="22"/>
        <v>0.76321576798191204</v>
      </c>
      <c r="E33">
        <f t="shared" si="4"/>
        <v>0.76321576798191204</v>
      </c>
      <c r="F33">
        <f t="shared" si="5"/>
        <v>0.26015926112622778</v>
      </c>
      <c r="G33" s="9">
        <f t="shared" si="6"/>
        <v>0.18308615156954491</v>
      </c>
      <c r="H33" s="9">
        <f t="shared" si="6"/>
        <v>0.18308615156954491</v>
      </c>
      <c r="I33" s="9">
        <f t="shared" si="6"/>
        <v>6.2409032822689545E-2</v>
      </c>
      <c r="J33" s="9">
        <f t="shared" si="7"/>
        <v>2.3801199704040838E-2</v>
      </c>
      <c r="K33" s="9">
        <f t="shared" si="8"/>
        <v>3.6617230313908983E-2</v>
      </c>
      <c r="L33" s="9">
        <f t="shared" si="9"/>
        <v>2.4963613129075819E-2</v>
      </c>
      <c r="M33">
        <f t="shared" si="0"/>
        <v>3.8225203458593207</v>
      </c>
      <c r="N33">
        <f t="shared" si="10"/>
        <v>3.115743417181601</v>
      </c>
      <c r="O33">
        <f t="shared" si="23"/>
        <v>0.70677692867771968</v>
      </c>
      <c r="P33">
        <f t="shared" si="21"/>
        <v>3.7760520573322229</v>
      </c>
      <c r="Q33" s="9">
        <f t="shared" si="1"/>
        <v>0.98784354710435129</v>
      </c>
      <c r="R33">
        <f>VLOOKUP($B$1,dictionary!$A$3:$K$51,3,FALSE)*Q33</f>
        <v>0.19756870942087026</v>
      </c>
      <c r="S33">
        <f>VLOOKUP($B$1,dictionary!$A$3:$K$51,4,FALSE)*Q33</f>
        <v>0</v>
      </c>
      <c r="T33">
        <f>VLOOKUP($B$1,dictionary!$A$3:$K$51,5,FALSE)*Q33</f>
        <v>0.59270612826261071</v>
      </c>
      <c r="U33">
        <f>VLOOKUP($B$1,dictionary!$A$3:$K$51,6,FALSE)*Q33</f>
        <v>9.8784354710435132E-2</v>
      </c>
      <c r="V33">
        <f>VLOOKUP($B$1,dictionary!$A$3:$K$51,7,FALSE)*Q33</f>
        <v>0</v>
      </c>
      <c r="W33">
        <f>VLOOKUP($B$1,dictionary!$A$3:$K$51,8,FALSE)*Q33</f>
        <v>4.9392177355217566E-2</v>
      </c>
      <c r="X33">
        <f>VLOOKUP($B$1,dictionary!$A$3:$K$51,9,FALSE)*Q33</f>
        <v>0</v>
      </c>
      <c r="Y33">
        <f>VLOOKUP($B$1,dictionary!$A$3:$K$51,10,FALSE)*Q33</f>
        <v>4.9392177355217566E-2</v>
      </c>
      <c r="Z33">
        <f>VLOOKUP($B$1,dictionary!$A$3:$K$51,11,FALSE)*Q33</f>
        <v>0</v>
      </c>
      <c r="AA33">
        <f t="shared" si="2"/>
        <v>4.6468288527097723E-2</v>
      </c>
      <c r="AB33">
        <f t="shared" si="24"/>
        <v>8.5919004412019807E-3</v>
      </c>
      <c r="AC33">
        <f t="shared" si="11"/>
        <v>3.7876388085895739E-2</v>
      </c>
      <c r="AD33">
        <f t="shared" si="3"/>
        <v>0.75521041146644463</v>
      </c>
      <c r="AE33">
        <f t="shared" si="12"/>
        <v>0</v>
      </c>
      <c r="AF33">
        <f t="shared" si="13"/>
        <v>2.5173680382214814</v>
      </c>
      <c r="AG33">
        <f t="shared" si="14"/>
        <v>0.43154880655225414</v>
      </c>
      <c r="AH33">
        <f t="shared" si="15"/>
        <v>0</v>
      </c>
      <c r="AI33">
        <f t="shared" si="16"/>
        <v>0.19873958196485383</v>
      </c>
      <c r="AJ33">
        <f t="shared" si="17"/>
        <v>0</v>
      </c>
      <c r="AK33">
        <f t="shared" si="18"/>
        <v>0.18880260286661116</v>
      </c>
      <c r="AL33">
        <f t="shared" si="19"/>
        <v>0</v>
      </c>
    </row>
    <row r="35" spans="1:38" x14ac:dyDescent="0.2">
      <c r="G35" s="2"/>
    </row>
    <row r="37" spans="1:38" x14ac:dyDescent="0.2">
      <c r="H37" s="2"/>
      <c r="I37" s="2"/>
    </row>
  </sheetData>
  <mergeCells count="1">
    <mergeCell ref="J6:L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6AA6-A767-C74D-A606-8230946805B9}">
  <sheetPr>
    <tabColor theme="4" tint="0.79998168889431442"/>
  </sheetPr>
  <dimension ref="A1:AY37"/>
  <sheetViews>
    <sheetView topLeftCell="F1" zoomScale="125"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tr">
        <f>'consumptions per type'!A3</f>
        <v>General Cargo</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emissions!N20</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t="e">
        <f>IF($N$7="LFO",M8/(1+EXP(-$I$4*(B8-$J$4)))-M8/(1+EXP($I$4*$J$4)),IF($N$7="MGO",M8/(1+EXP(-$I$5*(B8-$J$5)))-M8/(1+EXP($I$5*$J$5)),0))</f>
        <v>#DIV/0!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t="e">
        <f t="shared" ref="N9:N33" si="10">IF($N$7="LFO",M9/(1+EXP(-$I$4*(B9-$J$4)))-M9/(1+EXP($I$4*$J$4)),IF($N$7="MGO",M9/(1+EXP(-$I$5*(B9-$J$5)))-M9/(1+EXP($I$5*$J$5)),0))</f>
        <v>#DIV/0!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O9/M9*AA9</f>
        <v>#DIV/0!</v>
      </c>
      <c r="AC9" t="e">
        <f t="shared" ref="AC9:AC33" si="11">N9/M9*AA9</f>
        <v>#DIV/0!</v>
      </c>
      <c r="AD9" t="e">
        <f t="shared" si="3"/>
        <v>#DIV/0!</v>
      </c>
      <c r="AE9" t="e">
        <f t="shared" ref="AE9:AE33" si="12">S9*$O9*$AE$2+S9*$N9*$AE$3</f>
        <v>#DIV/0!</v>
      </c>
      <c r="AF9" t="e">
        <f t="shared" ref="AF9:AF33" si="13">T9*$O9*$AF$2+T9*$N9*$AF$3</f>
        <v>#DIV/0!</v>
      </c>
      <c r="AG9" t="e">
        <f t="shared" ref="AG9:AG33" si="14">U9*$O9*$AG$2+U9*$N9*$AG$3</f>
        <v>#DIV/0!</v>
      </c>
      <c r="AH9" t="e">
        <f t="shared" ref="AH9:AH33" si="15">V9*$O9*$AH$2+V9*$N9*$AH$3</f>
        <v>#DIV/0!</v>
      </c>
      <c r="AI9" t="e">
        <f t="shared" ref="AI9:AI33" si="16">W9*$O9*$AI$2+W9*$N9*$AI$3</f>
        <v>#DIV/0!</v>
      </c>
      <c r="AJ9" t="e">
        <f t="shared" ref="AJ9:AJ33" si="17">X9*$O9*$AJ$2+X9*$N9*$AJ$3</f>
        <v>#DIV/0!</v>
      </c>
      <c r="AK9" t="e">
        <f t="shared" ref="AK9:AK33" si="18">Y9*$O9*$AK$2+Y9*$N9*$AK$3</f>
        <v>#DIV/0!</v>
      </c>
      <c r="AL9" t="e">
        <f t="shared" ref="AL9:AL33" si="19">Z9*$O9*$AL$2+Z9*$N9*$AL$3</f>
        <v>#DIV/0!</v>
      </c>
    </row>
    <row r="10" spans="1:51" x14ac:dyDescent="0.2">
      <c r="A10">
        <v>2027</v>
      </c>
      <c r="B10">
        <v>2</v>
      </c>
      <c r="C10">
        <f t="shared" ref="C10:C33" si="20">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t="e">
        <f t="shared" si="10"/>
        <v>#DIV/0!</v>
      </c>
      <c r="O10" t="e">
        <f>M10-N10</f>
        <v>#DIV/0!</v>
      </c>
      <c r="P10" t="e">
        <f t="shared" ref="P10:P33" si="21">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O10/M10*AA10</f>
        <v>#DIV/0!</v>
      </c>
      <c r="AC10" t="e">
        <f t="shared" si="11"/>
        <v>#DIV/0!</v>
      </c>
      <c r="AD10" t="e">
        <f t="shared" si="3"/>
        <v>#DIV/0!</v>
      </c>
      <c r="AE10" t="e">
        <f t="shared" si="12"/>
        <v>#DIV/0!</v>
      </c>
      <c r="AF10" t="e">
        <f t="shared" si="13"/>
        <v>#DIV/0!</v>
      </c>
      <c r="AG10" t="e">
        <f t="shared" si="14"/>
        <v>#DIV/0!</v>
      </c>
      <c r="AH10" t="e">
        <f t="shared" si="15"/>
        <v>#DIV/0!</v>
      </c>
      <c r="AI10" t="e">
        <f t="shared" si="16"/>
        <v>#DIV/0!</v>
      </c>
      <c r="AJ10" t="e">
        <f t="shared" si="17"/>
        <v>#DIV/0!</v>
      </c>
      <c r="AK10" t="e">
        <f t="shared" si="18"/>
        <v>#DIV/0!</v>
      </c>
      <c r="AL10" t="e">
        <f t="shared" si="19"/>
        <v>#DIV/0!</v>
      </c>
    </row>
    <row r="11" spans="1:51" x14ac:dyDescent="0.2">
      <c r="A11">
        <v>2028</v>
      </c>
      <c r="B11">
        <v>3</v>
      </c>
      <c r="C11">
        <f t="shared" si="20"/>
        <v>0</v>
      </c>
      <c r="D11">
        <f t="shared" ref="D11:D33" si="22">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t="e">
        <f t="shared" si="10"/>
        <v>#DIV/0!</v>
      </c>
      <c r="O11" t="e">
        <f t="shared" ref="O11:O33" si="23">M11-N11</f>
        <v>#DIV/0!</v>
      </c>
      <c r="P11" t="e">
        <f t="shared" si="21"/>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ref="AB11:AB33" si="24">O11/M11*AA11</f>
        <v>#DIV/0!</v>
      </c>
      <c r="AC11" t="e">
        <f t="shared" si="11"/>
        <v>#DIV/0!</v>
      </c>
      <c r="AD11" t="e">
        <f t="shared" si="3"/>
        <v>#DIV/0!</v>
      </c>
      <c r="AE11" t="e">
        <f t="shared" si="12"/>
        <v>#DIV/0!</v>
      </c>
      <c r="AF11" t="e">
        <f t="shared" si="13"/>
        <v>#DIV/0!</v>
      </c>
      <c r="AG11" t="e">
        <f t="shared" si="14"/>
        <v>#DIV/0!</v>
      </c>
      <c r="AH11" t="e">
        <f t="shared" si="15"/>
        <v>#DIV/0!</v>
      </c>
      <c r="AI11" t="e">
        <f t="shared" si="16"/>
        <v>#DIV/0!</v>
      </c>
      <c r="AJ11" t="e">
        <f t="shared" si="17"/>
        <v>#DIV/0!</v>
      </c>
      <c r="AK11" t="e">
        <f t="shared" si="18"/>
        <v>#DIV/0!</v>
      </c>
      <c r="AL11" t="e">
        <f t="shared" si="19"/>
        <v>#DIV/0!</v>
      </c>
    </row>
    <row r="12" spans="1:51" x14ac:dyDescent="0.2">
      <c r="A12">
        <v>2029</v>
      </c>
      <c r="B12">
        <v>4</v>
      </c>
      <c r="C12">
        <f t="shared" si="20"/>
        <v>0</v>
      </c>
      <c r="D12">
        <f t="shared" si="22"/>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t="e">
        <f t="shared" si="10"/>
        <v>#DIV/0!</v>
      </c>
      <c r="O12" t="e">
        <f t="shared" si="23"/>
        <v>#DIV/0!</v>
      </c>
      <c r="P12" t="e">
        <f t="shared" si="21"/>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24"/>
        <v>#DIV/0!</v>
      </c>
      <c r="AC12" t="e">
        <f t="shared" si="11"/>
        <v>#DIV/0!</v>
      </c>
      <c r="AD12" t="e">
        <f t="shared" si="3"/>
        <v>#DIV/0!</v>
      </c>
      <c r="AE12" t="e">
        <f t="shared" si="12"/>
        <v>#DIV/0!</v>
      </c>
      <c r="AF12" t="e">
        <f t="shared" si="13"/>
        <v>#DIV/0!</v>
      </c>
      <c r="AG12" t="e">
        <f t="shared" si="14"/>
        <v>#DIV/0!</v>
      </c>
      <c r="AH12" t="e">
        <f t="shared" si="15"/>
        <v>#DIV/0!</v>
      </c>
      <c r="AI12" t="e">
        <f t="shared" si="16"/>
        <v>#DIV/0!</v>
      </c>
      <c r="AJ12" t="e">
        <f t="shared" si="17"/>
        <v>#DIV/0!</v>
      </c>
      <c r="AK12" t="e">
        <f t="shared" si="18"/>
        <v>#DIV/0!</v>
      </c>
      <c r="AL12" t="e">
        <f t="shared" si="19"/>
        <v>#DIV/0!</v>
      </c>
    </row>
    <row r="13" spans="1:51" x14ac:dyDescent="0.2">
      <c r="A13">
        <v>2030</v>
      </c>
      <c r="B13">
        <v>5</v>
      </c>
      <c r="C13">
        <f t="shared" si="20"/>
        <v>0</v>
      </c>
      <c r="D13">
        <f t="shared" si="22"/>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t="e">
        <f t="shared" si="10"/>
        <v>#DIV/0!</v>
      </c>
      <c r="O13" t="e">
        <f t="shared" si="23"/>
        <v>#DIV/0!</v>
      </c>
      <c r="P13" t="e">
        <f t="shared" si="21"/>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24"/>
        <v>#DIV/0!</v>
      </c>
      <c r="AC13" t="e">
        <f t="shared" si="11"/>
        <v>#DIV/0!</v>
      </c>
      <c r="AD13" t="e">
        <f t="shared" si="3"/>
        <v>#DIV/0!</v>
      </c>
      <c r="AE13" t="e">
        <f t="shared" si="12"/>
        <v>#DIV/0!</v>
      </c>
      <c r="AF13" t="e">
        <f t="shared" si="13"/>
        <v>#DIV/0!</v>
      </c>
      <c r="AG13" t="e">
        <f t="shared" si="14"/>
        <v>#DIV/0!</v>
      </c>
      <c r="AH13" t="e">
        <f t="shared" si="15"/>
        <v>#DIV/0!</v>
      </c>
      <c r="AI13" t="e">
        <f t="shared" si="16"/>
        <v>#DIV/0!</v>
      </c>
      <c r="AJ13" t="e">
        <f t="shared" si="17"/>
        <v>#DIV/0!</v>
      </c>
      <c r="AK13" t="e">
        <f t="shared" si="18"/>
        <v>#DIV/0!</v>
      </c>
      <c r="AL13" t="e">
        <f t="shared" si="19"/>
        <v>#DIV/0!</v>
      </c>
    </row>
    <row r="14" spans="1:51" x14ac:dyDescent="0.2">
      <c r="A14">
        <v>2031</v>
      </c>
      <c r="B14">
        <v>6</v>
      </c>
      <c r="C14">
        <f t="shared" si="20"/>
        <v>0</v>
      </c>
      <c r="D14">
        <f t="shared" si="22"/>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t="e">
        <f t="shared" si="10"/>
        <v>#DIV/0!</v>
      </c>
      <c r="O14" t="e">
        <f t="shared" si="23"/>
        <v>#DIV/0!</v>
      </c>
      <c r="P14" t="e">
        <f t="shared" si="21"/>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24"/>
        <v>#DIV/0!</v>
      </c>
      <c r="AC14" t="e">
        <f t="shared" si="11"/>
        <v>#DIV/0!</v>
      </c>
      <c r="AD14" t="e">
        <f t="shared" si="3"/>
        <v>#DIV/0!</v>
      </c>
      <c r="AE14" t="e">
        <f t="shared" si="12"/>
        <v>#DIV/0!</v>
      </c>
      <c r="AF14" t="e">
        <f t="shared" si="13"/>
        <v>#DIV/0!</v>
      </c>
      <c r="AG14" t="e">
        <f t="shared" si="14"/>
        <v>#DIV/0!</v>
      </c>
      <c r="AH14" t="e">
        <f t="shared" si="15"/>
        <v>#DIV/0!</v>
      </c>
      <c r="AI14" t="e">
        <f t="shared" si="16"/>
        <v>#DIV/0!</v>
      </c>
      <c r="AJ14" t="e">
        <f t="shared" si="17"/>
        <v>#DIV/0!</v>
      </c>
      <c r="AK14" t="e">
        <f t="shared" si="18"/>
        <v>#DIV/0!</v>
      </c>
      <c r="AL14" t="e">
        <f t="shared" si="19"/>
        <v>#DIV/0!</v>
      </c>
    </row>
    <row r="15" spans="1:51" x14ac:dyDescent="0.2">
      <c r="A15">
        <v>2032</v>
      </c>
      <c r="B15">
        <v>7</v>
      </c>
      <c r="C15">
        <f t="shared" si="20"/>
        <v>0</v>
      </c>
      <c r="D15">
        <f t="shared" si="22"/>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t="e">
        <f t="shared" si="10"/>
        <v>#DIV/0!</v>
      </c>
      <c r="O15" t="e">
        <f t="shared" si="23"/>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24"/>
        <v>#DIV/0!</v>
      </c>
      <c r="AC15" t="e">
        <f t="shared" si="11"/>
        <v>#DIV/0!</v>
      </c>
      <c r="AD15" t="e">
        <f t="shared" si="3"/>
        <v>#DIV/0!</v>
      </c>
      <c r="AE15" t="e">
        <f t="shared" si="12"/>
        <v>#DIV/0!</v>
      </c>
      <c r="AF15" t="e">
        <f t="shared" si="13"/>
        <v>#DIV/0!</v>
      </c>
      <c r="AG15" t="e">
        <f t="shared" si="14"/>
        <v>#DIV/0!</v>
      </c>
      <c r="AH15" t="e">
        <f t="shared" si="15"/>
        <v>#DIV/0!</v>
      </c>
      <c r="AI15" t="e">
        <f t="shared" si="16"/>
        <v>#DIV/0!</v>
      </c>
      <c r="AJ15" t="e">
        <f t="shared" si="17"/>
        <v>#DIV/0!</v>
      </c>
      <c r="AK15" t="e">
        <f t="shared" si="18"/>
        <v>#DIV/0!</v>
      </c>
      <c r="AL15" t="e">
        <f t="shared" si="19"/>
        <v>#DIV/0!</v>
      </c>
    </row>
    <row r="16" spans="1:51" x14ac:dyDescent="0.2">
      <c r="A16">
        <v>2033</v>
      </c>
      <c r="B16">
        <v>8</v>
      </c>
      <c r="C16">
        <f t="shared" si="20"/>
        <v>0</v>
      </c>
      <c r="D16">
        <f t="shared" si="22"/>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t="e">
        <f t="shared" si="10"/>
        <v>#DIV/0!</v>
      </c>
      <c r="O16" t="e">
        <f t="shared" si="23"/>
        <v>#DIV/0!</v>
      </c>
      <c r="P16" t="e">
        <f t="shared" si="21"/>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24"/>
        <v>#DIV/0!</v>
      </c>
      <c r="AC16" t="e">
        <f t="shared" si="11"/>
        <v>#DIV/0!</v>
      </c>
      <c r="AD16" t="e">
        <f t="shared" si="3"/>
        <v>#DIV/0!</v>
      </c>
      <c r="AE16" t="e">
        <f t="shared" si="12"/>
        <v>#DIV/0!</v>
      </c>
      <c r="AF16" t="e">
        <f t="shared" si="13"/>
        <v>#DIV/0!</v>
      </c>
      <c r="AG16" t="e">
        <f t="shared" si="14"/>
        <v>#DIV/0!</v>
      </c>
      <c r="AH16" t="e">
        <f t="shared" si="15"/>
        <v>#DIV/0!</v>
      </c>
      <c r="AI16" t="e">
        <f t="shared" si="16"/>
        <v>#DIV/0!</v>
      </c>
      <c r="AJ16" t="e">
        <f t="shared" si="17"/>
        <v>#DIV/0!</v>
      </c>
      <c r="AK16" t="e">
        <f t="shared" si="18"/>
        <v>#DIV/0!</v>
      </c>
      <c r="AL16" t="e">
        <f t="shared" si="19"/>
        <v>#DIV/0!</v>
      </c>
    </row>
    <row r="17" spans="1:38" x14ac:dyDescent="0.2">
      <c r="A17">
        <v>2034</v>
      </c>
      <c r="B17">
        <v>9</v>
      </c>
      <c r="C17">
        <f t="shared" si="20"/>
        <v>0</v>
      </c>
      <c r="D17">
        <f t="shared" si="22"/>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t="e">
        <f t="shared" si="10"/>
        <v>#DIV/0!</v>
      </c>
      <c r="O17" t="e">
        <f t="shared" si="23"/>
        <v>#DIV/0!</v>
      </c>
      <c r="P17" t="e">
        <f t="shared" si="21"/>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24"/>
        <v>#DIV/0!</v>
      </c>
      <c r="AC17" t="e">
        <f t="shared" si="11"/>
        <v>#DIV/0!</v>
      </c>
      <c r="AD17" t="e">
        <f t="shared" si="3"/>
        <v>#DIV/0!</v>
      </c>
      <c r="AE17" t="e">
        <f t="shared" si="12"/>
        <v>#DIV/0!</v>
      </c>
      <c r="AF17" t="e">
        <f t="shared" si="13"/>
        <v>#DIV/0!</v>
      </c>
      <c r="AG17" t="e">
        <f t="shared" si="14"/>
        <v>#DIV/0!</v>
      </c>
      <c r="AH17" t="e">
        <f t="shared" si="15"/>
        <v>#DIV/0!</v>
      </c>
      <c r="AI17" t="e">
        <f t="shared" si="16"/>
        <v>#DIV/0!</v>
      </c>
      <c r="AJ17" t="e">
        <f t="shared" si="17"/>
        <v>#DIV/0!</v>
      </c>
      <c r="AK17" t="e">
        <f t="shared" si="18"/>
        <v>#DIV/0!</v>
      </c>
      <c r="AL17" t="e">
        <f t="shared" si="19"/>
        <v>#DIV/0!</v>
      </c>
    </row>
    <row r="18" spans="1:38" x14ac:dyDescent="0.2">
      <c r="A18">
        <v>2035</v>
      </c>
      <c r="B18">
        <v>10</v>
      </c>
      <c r="C18">
        <f t="shared" si="20"/>
        <v>0</v>
      </c>
      <c r="D18">
        <f t="shared" si="22"/>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t="e">
        <f t="shared" si="10"/>
        <v>#DIV/0!</v>
      </c>
      <c r="O18" t="e">
        <f t="shared" si="23"/>
        <v>#DIV/0!</v>
      </c>
      <c r="P18" t="e">
        <f t="shared" si="21"/>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24"/>
        <v>#DIV/0!</v>
      </c>
      <c r="AC18" t="e">
        <f t="shared" si="11"/>
        <v>#DIV/0!</v>
      </c>
      <c r="AD18" t="e">
        <f t="shared" si="3"/>
        <v>#DIV/0!</v>
      </c>
      <c r="AE18" t="e">
        <f t="shared" si="12"/>
        <v>#DIV/0!</v>
      </c>
      <c r="AF18" t="e">
        <f t="shared" si="13"/>
        <v>#DIV/0!</v>
      </c>
      <c r="AG18" t="e">
        <f t="shared" si="14"/>
        <v>#DIV/0!</v>
      </c>
      <c r="AH18" t="e">
        <f t="shared" si="15"/>
        <v>#DIV/0!</v>
      </c>
      <c r="AI18" t="e">
        <f t="shared" si="16"/>
        <v>#DIV/0!</v>
      </c>
      <c r="AJ18" t="e">
        <f t="shared" si="17"/>
        <v>#DIV/0!</v>
      </c>
      <c r="AK18" t="e">
        <f t="shared" si="18"/>
        <v>#DIV/0!</v>
      </c>
      <c r="AL18" t="e">
        <f t="shared" si="19"/>
        <v>#DIV/0!</v>
      </c>
    </row>
    <row r="19" spans="1:38" x14ac:dyDescent="0.2">
      <c r="A19">
        <v>2036</v>
      </c>
      <c r="B19">
        <v>11</v>
      </c>
      <c r="C19">
        <f t="shared" si="20"/>
        <v>0</v>
      </c>
      <c r="D19">
        <f t="shared" si="22"/>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t="e">
        <f t="shared" si="10"/>
        <v>#DIV/0!</v>
      </c>
      <c r="O19" t="e">
        <f t="shared" si="23"/>
        <v>#DIV/0!</v>
      </c>
      <c r="P19" t="e">
        <f t="shared" si="21"/>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24"/>
        <v>#DIV/0!</v>
      </c>
      <c r="AC19" t="e">
        <f t="shared" si="11"/>
        <v>#DIV/0!</v>
      </c>
      <c r="AD19" t="e">
        <f t="shared" si="3"/>
        <v>#DIV/0!</v>
      </c>
      <c r="AE19" t="e">
        <f t="shared" si="12"/>
        <v>#DIV/0!</v>
      </c>
      <c r="AF19" t="e">
        <f t="shared" si="13"/>
        <v>#DIV/0!</v>
      </c>
      <c r="AG19" t="e">
        <f t="shared" si="14"/>
        <v>#DIV/0!</v>
      </c>
      <c r="AH19" t="e">
        <f t="shared" si="15"/>
        <v>#DIV/0!</v>
      </c>
      <c r="AI19" t="e">
        <f t="shared" si="16"/>
        <v>#DIV/0!</v>
      </c>
      <c r="AJ19" t="e">
        <f t="shared" si="17"/>
        <v>#DIV/0!</v>
      </c>
      <c r="AK19" t="e">
        <f t="shared" si="18"/>
        <v>#DIV/0!</v>
      </c>
      <c r="AL19" t="e">
        <f t="shared" si="19"/>
        <v>#DIV/0!</v>
      </c>
    </row>
    <row r="20" spans="1:38" x14ac:dyDescent="0.2">
      <c r="A20">
        <v>2037</v>
      </c>
      <c r="B20">
        <v>12</v>
      </c>
      <c r="C20">
        <f t="shared" si="20"/>
        <v>0</v>
      </c>
      <c r="D20">
        <f t="shared" si="22"/>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t="e">
        <f t="shared" si="10"/>
        <v>#DIV/0!</v>
      </c>
      <c r="O20" t="e">
        <f t="shared" si="23"/>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24"/>
        <v>#DIV/0!</v>
      </c>
      <c r="AC20" t="e">
        <f t="shared" si="11"/>
        <v>#DIV/0!</v>
      </c>
      <c r="AD20" t="e">
        <f t="shared" si="3"/>
        <v>#DIV/0!</v>
      </c>
      <c r="AE20" t="e">
        <f t="shared" si="12"/>
        <v>#DIV/0!</v>
      </c>
      <c r="AF20" t="e">
        <f t="shared" si="13"/>
        <v>#DIV/0!</v>
      </c>
      <c r="AG20" t="e">
        <f t="shared" si="14"/>
        <v>#DIV/0!</v>
      </c>
      <c r="AH20" t="e">
        <f t="shared" si="15"/>
        <v>#DIV/0!</v>
      </c>
      <c r="AI20" t="e">
        <f t="shared" si="16"/>
        <v>#DIV/0!</v>
      </c>
      <c r="AJ20" t="e">
        <f t="shared" si="17"/>
        <v>#DIV/0!</v>
      </c>
      <c r="AK20" t="e">
        <f t="shared" si="18"/>
        <v>#DIV/0!</v>
      </c>
      <c r="AL20" t="e">
        <f t="shared" si="19"/>
        <v>#DIV/0!</v>
      </c>
    </row>
    <row r="21" spans="1:38" x14ac:dyDescent="0.2">
      <c r="A21">
        <v>2038</v>
      </c>
      <c r="B21">
        <v>13</v>
      </c>
      <c r="C21">
        <f t="shared" si="20"/>
        <v>0</v>
      </c>
      <c r="D21">
        <f t="shared" si="22"/>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t="e">
        <f t="shared" si="10"/>
        <v>#DIV/0!</v>
      </c>
      <c r="O21" t="e">
        <f t="shared" si="23"/>
        <v>#DIV/0!</v>
      </c>
      <c r="P21" t="e">
        <f t="shared" si="21"/>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24"/>
        <v>#DIV/0!</v>
      </c>
      <c r="AC21" t="e">
        <f t="shared" si="11"/>
        <v>#DIV/0!</v>
      </c>
      <c r="AD21" t="e">
        <f t="shared" si="3"/>
        <v>#DIV/0!</v>
      </c>
      <c r="AE21" t="e">
        <f t="shared" si="12"/>
        <v>#DIV/0!</v>
      </c>
      <c r="AF21" t="e">
        <f t="shared" si="13"/>
        <v>#DIV/0!</v>
      </c>
      <c r="AG21" t="e">
        <f t="shared" si="14"/>
        <v>#DIV/0!</v>
      </c>
      <c r="AH21" t="e">
        <f t="shared" si="15"/>
        <v>#DIV/0!</v>
      </c>
      <c r="AI21" t="e">
        <f t="shared" si="16"/>
        <v>#DIV/0!</v>
      </c>
      <c r="AJ21" t="e">
        <f t="shared" si="17"/>
        <v>#DIV/0!</v>
      </c>
      <c r="AK21" t="e">
        <f t="shared" si="18"/>
        <v>#DIV/0!</v>
      </c>
      <c r="AL21" t="e">
        <f t="shared" si="19"/>
        <v>#DIV/0!</v>
      </c>
    </row>
    <row r="22" spans="1:38" x14ac:dyDescent="0.2">
      <c r="A22">
        <v>2039</v>
      </c>
      <c r="B22">
        <v>14</v>
      </c>
      <c r="C22">
        <f t="shared" si="20"/>
        <v>0</v>
      </c>
      <c r="D22">
        <f t="shared" si="22"/>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t="e">
        <f t="shared" si="10"/>
        <v>#DIV/0!</v>
      </c>
      <c r="O22" t="e">
        <f t="shared" si="23"/>
        <v>#DIV/0!</v>
      </c>
      <c r="P22" t="e">
        <f t="shared" si="21"/>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24"/>
        <v>#DIV/0!</v>
      </c>
      <c r="AC22" t="e">
        <f t="shared" si="11"/>
        <v>#DIV/0!</v>
      </c>
      <c r="AD22" t="e">
        <f t="shared" si="3"/>
        <v>#DIV/0!</v>
      </c>
      <c r="AE22" t="e">
        <f t="shared" si="12"/>
        <v>#DIV/0!</v>
      </c>
      <c r="AF22" t="e">
        <f t="shared" si="13"/>
        <v>#DIV/0!</v>
      </c>
      <c r="AG22" t="e">
        <f t="shared" si="14"/>
        <v>#DIV/0!</v>
      </c>
      <c r="AH22" t="e">
        <f t="shared" si="15"/>
        <v>#DIV/0!</v>
      </c>
      <c r="AI22" t="e">
        <f t="shared" si="16"/>
        <v>#DIV/0!</v>
      </c>
      <c r="AJ22" t="e">
        <f t="shared" si="17"/>
        <v>#DIV/0!</v>
      </c>
      <c r="AK22" t="e">
        <f t="shared" si="18"/>
        <v>#DIV/0!</v>
      </c>
      <c r="AL22" t="e">
        <f t="shared" si="19"/>
        <v>#DIV/0!</v>
      </c>
    </row>
    <row r="23" spans="1:38" x14ac:dyDescent="0.2">
      <c r="A23">
        <v>2040</v>
      </c>
      <c r="B23">
        <v>15</v>
      </c>
      <c r="C23">
        <f t="shared" si="20"/>
        <v>0</v>
      </c>
      <c r="D23">
        <f t="shared" si="22"/>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t="e">
        <f t="shared" si="10"/>
        <v>#DIV/0!</v>
      </c>
      <c r="O23" t="e">
        <f t="shared" si="23"/>
        <v>#DIV/0!</v>
      </c>
      <c r="P23" t="e">
        <f t="shared" si="21"/>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24"/>
        <v>#DIV/0!</v>
      </c>
      <c r="AC23" t="e">
        <f t="shared" si="11"/>
        <v>#DIV/0!</v>
      </c>
      <c r="AD23" t="e">
        <f t="shared" si="3"/>
        <v>#DIV/0!</v>
      </c>
      <c r="AE23" t="e">
        <f t="shared" si="12"/>
        <v>#DIV/0!</v>
      </c>
      <c r="AF23" t="e">
        <f t="shared" si="13"/>
        <v>#DIV/0!</v>
      </c>
      <c r="AG23" t="e">
        <f t="shared" si="14"/>
        <v>#DIV/0!</v>
      </c>
      <c r="AH23" t="e">
        <f t="shared" si="15"/>
        <v>#DIV/0!</v>
      </c>
      <c r="AI23" t="e">
        <f t="shared" si="16"/>
        <v>#DIV/0!</v>
      </c>
      <c r="AJ23" t="e">
        <f t="shared" si="17"/>
        <v>#DIV/0!</v>
      </c>
      <c r="AK23" t="e">
        <f t="shared" si="18"/>
        <v>#DIV/0!</v>
      </c>
      <c r="AL23" t="e">
        <f t="shared" si="19"/>
        <v>#DIV/0!</v>
      </c>
    </row>
    <row r="24" spans="1:38" x14ac:dyDescent="0.2">
      <c r="A24">
        <v>2041</v>
      </c>
      <c r="B24">
        <v>16</v>
      </c>
      <c r="C24">
        <f t="shared" si="20"/>
        <v>0</v>
      </c>
      <c r="D24">
        <f t="shared" si="22"/>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t="e">
        <f t="shared" si="10"/>
        <v>#DIV/0!</v>
      </c>
      <c r="O24" t="e">
        <f t="shared" si="23"/>
        <v>#DIV/0!</v>
      </c>
      <c r="P24" t="e">
        <f t="shared" si="21"/>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24"/>
        <v>#DIV/0!</v>
      </c>
      <c r="AC24" t="e">
        <f t="shared" si="11"/>
        <v>#DIV/0!</v>
      </c>
      <c r="AD24" t="e">
        <f t="shared" si="3"/>
        <v>#DIV/0!</v>
      </c>
      <c r="AE24" t="e">
        <f t="shared" si="12"/>
        <v>#DIV/0!</v>
      </c>
      <c r="AF24" t="e">
        <f t="shared" si="13"/>
        <v>#DIV/0!</v>
      </c>
      <c r="AG24" t="e">
        <f t="shared" si="14"/>
        <v>#DIV/0!</v>
      </c>
      <c r="AH24" t="e">
        <f t="shared" si="15"/>
        <v>#DIV/0!</v>
      </c>
      <c r="AI24" t="e">
        <f t="shared" si="16"/>
        <v>#DIV/0!</v>
      </c>
      <c r="AJ24" t="e">
        <f t="shared" si="17"/>
        <v>#DIV/0!</v>
      </c>
      <c r="AK24" t="e">
        <f t="shared" si="18"/>
        <v>#DIV/0!</v>
      </c>
      <c r="AL24" t="e">
        <f t="shared" si="19"/>
        <v>#DIV/0!</v>
      </c>
    </row>
    <row r="25" spans="1:38" x14ac:dyDescent="0.2">
      <c r="A25">
        <v>2042</v>
      </c>
      <c r="B25">
        <v>17</v>
      </c>
      <c r="C25">
        <f t="shared" si="20"/>
        <v>0</v>
      </c>
      <c r="D25">
        <f t="shared" si="22"/>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t="e">
        <f t="shared" si="10"/>
        <v>#DIV/0!</v>
      </c>
      <c r="O25" t="e">
        <f t="shared" si="23"/>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24"/>
        <v>#DIV/0!</v>
      </c>
      <c r="AC25" t="e">
        <f t="shared" si="11"/>
        <v>#DIV/0!</v>
      </c>
      <c r="AD25" t="e">
        <f t="shared" si="3"/>
        <v>#DIV/0!</v>
      </c>
      <c r="AE25" t="e">
        <f t="shared" si="12"/>
        <v>#DIV/0!</v>
      </c>
      <c r="AF25" t="e">
        <f t="shared" si="13"/>
        <v>#DIV/0!</v>
      </c>
      <c r="AG25" t="e">
        <f t="shared" si="14"/>
        <v>#DIV/0!</v>
      </c>
      <c r="AH25" t="e">
        <f t="shared" si="15"/>
        <v>#DIV/0!</v>
      </c>
      <c r="AI25" t="e">
        <f t="shared" si="16"/>
        <v>#DIV/0!</v>
      </c>
      <c r="AJ25" t="e">
        <f t="shared" si="17"/>
        <v>#DIV/0!</v>
      </c>
      <c r="AK25" t="e">
        <f t="shared" si="18"/>
        <v>#DIV/0!</v>
      </c>
      <c r="AL25" t="e">
        <f t="shared" si="19"/>
        <v>#DIV/0!</v>
      </c>
    </row>
    <row r="26" spans="1:38" x14ac:dyDescent="0.2">
      <c r="A26">
        <v>2043</v>
      </c>
      <c r="B26">
        <v>18</v>
      </c>
      <c r="C26">
        <f t="shared" si="20"/>
        <v>0</v>
      </c>
      <c r="D26">
        <f t="shared" si="22"/>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t="e">
        <f t="shared" si="10"/>
        <v>#DIV/0!</v>
      </c>
      <c r="O26" t="e">
        <f t="shared" si="23"/>
        <v>#DIV/0!</v>
      </c>
      <c r="P26" t="e">
        <f t="shared" si="21"/>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24"/>
        <v>#DIV/0!</v>
      </c>
      <c r="AC26" t="e">
        <f t="shared" si="11"/>
        <v>#DIV/0!</v>
      </c>
      <c r="AD26" t="e">
        <f t="shared" si="3"/>
        <v>#DIV/0!</v>
      </c>
      <c r="AE26" t="e">
        <f t="shared" si="12"/>
        <v>#DIV/0!</v>
      </c>
      <c r="AF26" t="e">
        <f t="shared" si="13"/>
        <v>#DIV/0!</v>
      </c>
      <c r="AG26" t="e">
        <f t="shared" si="14"/>
        <v>#DIV/0!</v>
      </c>
      <c r="AH26" t="e">
        <f t="shared" si="15"/>
        <v>#DIV/0!</v>
      </c>
      <c r="AI26" t="e">
        <f t="shared" si="16"/>
        <v>#DIV/0!</v>
      </c>
      <c r="AJ26" t="e">
        <f t="shared" si="17"/>
        <v>#DIV/0!</v>
      </c>
      <c r="AK26" t="e">
        <f t="shared" si="18"/>
        <v>#DIV/0!</v>
      </c>
      <c r="AL26" t="e">
        <f t="shared" si="19"/>
        <v>#DIV/0!</v>
      </c>
    </row>
    <row r="27" spans="1:38" x14ac:dyDescent="0.2">
      <c r="A27">
        <v>2044</v>
      </c>
      <c r="B27">
        <v>19</v>
      </c>
      <c r="C27">
        <f t="shared" si="20"/>
        <v>0</v>
      </c>
      <c r="D27">
        <f t="shared" si="22"/>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t="e">
        <f t="shared" si="10"/>
        <v>#DIV/0!</v>
      </c>
      <c r="O27" t="e">
        <f t="shared" si="23"/>
        <v>#DIV/0!</v>
      </c>
      <c r="P27" t="e">
        <f t="shared" si="21"/>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24"/>
        <v>#DIV/0!</v>
      </c>
      <c r="AC27" t="e">
        <f t="shared" si="11"/>
        <v>#DIV/0!</v>
      </c>
      <c r="AD27" t="e">
        <f t="shared" si="3"/>
        <v>#DIV/0!</v>
      </c>
      <c r="AE27" t="e">
        <f t="shared" si="12"/>
        <v>#DIV/0!</v>
      </c>
      <c r="AF27" t="e">
        <f t="shared" si="13"/>
        <v>#DIV/0!</v>
      </c>
      <c r="AG27" t="e">
        <f t="shared" si="14"/>
        <v>#DIV/0!</v>
      </c>
      <c r="AH27" t="e">
        <f t="shared" si="15"/>
        <v>#DIV/0!</v>
      </c>
      <c r="AI27" t="e">
        <f t="shared" si="16"/>
        <v>#DIV/0!</v>
      </c>
      <c r="AJ27" t="e">
        <f t="shared" si="17"/>
        <v>#DIV/0!</v>
      </c>
      <c r="AK27" t="e">
        <f t="shared" si="18"/>
        <v>#DIV/0!</v>
      </c>
      <c r="AL27" t="e">
        <f t="shared" si="19"/>
        <v>#DIV/0!</v>
      </c>
    </row>
    <row r="28" spans="1:38" x14ac:dyDescent="0.2">
      <c r="A28">
        <v>2045</v>
      </c>
      <c r="B28">
        <v>20</v>
      </c>
      <c r="C28">
        <f t="shared" si="20"/>
        <v>0</v>
      </c>
      <c r="D28">
        <f t="shared" si="22"/>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t="e">
        <f t="shared" si="10"/>
        <v>#DIV/0!</v>
      </c>
      <c r="O28" t="e">
        <f t="shared" si="23"/>
        <v>#DIV/0!</v>
      </c>
      <c r="P28" t="e">
        <f t="shared" si="21"/>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24"/>
        <v>#DIV/0!</v>
      </c>
      <c r="AC28" t="e">
        <f t="shared" si="11"/>
        <v>#DIV/0!</v>
      </c>
      <c r="AD28" t="e">
        <f t="shared" si="3"/>
        <v>#DIV/0!</v>
      </c>
      <c r="AE28" t="e">
        <f t="shared" si="12"/>
        <v>#DIV/0!</v>
      </c>
      <c r="AF28" t="e">
        <f t="shared" si="13"/>
        <v>#DIV/0!</v>
      </c>
      <c r="AG28" t="e">
        <f t="shared" si="14"/>
        <v>#DIV/0!</v>
      </c>
      <c r="AH28" t="e">
        <f t="shared" si="15"/>
        <v>#DIV/0!</v>
      </c>
      <c r="AI28" t="e">
        <f t="shared" si="16"/>
        <v>#DIV/0!</v>
      </c>
      <c r="AJ28" t="e">
        <f t="shared" si="17"/>
        <v>#DIV/0!</v>
      </c>
      <c r="AK28" t="e">
        <f t="shared" si="18"/>
        <v>#DIV/0!</v>
      </c>
      <c r="AL28" t="e">
        <f t="shared" si="19"/>
        <v>#DIV/0!</v>
      </c>
    </row>
    <row r="29" spans="1:38" x14ac:dyDescent="0.2">
      <c r="A29">
        <v>2046</v>
      </c>
      <c r="B29">
        <v>21</v>
      </c>
      <c r="C29">
        <f t="shared" si="20"/>
        <v>0</v>
      </c>
      <c r="D29">
        <f t="shared" si="22"/>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t="e">
        <f t="shared" si="10"/>
        <v>#DIV/0!</v>
      </c>
      <c r="O29" t="e">
        <f t="shared" si="23"/>
        <v>#DIV/0!</v>
      </c>
      <c r="P29" t="e">
        <f t="shared" si="21"/>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24"/>
        <v>#DIV/0!</v>
      </c>
      <c r="AC29" t="e">
        <f t="shared" si="11"/>
        <v>#DIV/0!</v>
      </c>
      <c r="AD29" t="e">
        <f t="shared" si="3"/>
        <v>#DIV/0!</v>
      </c>
      <c r="AE29" t="e">
        <f t="shared" si="12"/>
        <v>#DIV/0!</v>
      </c>
      <c r="AF29" t="e">
        <f t="shared" si="13"/>
        <v>#DIV/0!</v>
      </c>
      <c r="AG29" t="e">
        <f t="shared" si="14"/>
        <v>#DIV/0!</v>
      </c>
      <c r="AH29" t="e">
        <f t="shared" si="15"/>
        <v>#DIV/0!</v>
      </c>
      <c r="AI29" t="e">
        <f t="shared" si="16"/>
        <v>#DIV/0!</v>
      </c>
      <c r="AJ29" t="e">
        <f t="shared" si="17"/>
        <v>#DIV/0!</v>
      </c>
      <c r="AK29" t="e">
        <f t="shared" si="18"/>
        <v>#DIV/0!</v>
      </c>
      <c r="AL29" t="e">
        <f t="shared" si="19"/>
        <v>#DIV/0!</v>
      </c>
    </row>
    <row r="30" spans="1:38" x14ac:dyDescent="0.2">
      <c r="A30">
        <v>2047</v>
      </c>
      <c r="B30">
        <v>22</v>
      </c>
      <c r="C30">
        <f t="shared" si="20"/>
        <v>0</v>
      </c>
      <c r="D30">
        <f t="shared" si="22"/>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t="e">
        <f t="shared" si="10"/>
        <v>#DIV/0!</v>
      </c>
      <c r="O30" t="e">
        <f t="shared" si="23"/>
        <v>#DIV/0!</v>
      </c>
      <c r="P30" t="e">
        <f t="shared" si="21"/>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24"/>
        <v>#DIV/0!</v>
      </c>
      <c r="AC30" t="e">
        <f t="shared" si="11"/>
        <v>#DIV/0!</v>
      </c>
      <c r="AD30" t="e">
        <f t="shared" si="3"/>
        <v>#DIV/0!</v>
      </c>
      <c r="AE30" t="e">
        <f t="shared" si="12"/>
        <v>#DIV/0!</v>
      </c>
      <c r="AF30" t="e">
        <f t="shared" si="13"/>
        <v>#DIV/0!</v>
      </c>
      <c r="AG30" t="e">
        <f t="shared" si="14"/>
        <v>#DIV/0!</v>
      </c>
      <c r="AH30" t="e">
        <f t="shared" si="15"/>
        <v>#DIV/0!</v>
      </c>
      <c r="AI30" t="e">
        <f t="shared" si="16"/>
        <v>#DIV/0!</v>
      </c>
      <c r="AJ30" t="e">
        <f t="shared" si="17"/>
        <v>#DIV/0!</v>
      </c>
      <c r="AK30" t="e">
        <f t="shared" si="18"/>
        <v>#DIV/0!</v>
      </c>
      <c r="AL30" t="e">
        <f t="shared" si="19"/>
        <v>#DIV/0!</v>
      </c>
    </row>
    <row r="31" spans="1:38" x14ac:dyDescent="0.2">
      <c r="A31">
        <v>2048</v>
      </c>
      <c r="B31">
        <v>23</v>
      </c>
      <c r="C31">
        <f t="shared" si="20"/>
        <v>0</v>
      </c>
      <c r="D31">
        <f t="shared" si="22"/>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t="e">
        <f t="shared" si="10"/>
        <v>#DIV/0!</v>
      </c>
      <c r="O31" t="e">
        <f t="shared" si="23"/>
        <v>#DIV/0!</v>
      </c>
      <c r="P31" t="e">
        <f t="shared" si="21"/>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24"/>
        <v>#DIV/0!</v>
      </c>
      <c r="AC31" t="e">
        <f t="shared" si="11"/>
        <v>#DIV/0!</v>
      </c>
      <c r="AD31" t="e">
        <f t="shared" si="3"/>
        <v>#DIV/0!</v>
      </c>
      <c r="AE31" t="e">
        <f t="shared" si="12"/>
        <v>#DIV/0!</v>
      </c>
      <c r="AF31" t="e">
        <f t="shared" si="13"/>
        <v>#DIV/0!</v>
      </c>
      <c r="AG31" t="e">
        <f t="shared" si="14"/>
        <v>#DIV/0!</v>
      </c>
      <c r="AH31" t="e">
        <f t="shared" si="15"/>
        <v>#DIV/0!</v>
      </c>
      <c r="AI31" t="e">
        <f t="shared" si="16"/>
        <v>#DIV/0!</v>
      </c>
      <c r="AJ31" t="e">
        <f t="shared" si="17"/>
        <v>#DIV/0!</v>
      </c>
      <c r="AK31" t="e">
        <f t="shared" si="18"/>
        <v>#DIV/0!</v>
      </c>
      <c r="AL31" t="e">
        <f t="shared" si="19"/>
        <v>#DIV/0!</v>
      </c>
    </row>
    <row r="32" spans="1:38" x14ac:dyDescent="0.2">
      <c r="A32">
        <v>2049</v>
      </c>
      <c r="B32">
        <v>24</v>
      </c>
      <c r="C32">
        <f t="shared" si="20"/>
        <v>0</v>
      </c>
      <c r="D32">
        <f t="shared" si="22"/>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t="e">
        <f t="shared" si="10"/>
        <v>#DIV/0!</v>
      </c>
      <c r="O32" t="e">
        <f t="shared" si="23"/>
        <v>#DIV/0!</v>
      </c>
      <c r="P32" t="e">
        <f t="shared" si="21"/>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24"/>
        <v>#DIV/0!</v>
      </c>
      <c r="AC32" t="e">
        <f t="shared" si="11"/>
        <v>#DIV/0!</v>
      </c>
      <c r="AD32" t="e">
        <f t="shared" si="3"/>
        <v>#DIV/0!</v>
      </c>
      <c r="AE32" t="e">
        <f t="shared" si="12"/>
        <v>#DIV/0!</v>
      </c>
      <c r="AF32" t="e">
        <f t="shared" si="13"/>
        <v>#DIV/0!</v>
      </c>
      <c r="AG32" t="e">
        <f t="shared" si="14"/>
        <v>#DIV/0!</v>
      </c>
      <c r="AH32" t="e">
        <f t="shared" si="15"/>
        <v>#DIV/0!</v>
      </c>
      <c r="AI32" t="e">
        <f t="shared" si="16"/>
        <v>#DIV/0!</v>
      </c>
      <c r="AJ32" t="e">
        <f t="shared" si="17"/>
        <v>#DIV/0!</v>
      </c>
      <c r="AK32" t="e">
        <f t="shared" si="18"/>
        <v>#DIV/0!</v>
      </c>
      <c r="AL32" t="e">
        <f t="shared" si="19"/>
        <v>#DIV/0!</v>
      </c>
    </row>
    <row r="33" spans="1:38" x14ac:dyDescent="0.2">
      <c r="A33">
        <v>2050</v>
      </c>
      <c r="B33">
        <v>25</v>
      </c>
      <c r="C33">
        <f t="shared" si="20"/>
        <v>0</v>
      </c>
      <c r="D33">
        <f t="shared" si="22"/>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t="e">
        <f t="shared" si="10"/>
        <v>#DIV/0!</v>
      </c>
      <c r="O33" t="e">
        <f t="shared" si="23"/>
        <v>#DIV/0!</v>
      </c>
      <c r="P33" t="e">
        <f t="shared" si="21"/>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24"/>
        <v>#DIV/0!</v>
      </c>
      <c r="AC33" t="e">
        <f t="shared" si="11"/>
        <v>#DIV/0!</v>
      </c>
      <c r="AD33" t="e">
        <f t="shared" si="3"/>
        <v>#DIV/0!</v>
      </c>
      <c r="AE33" t="e">
        <f t="shared" si="12"/>
        <v>#DIV/0!</v>
      </c>
      <c r="AF33" t="e">
        <f t="shared" si="13"/>
        <v>#DIV/0!</v>
      </c>
      <c r="AG33" t="e">
        <f t="shared" si="14"/>
        <v>#DIV/0!</v>
      </c>
      <c r="AH33" t="e">
        <f t="shared" si="15"/>
        <v>#DIV/0!</v>
      </c>
      <c r="AI33" t="e">
        <f t="shared" si="16"/>
        <v>#DIV/0!</v>
      </c>
      <c r="AJ33" t="e">
        <f t="shared" si="17"/>
        <v>#DIV/0!</v>
      </c>
      <c r="AK33" t="e">
        <f t="shared" si="18"/>
        <v>#DIV/0!</v>
      </c>
      <c r="AL33" t="e">
        <f t="shared" si="19"/>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4C56-2825-8249-B32F-102FA1FD39A7}">
  <sheetPr>
    <tabColor theme="4" tint="0.79998168889431442"/>
  </sheetPr>
  <dimension ref="A1:AY37"/>
  <sheetViews>
    <sheetView topLeftCell="J1"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9</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10.60403427028317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10.60403427028317</v>
      </c>
      <c r="N8">
        <f>IF($N$7="LFO",M8/(1+EXP(-$I$4*(B8-$J$4)))-M8/(1+EXP($I$4*$J$4)),IF($N$7="MGO",M8/(1+EXP(-$I$5*(B8-$J$5)))-M8/(1+EXP($I$5*$J$5)),0))</f>
        <v>0</v>
      </c>
      <c r="O8">
        <f>M8-N8</f>
        <v>10.60403427028317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10.60403427028317</v>
      </c>
      <c r="AB8">
        <f>O8/M8*AA8</f>
        <v>10.60403427028317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10.826718989959115</v>
      </c>
      <c r="D9">
        <f>IF($E$2=0,0,C9/(1+EXP(-$E$2*(B9-$G$2)))-C9/(1+EXP($E$2*$G$2)))</f>
        <v>8.0830049118798541E-2</v>
      </c>
      <c r="E9">
        <f t="shared" ref="E9:E33" si="4">IF($E$3=0,0,C9/(1+EXP(-$E$3*(B9-$G$3)))-C9/(1+EXP($E$3*$G$3)))</f>
        <v>0</v>
      </c>
      <c r="F9">
        <f t="shared" ref="F9:F33" si="5">IF($E$4=0,0,C9/(1+EXP(-$E$4*(B9-$G$4)))-C9/(1+EXP($E$4*$G$4)))</f>
        <v>0</v>
      </c>
      <c r="G9" s="9">
        <f t="shared" ref="G9:I33" si="6">D9/$C9</f>
        <v>7.4657935791777466E-3</v>
      </c>
      <c r="H9" s="9">
        <f t="shared" si="6"/>
        <v>0</v>
      </c>
      <c r="I9" s="9">
        <f t="shared" si="6"/>
        <v>0</v>
      </c>
      <c r="J9" s="9">
        <f t="shared" ref="J9:J33" si="7">G9*$F$2</f>
        <v>9.7055316529310709E-4</v>
      </c>
      <c r="K9" s="9">
        <f t="shared" ref="K9:K33" si="8">H9*$F$3</f>
        <v>0</v>
      </c>
      <c r="L9" s="9">
        <f t="shared" ref="L9:L33" si="9">I9*$F$4</f>
        <v>0</v>
      </c>
      <c r="M9">
        <f t="shared" si="0"/>
        <v>10.816211083573672</v>
      </c>
      <c r="N9">
        <f t="shared" ref="N9:N33" si="10">IF($N$7="LFO",M9/(1+EXP(-$I$4*(B9-$J$4)))-M9/(1+EXP($I$4*$J$4)),IF($N$7="MGO",M9/(1+EXP(-$I$5*(B9-$J$5)))-M9/(1+EXP($I$5*$J$5)),0))</f>
        <v>0</v>
      </c>
      <c r="O9">
        <f>M9-N9</f>
        <v>10.816211083573672</v>
      </c>
      <c r="P9">
        <f>IF($I$3=0,0,M9/(1+EXP(-$I$3*(B9-$J$3)))-M9/(1+EXP($I$3*$J$3)))</f>
        <v>6.6380068289449132E-2</v>
      </c>
      <c r="Q9" s="9">
        <f t="shared" si="1"/>
        <v>6.1370906851345572E-3</v>
      </c>
      <c r="R9">
        <f>VLOOKUP($B$1,dictionary!$A$3:$K$51,3,FALSE)*Q9</f>
        <v>0</v>
      </c>
      <c r="S9">
        <f>VLOOKUP($B$1,dictionary!$A$3:$K$51,4,FALSE)*Q9</f>
        <v>0</v>
      </c>
      <c r="T9">
        <f>VLOOKUP($B$1,dictionary!$A$3:$K$51,5,FALSE)*Q9</f>
        <v>1.841127205540367E-3</v>
      </c>
      <c r="U9">
        <f>VLOOKUP($B$1,dictionary!$A$3:$K$51,6,FALSE)*Q9</f>
        <v>2.1479817397970949E-3</v>
      </c>
      <c r="V9">
        <f>VLOOKUP($B$1,dictionary!$A$3:$K$51,7,FALSE)*Q9</f>
        <v>0</v>
      </c>
      <c r="W9">
        <f>VLOOKUP($B$1,dictionary!$A$3:$K$51,8,FALSE)*Q9</f>
        <v>3.068545342567279E-4</v>
      </c>
      <c r="X9">
        <f>VLOOKUP($B$1,dictionary!$A$3:$K$51,9,FALSE)*Q9</f>
        <v>0</v>
      </c>
      <c r="Y9">
        <f>VLOOKUP($B$1,dictionary!$A$3:$K$51,10,FALSE)*Q9</f>
        <v>1.5342726712836393E-3</v>
      </c>
      <c r="Z9">
        <f>VLOOKUP($B$1,dictionary!$A$3:$K$51,11,FALSE)*Q9</f>
        <v>3.068545342567279E-4</v>
      </c>
      <c r="AA9">
        <f t="shared" si="2"/>
        <v>10.749831015284222</v>
      </c>
      <c r="AB9">
        <f t="shared" ref="AB9:AB33" si="11">O9/M9*AA9</f>
        <v>10.749831015284222</v>
      </c>
      <c r="AC9">
        <f t="shared" ref="AC9:AC33" si="12">N9/M9*AA9</f>
        <v>0</v>
      </c>
      <c r="AD9">
        <f t="shared" si="3"/>
        <v>0</v>
      </c>
      <c r="AE9">
        <f t="shared" ref="AE9:AE33" si="13">S9*$O9*$AE$2+S9*$N9*$AE$3</f>
        <v>0</v>
      </c>
      <c r="AF9">
        <f t="shared" ref="AF9:AF33" si="14">T9*$O9*$AF$2+T9*$N9*$AF$3</f>
        <v>2.2126689429816378E-2</v>
      </c>
      <c r="AG9">
        <f t="shared" ref="AG9:AG33" si="15">U9*$O9*$AG$2+U9*$N9*$AG$3</f>
        <v>2.6552027315779658E-2</v>
      </c>
      <c r="AH9">
        <f t="shared" ref="AH9:AH33" si="16">V9*$O9*$AH$2+V9*$N9*$AH$3</f>
        <v>0</v>
      </c>
      <c r="AI9">
        <f t="shared" ref="AI9:AI33" si="17">W9*$O9*$AI$2+W9*$N9*$AI$3</f>
        <v>3.4936878047078495E-3</v>
      </c>
      <c r="AJ9">
        <f t="shared" ref="AJ9:AJ33" si="18">X9*$O9*$AJ$2+X9*$N9*$AJ$3</f>
        <v>0</v>
      </c>
      <c r="AK9">
        <f t="shared" ref="AK9:AK33" si="19">Y9*$O9*$AK$2+Y9*$N9*$AK$3</f>
        <v>1.6595017072362283E-2</v>
      </c>
      <c r="AL9">
        <f t="shared" ref="AL9:AL33" si="20">Z9*$O9*$AL$2+Z9*$N9*$AL$3</f>
        <v>1.4751126286544256E-3</v>
      </c>
    </row>
    <row r="10" spans="1:51" x14ac:dyDescent="0.2">
      <c r="A10">
        <v>2027</v>
      </c>
      <c r="B10">
        <v>2</v>
      </c>
      <c r="C10">
        <f t="shared" ref="C10:C33" si="21">C9*(1+$I$2)</f>
        <v>11.054080088748256</v>
      </c>
      <c r="D10">
        <f>IF($E$2=0,0,C10/(1+EXP(-$E$2*(B10-$G$2)))-C10/(1+EXP($E$2*$G$2)))</f>
        <v>0.16520345410923731</v>
      </c>
      <c r="E10">
        <f t="shared" si="4"/>
        <v>0</v>
      </c>
      <c r="F10">
        <f t="shared" si="5"/>
        <v>0</v>
      </c>
      <c r="G10" s="9">
        <f t="shared" si="6"/>
        <v>1.4945020551949399E-2</v>
      </c>
      <c r="H10" s="9">
        <f t="shared" si="6"/>
        <v>0</v>
      </c>
      <c r="I10" s="9">
        <f t="shared" si="6"/>
        <v>0</v>
      </c>
      <c r="J10" s="9">
        <f t="shared" si="7"/>
        <v>1.9428526717534219E-3</v>
      </c>
      <c r="K10" s="9">
        <f t="shared" si="8"/>
        <v>0</v>
      </c>
      <c r="L10" s="9">
        <f t="shared" si="9"/>
        <v>0</v>
      </c>
      <c r="M10">
        <f t="shared" si="0"/>
        <v>11.032603639714054</v>
      </c>
      <c r="N10">
        <f t="shared" si="10"/>
        <v>0</v>
      </c>
      <c r="O10">
        <f>M10-N10</f>
        <v>11.032603639714054</v>
      </c>
      <c r="P10">
        <f t="shared" ref="P10:P33" si="22">IF($I$3=0,0,M10/(1+EXP(-$I$3*(B10-$J$3)))-M10/(1+EXP($I$3*$J$3)))</f>
        <v>0.17221950488596974</v>
      </c>
      <c r="Q10" s="9">
        <f t="shared" si="1"/>
        <v>1.5610050946272675E-2</v>
      </c>
      <c r="R10">
        <f>VLOOKUP($B$1,dictionary!$A$3:$K$51,3,FALSE)*Q10</f>
        <v>0</v>
      </c>
      <c r="S10">
        <f>VLOOKUP($B$1,dictionary!$A$3:$K$51,4,FALSE)*Q10</f>
        <v>0</v>
      </c>
      <c r="T10">
        <f>VLOOKUP($B$1,dictionary!$A$3:$K$51,5,FALSE)*Q10</f>
        <v>4.6830152838818022E-3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3.9025127365681688E-3</v>
      </c>
      <c r="Z10">
        <f>VLOOKUP($B$1,dictionary!$A$3:$K$51,11,FALSE)*Q10</f>
        <v>7.8050254731363384E-4</v>
      </c>
      <c r="AA10">
        <f t="shared" si="2"/>
        <v>10.860384134828085</v>
      </c>
      <c r="AB10">
        <f t="shared" si="11"/>
        <v>10.860384134828085</v>
      </c>
      <c r="AC10">
        <f t="shared" si="12"/>
        <v>0</v>
      </c>
      <c r="AD10">
        <f t="shared" si="3"/>
        <v>0</v>
      </c>
      <c r="AE10">
        <f t="shared" si="13"/>
        <v>0</v>
      </c>
      <c r="AF10">
        <f t="shared" si="14"/>
        <v>5.7406501628656577E-2</v>
      </c>
      <c r="AG10">
        <f t="shared" si="15"/>
        <v>6.8887801954387887E-2</v>
      </c>
      <c r="AH10">
        <f t="shared" si="16"/>
        <v>0</v>
      </c>
      <c r="AI10">
        <f t="shared" si="17"/>
        <v>9.0641844676826178E-3</v>
      </c>
      <c r="AJ10">
        <f t="shared" si="18"/>
        <v>0</v>
      </c>
      <c r="AK10">
        <f t="shared" si="19"/>
        <v>4.3054876221492434E-2</v>
      </c>
      <c r="AL10">
        <f t="shared" si="20"/>
        <v>3.827100108577106E-3</v>
      </c>
    </row>
    <row r="11" spans="1:51" x14ac:dyDescent="0.2">
      <c r="A11">
        <v>2028</v>
      </c>
      <c r="B11">
        <v>3</v>
      </c>
      <c r="C11">
        <f t="shared" si="21"/>
        <v>11.286215770611967</v>
      </c>
      <c r="D11">
        <f t="shared" ref="D11:D33" si="23">IF($E$2=0,0,C11/(1+EXP(-$E$2*(B11-$G$2)))-C11/(1+EXP($E$2*$G$2)))</f>
        <v>0.25319884394496928</v>
      </c>
      <c r="E11">
        <f t="shared" si="4"/>
        <v>0</v>
      </c>
      <c r="F11">
        <f t="shared" si="5"/>
        <v>0</v>
      </c>
      <c r="G11" s="9">
        <f t="shared" si="6"/>
        <v>2.2434343724339428E-2</v>
      </c>
      <c r="H11" s="9">
        <f t="shared" si="6"/>
        <v>0</v>
      </c>
      <c r="I11" s="9">
        <f t="shared" si="6"/>
        <v>0</v>
      </c>
      <c r="J11" s="9">
        <f t="shared" si="7"/>
        <v>2.9164646841641256E-3</v>
      </c>
      <c r="K11" s="9">
        <f t="shared" si="8"/>
        <v>0</v>
      </c>
      <c r="L11" s="9">
        <f t="shared" si="9"/>
        <v>0</v>
      </c>
      <c r="M11">
        <f t="shared" si="0"/>
        <v>11.253299920899121</v>
      </c>
      <c r="N11">
        <f t="shared" si="10"/>
        <v>0</v>
      </c>
      <c r="O11">
        <f t="shared" ref="O11:O33" si="24">M11-N11</f>
        <v>11.253299920899121</v>
      </c>
      <c r="P11">
        <f t="shared" si="22"/>
        <v>0.33877311708715929</v>
      </c>
      <c r="Q11" s="9">
        <f t="shared" si="1"/>
        <v>3.0104335569871833E-2</v>
      </c>
      <c r="R11">
        <f>VLOOKUP($B$1,dictionary!$A$3:$K$51,3,FALSE)*Q11</f>
        <v>0</v>
      </c>
      <c r="S11">
        <f>VLOOKUP($B$1,dictionary!$A$3:$K$51,4,FALSE)*Q11</f>
        <v>0</v>
      </c>
      <c r="T11">
        <f>VLOOKUP($B$1,dictionary!$A$3:$K$51,5,FALSE)*Q11</f>
        <v>9.0313006709615493E-3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7.5260838924679583E-3</v>
      </c>
      <c r="Z11">
        <f>VLOOKUP($B$1,dictionary!$A$3:$K$51,11,FALSE)*Q11</f>
        <v>1.5052167784935918E-3</v>
      </c>
      <c r="AA11">
        <f t="shared" si="2"/>
        <v>10.914526803811961</v>
      </c>
      <c r="AB11">
        <f t="shared" si="11"/>
        <v>10.914526803811961</v>
      </c>
      <c r="AC11">
        <f t="shared" si="12"/>
        <v>0</v>
      </c>
      <c r="AD11">
        <f t="shared" si="3"/>
        <v>0</v>
      </c>
      <c r="AE11">
        <f t="shared" si="13"/>
        <v>0</v>
      </c>
      <c r="AF11">
        <f t="shared" si="14"/>
        <v>0.11292437236238642</v>
      </c>
      <c r="AG11">
        <f t="shared" si="15"/>
        <v>0.13550924683486371</v>
      </c>
      <c r="AH11">
        <f t="shared" si="16"/>
        <v>0</v>
      </c>
      <c r="AI11">
        <f t="shared" si="17"/>
        <v>1.7830164057218913E-2</v>
      </c>
      <c r="AJ11">
        <f t="shared" si="18"/>
        <v>0</v>
      </c>
      <c r="AK11">
        <f t="shared" si="19"/>
        <v>8.4693279271789823E-2</v>
      </c>
      <c r="AL11">
        <f t="shared" si="20"/>
        <v>7.5282914908257632E-3</v>
      </c>
    </row>
    <row r="12" spans="1:51" x14ac:dyDescent="0.2">
      <c r="A12">
        <v>2029</v>
      </c>
      <c r="B12">
        <v>4</v>
      </c>
      <c r="C12">
        <f t="shared" si="21"/>
        <v>11.523226301794818</v>
      </c>
      <c r="D12">
        <f t="shared" si="23"/>
        <v>0.34489486230523081</v>
      </c>
      <c r="E12">
        <f t="shared" si="4"/>
        <v>0</v>
      </c>
      <c r="F12">
        <f t="shared" si="5"/>
        <v>0</v>
      </c>
      <c r="G12" s="9">
        <f t="shared" si="6"/>
        <v>2.9930407793129186E-2</v>
      </c>
      <c r="H12" s="9">
        <f t="shared" si="6"/>
        <v>0</v>
      </c>
      <c r="I12" s="9">
        <f t="shared" si="6"/>
        <v>0</v>
      </c>
      <c r="J12" s="9">
        <f t="shared" si="7"/>
        <v>3.8909530131067942E-3</v>
      </c>
      <c r="K12" s="9">
        <f t="shared" si="8"/>
        <v>0</v>
      </c>
      <c r="L12" s="9">
        <f t="shared" si="9"/>
        <v>0</v>
      </c>
      <c r="M12">
        <f t="shared" si="0"/>
        <v>11.478389969695137</v>
      </c>
      <c r="N12">
        <f t="shared" si="10"/>
        <v>0</v>
      </c>
      <c r="O12">
        <f t="shared" si="24"/>
        <v>11.478389969695137</v>
      </c>
      <c r="P12">
        <f t="shared" si="22"/>
        <v>0.59672032643405215</v>
      </c>
      <c r="Q12" s="9">
        <f t="shared" si="1"/>
        <v>5.1986413426403297E-2</v>
      </c>
      <c r="R12">
        <f>VLOOKUP($B$1,dictionary!$A$3:$K$51,3,FALSE)*Q12</f>
        <v>0</v>
      </c>
      <c r="S12">
        <f>VLOOKUP($B$1,dictionary!$A$3:$K$51,4,FALSE)*Q12</f>
        <v>0</v>
      </c>
      <c r="T12">
        <f>VLOOKUP($B$1,dictionary!$A$3:$K$51,5,FALSE)*Q12</f>
        <v>1.5595924027920989E-2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1.2996603356600824E-2</v>
      </c>
      <c r="Z12">
        <f>VLOOKUP($B$1,dictionary!$A$3:$K$51,11,FALSE)*Q12</f>
        <v>2.5993206713201648E-3</v>
      </c>
      <c r="AA12">
        <f t="shared" si="2"/>
        <v>10.881669643261084</v>
      </c>
      <c r="AB12">
        <f t="shared" si="11"/>
        <v>10.881669643261084</v>
      </c>
      <c r="AC12">
        <f t="shared" si="12"/>
        <v>0</v>
      </c>
      <c r="AD12">
        <f t="shared" si="3"/>
        <v>0</v>
      </c>
      <c r="AE12">
        <f t="shared" si="13"/>
        <v>0</v>
      </c>
      <c r="AF12">
        <f t="shared" si="14"/>
        <v>0.19890677547801741</v>
      </c>
      <c r="AG12">
        <f t="shared" si="15"/>
        <v>0.2386881305736209</v>
      </c>
      <c r="AH12">
        <f t="shared" si="16"/>
        <v>0</v>
      </c>
      <c r="AI12">
        <f t="shared" si="17"/>
        <v>3.1406332970213273E-2</v>
      </c>
      <c r="AJ12">
        <f t="shared" si="18"/>
        <v>0</v>
      </c>
      <c r="AK12">
        <f t="shared" si="19"/>
        <v>0.14918008160851304</v>
      </c>
      <c r="AL12">
        <f t="shared" si="20"/>
        <v>1.3260451698534494E-2</v>
      </c>
    </row>
    <row r="13" spans="1:51" x14ac:dyDescent="0.2">
      <c r="A13">
        <v>2030</v>
      </c>
      <c r="B13">
        <v>5</v>
      </c>
      <c r="C13">
        <f t="shared" si="21"/>
        <v>11.765214054132509</v>
      </c>
      <c r="D13">
        <f t="shared" si="23"/>
        <v>0.4403701424822879</v>
      </c>
      <c r="E13">
        <f t="shared" si="4"/>
        <v>0</v>
      </c>
      <c r="F13">
        <f t="shared" si="5"/>
        <v>0</v>
      </c>
      <c r="G13" s="9">
        <f t="shared" si="6"/>
        <v>3.7429845343749504E-2</v>
      </c>
      <c r="H13" s="9">
        <f t="shared" si="6"/>
        <v>0</v>
      </c>
      <c r="I13" s="9">
        <f t="shared" si="6"/>
        <v>0</v>
      </c>
      <c r="J13" s="9">
        <f t="shared" si="7"/>
        <v>4.8658798946874362E-3</v>
      </c>
      <c r="K13" s="9">
        <f t="shared" si="8"/>
        <v>0</v>
      </c>
      <c r="L13" s="9">
        <f t="shared" si="9"/>
        <v>0</v>
      </c>
      <c r="M13">
        <f t="shared" si="0"/>
        <v>11.707965935609812</v>
      </c>
      <c r="N13">
        <f t="shared" si="10"/>
        <v>0</v>
      </c>
      <c r="O13">
        <f t="shared" si="24"/>
        <v>11.707965935609812</v>
      </c>
      <c r="P13">
        <f t="shared" si="22"/>
        <v>0.98771353696191311</v>
      </c>
      <c r="Q13" s="9">
        <f t="shared" si="1"/>
        <v>8.4362522268516302E-2</v>
      </c>
      <c r="R13">
        <f>VLOOKUP($B$1,dictionary!$A$3:$K$51,3,FALSE)*Q13</f>
        <v>0</v>
      </c>
      <c r="S13">
        <f>VLOOKUP($B$1,dictionary!$A$3:$K$51,4,FALSE)*Q13</f>
        <v>0</v>
      </c>
      <c r="T13">
        <f>VLOOKUP($B$1,dictionary!$A$3:$K$51,5,FALSE)*Q13</f>
        <v>2.5308756680554888E-2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2.1090630567129075E-2</v>
      </c>
      <c r="Z13">
        <f>VLOOKUP($B$1,dictionary!$A$3:$K$51,11,FALSE)*Q13</f>
        <v>4.2181261134258156E-3</v>
      </c>
      <c r="AA13">
        <f t="shared" si="2"/>
        <v>10.720252398647899</v>
      </c>
      <c r="AB13">
        <f t="shared" si="11"/>
        <v>10.720252398647899</v>
      </c>
      <c r="AC13">
        <f t="shared" si="12"/>
        <v>0</v>
      </c>
      <c r="AD13">
        <f t="shared" si="3"/>
        <v>0</v>
      </c>
      <c r="AE13">
        <f t="shared" si="13"/>
        <v>0</v>
      </c>
      <c r="AF13">
        <f t="shared" si="14"/>
        <v>0.32923784565397102</v>
      </c>
      <c r="AG13">
        <f t="shared" si="15"/>
        <v>0.39508541478476522</v>
      </c>
      <c r="AH13">
        <f t="shared" si="16"/>
        <v>0</v>
      </c>
      <c r="AI13">
        <f t="shared" si="17"/>
        <v>5.1984922997995425E-2</v>
      </c>
      <c r="AJ13">
        <f t="shared" si="18"/>
        <v>0</v>
      </c>
      <c r="AK13">
        <f t="shared" si="19"/>
        <v>0.24692838424047825</v>
      </c>
      <c r="AL13">
        <f t="shared" si="20"/>
        <v>2.194918971026474E-2</v>
      </c>
    </row>
    <row r="14" spans="1:51" x14ac:dyDescent="0.2">
      <c r="A14">
        <v>2031</v>
      </c>
      <c r="B14">
        <v>6</v>
      </c>
      <c r="C14">
        <f t="shared" si="21"/>
        <v>12.01228354926929</v>
      </c>
      <c r="D14">
        <f t="shared" si="23"/>
        <v>0.53970328579250548</v>
      </c>
      <c r="E14">
        <f t="shared" si="4"/>
        <v>0</v>
      </c>
      <c r="F14">
        <f t="shared" si="5"/>
        <v>0</v>
      </c>
      <c r="G14" s="9">
        <f t="shared" si="6"/>
        <v>4.4929282894369885E-2</v>
      </c>
      <c r="H14" s="9">
        <f t="shared" si="6"/>
        <v>0</v>
      </c>
      <c r="I14" s="9">
        <f t="shared" si="6"/>
        <v>0</v>
      </c>
      <c r="J14" s="9">
        <f t="shared" si="7"/>
        <v>5.840806776268085E-3</v>
      </c>
      <c r="K14" s="9">
        <f t="shared" si="8"/>
        <v>0</v>
      </c>
      <c r="L14" s="9">
        <f t="shared" si="9"/>
        <v>0</v>
      </c>
      <c r="M14">
        <f t="shared" si="0"/>
        <v>11.942122122116263</v>
      </c>
      <c r="N14">
        <f t="shared" si="10"/>
        <v>0</v>
      </c>
      <c r="O14">
        <f t="shared" si="24"/>
        <v>11.942122122116263</v>
      </c>
      <c r="P14">
        <f t="shared" si="22"/>
        <v>1.5627953295506358</v>
      </c>
      <c r="Q14" s="9">
        <f t="shared" si="1"/>
        <v>0.13086412226989461</v>
      </c>
      <c r="R14">
        <f>VLOOKUP($B$1,dictionary!$A$3:$K$51,3,FALSE)*Q14</f>
        <v>0</v>
      </c>
      <c r="S14">
        <f>VLOOKUP($B$1,dictionary!$A$3:$K$51,4,FALSE)*Q14</f>
        <v>0</v>
      </c>
      <c r="T14">
        <f>VLOOKUP($B$1,dictionary!$A$3:$K$51,5,FALSE)*Q14</f>
        <v>3.9259236680968382E-2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3.2716030567473652E-2</v>
      </c>
      <c r="Z14">
        <f>VLOOKUP($B$1,dictionary!$A$3:$K$51,11,FALSE)*Q14</f>
        <v>6.5432061134947303E-3</v>
      </c>
      <c r="AA14">
        <f t="shared" si="2"/>
        <v>10.379326792565628</v>
      </c>
      <c r="AB14">
        <f t="shared" si="11"/>
        <v>10.379326792565628</v>
      </c>
      <c r="AC14">
        <f t="shared" si="12"/>
        <v>0</v>
      </c>
      <c r="AD14">
        <f t="shared" si="3"/>
        <v>0</v>
      </c>
      <c r="AE14">
        <f t="shared" si="13"/>
        <v>0</v>
      </c>
      <c r="AF14">
        <f t="shared" si="14"/>
        <v>0.52093177651687861</v>
      </c>
      <c r="AG14">
        <f t="shared" si="15"/>
        <v>0.62511813182025444</v>
      </c>
      <c r="AH14">
        <f t="shared" si="16"/>
        <v>0</v>
      </c>
      <c r="AI14">
        <f t="shared" si="17"/>
        <v>8.225238576582293E-2</v>
      </c>
      <c r="AJ14">
        <f t="shared" si="18"/>
        <v>0</v>
      </c>
      <c r="AK14">
        <f t="shared" si="19"/>
        <v>0.39069883238765896</v>
      </c>
      <c r="AL14">
        <f t="shared" si="20"/>
        <v>3.4728785101125245E-2</v>
      </c>
    </row>
    <row r="15" spans="1:51" x14ac:dyDescent="0.2">
      <c r="A15">
        <v>2032</v>
      </c>
      <c r="B15">
        <v>7</v>
      </c>
      <c r="C15">
        <f t="shared" si="21"/>
        <v>12.264541503803944</v>
      </c>
      <c r="D15">
        <f t="shared" si="23"/>
        <v>0.64297284368099294</v>
      </c>
      <c r="E15">
        <f t="shared" si="4"/>
        <v>0</v>
      </c>
      <c r="F15">
        <f t="shared" si="5"/>
        <v>0</v>
      </c>
      <c r="G15" s="9">
        <f t="shared" si="6"/>
        <v>5.2425346963159598E-2</v>
      </c>
      <c r="H15" s="9">
        <f t="shared" si="6"/>
        <v>0</v>
      </c>
      <c r="I15" s="9">
        <f t="shared" si="6"/>
        <v>0</v>
      </c>
      <c r="J15" s="9">
        <f t="shared" si="7"/>
        <v>6.815295105210748E-3</v>
      </c>
      <c r="K15" s="9">
        <f t="shared" si="8"/>
        <v>0</v>
      </c>
      <c r="L15" s="9">
        <f t="shared" si="9"/>
        <v>0</v>
      </c>
      <c r="M15">
        <f t="shared" si="0"/>
        <v>12.180955034125414</v>
      </c>
      <c r="N15">
        <f t="shared" si="10"/>
        <v>0</v>
      </c>
      <c r="O15">
        <f t="shared" si="24"/>
        <v>12.180955034125414</v>
      </c>
      <c r="P15">
        <f>IF($I$3=0,0,M15/(1+EXP(-$I$3*(B15-$J$3)))-M15/(1+EXP($I$3*$J$3)))</f>
        <v>2.373866287620249</v>
      </c>
      <c r="Q15" s="9">
        <f t="shared" si="1"/>
        <v>0.19488342917035414</v>
      </c>
      <c r="R15">
        <f>VLOOKUP($B$1,dictionary!$A$3:$K$51,3,FALSE)*Q15</f>
        <v>0</v>
      </c>
      <c r="S15">
        <f>VLOOKUP($B$1,dictionary!$A$3:$K$51,4,FALSE)*Q15</f>
        <v>0</v>
      </c>
      <c r="T15">
        <f>VLOOKUP($B$1,dictionary!$A$3:$K$51,5,FALSE)*Q15</f>
        <v>5.8465028751106242E-2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4.8720857292588536E-2</v>
      </c>
      <c r="Z15">
        <f>VLOOKUP($B$1,dictionary!$A$3:$K$51,11,FALSE)*Q15</f>
        <v>9.7441714585177076E-3</v>
      </c>
      <c r="AA15">
        <f t="shared" si="2"/>
        <v>9.8070887465051655</v>
      </c>
      <c r="AB15">
        <f t="shared" si="11"/>
        <v>9.8070887465051655</v>
      </c>
      <c r="AC15">
        <f t="shared" si="12"/>
        <v>0</v>
      </c>
      <c r="AD15">
        <f t="shared" si="3"/>
        <v>0</v>
      </c>
      <c r="AE15">
        <f t="shared" si="13"/>
        <v>0</v>
      </c>
      <c r="AF15">
        <f t="shared" si="14"/>
        <v>0.79128876254008296</v>
      </c>
      <c r="AG15">
        <f t="shared" si="15"/>
        <v>0.94954651504809962</v>
      </c>
      <c r="AH15">
        <f t="shared" si="16"/>
        <v>0</v>
      </c>
      <c r="AI15">
        <f t="shared" si="17"/>
        <v>0.12494033092738152</v>
      </c>
      <c r="AJ15">
        <f t="shared" si="18"/>
        <v>0</v>
      </c>
      <c r="AK15">
        <f t="shared" si="19"/>
        <v>0.59346657190506225</v>
      </c>
      <c r="AL15">
        <f t="shared" si="20"/>
        <v>5.2752584169338874E-2</v>
      </c>
    </row>
    <row r="16" spans="1:51" x14ac:dyDescent="0.2">
      <c r="A16">
        <v>2033</v>
      </c>
      <c r="B16">
        <v>8</v>
      </c>
      <c r="C16">
        <f t="shared" si="21"/>
        <v>12.522096875383825</v>
      </c>
      <c r="D16">
        <f t="shared" si="23"/>
        <v>0.75025730369401966</v>
      </c>
      <c r="E16">
        <f t="shared" si="4"/>
        <v>0</v>
      </c>
      <c r="F16">
        <f t="shared" si="5"/>
        <v>0</v>
      </c>
      <c r="G16" s="9">
        <f t="shared" si="6"/>
        <v>5.9914670135549714E-2</v>
      </c>
      <c r="H16" s="9">
        <f t="shared" si="6"/>
        <v>0</v>
      </c>
      <c r="I16" s="9">
        <f t="shared" si="6"/>
        <v>0</v>
      </c>
      <c r="J16" s="9">
        <f t="shared" si="7"/>
        <v>7.7889071176214632E-3</v>
      </c>
      <c r="K16" s="9">
        <f t="shared" si="8"/>
        <v>0</v>
      </c>
      <c r="L16" s="9">
        <f t="shared" si="9"/>
        <v>0</v>
      </c>
      <c r="M16">
        <f t="shared" si="0"/>
        <v>12.424563425903603</v>
      </c>
      <c r="N16">
        <f t="shared" si="10"/>
        <v>0</v>
      </c>
      <c r="O16">
        <f t="shared" si="24"/>
        <v>12.424563425903603</v>
      </c>
      <c r="P16">
        <f t="shared" si="22"/>
        <v>3.4548182723540517</v>
      </c>
      <c r="Q16" s="9">
        <f t="shared" si="1"/>
        <v>0.27806355474440281</v>
      </c>
      <c r="R16">
        <f>VLOOKUP($B$1,dictionary!$A$3:$K$51,3,FALSE)*Q16</f>
        <v>0</v>
      </c>
      <c r="S16">
        <f>VLOOKUP($B$1,dictionary!$A$3:$K$51,4,FALSE)*Q16</f>
        <v>0</v>
      </c>
      <c r="T16">
        <f>VLOOKUP($B$1,dictionary!$A$3:$K$51,5,FALSE)*Q16</f>
        <v>8.3419066423320837E-2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6.9515888686100702E-2</v>
      </c>
      <c r="Z16">
        <f>VLOOKUP($B$1,dictionary!$A$3:$K$51,11,FALSE)*Q16</f>
        <v>1.3903177737220142E-2</v>
      </c>
      <c r="AA16">
        <f t="shared" si="2"/>
        <v>8.9697451535495514</v>
      </c>
      <c r="AB16">
        <f t="shared" si="11"/>
        <v>8.9697451535495514</v>
      </c>
      <c r="AC16">
        <f t="shared" si="12"/>
        <v>0</v>
      </c>
      <c r="AD16">
        <f t="shared" si="3"/>
        <v>0</v>
      </c>
      <c r="AE16">
        <f t="shared" si="13"/>
        <v>0</v>
      </c>
      <c r="AF16">
        <f t="shared" si="14"/>
        <v>1.1516060907846839</v>
      </c>
      <c r="AG16">
        <f t="shared" si="15"/>
        <v>1.3819273089416206</v>
      </c>
      <c r="AH16">
        <f t="shared" si="16"/>
        <v>0</v>
      </c>
      <c r="AI16">
        <f t="shared" si="17"/>
        <v>0.18183254065021323</v>
      </c>
      <c r="AJ16">
        <f t="shared" si="18"/>
        <v>0</v>
      </c>
      <c r="AK16">
        <f t="shared" si="19"/>
        <v>0.86370456808851281</v>
      </c>
      <c r="AL16">
        <f t="shared" si="20"/>
        <v>7.6773739385645592E-2</v>
      </c>
    </row>
    <row r="17" spans="1:38" x14ac:dyDescent="0.2">
      <c r="A17">
        <v>2034</v>
      </c>
      <c r="B17">
        <v>9</v>
      </c>
      <c r="C17">
        <f t="shared" si="21"/>
        <v>12.785060909766884</v>
      </c>
      <c r="D17">
        <f t="shared" si="23"/>
        <v>0.86163507947645002</v>
      </c>
      <c r="E17">
        <f t="shared" si="4"/>
        <v>0</v>
      </c>
      <c r="F17">
        <f t="shared" si="5"/>
        <v>0</v>
      </c>
      <c r="G17" s="9">
        <f t="shared" si="6"/>
        <v>6.7393897108321291E-2</v>
      </c>
      <c r="H17" s="9">
        <f t="shared" si="6"/>
        <v>0</v>
      </c>
      <c r="I17" s="9">
        <f t="shared" si="6"/>
        <v>0</v>
      </c>
      <c r="J17" s="9">
        <f t="shared" si="7"/>
        <v>8.7612066240817677E-3</v>
      </c>
      <c r="K17" s="9">
        <f t="shared" si="8"/>
        <v>0</v>
      </c>
      <c r="L17" s="9">
        <f t="shared" si="9"/>
        <v>0</v>
      </c>
      <c r="M17">
        <f t="shared" si="0"/>
        <v>12.673048349434945</v>
      </c>
      <c r="N17">
        <f t="shared" si="10"/>
        <v>0</v>
      </c>
      <c r="O17">
        <f t="shared" si="24"/>
        <v>12.673048349434945</v>
      </c>
      <c r="P17">
        <f t="shared" si="22"/>
        <v>4.7951497583645635</v>
      </c>
      <c r="Q17" s="9">
        <f t="shared" si="1"/>
        <v>0.37837382342018488</v>
      </c>
      <c r="R17">
        <f>VLOOKUP($B$1,dictionary!$A$3:$K$51,3,FALSE)*Q17</f>
        <v>0</v>
      </c>
      <c r="S17">
        <f>VLOOKUP($B$1,dictionary!$A$3:$K$51,4,FALSE)*Q17</f>
        <v>0</v>
      </c>
      <c r="T17">
        <f>VLOOKUP($B$1,dictionary!$A$3:$K$51,5,FALSE)*Q17</f>
        <v>0.11351214702605546</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9.4593455855046221E-2</v>
      </c>
      <c r="Z17">
        <f>VLOOKUP($B$1,dictionary!$A$3:$K$51,11,FALSE)*Q17</f>
        <v>1.8918691171009246E-2</v>
      </c>
      <c r="AA17">
        <f t="shared" si="2"/>
        <v>7.8778985910703812</v>
      </c>
      <c r="AB17">
        <f t="shared" si="11"/>
        <v>7.8778985910703812</v>
      </c>
      <c r="AC17">
        <f t="shared" si="12"/>
        <v>0</v>
      </c>
      <c r="AD17">
        <f t="shared" si="3"/>
        <v>0</v>
      </c>
      <c r="AE17">
        <f t="shared" si="13"/>
        <v>0</v>
      </c>
      <c r="AF17">
        <f t="shared" si="14"/>
        <v>1.5983832527881878</v>
      </c>
      <c r="AG17">
        <f t="shared" si="15"/>
        <v>1.9180599033458254</v>
      </c>
      <c r="AH17">
        <f t="shared" si="16"/>
        <v>0</v>
      </c>
      <c r="AI17">
        <f t="shared" si="17"/>
        <v>0.25237630307181913</v>
      </c>
      <c r="AJ17">
        <f t="shared" si="18"/>
        <v>0</v>
      </c>
      <c r="AK17">
        <f t="shared" si="19"/>
        <v>1.1987874395911409</v>
      </c>
      <c r="AL17">
        <f t="shared" si="20"/>
        <v>0.10655888351921253</v>
      </c>
    </row>
    <row r="18" spans="1:38" x14ac:dyDescent="0.2">
      <c r="A18">
        <v>2035</v>
      </c>
      <c r="B18">
        <v>10</v>
      </c>
      <c r="C18">
        <f t="shared" si="21"/>
        <v>13.053547188871987</v>
      </c>
      <c r="D18">
        <f t="shared" si="23"/>
        <v>0.97718450493363029</v>
      </c>
      <c r="E18">
        <f t="shared" si="4"/>
        <v>0</v>
      </c>
      <c r="F18">
        <f t="shared" si="5"/>
        <v>0</v>
      </c>
      <c r="G18" s="9">
        <f t="shared" si="6"/>
        <v>7.4859690687499106E-2</v>
      </c>
      <c r="H18" s="9">
        <f t="shared" si="6"/>
        <v>0</v>
      </c>
      <c r="I18" s="9">
        <f t="shared" si="6"/>
        <v>0</v>
      </c>
      <c r="J18" s="9">
        <f t="shared" si="7"/>
        <v>9.7317597893748845E-3</v>
      </c>
      <c r="K18" s="9">
        <f t="shared" si="8"/>
        <v>0</v>
      </c>
      <c r="L18" s="9">
        <f t="shared" si="9"/>
        <v>0</v>
      </c>
      <c r="M18">
        <f t="shared" si="0"/>
        <v>12.926513203230614</v>
      </c>
      <c r="N18">
        <f t="shared" si="10"/>
        <v>0</v>
      </c>
      <c r="O18">
        <f t="shared" si="24"/>
        <v>12.926513203230614</v>
      </c>
      <c r="P18">
        <f t="shared" si="22"/>
        <v>6.3212337426378076</v>
      </c>
      <c r="Q18" s="9">
        <f t="shared" si="1"/>
        <v>0.48901305736940687</v>
      </c>
      <c r="R18">
        <f>VLOOKUP($B$1,dictionary!$A$3:$K$51,3,FALSE)*Q18</f>
        <v>0</v>
      </c>
      <c r="S18">
        <f>VLOOKUP($B$1,dictionary!$A$3:$K$51,4,FALSE)*Q18</f>
        <v>0</v>
      </c>
      <c r="T18">
        <f>VLOOKUP($B$1,dictionary!$A$3:$K$51,5,FALSE)*Q18</f>
        <v>0.14670391721082204</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0.12225326434235172</v>
      </c>
      <c r="Z18">
        <f>VLOOKUP($B$1,dictionary!$A$3:$K$51,11,FALSE)*Q18</f>
        <v>2.4450652868470344E-2</v>
      </c>
      <c r="AA18">
        <f t="shared" si="2"/>
        <v>6.6052794605928069</v>
      </c>
      <c r="AB18">
        <f t="shared" si="11"/>
        <v>6.6052794605928069</v>
      </c>
      <c r="AC18">
        <f t="shared" si="12"/>
        <v>0</v>
      </c>
      <c r="AD18">
        <f t="shared" si="3"/>
        <v>0</v>
      </c>
      <c r="AE18">
        <f t="shared" si="13"/>
        <v>0</v>
      </c>
      <c r="AF18">
        <f t="shared" si="14"/>
        <v>2.1070779142126024</v>
      </c>
      <c r="AG18">
        <f t="shared" si="15"/>
        <v>2.5284934970551234</v>
      </c>
      <c r="AH18">
        <f t="shared" si="16"/>
        <v>0</v>
      </c>
      <c r="AI18">
        <f t="shared" si="17"/>
        <v>0.33269651277041096</v>
      </c>
      <c r="AJ18">
        <f t="shared" si="18"/>
        <v>0</v>
      </c>
      <c r="AK18">
        <f t="shared" si="19"/>
        <v>1.5803084356594519</v>
      </c>
      <c r="AL18">
        <f t="shared" si="20"/>
        <v>0.14047186094750685</v>
      </c>
    </row>
    <row r="19" spans="1:38" x14ac:dyDescent="0.2">
      <c r="A19">
        <v>2036</v>
      </c>
      <c r="B19">
        <v>11</v>
      </c>
      <c r="C19">
        <f t="shared" si="21"/>
        <v>13.327671679838296</v>
      </c>
      <c r="D19">
        <f t="shared" si="23"/>
        <v>1.0969838326784913</v>
      </c>
      <c r="E19">
        <f t="shared" si="4"/>
        <v>0</v>
      </c>
      <c r="F19">
        <f t="shared" si="5"/>
        <v>0</v>
      </c>
      <c r="G19" s="9">
        <f t="shared" si="6"/>
        <v>8.230873771732955E-2</v>
      </c>
      <c r="H19" s="9">
        <f t="shared" si="6"/>
        <v>0</v>
      </c>
      <c r="I19" s="9">
        <f t="shared" si="6"/>
        <v>0</v>
      </c>
      <c r="J19" s="9">
        <f t="shared" si="7"/>
        <v>1.0700135903252842E-2</v>
      </c>
      <c r="K19" s="9">
        <f t="shared" si="8"/>
        <v>0</v>
      </c>
      <c r="L19" s="9">
        <f t="shared" si="9"/>
        <v>0</v>
      </c>
      <c r="M19">
        <f t="shared" si="0"/>
        <v>13.185063781590094</v>
      </c>
      <c r="N19">
        <f t="shared" si="10"/>
        <v>0</v>
      </c>
      <c r="O19">
        <f t="shared" si="24"/>
        <v>13.185063781590094</v>
      </c>
      <c r="P19">
        <f t="shared" si="22"/>
        <v>7.9064537078127639</v>
      </c>
      <c r="Q19" s="9">
        <f t="shared" si="1"/>
        <v>0.59965229131862874</v>
      </c>
      <c r="R19">
        <f>VLOOKUP($B$1,dictionary!$A$3:$K$51,3,FALSE)*Q19</f>
        <v>0</v>
      </c>
      <c r="S19">
        <f>VLOOKUP($B$1,dictionary!$A$3:$K$51,4,FALSE)*Q19</f>
        <v>0</v>
      </c>
      <c r="T19">
        <f>VLOOKUP($B$1,dictionary!$A$3:$K$51,5,FALSE)*Q19</f>
        <v>0.17989568739558862</v>
      </c>
      <c r="U19">
        <f>VLOOKUP($B$1,dictionary!$A$3:$K$51,6,FALSE)*Q19</f>
        <v>0.20987830196152005</v>
      </c>
      <c r="V19">
        <f>VLOOKUP($B$1,dictionary!$A$3:$K$51,7,FALSE)*Q19</f>
        <v>0</v>
      </c>
      <c r="W19">
        <f>VLOOKUP($B$1,dictionary!$A$3:$K$51,8,FALSE)*Q19</f>
        <v>2.9982614565931438E-2</v>
      </c>
      <c r="X19">
        <f>VLOOKUP($B$1,dictionary!$A$3:$K$51,9,FALSE)*Q19</f>
        <v>0</v>
      </c>
      <c r="Y19">
        <f>VLOOKUP($B$1,dictionary!$A$3:$K$51,10,FALSE)*Q19</f>
        <v>0.14991307282965718</v>
      </c>
      <c r="Z19">
        <f>VLOOKUP($B$1,dictionary!$A$3:$K$51,11,FALSE)*Q19</f>
        <v>2.9982614565931438E-2</v>
      </c>
      <c r="AA19">
        <f t="shared" si="2"/>
        <v>5.2786100737773296</v>
      </c>
      <c r="AB19">
        <f t="shared" si="11"/>
        <v>5.2786100737773296</v>
      </c>
      <c r="AC19">
        <f t="shared" si="12"/>
        <v>0</v>
      </c>
      <c r="AD19">
        <f t="shared" si="3"/>
        <v>0</v>
      </c>
      <c r="AE19">
        <f t="shared" si="13"/>
        <v>0</v>
      </c>
      <c r="AF19">
        <f t="shared" si="14"/>
        <v>2.6354845692709215</v>
      </c>
      <c r="AG19">
        <f t="shared" si="15"/>
        <v>3.1625814831251056</v>
      </c>
      <c r="AH19">
        <f t="shared" si="16"/>
        <v>0</v>
      </c>
      <c r="AI19">
        <f t="shared" si="17"/>
        <v>0.41612914251646121</v>
      </c>
      <c r="AJ19">
        <f t="shared" si="18"/>
        <v>0</v>
      </c>
      <c r="AK19">
        <f t="shared" si="19"/>
        <v>1.9766134269531908</v>
      </c>
      <c r="AL19">
        <f t="shared" si="20"/>
        <v>0.17569897128472811</v>
      </c>
    </row>
    <row r="20" spans="1:38" x14ac:dyDescent="0.2">
      <c r="A20">
        <v>2037</v>
      </c>
      <c r="B20">
        <v>12</v>
      </c>
      <c r="C20">
        <f t="shared" si="21"/>
        <v>13.607552785114899</v>
      </c>
      <c r="D20">
        <f t="shared" si="23"/>
        <v>1.2211112368654078</v>
      </c>
      <c r="E20">
        <f t="shared" si="4"/>
        <v>0</v>
      </c>
      <c r="F20">
        <f t="shared" si="5"/>
        <v>0</v>
      </c>
      <c r="G20" s="9">
        <f t="shared" si="6"/>
        <v>8.9737754918074855E-2</v>
      </c>
      <c r="H20" s="9">
        <f t="shared" si="6"/>
        <v>0</v>
      </c>
      <c r="I20" s="9">
        <f t="shared" si="6"/>
        <v>0</v>
      </c>
      <c r="J20" s="9">
        <f t="shared" si="7"/>
        <v>1.1665908139349732E-2</v>
      </c>
      <c r="K20" s="9">
        <f t="shared" si="8"/>
        <v>0</v>
      </c>
      <c r="L20" s="9">
        <f t="shared" si="9"/>
        <v>0</v>
      </c>
      <c r="M20">
        <f t="shared" si="0"/>
        <v>13.448808324322396</v>
      </c>
      <c r="N20">
        <f t="shared" si="10"/>
        <v>0</v>
      </c>
      <c r="O20">
        <f t="shared" si="24"/>
        <v>13.448808324322396</v>
      </c>
      <c r="P20">
        <f>IF($I$3=0,0,M20/(1+EXP(-$I$3*(B20-$J$3)))-M20/(1+EXP($I$3*$J$3)))</f>
        <v>9.413662303566845</v>
      </c>
      <c r="Q20" s="9">
        <f t="shared" si="1"/>
        <v>0.6999625599944107</v>
      </c>
      <c r="R20">
        <f>VLOOKUP($B$1,dictionary!$A$3:$K$51,3,FALSE)*Q20</f>
        <v>0</v>
      </c>
      <c r="S20">
        <f>VLOOKUP($B$1,dictionary!$A$3:$K$51,4,FALSE)*Q20</f>
        <v>0</v>
      </c>
      <c r="T20">
        <f>VLOOKUP($B$1,dictionary!$A$3:$K$51,5,FALSE)*Q20</f>
        <v>0.20998876799832319</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0.17499063999860268</v>
      </c>
      <c r="Z20">
        <f>VLOOKUP($B$1,dictionary!$A$3:$K$51,11,FALSE)*Q20</f>
        <v>3.4998127999720539E-2</v>
      </c>
      <c r="AA20">
        <f t="shared" si="2"/>
        <v>4.0351460207555512</v>
      </c>
      <c r="AB20">
        <f t="shared" si="11"/>
        <v>4.0351460207555512</v>
      </c>
      <c r="AC20">
        <f t="shared" si="12"/>
        <v>0</v>
      </c>
      <c r="AD20">
        <f t="shared" si="3"/>
        <v>0</v>
      </c>
      <c r="AE20">
        <f t="shared" si="13"/>
        <v>0</v>
      </c>
      <c r="AF20">
        <f t="shared" si="14"/>
        <v>3.1378874345222818</v>
      </c>
      <c r="AG20">
        <f t="shared" si="15"/>
        <v>3.7654649214267386</v>
      </c>
      <c r="AH20">
        <f t="shared" si="16"/>
        <v>0</v>
      </c>
      <c r="AI20">
        <f t="shared" si="17"/>
        <v>0.49545591071404455</v>
      </c>
      <c r="AJ20">
        <f t="shared" si="18"/>
        <v>0</v>
      </c>
      <c r="AK20">
        <f t="shared" si="19"/>
        <v>2.3534155758917112</v>
      </c>
      <c r="AL20">
        <f t="shared" si="20"/>
        <v>0.20919249563481881</v>
      </c>
    </row>
    <row r="21" spans="1:38" x14ac:dyDescent="0.2">
      <c r="A21">
        <v>2038</v>
      </c>
      <c r="B21">
        <v>13</v>
      </c>
      <c r="C21">
        <f t="shared" si="21"/>
        <v>13.89331139360231</v>
      </c>
      <c r="D21">
        <f t="shared" si="23"/>
        <v>1.3496448204925526</v>
      </c>
      <c r="E21">
        <f t="shared" si="4"/>
        <v>0</v>
      </c>
      <c r="F21">
        <f t="shared" si="5"/>
        <v>0</v>
      </c>
      <c r="G21" s="9">
        <f t="shared" si="6"/>
        <v>9.7143494610942543E-2</v>
      </c>
      <c r="H21" s="9">
        <f t="shared" si="6"/>
        <v>0</v>
      </c>
      <c r="I21" s="9">
        <f t="shared" si="6"/>
        <v>0</v>
      </c>
      <c r="J21" s="9">
        <f t="shared" si="7"/>
        <v>1.2628654299422531E-2</v>
      </c>
      <c r="K21" s="9">
        <f t="shared" si="8"/>
        <v>0</v>
      </c>
      <c r="L21" s="9">
        <f t="shared" si="9"/>
        <v>0</v>
      </c>
      <c r="M21">
        <f t="shared" si="0"/>
        <v>13.71785756693828</v>
      </c>
      <c r="N21">
        <f t="shared" si="10"/>
        <v>0</v>
      </c>
      <c r="O21">
        <f t="shared" si="24"/>
        <v>13.71785756693828</v>
      </c>
      <c r="P21">
        <f t="shared" si="22"/>
        <v>10.743039815217658</v>
      </c>
      <c r="Q21" s="9">
        <f t="shared" si="1"/>
        <v>0.78314268556845956</v>
      </c>
      <c r="R21">
        <f>VLOOKUP($B$1,dictionary!$A$3:$K$51,3,FALSE)*Q21</f>
        <v>0</v>
      </c>
      <c r="S21">
        <f>VLOOKUP($B$1,dictionary!$A$3:$K$51,4,FALSE)*Q21</f>
        <v>0</v>
      </c>
      <c r="T21">
        <f>VLOOKUP($B$1,dictionary!$A$3:$K$51,5,FALSE)*Q21</f>
        <v>0.23494280567053785</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0.19578567139211489</v>
      </c>
      <c r="Z21">
        <f>VLOOKUP($B$1,dictionary!$A$3:$K$51,11,FALSE)*Q21</f>
        <v>3.9157134278422982E-2</v>
      </c>
      <c r="AA21">
        <f t="shared" si="2"/>
        <v>2.9748177517206216</v>
      </c>
      <c r="AB21">
        <f t="shared" si="11"/>
        <v>2.9748177517206216</v>
      </c>
      <c r="AC21">
        <f t="shared" si="12"/>
        <v>0</v>
      </c>
      <c r="AD21">
        <f t="shared" si="3"/>
        <v>0</v>
      </c>
      <c r="AE21">
        <f t="shared" si="13"/>
        <v>0</v>
      </c>
      <c r="AF21">
        <f t="shared" si="14"/>
        <v>3.5810132717392196</v>
      </c>
      <c r="AG21">
        <f t="shared" si="15"/>
        <v>4.2972159260870635</v>
      </c>
      <c r="AH21">
        <f t="shared" si="16"/>
        <v>0</v>
      </c>
      <c r="AI21">
        <f t="shared" si="17"/>
        <v>0.56542314816935058</v>
      </c>
      <c r="AJ21">
        <f t="shared" si="18"/>
        <v>0</v>
      </c>
      <c r="AK21">
        <f t="shared" si="19"/>
        <v>2.6857599538044146</v>
      </c>
      <c r="AL21">
        <f t="shared" si="20"/>
        <v>0.23873421811594803</v>
      </c>
    </row>
    <row r="22" spans="1:38" x14ac:dyDescent="0.2">
      <c r="A22">
        <v>2039</v>
      </c>
      <c r="B22">
        <v>14</v>
      </c>
      <c r="C22">
        <f t="shared" si="21"/>
        <v>14.185070932867959</v>
      </c>
      <c r="D22">
        <f t="shared" si="23"/>
        <v>1.4826626272345038</v>
      </c>
      <c r="E22">
        <f t="shared" si="4"/>
        <v>0</v>
      </c>
      <c r="F22">
        <f t="shared" si="5"/>
        <v>0</v>
      </c>
      <c r="G22" s="9">
        <f t="shared" si="6"/>
        <v>0.10452275030920391</v>
      </c>
      <c r="H22" s="9">
        <f t="shared" si="6"/>
        <v>0</v>
      </c>
      <c r="I22" s="9">
        <f t="shared" si="6"/>
        <v>0</v>
      </c>
      <c r="J22" s="9">
        <f t="shared" si="7"/>
        <v>1.3587957540196509E-2</v>
      </c>
      <c r="K22" s="9">
        <f t="shared" si="8"/>
        <v>0</v>
      </c>
      <c r="L22" s="9">
        <f t="shared" si="9"/>
        <v>0</v>
      </c>
      <c r="M22">
        <f t="shared" si="0"/>
        <v>13.992324791327473</v>
      </c>
      <c r="N22">
        <f t="shared" si="10"/>
        <v>0</v>
      </c>
      <c r="O22">
        <f t="shared" si="24"/>
        <v>13.992324791327473</v>
      </c>
      <c r="P22">
        <f t="shared" si="22"/>
        <v>11.853765749493235</v>
      </c>
      <c r="Q22" s="9">
        <f t="shared" si="1"/>
        <v>0.8471619924689191</v>
      </c>
      <c r="R22">
        <f>VLOOKUP($B$1,dictionary!$A$3:$K$51,3,FALSE)*Q22</f>
        <v>0</v>
      </c>
      <c r="S22">
        <f>VLOOKUP($B$1,dictionary!$A$3:$K$51,4,FALSE)*Q22</f>
        <v>0</v>
      </c>
      <c r="T22">
        <f>VLOOKUP($B$1,dictionary!$A$3:$K$51,5,FALSE)*Q22</f>
        <v>0.25414859774067572</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0.21179049811722978</v>
      </c>
      <c r="Z22">
        <f>VLOOKUP($B$1,dictionary!$A$3:$K$51,11,FALSE)*Q22</f>
        <v>4.2358099623445958E-2</v>
      </c>
      <c r="AA22">
        <f t="shared" si="2"/>
        <v>2.1385590418342382</v>
      </c>
      <c r="AB22">
        <f t="shared" si="11"/>
        <v>2.1385590418342382</v>
      </c>
      <c r="AC22">
        <f t="shared" si="12"/>
        <v>0</v>
      </c>
      <c r="AD22">
        <f t="shared" si="3"/>
        <v>0</v>
      </c>
      <c r="AE22">
        <f t="shared" si="13"/>
        <v>0</v>
      </c>
      <c r="AF22">
        <f t="shared" si="14"/>
        <v>3.9512552498310782</v>
      </c>
      <c r="AG22">
        <f t="shared" si="15"/>
        <v>4.7415062997972948</v>
      </c>
      <c r="AH22">
        <f t="shared" si="16"/>
        <v>0</v>
      </c>
      <c r="AI22">
        <f t="shared" si="17"/>
        <v>0.62388240786806493</v>
      </c>
      <c r="AJ22">
        <f t="shared" si="18"/>
        <v>0</v>
      </c>
      <c r="AK22">
        <f t="shared" si="19"/>
        <v>2.9634414373733087</v>
      </c>
      <c r="AL22">
        <f t="shared" si="20"/>
        <v>0.26341701665540523</v>
      </c>
    </row>
    <row r="23" spans="1:38" x14ac:dyDescent="0.2">
      <c r="A23">
        <v>2040</v>
      </c>
      <c r="B23">
        <v>15</v>
      </c>
      <c r="C23">
        <f t="shared" si="21"/>
        <v>14.482957422458185</v>
      </c>
      <c r="D23">
        <f t="shared" si="23"/>
        <v>1.620242657846604</v>
      </c>
      <c r="E23">
        <f t="shared" si="4"/>
        <v>0</v>
      </c>
      <c r="F23">
        <f t="shared" si="5"/>
        <v>0</v>
      </c>
      <c r="G23" s="9">
        <f t="shared" si="6"/>
        <v>0.11187236215540852</v>
      </c>
      <c r="H23" s="9">
        <f t="shared" si="6"/>
        <v>0</v>
      </c>
      <c r="I23" s="9">
        <f t="shared" si="6"/>
        <v>0</v>
      </c>
      <c r="J23" s="9">
        <f t="shared" si="7"/>
        <v>1.4543407080203108E-2</v>
      </c>
      <c r="K23" s="9">
        <f t="shared" si="8"/>
        <v>0</v>
      </c>
      <c r="L23" s="9">
        <f t="shared" si="9"/>
        <v>0</v>
      </c>
      <c r="M23">
        <f t="shared" si="0"/>
        <v>14.272325876938126</v>
      </c>
      <c r="N23">
        <f t="shared" si="10"/>
        <v>0</v>
      </c>
      <c r="O23">
        <f t="shared" si="24"/>
        <v>14.272325876938126</v>
      </c>
      <c r="P23">
        <f t="shared" si="22"/>
        <v>12.754658016091314</v>
      </c>
      <c r="Q23" s="9">
        <f t="shared" si="1"/>
        <v>0.89366359247029747</v>
      </c>
      <c r="R23">
        <f>VLOOKUP($B$1,dictionary!$A$3:$K$51,3,FALSE)*Q23</f>
        <v>0</v>
      </c>
      <c r="S23">
        <f>VLOOKUP($B$1,dictionary!$A$3:$K$51,4,FALSE)*Q23</f>
        <v>0</v>
      </c>
      <c r="T23">
        <f>VLOOKUP($B$1,dictionary!$A$3:$K$51,5,FALSE)*Q23</f>
        <v>0.26809907774108921</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0.22341589811757437</v>
      </c>
      <c r="Z23">
        <f>VLOOKUP($B$1,dictionary!$A$3:$K$51,11,FALSE)*Q23</f>
        <v>4.4683179623514875E-2</v>
      </c>
      <c r="AA23">
        <f t="shared" si="2"/>
        <v>1.5176678608468119</v>
      </c>
      <c r="AB23">
        <f t="shared" si="11"/>
        <v>1.5176678608468119</v>
      </c>
      <c r="AC23">
        <f t="shared" si="12"/>
        <v>0</v>
      </c>
      <c r="AD23">
        <f t="shared" si="3"/>
        <v>0</v>
      </c>
      <c r="AE23">
        <f t="shared" si="13"/>
        <v>0</v>
      </c>
      <c r="AF23">
        <f t="shared" si="14"/>
        <v>4.2515526720304377</v>
      </c>
      <c r="AG23">
        <f t="shared" si="15"/>
        <v>5.1018632064365264</v>
      </c>
      <c r="AH23">
        <f t="shared" si="16"/>
        <v>0</v>
      </c>
      <c r="AI23">
        <f t="shared" si="17"/>
        <v>0.67129779032059556</v>
      </c>
      <c r="AJ23">
        <f t="shared" si="18"/>
        <v>0</v>
      </c>
      <c r="AK23">
        <f t="shared" si="19"/>
        <v>3.1886645040228285</v>
      </c>
      <c r="AL23">
        <f t="shared" si="20"/>
        <v>0.28343684480202924</v>
      </c>
    </row>
    <row r="24" spans="1:38" x14ac:dyDescent="0.2">
      <c r="A24">
        <v>2041</v>
      </c>
      <c r="B24">
        <v>16</v>
      </c>
      <c r="C24">
        <f t="shared" si="21"/>
        <v>14.787099528329806</v>
      </c>
      <c r="D24">
        <f t="shared" si="23"/>
        <v>1.762462891162472</v>
      </c>
      <c r="E24">
        <f t="shared" si="4"/>
        <v>0</v>
      </c>
      <c r="F24">
        <f t="shared" si="5"/>
        <v>0</v>
      </c>
      <c r="G24" s="9">
        <f t="shared" si="6"/>
        <v>0.11918922218558578</v>
      </c>
      <c r="H24" s="9">
        <f t="shared" si="6"/>
        <v>0</v>
      </c>
      <c r="I24" s="9">
        <f t="shared" si="6"/>
        <v>0</v>
      </c>
      <c r="J24" s="9">
        <f t="shared" si="7"/>
        <v>1.5494598884126153E-2</v>
      </c>
      <c r="K24" s="9">
        <f t="shared" si="8"/>
        <v>0</v>
      </c>
      <c r="L24" s="9">
        <f t="shared" si="9"/>
        <v>0</v>
      </c>
      <c r="M24">
        <f t="shared" si="0"/>
        <v>14.557979352478684</v>
      </c>
      <c r="N24">
        <f t="shared" si="10"/>
        <v>0</v>
      </c>
      <c r="O24">
        <f t="shared" si="24"/>
        <v>14.557979352478684</v>
      </c>
      <c r="P24">
        <f t="shared" si="22"/>
        <v>13.481266851281598</v>
      </c>
      <c r="Q24" s="9">
        <f t="shared" si="1"/>
        <v>0.92603970131241042</v>
      </c>
      <c r="R24">
        <f>VLOOKUP($B$1,dictionary!$A$3:$K$51,3,FALSE)*Q24</f>
        <v>0</v>
      </c>
      <c r="S24">
        <f>VLOOKUP($B$1,dictionary!$A$3:$K$51,4,FALSE)*Q24</f>
        <v>0</v>
      </c>
      <c r="T24">
        <f>VLOOKUP($B$1,dictionary!$A$3:$K$51,5,FALSE)*Q24</f>
        <v>0.2778119103937231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0.23150992532810261</v>
      </c>
      <c r="Z24">
        <f>VLOOKUP($B$1,dictionary!$A$3:$K$51,11,FALSE)*Q24</f>
        <v>4.6301985065620527E-2</v>
      </c>
      <c r="AA24">
        <f t="shared" si="2"/>
        <v>1.0767125011970862</v>
      </c>
      <c r="AB24">
        <f t="shared" si="11"/>
        <v>1.0767125011970862</v>
      </c>
      <c r="AC24">
        <f t="shared" si="12"/>
        <v>0</v>
      </c>
      <c r="AD24">
        <f t="shared" si="3"/>
        <v>0</v>
      </c>
      <c r="AE24">
        <f t="shared" si="13"/>
        <v>0</v>
      </c>
      <c r="AF24">
        <f t="shared" si="14"/>
        <v>4.493755617093866</v>
      </c>
      <c r="AG24">
        <f t="shared" si="15"/>
        <v>5.3925067405126397</v>
      </c>
      <c r="AH24">
        <f t="shared" si="16"/>
        <v>0</v>
      </c>
      <c r="AI24">
        <f t="shared" si="17"/>
        <v>0.70954036059376835</v>
      </c>
      <c r="AJ24">
        <f t="shared" si="18"/>
        <v>0</v>
      </c>
      <c r="AK24">
        <f t="shared" si="19"/>
        <v>3.3703167128203995</v>
      </c>
      <c r="AL24">
        <f t="shared" si="20"/>
        <v>0.29958370780625776</v>
      </c>
    </row>
    <row r="25" spans="1:38" x14ac:dyDescent="0.2">
      <c r="A25">
        <v>2042</v>
      </c>
      <c r="B25">
        <v>17</v>
      </c>
      <c r="C25">
        <f t="shared" si="21"/>
        <v>15.09762861842473</v>
      </c>
      <c r="D25">
        <f t="shared" si="23"/>
        <v>1.9094013096860669</v>
      </c>
      <c r="E25">
        <f t="shared" si="4"/>
        <v>0</v>
      </c>
      <c r="F25">
        <f t="shared" si="5"/>
        <v>0</v>
      </c>
      <c r="G25" s="9">
        <f t="shared" si="6"/>
        <v>0.12647027940241465</v>
      </c>
      <c r="H25" s="9">
        <f t="shared" si="6"/>
        <v>0</v>
      </c>
      <c r="I25" s="9">
        <f t="shared" si="6"/>
        <v>0</v>
      </c>
      <c r="J25" s="9">
        <f t="shared" si="7"/>
        <v>1.6441136322313903E-2</v>
      </c>
      <c r="K25" s="9">
        <f t="shared" si="8"/>
        <v>0</v>
      </c>
      <c r="L25" s="9">
        <f t="shared" si="9"/>
        <v>0</v>
      </c>
      <c r="M25">
        <f t="shared" si="0"/>
        <v>14.849406448165542</v>
      </c>
      <c r="N25">
        <f t="shared" si="10"/>
        <v>0</v>
      </c>
      <c r="O25">
        <f t="shared" si="24"/>
        <v>14.849406448165542</v>
      </c>
      <c r="P25">
        <f>IF($I$3=0,0,M25/(1+EXP(-$I$3*(B25-$J$3)))-M25/(1+EXP($I$3*$J$3)))</f>
        <v>14.076075779947837</v>
      </c>
      <c r="Q25" s="9">
        <f t="shared" si="1"/>
        <v>0.94792177916894182</v>
      </c>
      <c r="R25">
        <f>VLOOKUP($B$1,dictionary!$A$3:$K$51,3,FALSE)*Q25</f>
        <v>0</v>
      </c>
      <c r="S25">
        <f>VLOOKUP($B$1,dictionary!$A$3:$K$51,4,FALSE)*Q25</f>
        <v>0</v>
      </c>
      <c r="T25">
        <f>VLOOKUP($B$1,dictionary!$A$3:$K$51,5,FALSE)*Q25</f>
        <v>0.28437653375068256</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0.23698044479223546</v>
      </c>
      <c r="Z25">
        <f>VLOOKUP($B$1,dictionary!$A$3:$K$51,11,FALSE)*Q25</f>
        <v>4.7396088958447095E-2</v>
      </c>
      <c r="AA25">
        <f t="shared" si="2"/>
        <v>0.7733306682177048</v>
      </c>
      <c r="AB25">
        <f t="shared" si="11"/>
        <v>0.7733306682177048</v>
      </c>
      <c r="AC25">
        <f t="shared" si="12"/>
        <v>0</v>
      </c>
      <c r="AD25">
        <f t="shared" si="3"/>
        <v>0</v>
      </c>
      <c r="AE25">
        <f t="shared" si="13"/>
        <v>0</v>
      </c>
      <c r="AF25">
        <f t="shared" si="14"/>
        <v>4.6920252599826124</v>
      </c>
      <c r="AG25">
        <f t="shared" si="15"/>
        <v>5.6304303119791355</v>
      </c>
      <c r="AH25">
        <f t="shared" si="16"/>
        <v>0</v>
      </c>
      <c r="AI25">
        <f t="shared" si="17"/>
        <v>0.74084609368146515</v>
      </c>
      <c r="AJ25">
        <f t="shared" si="18"/>
        <v>0</v>
      </c>
      <c r="AK25">
        <f t="shared" si="19"/>
        <v>3.5190189449869593</v>
      </c>
      <c r="AL25">
        <f t="shared" si="20"/>
        <v>0.3128016839988409</v>
      </c>
    </row>
    <row r="26" spans="1:38" x14ac:dyDescent="0.2">
      <c r="A26">
        <v>2043</v>
      </c>
      <c r="B26">
        <v>18</v>
      </c>
      <c r="C26">
        <f t="shared" si="21"/>
        <v>15.414678819411648</v>
      </c>
      <c r="D26">
        <f t="shared" si="23"/>
        <v>2.0611359297601259</v>
      </c>
      <c r="E26">
        <f t="shared" si="4"/>
        <v>0</v>
      </c>
      <c r="F26">
        <f t="shared" si="5"/>
        <v>0</v>
      </c>
      <c r="G26" s="9">
        <f t="shared" si="6"/>
        <v>0.13371254464053736</v>
      </c>
      <c r="H26" s="9">
        <f t="shared" si="6"/>
        <v>0</v>
      </c>
      <c r="I26" s="9">
        <f t="shared" si="6"/>
        <v>0</v>
      </c>
      <c r="J26" s="9">
        <f t="shared" si="7"/>
        <v>1.7382630803269856E-2</v>
      </c>
      <c r="K26" s="9">
        <f t="shared" si="8"/>
        <v>0</v>
      </c>
      <c r="L26" s="9">
        <f t="shared" si="9"/>
        <v>0</v>
      </c>
      <c r="M26">
        <f t="shared" si="0"/>
        <v>15.146731148542832</v>
      </c>
      <c r="N26">
        <f t="shared" si="10"/>
        <v>0</v>
      </c>
      <c r="O26">
        <f t="shared" si="24"/>
        <v>15.146731148542832</v>
      </c>
      <c r="P26">
        <f t="shared" si="22"/>
        <v>14.577457371304465</v>
      </c>
      <c r="Q26" s="9">
        <f t="shared" si="1"/>
        <v>0.96241606379254097</v>
      </c>
      <c r="R26">
        <f>VLOOKUP($B$1,dictionary!$A$3:$K$51,3,FALSE)*Q26</f>
        <v>0</v>
      </c>
      <c r="S26">
        <f>VLOOKUP($B$1,dictionary!$A$3:$K$51,4,FALSE)*Q26</f>
        <v>0</v>
      </c>
      <c r="T26">
        <f>VLOOKUP($B$1,dictionary!$A$3:$K$51,5,FALSE)*Q26</f>
        <v>0.28872481913776227</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0.24060401594813524</v>
      </c>
      <c r="Z26">
        <f>VLOOKUP($B$1,dictionary!$A$3:$K$51,11,FALSE)*Q26</f>
        <v>4.8120803189627054E-2</v>
      </c>
      <c r="AA26">
        <f t="shared" si="2"/>
        <v>0.56927377723836692</v>
      </c>
      <c r="AB26">
        <f t="shared" si="11"/>
        <v>0.56927377723836692</v>
      </c>
      <c r="AC26">
        <f t="shared" si="12"/>
        <v>0</v>
      </c>
      <c r="AD26">
        <f t="shared" si="3"/>
        <v>0</v>
      </c>
      <c r="AE26">
        <f t="shared" si="13"/>
        <v>0</v>
      </c>
      <c r="AF26">
        <f t="shared" si="14"/>
        <v>4.859152457101489</v>
      </c>
      <c r="AG26">
        <f t="shared" si="15"/>
        <v>5.8309829485217861</v>
      </c>
      <c r="AH26">
        <f t="shared" si="16"/>
        <v>0</v>
      </c>
      <c r="AI26">
        <f t="shared" si="17"/>
        <v>0.76723459848970876</v>
      </c>
      <c r="AJ26">
        <f t="shared" si="18"/>
        <v>0</v>
      </c>
      <c r="AK26">
        <f t="shared" si="19"/>
        <v>3.6443643428261163</v>
      </c>
      <c r="AL26">
        <f t="shared" si="20"/>
        <v>0.32394349714009929</v>
      </c>
    </row>
    <row r="27" spans="1:38" x14ac:dyDescent="0.2">
      <c r="A27">
        <v>2044</v>
      </c>
      <c r="B27">
        <v>19</v>
      </c>
      <c r="C27">
        <f t="shared" si="21"/>
        <v>15.738387074619292</v>
      </c>
      <c r="D27">
        <f t="shared" si="23"/>
        <v>2.217744836273674</v>
      </c>
      <c r="E27">
        <f t="shared" si="4"/>
        <v>0</v>
      </c>
      <c r="F27">
        <f t="shared" si="5"/>
        <v>0</v>
      </c>
      <c r="G27" s="9">
        <f t="shared" si="6"/>
        <v>0.14091309520847586</v>
      </c>
      <c r="H27" s="9">
        <f t="shared" si="6"/>
        <v>0</v>
      </c>
      <c r="I27" s="9">
        <f t="shared" si="6"/>
        <v>0</v>
      </c>
      <c r="J27" s="9">
        <f t="shared" si="7"/>
        <v>1.8318702377101863E-2</v>
      </c>
      <c r="K27" s="9">
        <f t="shared" si="8"/>
        <v>0</v>
      </c>
      <c r="L27" s="9">
        <f t="shared" si="9"/>
        <v>0</v>
      </c>
      <c r="M27">
        <f t="shared" si="0"/>
        <v>15.450080245903713</v>
      </c>
      <c r="N27">
        <f t="shared" si="10"/>
        <v>0</v>
      </c>
      <c r="O27">
        <f t="shared" si="24"/>
        <v>15.450080245903713</v>
      </c>
      <c r="P27">
        <f t="shared" si="22"/>
        <v>15.015763411742386</v>
      </c>
      <c r="Q27" s="9">
        <f t="shared" si="1"/>
        <v>0.97188902405367905</v>
      </c>
      <c r="R27">
        <f>VLOOKUP($B$1,dictionary!$A$3:$K$51,3,FALSE)*Q27</f>
        <v>0</v>
      </c>
      <c r="S27">
        <f>VLOOKUP($B$1,dictionary!$A$3:$K$51,4,FALSE)*Q27</f>
        <v>0</v>
      </c>
      <c r="T27">
        <f>VLOOKUP($B$1,dictionary!$A$3:$K$51,5,FALSE)*Q27</f>
        <v>0.29156670721610373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0.24297225601341976</v>
      </c>
      <c r="Z27">
        <f>VLOOKUP($B$1,dictionary!$A$3:$K$51,11,FALSE)*Q27</f>
        <v>4.8594451202683957E-2</v>
      </c>
      <c r="AA27">
        <f t="shared" si="2"/>
        <v>0.43431683416132749</v>
      </c>
      <c r="AB27">
        <f t="shared" si="11"/>
        <v>0.43431683416132749</v>
      </c>
      <c r="AC27">
        <f t="shared" si="12"/>
        <v>0</v>
      </c>
      <c r="AD27">
        <f t="shared" si="3"/>
        <v>0</v>
      </c>
      <c r="AE27">
        <f t="shared" si="13"/>
        <v>0</v>
      </c>
      <c r="AF27">
        <f t="shared" si="14"/>
        <v>5.0052544705807955</v>
      </c>
      <c r="AG27">
        <f t="shared" si="15"/>
        <v>6.0063053646969546</v>
      </c>
      <c r="AH27">
        <f t="shared" si="16"/>
        <v>0</v>
      </c>
      <c r="AI27">
        <f t="shared" si="17"/>
        <v>0.7903033374601256</v>
      </c>
      <c r="AJ27">
        <f t="shared" si="18"/>
        <v>0</v>
      </c>
      <c r="AK27">
        <f t="shared" si="19"/>
        <v>3.7539408529355964</v>
      </c>
      <c r="AL27">
        <f t="shared" si="20"/>
        <v>0.33368363137205304</v>
      </c>
    </row>
    <row r="28" spans="1:38" x14ac:dyDescent="0.2">
      <c r="A28">
        <v>2045</v>
      </c>
      <c r="B28">
        <v>20</v>
      </c>
      <c r="C28">
        <f t="shared" si="21"/>
        <v>16.068893203186295</v>
      </c>
      <c r="D28">
        <f t="shared" si="23"/>
        <v>2.3793062218528833</v>
      </c>
      <c r="E28">
        <f t="shared" si="4"/>
        <v>0</v>
      </c>
      <c r="F28">
        <f t="shared" si="5"/>
        <v>0</v>
      </c>
      <c r="G28" s="9">
        <f t="shared" si="6"/>
        <v>0.14806907929297156</v>
      </c>
      <c r="H28" s="9">
        <f t="shared" si="6"/>
        <v>0</v>
      </c>
      <c r="I28" s="9">
        <f t="shared" si="6"/>
        <v>0</v>
      </c>
      <c r="J28" s="9">
        <f t="shared" si="7"/>
        <v>1.9248980308086302E-2</v>
      </c>
      <c r="K28" s="9">
        <f t="shared" si="8"/>
        <v>0</v>
      </c>
      <c r="L28" s="9">
        <f t="shared" si="9"/>
        <v>0</v>
      </c>
      <c r="M28">
        <f t="shared" si="0"/>
        <v>15.759583394345421</v>
      </c>
      <c r="N28">
        <f t="shared" si="10"/>
        <v>0</v>
      </c>
      <c r="O28">
        <f t="shared" si="24"/>
        <v>15.759583394345421</v>
      </c>
      <c r="P28">
        <f t="shared" si="22"/>
        <v>15.413284117073978</v>
      </c>
      <c r="Q28" s="9">
        <f t="shared" si="1"/>
        <v>0.97802611473881373</v>
      </c>
      <c r="R28">
        <f>VLOOKUP($B$1,dictionary!$A$3:$K$51,3,FALSE)*Q28</f>
        <v>0</v>
      </c>
      <c r="S28">
        <f>VLOOKUP($B$1,dictionary!$A$3:$K$51,4,FALSE)*Q28</f>
        <v>0</v>
      </c>
      <c r="T28">
        <f>VLOOKUP($B$1,dictionary!$A$3:$K$51,5,FALSE)*Q28</f>
        <v>0.29340783442164409</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0.24450652868470343</v>
      </c>
      <c r="Z28">
        <f>VLOOKUP($B$1,dictionary!$A$3:$K$51,11,FALSE)*Q28</f>
        <v>4.8901305736940688E-2</v>
      </c>
      <c r="AA28">
        <f t="shared" si="2"/>
        <v>0.34629927727144327</v>
      </c>
      <c r="AB28">
        <f t="shared" si="11"/>
        <v>0.34629927727144327</v>
      </c>
      <c r="AC28">
        <f t="shared" si="12"/>
        <v>0</v>
      </c>
      <c r="AD28">
        <f t="shared" si="3"/>
        <v>0</v>
      </c>
      <c r="AE28">
        <f t="shared" si="13"/>
        <v>0</v>
      </c>
      <c r="AF28">
        <f t="shared" si="14"/>
        <v>5.1377613723579927</v>
      </c>
      <c r="AG28">
        <f t="shared" si="15"/>
        <v>6.165313646829591</v>
      </c>
      <c r="AH28">
        <f t="shared" si="16"/>
        <v>0</v>
      </c>
      <c r="AI28">
        <f t="shared" si="17"/>
        <v>0.81122547984599891</v>
      </c>
      <c r="AJ28">
        <f t="shared" si="18"/>
        <v>0</v>
      </c>
      <c r="AK28">
        <f t="shared" si="19"/>
        <v>3.8533210292684945</v>
      </c>
      <c r="AL28">
        <f t="shared" si="20"/>
        <v>0.34251742482386627</v>
      </c>
    </row>
    <row r="29" spans="1:38" x14ac:dyDescent="0.2">
      <c r="A29">
        <v>2046</v>
      </c>
      <c r="B29">
        <v>21</v>
      </c>
      <c r="C29">
        <f t="shared" si="21"/>
        <v>16.406339960453206</v>
      </c>
      <c r="D29">
        <f t="shared" si="23"/>
        <v>2.5458984304619099</v>
      </c>
      <c r="E29">
        <f t="shared" si="4"/>
        <v>0</v>
      </c>
      <c r="F29">
        <f t="shared" si="5"/>
        <v>0</v>
      </c>
      <c r="G29" s="9">
        <f t="shared" si="6"/>
        <v>0.15517772011299846</v>
      </c>
      <c r="H29" s="9">
        <f t="shared" si="6"/>
        <v>0</v>
      </c>
      <c r="I29" s="9">
        <f t="shared" si="6"/>
        <v>0</v>
      </c>
      <c r="J29" s="9">
        <f t="shared" si="7"/>
        <v>2.01731036146898E-2</v>
      </c>
      <c r="K29" s="9">
        <f t="shared" si="8"/>
        <v>0</v>
      </c>
      <c r="L29" s="9">
        <f t="shared" si="9"/>
        <v>0</v>
      </c>
      <c r="M29">
        <f t="shared" si="0"/>
        <v>16.075373164493158</v>
      </c>
      <c r="N29">
        <f t="shared" si="10"/>
        <v>0</v>
      </c>
      <c r="O29">
        <f t="shared" si="24"/>
        <v>16.075373164493158</v>
      </c>
      <c r="P29">
        <f t="shared" si="22"/>
        <v>15.785686423567961</v>
      </c>
      <c r="Q29" s="9">
        <f t="shared" si="1"/>
        <v>0.98197947021441168</v>
      </c>
      <c r="R29">
        <f>VLOOKUP($B$1,dictionary!$A$3:$K$51,3,FALSE)*Q29</f>
        <v>0</v>
      </c>
      <c r="S29">
        <f>VLOOKUP($B$1,dictionary!$A$3:$K$51,4,FALSE)*Q29</f>
        <v>0</v>
      </c>
      <c r="T29">
        <f>VLOOKUP($B$1,dictionary!$A$3:$K$51,5,FALSE)*Q29</f>
        <v>0.29459384106432351</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0.24549486755360292</v>
      </c>
      <c r="Z29">
        <f>VLOOKUP($B$1,dictionary!$A$3:$K$51,11,FALSE)*Q29</f>
        <v>4.9098973510720588E-2</v>
      </c>
      <c r="AA29">
        <f t="shared" si="2"/>
        <v>0.28968674092519642</v>
      </c>
      <c r="AB29">
        <f t="shared" si="11"/>
        <v>0.28968674092519642</v>
      </c>
      <c r="AC29">
        <f t="shared" si="12"/>
        <v>0</v>
      </c>
      <c r="AD29">
        <f t="shared" si="3"/>
        <v>0</v>
      </c>
      <c r="AE29">
        <f t="shared" si="13"/>
        <v>0</v>
      </c>
      <c r="AF29">
        <f t="shared" si="14"/>
        <v>5.261895474522654</v>
      </c>
      <c r="AG29">
        <f t="shared" si="15"/>
        <v>6.3142745694271856</v>
      </c>
      <c r="AH29">
        <f t="shared" si="16"/>
        <v>0</v>
      </c>
      <c r="AI29">
        <f t="shared" si="17"/>
        <v>0.83082560124041915</v>
      </c>
      <c r="AJ29">
        <f t="shared" si="18"/>
        <v>0</v>
      </c>
      <c r="AK29">
        <f t="shared" si="19"/>
        <v>3.9464216058919903</v>
      </c>
      <c r="AL29">
        <f t="shared" si="20"/>
        <v>0.35079303163484366</v>
      </c>
    </row>
    <row r="30" spans="1:38" x14ac:dyDescent="0.2">
      <c r="A30">
        <v>2047</v>
      </c>
      <c r="B30">
        <v>22</v>
      </c>
      <c r="C30">
        <f t="shared" si="21"/>
        <v>16.750873099622723</v>
      </c>
      <c r="D30">
        <f t="shared" si="23"/>
        <v>2.7176000053236153</v>
      </c>
      <c r="E30">
        <f t="shared" si="4"/>
        <v>0</v>
      </c>
      <c r="F30">
        <f t="shared" si="5"/>
        <v>0</v>
      </c>
      <c r="G30" s="9">
        <f t="shared" si="6"/>
        <v>0.16223631981217884</v>
      </c>
      <c r="H30" s="9">
        <f t="shared" si="6"/>
        <v>0</v>
      </c>
      <c r="I30" s="9">
        <f t="shared" si="6"/>
        <v>0</v>
      </c>
      <c r="J30" s="9">
        <f t="shared" si="7"/>
        <v>2.1090721575583251E-2</v>
      </c>
      <c r="K30" s="9">
        <f t="shared" si="8"/>
        <v>0</v>
      </c>
      <c r="L30" s="9">
        <f t="shared" si="9"/>
        <v>0</v>
      </c>
      <c r="M30">
        <f t="shared" si="0"/>
        <v>16.397585098930652</v>
      </c>
      <c r="N30">
        <f t="shared" si="10"/>
        <v>0</v>
      </c>
      <c r="O30">
        <f t="shared" si="24"/>
        <v>16.397585098930652</v>
      </c>
      <c r="P30">
        <f t="shared" si="22"/>
        <v>16.143697750383858</v>
      </c>
      <c r="Q30" s="9">
        <f t="shared" si="1"/>
        <v>0.98451678420846556</v>
      </c>
      <c r="R30">
        <f>VLOOKUP($B$1,dictionary!$A$3:$K$51,3,FALSE)*Q30</f>
        <v>0</v>
      </c>
      <c r="S30">
        <f>VLOOKUP($B$1,dictionary!$A$3:$K$51,4,FALSE)*Q30</f>
        <v>0</v>
      </c>
      <c r="T30">
        <f>VLOOKUP($B$1,dictionary!$A$3:$K$51,5,FALSE)*Q30</f>
        <v>0.29535503526253964</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0.24612919605211639</v>
      </c>
      <c r="Z30">
        <f>VLOOKUP($B$1,dictionary!$A$3:$K$51,11,FALSE)*Q30</f>
        <v>4.9225839210423283E-2</v>
      </c>
      <c r="AA30">
        <f t="shared" si="2"/>
        <v>0.25388734854679385</v>
      </c>
      <c r="AB30">
        <f t="shared" si="11"/>
        <v>0.25388734854679385</v>
      </c>
      <c r="AC30">
        <f t="shared" si="12"/>
        <v>0</v>
      </c>
      <c r="AD30">
        <f t="shared" si="3"/>
        <v>0</v>
      </c>
      <c r="AE30">
        <f t="shared" si="13"/>
        <v>0</v>
      </c>
      <c r="AF30">
        <f t="shared" si="14"/>
        <v>5.3812325834612862</v>
      </c>
      <c r="AG30">
        <f t="shared" si="15"/>
        <v>6.4574791001535434</v>
      </c>
      <c r="AH30">
        <f t="shared" si="16"/>
        <v>0</v>
      </c>
      <c r="AI30">
        <f t="shared" si="17"/>
        <v>0.84966830265178206</v>
      </c>
      <c r="AJ30">
        <f t="shared" si="18"/>
        <v>0</v>
      </c>
      <c r="AK30">
        <f t="shared" si="19"/>
        <v>4.0359244375959644</v>
      </c>
      <c r="AL30">
        <f t="shared" si="20"/>
        <v>0.35874883889741915</v>
      </c>
    </row>
    <row r="31" spans="1:38" x14ac:dyDescent="0.2">
      <c r="A31">
        <v>2048</v>
      </c>
      <c r="B31">
        <v>23</v>
      </c>
      <c r="C31">
        <f t="shared" si="21"/>
        <v>17.102641434714798</v>
      </c>
      <c r="D31">
        <f t="shared" si="23"/>
        <v>2.8944897410543646</v>
      </c>
      <c r="E31">
        <f t="shared" si="4"/>
        <v>0</v>
      </c>
      <c r="F31">
        <f t="shared" si="5"/>
        <v>0</v>
      </c>
      <c r="G31" s="9">
        <f t="shared" si="6"/>
        <v>0.16924226307985116</v>
      </c>
      <c r="H31" s="9">
        <f t="shared" si="6"/>
        <v>0</v>
      </c>
      <c r="I31" s="9">
        <f t="shared" si="6"/>
        <v>0</v>
      </c>
      <c r="J31" s="9">
        <f t="shared" si="7"/>
        <v>2.2001494200380649E-2</v>
      </c>
      <c r="K31" s="9">
        <f t="shared" si="8"/>
        <v>0</v>
      </c>
      <c r="L31" s="9">
        <f t="shared" si="9"/>
        <v>0</v>
      </c>
      <c r="M31">
        <f t="shared" si="0"/>
        <v>16.726357768377731</v>
      </c>
      <c r="N31">
        <f t="shared" si="10"/>
        <v>0</v>
      </c>
      <c r="O31">
        <f t="shared" si="24"/>
        <v>16.726357768377731</v>
      </c>
      <c r="P31">
        <f t="shared" si="22"/>
        <v>16.494554338521439</v>
      </c>
      <c r="Q31" s="9">
        <f t="shared" si="1"/>
        <v>0.98614142821370643</v>
      </c>
      <c r="R31">
        <f>VLOOKUP($B$1,dictionary!$A$3:$K$51,3,FALSE)*Q31</f>
        <v>0</v>
      </c>
      <c r="S31">
        <f>VLOOKUP($B$1,dictionary!$A$3:$K$51,4,FALSE)*Q31</f>
        <v>0</v>
      </c>
      <c r="T31">
        <f>VLOOKUP($B$1,dictionary!$A$3:$K$51,5,FALSE)*Q31</f>
        <v>0.29584242846411191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0.24653535705342661</v>
      </c>
      <c r="Z31">
        <f>VLOOKUP($B$1,dictionary!$A$3:$K$51,11,FALSE)*Q31</f>
        <v>4.9307071410685327E-2</v>
      </c>
      <c r="AA31">
        <f t="shared" si="2"/>
        <v>0.2318034298562921</v>
      </c>
      <c r="AB31">
        <f t="shared" si="11"/>
        <v>0.2318034298562921</v>
      </c>
      <c r="AC31">
        <f t="shared" si="12"/>
        <v>0</v>
      </c>
      <c r="AD31">
        <f t="shared" si="3"/>
        <v>0</v>
      </c>
      <c r="AE31">
        <f t="shared" si="13"/>
        <v>0</v>
      </c>
      <c r="AF31">
        <f t="shared" si="14"/>
        <v>5.4981847795071461</v>
      </c>
      <c r="AG31">
        <f t="shared" si="15"/>
        <v>6.5978217354085755</v>
      </c>
      <c r="AH31">
        <f t="shared" si="16"/>
        <v>0</v>
      </c>
      <c r="AI31">
        <f t="shared" si="17"/>
        <v>0.86813443886954944</v>
      </c>
      <c r="AJ31">
        <f t="shared" si="18"/>
        <v>0</v>
      </c>
      <c r="AK31">
        <f t="shared" si="19"/>
        <v>4.1236385846303598</v>
      </c>
      <c r="AL31">
        <f t="shared" si="20"/>
        <v>0.36654565196714317</v>
      </c>
    </row>
    <row r="32" spans="1:38" x14ac:dyDescent="0.2">
      <c r="A32">
        <v>2049</v>
      </c>
      <c r="B32">
        <v>24</v>
      </c>
      <c r="C32">
        <f t="shared" si="21"/>
        <v>17.461796904843808</v>
      </c>
      <c r="D32">
        <f t="shared" si="23"/>
        <v>3.0766467398926149</v>
      </c>
      <c r="E32">
        <f t="shared" si="4"/>
        <v>0</v>
      </c>
      <c r="F32">
        <f t="shared" si="5"/>
        <v>0</v>
      </c>
      <c r="G32" s="9">
        <f t="shared" si="6"/>
        <v>0.17619302049259145</v>
      </c>
      <c r="H32" s="9">
        <f t="shared" si="6"/>
        <v>0</v>
      </c>
      <c r="I32" s="9">
        <f t="shared" si="6"/>
        <v>0</v>
      </c>
      <c r="J32" s="9">
        <f t="shared" si="7"/>
        <v>2.290509266403689E-2</v>
      </c>
      <c r="K32" s="9">
        <f t="shared" si="8"/>
        <v>0</v>
      </c>
      <c r="L32" s="9">
        <f t="shared" si="9"/>
        <v>0</v>
      </c>
      <c r="M32">
        <f t="shared" si="0"/>
        <v>17.061832828657771</v>
      </c>
      <c r="N32">
        <f t="shared" si="10"/>
        <v>0</v>
      </c>
      <c r="O32">
        <f t="shared" si="24"/>
        <v>17.061832828657771</v>
      </c>
      <c r="P32">
        <f t="shared" si="22"/>
        <v>16.843102152374588</v>
      </c>
      <c r="Q32" s="9">
        <f t="shared" si="1"/>
        <v>0.987180118426914</v>
      </c>
      <c r="R32">
        <f>VLOOKUP($B$1,dictionary!$A$3:$K$51,3,FALSE)*Q32</f>
        <v>0</v>
      </c>
      <c r="S32">
        <f>VLOOKUP($B$1,dictionary!$A$3:$K$51,4,FALSE)*Q32</f>
        <v>0</v>
      </c>
      <c r="T32">
        <f>VLOOKUP($B$1,dictionary!$A$3:$K$51,5,FALSE)*Q32</f>
        <v>0.29615403552807418</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0.2467950296067285</v>
      </c>
      <c r="Z32">
        <f>VLOOKUP($B$1,dictionary!$A$3:$K$51,11,FALSE)*Q32</f>
        <v>4.9359005921345706E-2</v>
      </c>
      <c r="AA32">
        <f t="shared" si="2"/>
        <v>0.2187306762831831</v>
      </c>
      <c r="AB32">
        <f t="shared" si="11"/>
        <v>0.2187306762831831</v>
      </c>
      <c r="AC32">
        <f t="shared" si="12"/>
        <v>0</v>
      </c>
      <c r="AD32">
        <f t="shared" si="3"/>
        <v>0</v>
      </c>
      <c r="AE32">
        <f t="shared" si="13"/>
        <v>0</v>
      </c>
      <c r="AF32">
        <f t="shared" si="14"/>
        <v>5.6143673841248622</v>
      </c>
      <c r="AG32">
        <f t="shared" si="15"/>
        <v>6.7372408609498349</v>
      </c>
      <c r="AH32">
        <f t="shared" si="16"/>
        <v>0</v>
      </c>
      <c r="AI32">
        <f t="shared" si="17"/>
        <v>0.88647906065129412</v>
      </c>
      <c r="AJ32">
        <f t="shared" si="18"/>
        <v>0</v>
      </c>
      <c r="AK32">
        <f t="shared" si="19"/>
        <v>4.2107755380936469</v>
      </c>
      <c r="AL32">
        <f t="shared" si="20"/>
        <v>0.37429115894165754</v>
      </c>
    </row>
    <row r="33" spans="1:38" x14ac:dyDescent="0.2">
      <c r="A33">
        <v>2050</v>
      </c>
      <c r="B33">
        <v>25</v>
      </c>
      <c r="C33">
        <f t="shared" si="21"/>
        <v>17.828494639845527</v>
      </c>
      <c r="D33">
        <f t="shared" si="23"/>
        <v>3.2641504718875769</v>
      </c>
      <c r="E33">
        <f t="shared" si="4"/>
        <v>0</v>
      </c>
      <c r="F33">
        <f t="shared" si="5"/>
        <v>0</v>
      </c>
      <c r="G33" s="9">
        <f t="shared" si="6"/>
        <v>0.18308615156954489</v>
      </c>
      <c r="H33" s="9">
        <f t="shared" si="6"/>
        <v>0</v>
      </c>
      <c r="I33" s="9">
        <f t="shared" si="6"/>
        <v>0</v>
      </c>
      <c r="J33" s="9">
        <f t="shared" si="7"/>
        <v>2.3801199704040835E-2</v>
      </c>
      <c r="K33" s="9">
        <f t="shared" si="8"/>
        <v>0</v>
      </c>
      <c r="L33" s="9">
        <f t="shared" si="9"/>
        <v>0</v>
      </c>
      <c r="M33">
        <f t="shared" si="0"/>
        <v>17.404155078500143</v>
      </c>
      <c r="N33">
        <f t="shared" si="10"/>
        <v>0</v>
      </c>
      <c r="O33">
        <f t="shared" si="24"/>
        <v>17.404155078500143</v>
      </c>
      <c r="P33">
        <f t="shared" si="22"/>
        <v>17.192582287099789</v>
      </c>
      <c r="Q33" s="9">
        <f t="shared" si="1"/>
        <v>0.98784354710435118</v>
      </c>
      <c r="R33">
        <f>VLOOKUP($B$1,dictionary!$A$3:$K$51,3,FALSE)*Q33</f>
        <v>0</v>
      </c>
      <c r="S33">
        <f>VLOOKUP($B$1,dictionary!$A$3:$K$51,4,FALSE)*Q33</f>
        <v>0</v>
      </c>
      <c r="T33">
        <f>VLOOKUP($B$1,dictionary!$A$3:$K$51,5,FALSE)*Q33</f>
        <v>0.29635306413130535</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0.2469608867760878</v>
      </c>
      <c r="Z33">
        <f>VLOOKUP($B$1,dictionary!$A$3:$K$51,11,FALSE)*Q33</f>
        <v>4.9392177355217559E-2</v>
      </c>
      <c r="AA33">
        <f t="shared" si="2"/>
        <v>0.21157279140035357</v>
      </c>
      <c r="AB33">
        <f t="shared" si="11"/>
        <v>0.21157279140035357</v>
      </c>
      <c r="AC33">
        <f t="shared" si="12"/>
        <v>0</v>
      </c>
      <c r="AD33">
        <f t="shared" si="3"/>
        <v>0</v>
      </c>
      <c r="AE33">
        <f t="shared" si="13"/>
        <v>0</v>
      </c>
      <c r="AF33">
        <f t="shared" si="14"/>
        <v>5.7308607623665964</v>
      </c>
      <c r="AG33">
        <f t="shared" si="15"/>
        <v>6.8770329148399165</v>
      </c>
      <c r="AH33">
        <f t="shared" si="16"/>
        <v>0</v>
      </c>
      <c r="AI33">
        <f t="shared" si="17"/>
        <v>0.9048727519526204</v>
      </c>
      <c r="AJ33">
        <f t="shared" si="18"/>
        <v>0</v>
      </c>
      <c r="AK33">
        <f t="shared" si="19"/>
        <v>4.2981455717749473</v>
      </c>
      <c r="AL33">
        <f t="shared" si="20"/>
        <v>0.38205738415777313</v>
      </c>
    </row>
    <row r="35" spans="1:38" x14ac:dyDescent="0.2">
      <c r="G35" s="2"/>
    </row>
    <row r="37" spans="1:38" x14ac:dyDescent="0.2">
      <c r="H37" s="2"/>
      <c r="I37" s="2"/>
    </row>
  </sheetData>
  <mergeCells count="1">
    <mergeCell ref="J6:L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70D01-A77C-CC4E-A1B1-9FE853E15D19}">
  <sheetPr>
    <tabColor theme="4" tint="0.79998168889431442"/>
  </sheetPr>
  <dimension ref="A1:AY37"/>
  <sheetViews>
    <sheetView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9</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emissions!N21</f>
        <v>10.60403427028317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10.60403427028317</v>
      </c>
      <c r="N8">
        <f>IF($N$7="LFO",M8/(1+EXP(-$I$4*(B8-$J$4)))-M8/(1+EXP($I$4*$J$4)),IF($N$7="MGO",M8/(1+EXP(-$I$5*(B8-$J$5)))-M8/(1+EXP($I$5*$J$5)),0))</f>
        <v>0</v>
      </c>
      <c r="O8">
        <f>M8-N8</f>
        <v>10.60403427028317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10.60403427028317</v>
      </c>
      <c r="AB8">
        <f>O8/M8*AA8</f>
        <v>10.60403427028317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10.826718989959115</v>
      </c>
      <c r="D9">
        <f>IF($E$2=0,0,C9/(1+EXP(-$E$2*(B9-$G$2)))-C9/(1+EXP($E$2*$G$2)))</f>
        <v>8.0830049118798541E-2</v>
      </c>
      <c r="E9">
        <f t="shared" ref="E9:E33" si="4">IF($E$3=0,0,C9/(1+EXP(-$E$3*(B9-$G$3)))-C9/(1+EXP($E$3*$G$3)))</f>
        <v>0</v>
      </c>
      <c r="F9">
        <f t="shared" ref="F9:F33" si="5">IF($E$4=0,0,C9/(1+EXP(-$E$4*(B9-$G$4)))-C9/(1+EXP($E$4*$G$4)))</f>
        <v>0</v>
      </c>
      <c r="G9" s="9">
        <f t="shared" ref="G9:I33" si="6">D9/$C9</f>
        <v>7.4657935791777466E-3</v>
      </c>
      <c r="H9" s="9">
        <f t="shared" si="6"/>
        <v>0</v>
      </c>
      <c r="I9" s="9">
        <f t="shared" si="6"/>
        <v>0</v>
      </c>
      <c r="J9" s="9">
        <f t="shared" ref="J9:J33" si="7">G9*$F$2</f>
        <v>9.7055316529310709E-4</v>
      </c>
      <c r="K9" s="9">
        <f t="shared" ref="K9:K33" si="8">H9*$F$3</f>
        <v>0</v>
      </c>
      <c r="L9" s="9">
        <f t="shared" ref="L9:L33" si="9">I9*$F$4</f>
        <v>0</v>
      </c>
      <c r="M9">
        <f t="shared" si="0"/>
        <v>10.816211083573672</v>
      </c>
      <c r="N9">
        <f t="shared" ref="N9:N33" si="10">IF($N$7="LFO",M9/(1+EXP(-$I$4*(B9-$J$4)))-M9/(1+EXP($I$4*$J$4)),IF($N$7="MGO",M9/(1+EXP(-$I$5*(B9-$J$5)))-M9/(1+EXP($I$5*$J$5)),0))</f>
        <v>0</v>
      </c>
      <c r="O9">
        <f>M9-N9</f>
        <v>10.816211083573672</v>
      </c>
      <c r="P9">
        <f>IF($I$3=0,0,M9/(1+EXP(-$I$3*(B9-$J$3)))-M9/(1+EXP($I$3*$J$3)))</f>
        <v>6.6380068289449132E-2</v>
      </c>
      <c r="Q9" s="9">
        <f t="shared" si="1"/>
        <v>6.1370906851345572E-3</v>
      </c>
      <c r="R9">
        <f>VLOOKUP($B$1,dictionary!$A$3:$K$51,3,FALSE)*Q9</f>
        <v>0</v>
      </c>
      <c r="S9">
        <f>VLOOKUP($B$1,dictionary!$A$3:$K$51,4,FALSE)*Q9</f>
        <v>0</v>
      </c>
      <c r="T9">
        <f>VLOOKUP($B$1,dictionary!$A$3:$K$51,5,FALSE)*Q9</f>
        <v>1.841127205540367E-3</v>
      </c>
      <c r="U9">
        <f>VLOOKUP($B$1,dictionary!$A$3:$K$51,6,FALSE)*Q9</f>
        <v>2.1479817397970949E-3</v>
      </c>
      <c r="V9">
        <f>VLOOKUP($B$1,dictionary!$A$3:$K$51,7,FALSE)*Q9</f>
        <v>0</v>
      </c>
      <c r="W9">
        <f>VLOOKUP($B$1,dictionary!$A$3:$K$51,8,FALSE)*Q9</f>
        <v>3.068545342567279E-4</v>
      </c>
      <c r="X9">
        <f>VLOOKUP($B$1,dictionary!$A$3:$K$51,9,FALSE)*Q9</f>
        <v>0</v>
      </c>
      <c r="Y9">
        <f>VLOOKUP($B$1,dictionary!$A$3:$K$51,10,FALSE)*Q9</f>
        <v>1.5342726712836393E-3</v>
      </c>
      <c r="Z9">
        <f>VLOOKUP($B$1,dictionary!$A$3:$K$51,11,FALSE)*Q9</f>
        <v>3.068545342567279E-4</v>
      </c>
      <c r="AA9">
        <f t="shared" si="2"/>
        <v>10.749831015284222</v>
      </c>
      <c r="AB9">
        <f t="shared" ref="AB9:AB33" si="11">O9/M9*AA9</f>
        <v>10.749831015284222</v>
      </c>
      <c r="AC9">
        <f t="shared" ref="AC9:AC33" si="12">N9/M9*AA9</f>
        <v>0</v>
      </c>
      <c r="AD9">
        <f t="shared" si="3"/>
        <v>0</v>
      </c>
      <c r="AE9">
        <f t="shared" ref="AE9:AE33" si="13">S9*$O9*$AE$2+S9*$N9*$AE$3</f>
        <v>0</v>
      </c>
      <c r="AF9">
        <f t="shared" ref="AF9:AF33" si="14">T9*$O9*$AF$2+T9*$N9*$AF$3</f>
        <v>2.2126689429816378E-2</v>
      </c>
      <c r="AG9">
        <f t="shared" ref="AG9:AG33" si="15">U9*$O9*$AG$2+U9*$N9*$AG$3</f>
        <v>2.6552027315779658E-2</v>
      </c>
      <c r="AH9">
        <f t="shared" ref="AH9:AH33" si="16">V9*$O9*$AH$2+V9*$N9*$AH$3</f>
        <v>0</v>
      </c>
      <c r="AI9">
        <f t="shared" ref="AI9:AI33" si="17">W9*$O9*$AI$2+W9*$N9*$AI$3</f>
        <v>3.4936878047078495E-3</v>
      </c>
      <c r="AJ9">
        <f t="shared" ref="AJ9:AJ33" si="18">X9*$O9*$AJ$2+X9*$N9*$AJ$3</f>
        <v>0</v>
      </c>
      <c r="AK9">
        <f t="shared" ref="AK9:AK33" si="19">Y9*$O9*$AK$2+Y9*$N9*$AK$3</f>
        <v>1.6595017072362283E-2</v>
      </c>
      <c r="AL9">
        <f t="shared" ref="AL9:AL33" si="20">Z9*$O9*$AL$2+Z9*$N9*$AL$3</f>
        <v>1.4751126286544256E-3</v>
      </c>
    </row>
    <row r="10" spans="1:51" x14ac:dyDescent="0.2">
      <c r="A10">
        <v>2027</v>
      </c>
      <c r="B10">
        <v>2</v>
      </c>
      <c r="C10">
        <f t="shared" ref="C10:C33" si="21">C9*(1+$I$2)</f>
        <v>11.054080088748256</v>
      </c>
      <c r="D10">
        <f>IF($E$2=0,0,C10/(1+EXP(-$E$2*(B10-$G$2)))-C10/(1+EXP($E$2*$G$2)))</f>
        <v>0.16520345410923731</v>
      </c>
      <c r="E10">
        <f t="shared" si="4"/>
        <v>0</v>
      </c>
      <c r="F10">
        <f t="shared" si="5"/>
        <v>0</v>
      </c>
      <c r="G10" s="9">
        <f t="shared" si="6"/>
        <v>1.4945020551949399E-2</v>
      </c>
      <c r="H10" s="9">
        <f t="shared" si="6"/>
        <v>0</v>
      </c>
      <c r="I10" s="9">
        <f t="shared" si="6"/>
        <v>0</v>
      </c>
      <c r="J10" s="9">
        <f t="shared" si="7"/>
        <v>1.9428526717534219E-3</v>
      </c>
      <c r="K10" s="9">
        <f t="shared" si="8"/>
        <v>0</v>
      </c>
      <c r="L10" s="9">
        <f t="shared" si="9"/>
        <v>0</v>
      </c>
      <c r="M10">
        <f t="shared" si="0"/>
        <v>11.032603639714054</v>
      </c>
      <c r="N10">
        <f t="shared" si="10"/>
        <v>0</v>
      </c>
      <c r="O10">
        <f>M10-N10</f>
        <v>11.032603639714054</v>
      </c>
      <c r="P10">
        <f t="shared" ref="P10:P33" si="22">IF($I$3=0,0,M10/(1+EXP(-$I$3*(B10-$J$3)))-M10/(1+EXP($I$3*$J$3)))</f>
        <v>0.17221950488596974</v>
      </c>
      <c r="Q10" s="9">
        <f t="shared" si="1"/>
        <v>1.5610050946272675E-2</v>
      </c>
      <c r="R10">
        <f>VLOOKUP($B$1,dictionary!$A$3:$K$51,3,FALSE)*Q10</f>
        <v>0</v>
      </c>
      <c r="S10">
        <f>VLOOKUP($B$1,dictionary!$A$3:$K$51,4,FALSE)*Q10</f>
        <v>0</v>
      </c>
      <c r="T10">
        <f>VLOOKUP($B$1,dictionary!$A$3:$K$51,5,FALSE)*Q10</f>
        <v>4.6830152838818022E-3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3.9025127365681688E-3</v>
      </c>
      <c r="Z10">
        <f>VLOOKUP($B$1,dictionary!$A$3:$K$51,11,FALSE)*Q10</f>
        <v>7.8050254731363384E-4</v>
      </c>
      <c r="AA10">
        <f t="shared" si="2"/>
        <v>10.860384134828085</v>
      </c>
      <c r="AB10">
        <f t="shared" si="11"/>
        <v>10.860384134828085</v>
      </c>
      <c r="AC10">
        <f t="shared" si="12"/>
        <v>0</v>
      </c>
      <c r="AD10">
        <f t="shared" si="3"/>
        <v>0</v>
      </c>
      <c r="AE10">
        <f t="shared" si="13"/>
        <v>0</v>
      </c>
      <c r="AF10">
        <f t="shared" si="14"/>
        <v>5.7406501628656577E-2</v>
      </c>
      <c r="AG10">
        <f t="shared" si="15"/>
        <v>6.8887801954387887E-2</v>
      </c>
      <c r="AH10">
        <f t="shared" si="16"/>
        <v>0</v>
      </c>
      <c r="AI10">
        <f t="shared" si="17"/>
        <v>9.0641844676826178E-3</v>
      </c>
      <c r="AJ10">
        <f t="shared" si="18"/>
        <v>0</v>
      </c>
      <c r="AK10">
        <f t="shared" si="19"/>
        <v>4.3054876221492434E-2</v>
      </c>
      <c r="AL10">
        <f t="shared" si="20"/>
        <v>3.827100108577106E-3</v>
      </c>
    </row>
    <row r="11" spans="1:51" x14ac:dyDescent="0.2">
      <c r="A11">
        <v>2028</v>
      </c>
      <c r="B11">
        <v>3</v>
      </c>
      <c r="C11">
        <f t="shared" si="21"/>
        <v>11.286215770611967</v>
      </c>
      <c r="D11">
        <f t="shared" ref="D11:D33" si="23">IF($E$2=0,0,C11/(1+EXP(-$E$2*(B11-$G$2)))-C11/(1+EXP($E$2*$G$2)))</f>
        <v>0.25319884394496928</v>
      </c>
      <c r="E11">
        <f t="shared" si="4"/>
        <v>0</v>
      </c>
      <c r="F11">
        <f t="shared" si="5"/>
        <v>0</v>
      </c>
      <c r="G11" s="9">
        <f t="shared" si="6"/>
        <v>2.2434343724339428E-2</v>
      </c>
      <c r="H11" s="9">
        <f t="shared" si="6"/>
        <v>0</v>
      </c>
      <c r="I11" s="9">
        <f t="shared" si="6"/>
        <v>0</v>
      </c>
      <c r="J11" s="9">
        <f t="shared" si="7"/>
        <v>2.9164646841641256E-3</v>
      </c>
      <c r="K11" s="9">
        <f t="shared" si="8"/>
        <v>0</v>
      </c>
      <c r="L11" s="9">
        <f t="shared" si="9"/>
        <v>0</v>
      </c>
      <c r="M11">
        <f t="shared" si="0"/>
        <v>11.253299920899121</v>
      </c>
      <c r="N11">
        <f t="shared" si="10"/>
        <v>0</v>
      </c>
      <c r="O11">
        <f t="shared" ref="O11:O33" si="24">M11-N11</f>
        <v>11.253299920899121</v>
      </c>
      <c r="P11">
        <f t="shared" si="22"/>
        <v>0.33877311708715929</v>
      </c>
      <c r="Q11" s="9">
        <f t="shared" si="1"/>
        <v>3.0104335569871833E-2</v>
      </c>
      <c r="R11">
        <f>VLOOKUP($B$1,dictionary!$A$3:$K$51,3,FALSE)*Q11</f>
        <v>0</v>
      </c>
      <c r="S11">
        <f>VLOOKUP($B$1,dictionary!$A$3:$K$51,4,FALSE)*Q11</f>
        <v>0</v>
      </c>
      <c r="T11">
        <f>VLOOKUP($B$1,dictionary!$A$3:$K$51,5,FALSE)*Q11</f>
        <v>9.0313006709615493E-3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7.5260838924679583E-3</v>
      </c>
      <c r="Z11">
        <f>VLOOKUP($B$1,dictionary!$A$3:$K$51,11,FALSE)*Q11</f>
        <v>1.5052167784935918E-3</v>
      </c>
      <c r="AA11">
        <f t="shared" si="2"/>
        <v>10.914526803811961</v>
      </c>
      <c r="AB11">
        <f t="shared" si="11"/>
        <v>10.914526803811961</v>
      </c>
      <c r="AC11">
        <f t="shared" si="12"/>
        <v>0</v>
      </c>
      <c r="AD11">
        <f t="shared" si="3"/>
        <v>0</v>
      </c>
      <c r="AE11">
        <f t="shared" si="13"/>
        <v>0</v>
      </c>
      <c r="AF11">
        <f t="shared" si="14"/>
        <v>0.11292437236238642</v>
      </c>
      <c r="AG11">
        <f t="shared" si="15"/>
        <v>0.13550924683486371</v>
      </c>
      <c r="AH11">
        <f t="shared" si="16"/>
        <v>0</v>
      </c>
      <c r="AI11">
        <f t="shared" si="17"/>
        <v>1.7830164057218913E-2</v>
      </c>
      <c r="AJ11">
        <f t="shared" si="18"/>
        <v>0</v>
      </c>
      <c r="AK11">
        <f t="shared" si="19"/>
        <v>8.4693279271789823E-2</v>
      </c>
      <c r="AL11">
        <f t="shared" si="20"/>
        <v>7.5282914908257632E-3</v>
      </c>
    </row>
    <row r="12" spans="1:51" x14ac:dyDescent="0.2">
      <c r="A12">
        <v>2029</v>
      </c>
      <c r="B12">
        <v>4</v>
      </c>
      <c r="C12">
        <f t="shared" si="21"/>
        <v>11.523226301794818</v>
      </c>
      <c r="D12">
        <f t="shared" si="23"/>
        <v>0.34489486230523081</v>
      </c>
      <c r="E12">
        <f t="shared" si="4"/>
        <v>0</v>
      </c>
      <c r="F12">
        <f t="shared" si="5"/>
        <v>0</v>
      </c>
      <c r="G12" s="9">
        <f t="shared" si="6"/>
        <v>2.9930407793129186E-2</v>
      </c>
      <c r="H12" s="9">
        <f t="shared" si="6"/>
        <v>0</v>
      </c>
      <c r="I12" s="9">
        <f t="shared" si="6"/>
        <v>0</v>
      </c>
      <c r="J12" s="9">
        <f t="shared" si="7"/>
        <v>3.8909530131067942E-3</v>
      </c>
      <c r="K12" s="9">
        <f t="shared" si="8"/>
        <v>0</v>
      </c>
      <c r="L12" s="9">
        <f t="shared" si="9"/>
        <v>0</v>
      </c>
      <c r="M12">
        <f t="shared" si="0"/>
        <v>11.478389969695137</v>
      </c>
      <c r="N12">
        <f t="shared" si="10"/>
        <v>0</v>
      </c>
      <c r="O12">
        <f t="shared" si="24"/>
        <v>11.478389969695137</v>
      </c>
      <c r="P12">
        <f t="shared" si="22"/>
        <v>0.59672032643405215</v>
      </c>
      <c r="Q12" s="9">
        <f t="shared" si="1"/>
        <v>5.1986413426403297E-2</v>
      </c>
      <c r="R12">
        <f>VLOOKUP($B$1,dictionary!$A$3:$K$51,3,FALSE)*Q12</f>
        <v>0</v>
      </c>
      <c r="S12">
        <f>VLOOKUP($B$1,dictionary!$A$3:$K$51,4,FALSE)*Q12</f>
        <v>0</v>
      </c>
      <c r="T12">
        <f>VLOOKUP($B$1,dictionary!$A$3:$K$51,5,FALSE)*Q12</f>
        <v>1.5595924027920989E-2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1.2996603356600824E-2</v>
      </c>
      <c r="Z12">
        <f>VLOOKUP($B$1,dictionary!$A$3:$K$51,11,FALSE)*Q12</f>
        <v>2.5993206713201648E-3</v>
      </c>
      <c r="AA12">
        <f t="shared" si="2"/>
        <v>10.881669643261084</v>
      </c>
      <c r="AB12">
        <f t="shared" si="11"/>
        <v>10.881669643261084</v>
      </c>
      <c r="AC12">
        <f t="shared" si="12"/>
        <v>0</v>
      </c>
      <c r="AD12">
        <f t="shared" si="3"/>
        <v>0</v>
      </c>
      <c r="AE12">
        <f t="shared" si="13"/>
        <v>0</v>
      </c>
      <c r="AF12">
        <f t="shared" si="14"/>
        <v>0.19890677547801741</v>
      </c>
      <c r="AG12">
        <f t="shared" si="15"/>
        <v>0.2386881305736209</v>
      </c>
      <c r="AH12">
        <f t="shared" si="16"/>
        <v>0</v>
      </c>
      <c r="AI12">
        <f t="shared" si="17"/>
        <v>3.1406332970213273E-2</v>
      </c>
      <c r="AJ12">
        <f t="shared" si="18"/>
        <v>0</v>
      </c>
      <c r="AK12">
        <f t="shared" si="19"/>
        <v>0.14918008160851304</v>
      </c>
      <c r="AL12">
        <f t="shared" si="20"/>
        <v>1.3260451698534494E-2</v>
      </c>
    </row>
    <row r="13" spans="1:51" x14ac:dyDescent="0.2">
      <c r="A13">
        <v>2030</v>
      </c>
      <c r="B13">
        <v>5</v>
      </c>
      <c r="C13">
        <f t="shared" si="21"/>
        <v>11.765214054132509</v>
      </c>
      <c r="D13">
        <f t="shared" si="23"/>
        <v>0.4403701424822879</v>
      </c>
      <c r="E13">
        <f t="shared" si="4"/>
        <v>0</v>
      </c>
      <c r="F13">
        <f t="shared" si="5"/>
        <v>0</v>
      </c>
      <c r="G13" s="9">
        <f t="shared" si="6"/>
        <v>3.7429845343749504E-2</v>
      </c>
      <c r="H13" s="9">
        <f t="shared" si="6"/>
        <v>0</v>
      </c>
      <c r="I13" s="9">
        <f t="shared" si="6"/>
        <v>0</v>
      </c>
      <c r="J13" s="9">
        <f t="shared" si="7"/>
        <v>4.8658798946874362E-3</v>
      </c>
      <c r="K13" s="9">
        <f t="shared" si="8"/>
        <v>0</v>
      </c>
      <c r="L13" s="9">
        <f t="shared" si="9"/>
        <v>0</v>
      </c>
      <c r="M13">
        <f t="shared" si="0"/>
        <v>11.707965935609812</v>
      </c>
      <c r="N13">
        <f t="shared" si="10"/>
        <v>0</v>
      </c>
      <c r="O13">
        <f t="shared" si="24"/>
        <v>11.707965935609812</v>
      </c>
      <c r="P13">
        <f t="shared" si="22"/>
        <v>0.98771353696191311</v>
      </c>
      <c r="Q13" s="9">
        <f t="shared" si="1"/>
        <v>8.4362522268516302E-2</v>
      </c>
      <c r="R13">
        <f>VLOOKUP($B$1,dictionary!$A$3:$K$51,3,FALSE)*Q13</f>
        <v>0</v>
      </c>
      <c r="S13">
        <f>VLOOKUP($B$1,dictionary!$A$3:$K$51,4,FALSE)*Q13</f>
        <v>0</v>
      </c>
      <c r="T13">
        <f>VLOOKUP($B$1,dictionary!$A$3:$K$51,5,FALSE)*Q13</f>
        <v>2.5308756680554888E-2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2.1090630567129075E-2</v>
      </c>
      <c r="Z13">
        <f>VLOOKUP($B$1,dictionary!$A$3:$K$51,11,FALSE)*Q13</f>
        <v>4.2181261134258156E-3</v>
      </c>
      <c r="AA13">
        <f t="shared" si="2"/>
        <v>10.720252398647899</v>
      </c>
      <c r="AB13">
        <f t="shared" si="11"/>
        <v>10.720252398647899</v>
      </c>
      <c r="AC13">
        <f t="shared" si="12"/>
        <v>0</v>
      </c>
      <c r="AD13">
        <f t="shared" si="3"/>
        <v>0</v>
      </c>
      <c r="AE13">
        <f t="shared" si="13"/>
        <v>0</v>
      </c>
      <c r="AF13">
        <f t="shared" si="14"/>
        <v>0.32923784565397102</v>
      </c>
      <c r="AG13">
        <f t="shared" si="15"/>
        <v>0.39508541478476522</v>
      </c>
      <c r="AH13">
        <f t="shared" si="16"/>
        <v>0</v>
      </c>
      <c r="AI13">
        <f t="shared" si="17"/>
        <v>5.1984922997995425E-2</v>
      </c>
      <c r="AJ13">
        <f t="shared" si="18"/>
        <v>0</v>
      </c>
      <c r="AK13">
        <f t="shared" si="19"/>
        <v>0.24692838424047825</v>
      </c>
      <c r="AL13">
        <f t="shared" si="20"/>
        <v>2.194918971026474E-2</v>
      </c>
    </row>
    <row r="14" spans="1:51" x14ac:dyDescent="0.2">
      <c r="A14">
        <v>2031</v>
      </c>
      <c r="B14">
        <v>6</v>
      </c>
      <c r="C14">
        <f t="shared" si="21"/>
        <v>12.01228354926929</v>
      </c>
      <c r="D14">
        <f t="shared" si="23"/>
        <v>0.53970328579250548</v>
      </c>
      <c r="E14">
        <f t="shared" si="4"/>
        <v>0</v>
      </c>
      <c r="F14">
        <f t="shared" si="5"/>
        <v>0</v>
      </c>
      <c r="G14" s="9">
        <f t="shared" si="6"/>
        <v>4.4929282894369885E-2</v>
      </c>
      <c r="H14" s="9">
        <f t="shared" si="6"/>
        <v>0</v>
      </c>
      <c r="I14" s="9">
        <f t="shared" si="6"/>
        <v>0</v>
      </c>
      <c r="J14" s="9">
        <f t="shared" si="7"/>
        <v>5.840806776268085E-3</v>
      </c>
      <c r="K14" s="9">
        <f t="shared" si="8"/>
        <v>0</v>
      </c>
      <c r="L14" s="9">
        <f t="shared" si="9"/>
        <v>0</v>
      </c>
      <c r="M14">
        <f t="shared" si="0"/>
        <v>11.942122122116263</v>
      </c>
      <c r="N14">
        <f t="shared" si="10"/>
        <v>0</v>
      </c>
      <c r="O14">
        <f t="shared" si="24"/>
        <v>11.942122122116263</v>
      </c>
      <c r="P14">
        <f t="shared" si="22"/>
        <v>1.5627953295506358</v>
      </c>
      <c r="Q14" s="9">
        <f t="shared" si="1"/>
        <v>0.13086412226989461</v>
      </c>
      <c r="R14">
        <f>VLOOKUP($B$1,dictionary!$A$3:$K$51,3,FALSE)*Q14</f>
        <v>0</v>
      </c>
      <c r="S14">
        <f>VLOOKUP($B$1,dictionary!$A$3:$K$51,4,FALSE)*Q14</f>
        <v>0</v>
      </c>
      <c r="T14">
        <f>VLOOKUP($B$1,dictionary!$A$3:$K$51,5,FALSE)*Q14</f>
        <v>3.9259236680968382E-2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3.2716030567473652E-2</v>
      </c>
      <c r="Z14">
        <f>VLOOKUP($B$1,dictionary!$A$3:$K$51,11,FALSE)*Q14</f>
        <v>6.5432061134947303E-3</v>
      </c>
      <c r="AA14">
        <f t="shared" si="2"/>
        <v>10.379326792565628</v>
      </c>
      <c r="AB14">
        <f t="shared" si="11"/>
        <v>10.379326792565628</v>
      </c>
      <c r="AC14">
        <f t="shared" si="12"/>
        <v>0</v>
      </c>
      <c r="AD14">
        <f t="shared" si="3"/>
        <v>0</v>
      </c>
      <c r="AE14">
        <f t="shared" si="13"/>
        <v>0</v>
      </c>
      <c r="AF14">
        <f t="shared" si="14"/>
        <v>0.52093177651687861</v>
      </c>
      <c r="AG14">
        <f t="shared" si="15"/>
        <v>0.62511813182025444</v>
      </c>
      <c r="AH14">
        <f t="shared" si="16"/>
        <v>0</v>
      </c>
      <c r="AI14">
        <f t="shared" si="17"/>
        <v>8.225238576582293E-2</v>
      </c>
      <c r="AJ14">
        <f t="shared" si="18"/>
        <v>0</v>
      </c>
      <c r="AK14">
        <f t="shared" si="19"/>
        <v>0.39069883238765896</v>
      </c>
      <c r="AL14">
        <f t="shared" si="20"/>
        <v>3.4728785101125245E-2</v>
      </c>
    </row>
    <row r="15" spans="1:51" x14ac:dyDescent="0.2">
      <c r="A15">
        <v>2032</v>
      </c>
      <c r="B15">
        <v>7</v>
      </c>
      <c r="C15">
        <f t="shared" si="21"/>
        <v>12.264541503803944</v>
      </c>
      <c r="D15">
        <f t="shared" si="23"/>
        <v>0.64297284368099294</v>
      </c>
      <c r="E15">
        <f t="shared" si="4"/>
        <v>0</v>
      </c>
      <c r="F15">
        <f t="shared" si="5"/>
        <v>0</v>
      </c>
      <c r="G15" s="9">
        <f t="shared" si="6"/>
        <v>5.2425346963159598E-2</v>
      </c>
      <c r="H15" s="9">
        <f t="shared" si="6"/>
        <v>0</v>
      </c>
      <c r="I15" s="9">
        <f t="shared" si="6"/>
        <v>0</v>
      </c>
      <c r="J15" s="9">
        <f t="shared" si="7"/>
        <v>6.815295105210748E-3</v>
      </c>
      <c r="K15" s="9">
        <f t="shared" si="8"/>
        <v>0</v>
      </c>
      <c r="L15" s="9">
        <f t="shared" si="9"/>
        <v>0</v>
      </c>
      <c r="M15">
        <f t="shared" si="0"/>
        <v>12.180955034125414</v>
      </c>
      <c r="N15">
        <f t="shared" si="10"/>
        <v>0</v>
      </c>
      <c r="O15">
        <f t="shared" si="24"/>
        <v>12.180955034125414</v>
      </c>
      <c r="P15">
        <f>IF($I$3=0,0,M15/(1+EXP(-$I$3*(B15-$J$3)))-M15/(1+EXP($I$3*$J$3)))</f>
        <v>2.373866287620249</v>
      </c>
      <c r="Q15" s="9">
        <f t="shared" si="1"/>
        <v>0.19488342917035414</v>
      </c>
      <c r="R15">
        <f>VLOOKUP($B$1,dictionary!$A$3:$K$51,3,FALSE)*Q15</f>
        <v>0</v>
      </c>
      <c r="S15">
        <f>VLOOKUP($B$1,dictionary!$A$3:$K$51,4,FALSE)*Q15</f>
        <v>0</v>
      </c>
      <c r="T15">
        <f>VLOOKUP($B$1,dictionary!$A$3:$K$51,5,FALSE)*Q15</f>
        <v>5.8465028751106242E-2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4.8720857292588536E-2</v>
      </c>
      <c r="Z15">
        <f>VLOOKUP($B$1,dictionary!$A$3:$K$51,11,FALSE)*Q15</f>
        <v>9.7441714585177076E-3</v>
      </c>
      <c r="AA15">
        <f t="shared" si="2"/>
        <v>9.8070887465051655</v>
      </c>
      <c r="AB15">
        <f t="shared" si="11"/>
        <v>9.8070887465051655</v>
      </c>
      <c r="AC15">
        <f t="shared" si="12"/>
        <v>0</v>
      </c>
      <c r="AD15">
        <f t="shared" si="3"/>
        <v>0</v>
      </c>
      <c r="AE15">
        <f t="shared" si="13"/>
        <v>0</v>
      </c>
      <c r="AF15">
        <f t="shared" si="14"/>
        <v>0.79128876254008296</v>
      </c>
      <c r="AG15">
        <f t="shared" si="15"/>
        <v>0.94954651504809962</v>
      </c>
      <c r="AH15">
        <f t="shared" si="16"/>
        <v>0</v>
      </c>
      <c r="AI15">
        <f t="shared" si="17"/>
        <v>0.12494033092738152</v>
      </c>
      <c r="AJ15">
        <f t="shared" si="18"/>
        <v>0</v>
      </c>
      <c r="AK15">
        <f t="shared" si="19"/>
        <v>0.59346657190506225</v>
      </c>
      <c r="AL15">
        <f t="shared" si="20"/>
        <v>5.2752584169338874E-2</v>
      </c>
    </row>
    <row r="16" spans="1:51" x14ac:dyDescent="0.2">
      <c r="A16">
        <v>2033</v>
      </c>
      <c r="B16">
        <v>8</v>
      </c>
      <c r="C16">
        <f t="shared" si="21"/>
        <v>12.522096875383825</v>
      </c>
      <c r="D16">
        <f t="shared" si="23"/>
        <v>0.75025730369401966</v>
      </c>
      <c r="E16">
        <f t="shared" si="4"/>
        <v>0</v>
      </c>
      <c r="F16">
        <f t="shared" si="5"/>
        <v>0</v>
      </c>
      <c r="G16" s="9">
        <f t="shared" si="6"/>
        <v>5.9914670135549714E-2</v>
      </c>
      <c r="H16" s="9">
        <f t="shared" si="6"/>
        <v>0</v>
      </c>
      <c r="I16" s="9">
        <f t="shared" si="6"/>
        <v>0</v>
      </c>
      <c r="J16" s="9">
        <f t="shared" si="7"/>
        <v>7.7889071176214632E-3</v>
      </c>
      <c r="K16" s="9">
        <f t="shared" si="8"/>
        <v>0</v>
      </c>
      <c r="L16" s="9">
        <f t="shared" si="9"/>
        <v>0</v>
      </c>
      <c r="M16">
        <f t="shared" si="0"/>
        <v>12.424563425903603</v>
      </c>
      <c r="N16">
        <f t="shared" si="10"/>
        <v>0</v>
      </c>
      <c r="O16">
        <f t="shared" si="24"/>
        <v>12.424563425903603</v>
      </c>
      <c r="P16">
        <f t="shared" si="22"/>
        <v>3.4548182723540517</v>
      </c>
      <c r="Q16" s="9">
        <f t="shared" si="1"/>
        <v>0.27806355474440281</v>
      </c>
      <c r="R16">
        <f>VLOOKUP($B$1,dictionary!$A$3:$K$51,3,FALSE)*Q16</f>
        <v>0</v>
      </c>
      <c r="S16">
        <f>VLOOKUP($B$1,dictionary!$A$3:$K$51,4,FALSE)*Q16</f>
        <v>0</v>
      </c>
      <c r="T16">
        <f>VLOOKUP($B$1,dictionary!$A$3:$K$51,5,FALSE)*Q16</f>
        <v>8.3419066423320837E-2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6.9515888686100702E-2</v>
      </c>
      <c r="Z16">
        <f>VLOOKUP($B$1,dictionary!$A$3:$K$51,11,FALSE)*Q16</f>
        <v>1.3903177737220142E-2</v>
      </c>
      <c r="AA16">
        <f t="shared" si="2"/>
        <v>8.9697451535495514</v>
      </c>
      <c r="AB16">
        <f t="shared" si="11"/>
        <v>8.9697451535495514</v>
      </c>
      <c r="AC16">
        <f t="shared" si="12"/>
        <v>0</v>
      </c>
      <c r="AD16">
        <f t="shared" si="3"/>
        <v>0</v>
      </c>
      <c r="AE16">
        <f t="shared" si="13"/>
        <v>0</v>
      </c>
      <c r="AF16">
        <f t="shared" si="14"/>
        <v>1.1516060907846839</v>
      </c>
      <c r="AG16">
        <f t="shared" si="15"/>
        <v>1.3819273089416206</v>
      </c>
      <c r="AH16">
        <f t="shared" si="16"/>
        <v>0</v>
      </c>
      <c r="AI16">
        <f t="shared" si="17"/>
        <v>0.18183254065021323</v>
      </c>
      <c r="AJ16">
        <f t="shared" si="18"/>
        <v>0</v>
      </c>
      <c r="AK16">
        <f t="shared" si="19"/>
        <v>0.86370456808851281</v>
      </c>
      <c r="AL16">
        <f t="shared" si="20"/>
        <v>7.6773739385645592E-2</v>
      </c>
    </row>
    <row r="17" spans="1:38" x14ac:dyDescent="0.2">
      <c r="A17">
        <v>2034</v>
      </c>
      <c r="B17">
        <v>9</v>
      </c>
      <c r="C17">
        <f t="shared" si="21"/>
        <v>12.785060909766884</v>
      </c>
      <c r="D17">
        <f t="shared" si="23"/>
        <v>0.86163507947645002</v>
      </c>
      <c r="E17">
        <f t="shared" si="4"/>
        <v>0</v>
      </c>
      <c r="F17">
        <f t="shared" si="5"/>
        <v>0</v>
      </c>
      <c r="G17" s="9">
        <f t="shared" si="6"/>
        <v>6.7393897108321291E-2</v>
      </c>
      <c r="H17" s="9">
        <f t="shared" si="6"/>
        <v>0</v>
      </c>
      <c r="I17" s="9">
        <f t="shared" si="6"/>
        <v>0</v>
      </c>
      <c r="J17" s="9">
        <f t="shared" si="7"/>
        <v>8.7612066240817677E-3</v>
      </c>
      <c r="K17" s="9">
        <f t="shared" si="8"/>
        <v>0</v>
      </c>
      <c r="L17" s="9">
        <f t="shared" si="9"/>
        <v>0</v>
      </c>
      <c r="M17">
        <f t="shared" si="0"/>
        <v>12.673048349434945</v>
      </c>
      <c r="N17">
        <f t="shared" si="10"/>
        <v>0</v>
      </c>
      <c r="O17">
        <f t="shared" si="24"/>
        <v>12.673048349434945</v>
      </c>
      <c r="P17">
        <f t="shared" si="22"/>
        <v>4.7951497583645635</v>
      </c>
      <c r="Q17" s="9">
        <f t="shared" si="1"/>
        <v>0.37837382342018488</v>
      </c>
      <c r="R17">
        <f>VLOOKUP($B$1,dictionary!$A$3:$K$51,3,FALSE)*Q17</f>
        <v>0</v>
      </c>
      <c r="S17">
        <f>VLOOKUP($B$1,dictionary!$A$3:$K$51,4,FALSE)*Q17</f>
        <v>0</v>
      </c>
      <c r="T17">
        <f>VLOOKUP($B$1,dictionary!$A$3:$K$51,5,FALSE)*Q17</f>
        <v>0.11351214702605546</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9.4593455855046221E-2</v>
      </c>
      <c r="Z17">
        <f>VLOOKUP($B$1,dictionary!$A$3:$K$51,11,FALSE)*Q17</f>
        <v>1.8918691171009246E-2</v>
      </c>
      <c r="AA17">
        <f t="shared" si="2"/>
        <v>7.8778985910703812</v>
      </c>
      <c r="AB17">
        <f t="shared" si="11"/>
        <v>7.8778985910703812</v>
      </c>
      <c r="AC17">
        <f t="shared" si="12"/>
        <v>0</v>
      </c>
      <c r="AD17">
        <f t="shared" si="3"/>
        <v>0</v>
      </c>
      <c r="AE17">
        <f t="shared" si="13"/>
        <v>0</v>
      </c>
      <c r="AF17">
        <f t="shared" si="14"/>
        <v>1.5983832527881878</v>
      </c>
      <c r="AG17">
        <f t="shared" si="15"/>
        <v>1.9180599033458254</v>
      </c>
      <c r="AH17">
        <f t="shared" si="16"/>
        <v>0</v>
      </c>
      <c r="AI17">
        <f t="shared" si="17"/>
        <v>0.25237630307181913</v>
      </c>
      <c r="AJ17">
        <f t="shared" si="18"/>
        <v>0</v>
      </c>
      <c r="AK17">
        <f t="shared" si="19"/>
        <v>1.1987874395911409</v>
      </c>
      <c r="AL17">
        <f t="shared" si="20"/>
        <v>0.10655888351921253</v>
      </c>
    </row>
    <row r="18" spans="1:38" x14ac:dyDescent="0.2">
      <c r="A18">
        <v>2035</v>
      </c>
      <c r="B18">
        <v>10</v>
      </c>
      <c r="C18">
        <f t="shared" si="21"/>
        <v>13.053547188871987</v>
      </c>
      <c r="D18">
        <f t="shared" si="23"/>
        <v>0.97718450493363029</v>
      </c>
      <c r="E18">
        <f t="shared" si="4"/>
        <v>0</v>
      </c>
      <c r="F18">
        <f t="shared" si="5"/>
        <v>0</v>
      </c>
      <c r="G18" s="9">
        <f t="shared" si="6"/>
        <v>7.4859690687499106E-2</v>
      </c>
      <c r="H18" s="9">
        <f t="shared" si="6"/>
        <v>0</v>
      </c>
      <c r="I18" s="9">
        <f t="shared" si="6"/>
        <v>0</v>
      </c>
      <c r="J18" s="9">
        <f t="shared" si="7"/>
        <v>9.7317597893748845E-3</v>
      </c>
      <c r="K18" s="9">
        <f t="shared" si="8"/>
        <v>0</v>
      </c>
      <c r="L18" s="9">
        <f t="shared" si="9"/>
        <v>0</v>
      </c>
      <c r="M18">
        <f t="shared" si="0"/>
        <v>12.926513203230614</v>
      </c>
      <c r="N18">
        <f t="shared" si="10"/>
        <v>0</v>
      </c>
      <c r="O18">
        <f t="shared" si="24"/>
        <v>12.926513203230614</v>
      </c>
      <c r="P18">
        <f t="shared" si="22"/>
        <v>6.3212337426378076</v>
      </c>
      <c r="Q18" s="9">
        <f t="shared" si="1"/>
        <v>0.48901305736940687</v>
      </c>
      <c r="R18">
        <f>VLOOKUP($B$1,dictionary!$A$3:$K$51,3,FALSE)*Q18</f>
        <v>0</v>
      </c>
      <c r="S18">
        <f>VLOOKUP($B$1,dictionary!$A$3:$K$51,4,FALSE)*Q18</f>
        <v>0</v>
      </c>
      <c r="T18">
        <f>VLOOKUP($B$1,dictionary!$A$3:$K$51,5,FALSE)*Q18</f>
        <v>0.14670391721082204</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0.12225326434235172</v>
      </c>
      <c r="Z18">
        <f>VLOOKUP($B$1,dictionary!$A$3:$K$51,11,FALSE)*Q18</f>
        <v>2.4450652868470344E-2</v>
      </c>
      <c r="AA18">
        <f t="shared" si="2"/>
        <v>6.6052794605928069</v>
      </c>
      <c r="AB18">
        <f t="shared" si="11"/>
        <v>6.6052794605928069</v>
      </c>
      <c r="AC18">
        <f t="shared" si="12"/>
        <v>0</v>
      </c>
      <c r="AD18">
        <f t="shared" si="3"/>
        <v>0</v>
      </c>
      <c r="AE18">
        <f t="shared" si="13"/>
        <v>0</v>
      </c>
      <c r="AF18">
        <f t="shared" si="14"/>
        <v>2.1070779142126024</v>
      </c>
      <c r="AG18">
        <f t="shared" si="15"/>
        <v>2.5284934970551234</v>
      </c>
      <c r="AH18">
        <f t="shared" si="16"/>
        <v>0</v>
      </c>
      <c r="AI18">
        <f t="shared" si="17"/>
        <v>0.33269651277041096</v>
      </c>
      <c r="AJ18">
        <f t="shared" si="18"/>
        <v>0</v>
      </c>
      <c r="AK18">
        <f t="shared" si="19"/>
        <v>1.5803084356594519</v>
      </c>
      <c r="AL18">
        <f t="shared" si="20"/>
        <v>0.14047186094750685</v>
      </c>
    </row>
    <row r="19" spans="1:38" x14ac:dyDescent="0.2">
      <c r="A19">
        <v>2036</v>
      </c>
      <c r="B19">
        <v>11</v>
      </c>
      <c r="C19">
        <f t="shared" si="21"/>
        <v>13.327671679838296</v>
      </c>
      <c r="D19">
        <f t="shared" si="23"/>
        <v>1.0969838326784913</v>
      </c>
      <c r="E19">
        <f t="shared" si="4"/>
        <v>0</v>
      </c>
      <c r="F19">
        <f t="shared" si="5"/>
        <v>0</v>
      </c>
      <c r="G19" s="9">
        <f t="shared" si="6"/>
        <v>8.230873771732955E-2</v>
      </c>
      <c r="H19" s="9">
        <f t="shared" si="6"/>
        <v>0</v>
      </c>
      <c r="I19" s="9">
        <f t="shared" si="6"/>
        <v>0</v>
      </c>
      <c r="J19" s="9">
        <f t="shared" si="7"/>
        <v>1.0700135903252842E-2</v>
      </c>
      <c r="K19" s="9">
        <f t="shared" si="8"/>
        <v>0</v>
      </c>
      <c r="L19" s="9">
        <f t="shared" si="9"/>
        <v>0</v>
      </c>
      <c r="M19">
        <f t="shared" si="0"/>
        <v>13.185063781590094</v>
      </c>
      <c r="N19">
        <f t="shared" si="10"/>
        <v>0</v>
      </c>
      <c r="O19">
        <f t="shared" si="24"/>
        <v>13.185063781590094</v>
      </c>
      <c r="P19">
        <f t="shared" si="22"/>
        <v>7.9064537078127639</v>
      </c>
      <c r="Q19" s="9">
        <f t="shared" si="1"/>
        <v>0.59965229131862874</v>
      </c>
      <c r="R19">
        <f>VLOOKUP($B$1,dictionary!$A$3:$K$51,3,FALSE)*Q19</f>
        <v>0</v>
      </c>
      <c r="S19">
        <f>VLOOKUP($B$1,dictionary!$A$3:$K$51,4,FALSE)*Q19</f>
        <v>0</v>
      </c>
      <c r="T19">
        <f>VLOOKUP($B$1,dictionary!$A$3:$K$51,5,FALSE)*Q19</f>
        <v>0.17989568739558862</v>
      </c>
      <c r="U19">
        <f>VLOOKUP($B$1,dictionary!$A$3:$K$51,6,FALSE)*Q19</f>
        <v>0.20987830196152005</v>
      </c>
      <c r="V19">
        <f>VLOOKUP($B$1,dictionary!$A$3:$K$51,7,FALSE)*Q19</f>
        <v>0</v>
      </c>
      <c r="W19">
        <f>VLOOKUP($B$1,dictionary!$A$3:$K$51,8,FALSE)*Q19</f>
        <v>2.9982614565931438E-2</v>
      </c>
      <c r="X19">
        <f>VLOOKUP($B$1,dictionary!$A$3:$K$51,9,FALSE)*Q19</f>
        <v>0</v>
      </c>
      <c r="Y19">
        <f>VLOOKUP($B$1,dictionary!$A$3:$K$51,10,FALSE)*Q19</f>
        <v>0.14991307282965718</v>
      </c>
      <c r="Z19">
        <f>VLOOKUP($B$1,dictionary!$A$3:$K$51,11,FALSE)*Q19</f>
        <v>2.9982614565931438E-2</v>
      </c>
      <c r="AA19">
        <f t="shared" si="2"/>
        <v>5.2786100737773296</v>
      </c>
      <c r="AB19">
        <f t="shared" si="11"/>
        <v>5.2786100737773296</v>
      </c>
      <c r="AC19">
        <f t="shared" si="12"/>
        <v>0</v>
      </c>
      <c r="AD19">
        <f t="shared" si="3"/>
        <v>0</v>
      </c>
      <c r="AE19">
        <f t="shared" si="13"/>
        <v>0</v>
      </c>
      <c r="AF19">
        <f t="shared" si="14"/>
        <v>2.6354845692709215</v>
      </c>
      <c r="AG19">
        <f t="shared" si="15"/>
        <v>3.1625814831251056</v>
      </c>
      <c r="AH19">
        <f t="shared" si="16"/>
        <v>0</v>
      </c>
      <c r="AI19">
        <f t="shared" si="17"/>
        <v>0.41612914251646121</v>
      </c>
      <c r="AJ19">
        <f t="shared" si="18"/>
        <v>0</v>
      </c>
      <c r="AK19">
        <f t="shared" si="19"/>
        <v>1.9766134269531908</v>
      </c>
      <c r="AL19">
        <f t="shared" si="20"/>
        <v>0.17569897128472811</v>
      </c>
    </row>
    <row r="20" spans="1:38" x14ac:dyDescent="0.2">
      <c r="A20">
        <v>2037</v>
      </c>
      <c r="B20">
        <v>12</v>
      </c>
      <c r="C20">
        <f t="shared" si="21"/>
        <v>13.607552785114899</v>
      </c>
      <c r="D20">
        <f t="shared" si="23"/>
        <v>1.2211112368654078</v>
      </c>
      <c r="E20">
        <f t="shared" si="4"/>
        <v>0</v>
      </c>
      <c r="F20">
        <f t="shared" si="5"/>
        <v>0</v>
      </c>
      <c r="G20" s="9">
        <f t="shared" si="6"/>
        <v>8.9737754918074855E-2</v>
      </c>
      <c r="H20" s="9">
        <f t="shared" si="6"/>
        <v>0</v>
      </c>
      <c r="I20" s="9">
        <f t="shared" si="6"/>
        <v>0</v>
      </c>
      <c r="J20" s="9">
        <f t="shared" si="7"/>
        <v>1.1665908139349732E-2</v>
      </c>
      <c r="K20" s="9">
        <f t="shared" si="8"/>
        <v>0</v>
      </c>
      <c r="L20" s="9">
        <f t="shared" si="9"/>
        <v>0</v>
      </c>
      <c r="M20">
        <f t="shared" si="0"/>
        <v>13.448808324322396</v>
      </c>
      <c r="N20">
        <f t="shared" si="10"/>
        <v>0</v>
      </c>
      <c r="O20">
        <f t="shared" si="24"/>
        <v>13.448808324322396</v>
      </c>
      <c r="P20">
        <f>IF($I$3=0,0,M20/(1+EXP(-$I$3*(B20-$J$3)))-M20/(1+EXP($I$3*$J$3)))</f>
        <v>9.413662303566845</v>
      </c>
      <c r="Q20" s="9">
        <f t="shared" si="1"/>
        <v>0.6999625599944107</v>
      </c>
      <c r="R20">
        <f>VLOOKUP($B$1,dictionary!$A$3:$K$51,3,FALSE)*Q20</f>
        <v>0</v>
      </c>
      <c r="S20">
        <f>VLOOKUP($B$1,dictionary!$A$3:$K$51,4,FALSE)*Q20</f>
        <v>0</v>
      </c>
      <c r="T20">
        <f>VLOOKUP($B$1,dictionary!$A$3:$K$51,5,FALSE)*Q20</f>
        <v>0.20998876799832319</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0.17499063999860268</v>
      </c>
      <c r="Z20">
        <f>VLOOKUP($B$1,dictionary!$A$3:$K$51,11,FALSE)*Q20</f>
        <v>3.4998127999720539E-2</v>
      </c>
      <c r="AA20">
        <f t="shared" si="2"/>
        <v>4.0351460207555512</v>
      </c>
      <c r="AB20">
        <f t="shared" si="11"/>
        <v>4.0351460207555512</v>
      </c>
      <c r="AC20">
        <f t="shared" si="12"/>
        <v>0</v>
      </c>
      <c r="AD20">
        <f t="shared" si="3"/>
        <v>0</v>
      </c>
      <c r="AE20">
        <f t="shared" si="13"/>
        <v>0</v>
      </c>
      <c r="AF20">
        <f t="shared" si="14"/>
        <v>3.1378874345222818</v>
      </c>
      <c r="AG20">
        <f t="shared" si="15"/>
        <v>3.7654649214267386</v>
      </c>
      <c r="AH20">
        <f t="shared" si="16"/>
        <v>0</v>
      </c>
      <c r="AI20">
        <f t="shared" si="17"/>
        <v>0.49545591071404455</v>
      </c>
      <c r="AJ20">
        <f t="shared" si="18"/>
        <v>0</v>
      </c>
      <c r="AK20">
        <f t="shared" si="19"/>
        <v>2.3534155758917112</v>
      </c>
      <c r="AL20">
        <f t="shared" si="20"/>
        <v>0.20919249563481881</v>
      </c>
    </row>
    <row r="21" spans="1:38" x14ac:dyDescent="0.2">
      <c r="A21">
        <v>2038</v>
      </c>
      <c r="B21">
        <v>13</v>
      </c>
      <c r="C21">
        <f t="shared" si="21"/>
        <v>13.89331139360231</v>
      </c>
      <c r="D21">
        <f t="shared" si="23"/>
        <v>1.3496448204925526</v>
      </c>
      <c r="E21">
        <f t="shared" si="4"/>
        <v>0</v>
      </c>
      <c r="F21">
        <f t="shared" si="5"/>
        <v>0</v>
      </c>
      <c r="G21" s="9">
        <f t="shared" si="6"/>
        <v>9.7143494610942543E-2</v>
      </c>
      <c r="H21" s="9">
        <f t="shared" si="6"/>
        <v>0</v>
      </c>
      <c r="I21" s="9">
        <f t="shared" si="6"/>
        <v>0</v>
      </c>
      <c r="J21" s="9">
        <f t="shared" si="7"/>
        <v>1.2628654299422531E-2</v>
      </c>
      <c r="K21" s="9">
        <f t="shared" si="8"/>
        <v>0</v>
      </c>
      <c r="L21" s="9">
        <f t="shared" si="9"/>
        <v>0</v>
      </c>
      <c r="M21">
        <f t="shared" si="0"/>
        <v>13.71785756693828</v>
      </c>
      <c r="N21">
        <f t="shared" si="10"/>
        <v>0</v>
      </c>
      <c r="O21">
        <f t="shared" si="24"/>
        <v>13.71785756693828</v>
      </c>
      <c r="P21">
        <f t="shared" si="22"/>
        <v>10.743039815217658</v>
      </c>
      <c r="Q21" s="9">
        <f t="shared" si="1"/>
        <v>0.78314268556845956</v>
      </c>
      <c r="R21">
        <f>VLOOKUP($B$1,dictionary!$A$3:$K$51,3,FALSE)*Q21</f>
        <v>0</v>
      </c>
      <c r="S21">
        <f>VLOOKUP($B$1,dictionary!$A$3:$K$51,4,FALSE)*Q21</f>
        <v>0</v>
      </c>
      <c r="T21">
        <f>VLOOKUP($B$1,dictionary!$A$3:$K$51,5,FALSE)*Q21</f>
        <v>0.23494280567053785</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0.19578567139211489</v>
      </c>
      <c r="Z21">
        <f>VLOOKUP($B$1,dictionary!$A$3:$K$51,11,FALSE)*Q21</f>
        <v>3.9157134278422982E-2</v>
      </c>
      <c r="AA21">
        <f t="shared" si="2"/>
        <v>2.9748177517206216</v>
      </c>
      <c r="AB21">
        <f t="shared" si="11"/>
        <v>2.9748177517206216</v>
      </c>
      <c r="AC21">
        <f t="shared" si="12"/>
        <v>0</v>
      </c>
      <c r="AD21">
        <f t="shared" si="3"/>
        <v>0</v>
      </c>
      <c r="AE21">
        <f t="shared" si="13"/>
        <v>0</v>
      </c>
      <c r="AF21">
        <f t="shared" si="14"/>
        <v>3.5810132717392196</v>
      </c>
      <c r="AG21">
        <f t="shared" si="15"/>
        <v>4.2972159260870635</v>
      </c>
      <c r="AH21">
        <f t="shared" si="16"/>
        <v>0</v>
      </c>
      <c r="AI21">
        <f t="shared" si="17"/>
        <v>0.56542314816935058</v>
      </c>
      <c r="AJ21">
        <f t="shared" si="18"/>
        <v>0</v>
      </c>
      <c r="AK21">
        <f t="shared" si="19"/>
        <v>2.6857599538044146</v>
      </c>
      <c r="AL21">
        <f t="shared" si="20"/>
        <v>0.23873421811594803</v>
      </c>
    </row>
    <row r="22" spans="1:38" x14ac:dyDescent="0.2">
      <c r="A22">
        <v>2039</v>
      </c>
      <c r="B22">
        <v>14</v>
      </c>
      <c r="C22">
        <f t="shared" si="21"/>
        <v>14.185070932867959</v>
      </c>
      <c r="D22">
        <f t="shared" si="23"/>
        <v>1.4826626272345038</v>
      </c>
      <c r="E22">
        <f t="shared" si="4"/>
        <v>0</v>
      </c>
      <c r="F22">
        <f t="shared" si="5"/>
        <v>0</v>
      </c>
      <c r="G22" s="9">
        <f t="shared" si="6"/>
        <v>0.10452275030920391</v>
      </c>
      <c r="H22" s="9">
        <f t="shared" si="6"/>
        <v>0</v>
      </c>
      <c r="I22" s="9">
        <f t="shared" si="6"/>
        <v>0</v>
      </c>
      <c r="J22" s="9">
        <f t="shared" si="7"/>
        <v>1.3587957540196509E-2</v>
      </c>
      <c r="K22" s="9">
        <f t="shared" si="8"/>
        <v>0</v>
      </c>
      <c r="L22" s="9">
        <f t="shared" si="9"/>
        <v>0</v>
      </c>
      <c r="M22">
        <f t="shared" si="0"/>
        <v>13.992324791327473</v>
      </c>
      <c r="N22">
        <f t="shared" si="10"/>
        <v>0</v>
      </c>
      <c r="O22">
        <f t="shared" si="24"/>
        <v>13.992324791327473</v>
      </c>
      <c r="P22">
        <f t="shared" si="22"/>
        <v>11.853765749493235</v>
      </c>
      <c r="Q22" s="9">
        <f t="shared" si="1"/>
        <v>0.8471619924689191</v>
      </c>
      <c r="R22">
        <f>VLOOKUP($B$1,dictionary!$A$3:$K$51,3,FALSE)*Q22</f>
        <v>0</v>
      </c>
      <c r="S22">
        <f>VLOOKUP($B$1,dictionary!$A$3:$K$51,4,FALSE)*Q22</f>
        <v>0</v>
      </c>
      <c r="T22">
        <f>VLOOKUP($B$1,dictionary!$A$3:$K$51,5,FALSE)*Q22</f>
        <v>0.25414859774067572</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0.21179049811722978</v>
      </c>
      <c r="Z22">
        <f>VLOOKUP($B$1,dictionary!$A$3:$K$51,11,FALSE)*Q22</f>
        <v>4.2358099623445958E-2</v>
      </c>
      <c r="AA22">
        <f t="shared" si="2"/>
        <v>2.1385590418342382</v>
      </c>
      <c r="AB22">
        <f t="shared" si="11"/>
        <v>2.1385590418342382</v>
      </c>
      <c r="AC22">
        <f t="shared" si="12"/>
        <v>0</v>
      </c>
      <c r="AD22">
        <f t="shared" si="3"/>
        <v>0</v>
      </c>
      <c r="AE22">
        <f t="shared" si="13"/>
        <v>0</v>
      </c>
      <c r="AF22">
        <f t="shared" si="14"/>
        <v>3.9512552498310782</v>
      </c>
      <c r="AG22">
        <f t="shared" si="15"/>
        <v>4.7415062997972948</v>
      </c>
      <c r="AH22">
        <f t="shared" si="16"/>
        <v>0</v>
      </c>
      <c r="AI22">
        <f t="shared" si="17"/>
        <v>0.62388240786806493</v>
      </c>
      <c r="AJ22">
        <f t="shared" si="18"/>
        <v>0</v>
      </c>
      <c r="AK22">
        <f t="shared" si="19"/>
        <v>2.9634414373733087</v>
      </c>
      <c r="AL22">
        <f t="shared" si="20"/>
        <v>0.26341701665540523</v>
      </c>
    </row>
    <row r="23" spans="1:38" x14ac:dyDescent="0.2">
      <c r="A23">
        <v>2040</v>
      </c>
      <c r="B23">
        <v>15</v>
      </c>
      <c r="C23">
        <f t="shared" si="21"/>
        <v>14.482957422458185</v>
      </c>
      <c r="D23">
        <f t="shared" si="23"/>
        <v>1.620242657846604</v>
      </c>
      <c r="E23">
        <f t="shared" si="4"/>
        <v>0</v>
      </c>
      <c r="F23">
        <f t="shared" si="5"/>
        <v>0</v>
      </c>
      <c r="G23" s="9">
        <f t="shared" si="6"/>
        <v>0.11187236215540852</v>
      </c>
      <c r="H23" s="9">
        <f t="shared" si="6"/>
        <v>0</v>
      </c>
      <c r="I23" s="9">
        <f t="shared" si="6"/>
        <v>0</v>
      </c>
      <c r="J23" s="9">
        <f t="shared" si="7"/>
        <v>1.4543407080203108E-2</v>
      </c>
      <c r="K23" s="9">
        <f t="shared" si="8"/>
        <v>0</v>
      </c>
      <c r="L23" s="9">
        <f t="shared" si="9"/>
        <v>0</v>
      </c>
      <c r="M23">
        <f t="shared" si="0"/>
        <v>14.272325876938126</v>
      </c>
      <c r="N23">
        <f t="shared" si="10"/>
        <v>0</v>
      </c>
      <c r="O23">
        <f t="shared" si="24"/>
        <v>14.272325876938126</v>
      </c>
      <c r="P23">
        <f t="shared" si="22"/>
        <v>12.754658016091314</v>
      </c>
      <c r="Q23" s="9">
        <f t="shared" si="1"/>
        <v>0.89366359247029747</v>
      </c>
      <c r="R23">
        <f>VLOOKUP($B$1,dictionary!$A$3:$K$51,3,FALSE)*Q23</f>
        <v>0</v>
      </c>
      <c r="S23">
        <f>VLOOKUP($B$1,dictionary!$A$3:$K$51,4,FALSE)*Q23</f>
        <v>0</v>
      </c>
      <c r="T23">
        <f>VLOOKUP($B$1,dictionary!$A$3:$K$51,5,FALSE)*Q23</f>
        <v>0.26809907774108921</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0.22341589811757437</v>
      </c>
      <c r="Z23">
        <f>VLOOKUP($B$1,dictionary!$A$3:$K$51,11,FALSE)*Q23</f>
        <v>4.4683179623514875E-2</v>
      </c>
      <c r="AA23">
        <f t="shared" si="2"/>
        <v>1.5176678608468119</v>
      </c>
      <c r="AB23">
        <f t="shared" si="11"/>
        <v>1.5176678608468119</v>
      </c>
      <c r="AC23">
        <f t="shared" si="12"/>
        <v>0</v>
      </c>
      <c r="AD23">
        <f t="shared" si="3"/>
        <v>0</v>
      </c>
      <c r="AE23">
        <f t="shared" si="13"/>
        <v>0</v>
      </c>
      <c r="AF23">
        <f t="shared" si="14"/>
        <v>4.2515526720304377</v>
      </c>
      <c r="AG23">
        <f t="shared" si="15"/>
        <v>5.1018632064365264</v>
      </c>
      <c r="AH23">
        <f t="shared" si="16"/>
        <v>0</v>
      </c>
      <c r="AI23">
        <f t="shared" si="17"/>
        <v>0.67129779032059556</v>
      </c>
      <c r="AJ23">
        <f t="shared" si="18"/>
        <v>0</v>
      </c>
      <c r="AK23">
        <f t="shared" si="19"/>
        <v>3.1886645040228285</v>
      </c>
      <c r="AL23">
        <f t="shared" si="20"/>
        <v>0.28343684480202924</v>
      </c>
    </row>
    <row r="24" spans="1:38" x14ac:dyDescent="0.2">
      <c r="A24">
        <v>2041</v>
      </c>
      <c r="B24">
        <v>16</v>
      </c>
      <c r="C24">
        <f t="shared" si="21"/>
        <v>14.787099528329806</v>
      </c>
      <c r="D24">
        <f t="shared" si="23"/>
        <v>1.762462891162472</v>
      </c>
      <c r="E24">
        <f t="shared" si="4"/>
        <v>0</v>
      </c>
      <c r="F24">
        <f t="shared" si="5"/>
        <v>0</v>
      </c>
      <c r="G24" s="9">
        <f t="shared" si="6"/>
        <v>0.11918922218558578</v>
      </c>
      <c r="H24" s="9">
        <f t="shared" si="6"/>
        <v>0</v>
      </c>
      <c r="I24" s="9">
        <f t="shared" si="6"/>
        <v>0</v>
      </c>
      <c r="J24" s="9">
        <f t="shared" si="7"/>
        <v>1.5494598884126153E-2</v>
      </c>
      <c r="K24" s="9">
        <f t="shared" si="8"/>
        <v>0</v>
      </c>
      <c r="L24" s="9">
        <f t="shared" si="9"/>
        <v>0</v>
      </c>
      <c r="M24">
        <f t="shared" si="0"/>
        <v>14.557979352478684</v>
      </c>
      <c r="N24">
        <f t="shared" si="10"/>
        <v>0</v>
      </c>
      <c r="O24">
        <f t="shared" si="24"/>
        <v>14.557979352478684</v>
      </c>
      <c r="P24">
        <f t="shared" si="22"/>
        <v>13.481266851281598</v>
      </c>
      <c r="Q24" s="9">
        <f t="shared" si="1"/>
        <v>0.92603970131241042</v>
      </c>
      <c r="R24">
        <f>VLOOKUP($B$1,dictionary!$A$3:$K$51,3,FALSE)*Q24</f>
        <v>0</v>
      </c>
      <c r="S24">
        <f>VLOOKUP($B$1,dictionary!$A$3:$K$51,4,FALSE)*Q24</f>
        <v>0</v>
      </c>
      <c r="T24">
        <f>VLOOKUP($B$1,dictionary!$A$3:$K$51,5,FALSE)*Q24</f>
        <v>0.2778119103937231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0.23150992532810261</v>
      </c>
      <c r="Z24">
        <f>VLOOKUP($B$1,dictionary!$A$3:$K$51,11,FALSE)*Q24</f>
        <v>4.6301985065620527E-2</v>
      </c>
      <c r="AA24">
        <f t="shared" si="2"/>
        <v>1.0767125011970862</v>
      </c>
      <c r="AB24">
        <f t="shared" si="11"/>
        <v>1.0767125011970862</v>
      </c>
      <c r="AC24">
        <f t="shared" si="12"/>
        <v>0</v>
      </c>
      <c r="AD24">
        <f t="shared" si="3"/>
        <v>0</v>
      </c>
      <c r="AE24">
        <f t="shared" si="13"/>
        <v>0</v>
      </c>
      <c r="AF24">
        <f t="shared" si="14"/>
        <v>4.493755617093866</v>
      </c>
      <c r="AG24">
        <f t="shared" si="15"/>
        <v>5.3925067405126397</v>
      </c>
      <c r="AH24">
        <f t="shared" si="16"/>
        <v>0</v>
      </c>
      <c r="AI24">
        <f t="shared" si="17"/>
        <v>0.70954036059376835</v>
      </c>
      <c r="AJ24">
        <f t="shared" si="18"/>
        <v>0</v>
      </c>
      <c r="AK24">
        <f t="shared" si="19"/>
        <v>3.3703167128203995</v>
      </c>
      <c r="AL24">
        <f t="shared" si="20"/>
        <v>0.29958370780625776</v>
      </c>
    </row>
    <row r="25" spans="1:38" x14ac:dyDescent="0.2">
      <c r="A25">
        <v>2042</v>
      </c>
      <c r="B25">
        <v>17</v>
      </c>
      <c r="C25">
        <f t="shared" si="21"/>
        <v>15.09762861842473</v>
      </c>
      <c r="D25">
        <f t="shared" si="23"/>
        <v>1.9094013096860669</v>
      </c>
      <c r="E25">
        <f t="shared" si="4"/>
        <v>0</v>
      </c>
      <c r="F25">
        <f t="shared" si="5"/>
        <v>0</v>
      </c>
      <c r="G25" s="9">
        <f t="shared" si="6"/>
        <v>0.12647027940241465</v>
      </c>
      <c r="H25" s="9">
        <f t="shared" si="6"/>
        <v>0</v>
      </c>
      <c r="I25" s="9">
        <f t="shared" si="6"/>
        <v>0</v>
      </c>
      <c r="J25" s="9">
        <f t="shared" si="7"/>
        <v>1.6441136322313903E-2</v>
      </c>
      <c r="K25" s="9">
        <f t="shared" si="8"/>
        <v>0</v>
      </c>
      <c r="L25" s="9">
        <f t="shared" si="9"/>
        <v>0</v>
      </c>
      <c r="M25">
        <f t="shared" si="0"/>
        <v>14.849406448165542</v>
      </c>
      <c r="N25">
        <f t="shared" si="10"/>
        <v>0</v>
      </c>
      <c r="O25">
        <f t="shared" si="24"/>
        <v>14.849406448165542</v>
      </c>
      <c r="P25">
        <f>IF($I$3=0,0,M25/(1+EXP(-$I$3*(B25-$J$3)))-M25/(1+EXP($I$3*$J$3)))</f>
        <v>14.076075779947837</v>
      </c>
      <c r="Q25" s="9">
        <f t="shared" si="1"/>
        <v>0.94792177916894182</v>
      </c>
      <c r="R25">
        <f>VLOOKUP($B$1,dictionary!$A$3:$K$51,3,FALSE)*Q25</f>
        <v>0</v>
      </c>
      <c r="S25">
        <f>VLOOKUP($B$1,dictionary!$A$3:$K$51,4,FALSE)*Q25</f>
        <v>0</v>
      </c>
      <c r="T25">
        <f>VLOOKUP($B$1,dictionary!$A$3:$K$51,5,FALSE)*Q25</f>
        <v>0.28437653375068256</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0.23698044479223546</v>
      </c>
      <c r="Z25">
        <f>VLOOKUP($B$1,dictionary!$A$3:$K$51,11,FALSE)*Q25</f>
        <v>4.7396088958447095E-2</v>
      </c>
      <c r="AA25">
        <f t="shared" si="2"/>
        <v>0.7733306682177048</v>
      </c>
      <c r="AB25">
        <f t="shared" si="11"/>
        <v>0.7733306682177048</v>
      </c>
      <c r="AC25">
        <f t="shared" si="12"/>
        <v>0</v>
      </c>
      <c r="AD25">
        <f t="shared" si="3"/>
        <v>0</v>
      </c>
      <c r="AE25">
        <f t="shared" si="13"/>
        <v>0</v>
      </c>
      <c r="AF25">
        <f t="shared" si="14"/>
        <v>4.6920252599826124</v>
      </c>
      <c r="AG25">
        <f t="shared" si="15"/>
        <v>5.6304303119791355</v>
      </c>
      <c r="AH25">
        <f t="shared" si="16"/>
        <v>0</v>
      </c>
      <c r="AI25">
        <f t="shared" si="17"/>
        <v>0.74084609368146515</v>
      </c>
      <c r="AJ25">
        <f t="shared" si="18"/>
        <v>0</v>
      </c>
      <c r="AK25">
        <f t="shared" si="19"/>
        <v>3.5190189449869593</v>
      </c>
      <c r="AL25">
        <f t="shared" si="20"/>
        <v>0.3128016839988409</v>
      </c>
    </row>
    <row r="26" spans="1:38" x14ac:dyDescent="0.2">
      <c r="A26">
        <v>2043</v>
      </c>
      <c r="B26">
        <v>18</v>
      </c>
      <c r="C26">
        <f t="shared" si="21"/>
        <v>15.414678819411648</v>
      </c>
      <c r="D26">
        <f t="shared" si="23"/>
        <v>2.0611359297601259</v>
      </c>
      <c r="E26">
        <f t="shared" si="4"/>
        <v>0</v>
      </c>
      <c r="F26">
        <f t="shared" si="5"/>
        <v>0</v>
      </c>
      <c r="G26" s="9">
        <f t="shared" si="6"/>
        <v>0.13371254464053736</v>
      </c>
      <c r="H26" s="9">
        <f t="shared" si="6"/>
        <v>0</v>
      </c>
      <c r="I26" s="9">
        <f t="shared" si="6"/>
        <v>0</v>
      </c>
      <c r="J26" s="9">
        <f t="shared" si="7"/>
        <v>1.7382630803269856E-2</v>
      </c>
      <c r="K26" s="9">
        <f t="shared" si="8"/>
        <v>0</v>
      </c>
      <c r="L26" s="9">
        <f t="shared" si="9"/>
        <v>0</v>
      </c>
      <c r="M26">
        <f t="shared" si="0"/>
        <v>15.146731148542832</v>
      </c>
      <c r="N26">
        <f t="shared" si="10"/>
        <v>0</v>
      </c>
      <c r="O26">
        <f t="shared" si="24"/>
        <v>15.146731148542832</v>
      </c>
      <c r="P26">
        <f t="shared" si="22"/>
        <v>14.577457371304465</v>
      </c>
      <c r="Q26" s="9">
        <f t="shared" si="1"/>
        <v>0.96241606379254097</v>
      </c>
      <c r="R26">
        <f>VLOOKUP($B$1,dictionary!$A$3:$K$51,3,FALSE)*Q26</f>
        <v>0</v>
      </c>
      <c r="S26">
        <f>VLOOKUP($B$1,dictionary!$A$3:$K$51,4,FALSE)*Q26</f>
        <v>0</v>
      </c>
      <c r="T26">
        <f>VLOOKUP($B$1,dictionary!$A$3:$K$51,5,FALSE)*Q26</f>
        <v>0.28872481913776227</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0.24060401594813524</v>
      </c>
      <c r="Z26">
        <f>VLOOKUP($B$1,dictionary!$A$3:$K$51,11,FALSE)*Q26</f>
        <v>4.8120803189627054E-2</v>
      </c>
      <c r="AA26">
        <f t="shared" si="2"/>
        <v>0.56927377723836692</v>
      </c>
      <c r="AB26">
        <f t="shared" si="11"/>
        <v>0.56927377723836692</v>
      </c>
      <c r="AC26">
        <f t="shared" si="12"/>
        <v>0</v>
      </c>
      <c r="AD26">
        <f t="shared" si="3"/>
        <v>0</v>
      </c>
      <c r="AE26">
        <f t="shared" si="13"/>
        <v>0</v>
      </c>
      <c r="AF26">
        <f t="shared" si="14"/>
        <v>4.859152457101489</v>
      </c>
      <c r="AG26">
        <f t="shared" si="15"/>
        <v>5.8309829485217861</v>
      </c>
      <c r="AH26">
        <f t="shared" si="16"/>
        <v>0</v>
      </c>
      <c r="AI26">
        <f t="shared" si="17"/>
        <v>0.76723459848970876</v>
      </c>
      <c r="AJ26">
        <f t="shared" si="18"/>
        <v>0</v>
      </c>
      <c r="AK26">
        <f t="shared" si="19"/>
        <v>3.6443643428261163</v>
      </c>
      <c r="AL26">
        <f t="shared" si="20"/>
        <v>0.32394349714009929</v>
      </c>
    </row>
    <row r="27" spans="1:38" x14ac:dyDescent="0.2">
      <c r="A27">
        <v>2044</v>
      </c>
      <c r="B27">
        <v>19</v>
      </c>
      <c r="C27">
        <f t="shared" si="21"/>
        <v>15.738387074619292</v>
      </c>
      <c r="D27">
        <f t="shared" si="23"/>
        <v>2.217744836273674</v>
      </c>
      <c r="E27">
        <f t="shared" si="4"/>
        <v>0</v>
      </c>
      <c r="F27">
        <f t="shared" si="5"/>
        <v>0</v>
      </c>
      <c r="G27" s="9">
        <f t="shared" si="6"/>
        <v>0.14091309520847586</v>
      </c>
      <c r="H27" s="9">
        <f t="shared" si="6"/>
        <v>0</v>
      </c>
      <c r="I27" s="9">
        <f t="shared" si="6"/>
        <v>0</v>
      </c>
      <c r="J27" s="9">
        <f t="shared" si="7"/>
        <v>1.8318702377101863E-2</v>
      </c>
      <c r="K27" s="9">
        <f t="shared" si="8"/>
        <v>0</v>
      </c>
      <c r="L27" s="9">
        <f t="shared" si="9"/>
        <v>0</v>
      </c>
      <c r="M27">
        <f t="shared" si="0"/>
        <v>15.450080245903713</v>
      </c>
      <c r="N27">
        <f t="shared" si="10"/>
        <v>0</v>
      </c>
      <c r="O27">
        <f t="shared" si="24"/>
        <v>15.450080245903713</v>
      </c>
      <c r="P27">
        <f t="shared" si="22"/>
        <v>15.015763411742386</v>
      </c>
      <c r="Q27" s="9">
        <f t="shared" si="1"/>
        <v>0.97188902405367905</v>
      </c>
      <c r="R27">
        <f>VLOOKUP($B$1,dictionary!$A$3:$K$51,3,FALSE)*Q27</f>
        <v>0</v>
      </c>
      <c r="S27">
        <f>VLOOKUP($B$1,dictionary!$A$3:$K$51,4,FALSE)*Q27</f>
        <v>0</v>
      </c>
      <c r="T27">
        <f>VLOOKUP($B$1,dictionary!$A$3:$K$51,5,FALSE)*Q27</f>
        <v>0.29156670721610373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0.24297225601341976</v>
      </c>
      <c r="Z27">
        <f>VLOOKUP($B$1,dictionary!$A$3:$K$51,11,FALSE)*Q27</f>
        <v>4.8594451202683957E-2</v>
      </c>
      <c r="AA27">
        <f t="shared" si="2"/>
        <v>0.43431683416132749</v>
      </c>
      <c r="AB27">
        <f t="shared" si="11"/>
        <v>0.43431683416132749</v>
      </c>
      <c r="AC27">
        <f t="shared" si="12"/>
        <v>0</v>
      </c>
      <c r="AD27">
        <f t="shared" si="3"/>
        <v>0</v>
      </c>
      <c r="AE27">
        <f t="shared" si="13"/>
        <v>0</v>
      </c>
      <c r="AF27">
        <f t="shared" si="14"/>
        <v>5.0052544705807955</v>
      </c>
      <c r="AG27">
        <f t="shared" si="15"/>
        <v>6.0063053646969546</v>
      </c>
      <c r="AH27">
        <f t="shared" si="16"/>
        <v>0</v>
      </c>
      <c r="AI27">
        <f t="shared" si="17"/>
        <v>0.7903033374601256</v>
      </c>
      <c r="AJ27">
        <f t="shared" si="18"/>
        <v>0</v>
      </c>
      <c r="AK27">
        <f t="shared" si="19"/>
        <v>3.7539408529355964</v>
      </c>
      <c r="AL27">
        <f t="shared" si="20"/>
        <v>0.33368363137205304</v>
      </c>
    </row>
    <row r="28" spans="1:38" x14ac:dyDescent="0.2">
      <c r="A28">
        <v>2045</v>
      </c>
      <c r="B28">
        <v>20</v>
      </c>
      <c r="C28">
        <f t="shared" si="21"/>
        <v>16.068893203186295</v>
      </c>
      <c r="D28">
        <f t="shared" si="23"/>
        <v>2.3793062218528833</v>
      </c>
      <c r="E28">
        <f t="shared" si="4"/>
        <v>0</v>
      </c>
      <c r="F28">
        <f t="shared" si="5"/>
        <v>0</v>
      </c>
      <c r="G28" s="9">
        <f t="shared" si="6"/>
        <v>0.14806907929297156</v>
      </c>
      <c r="H28" s="9">
        <f t="shared" si="6"/>
        <v>0</v>
      </c>
      <c r="I28" s="9">
        <f t="shared" si="6"/>
        <v>0</v>
      </c>
      <c r="J28" s="9">
        <f t="shared" si="7"/>
        <v>1.9248980308086302E-2</v>
      </c>
      <c r="K28" s="9">
        <f t="shared" si="8"/>
        <v>0</v>
      </c>
      <c r="L28" s="9">
        <f t="shared" si="9"/>
        <v>0</v>
      </c>
      <c r="M28">
        <f t="shared" si="0"/>
        <v>15.759583394345421</v>
      </c>
      <c r="N28">
        <f t="shared" si="10"/>
        <v>0</v>
      </c>
      <c r="O28">
        <f t="shared" si="24"/>
        <v>15.759583394345421</v>
      </c>
      <c r="P28">
        <f t="shared" si="22"/>
        <v>15.413284117073978</v>
      </c>
      <c r="Q28" s="9">
        <f t="shared" si="1"/>
        <v>0.97802611473881373</v>
      </c>
      <c r="R28">
        <f>VLOOKUP($B$1,dictionary!$A$3:$K$51,3,FALSE)*Q28</f>
        <v>0</v>
      </c>
      <c r="S28">
        <f>VLOOKUP($B$1,dictionary!$A$3:$K$51,4,FALSE)*Q28</f>
        <v>0</v>
      </c>
      <c r="T28">
        <f>VLOOKUP($B$1,dictionary!$A$3:$K$51,5,FALSE)*Q28</f>
        <v>0.29340783442164409</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0.24450652868470343</v>
      </c>
      <c r="Z28">
        <f>VLOOKUP($B$1,dictionary!$A$3:$K$51,11,FALSE)*Q28</f>
        <v>4.8901305736940688E-2</v>
      </c>
      <c r="AA28">
        <f t="shared" si="2"/>
        <v>0.34629927727144327</v>
      </c>
      <c r="AB28">
        <f t="shared" si="11"/>
        <v>0.34629927727144327</v>
      </c>
      <c r="AC28">
        <f t="shared" si="12"/>
        <v>0</v>
      </c>
      <c r="AD28">
        <f t="shared" si="3"/>
        <v>0</v>
      </c>
      <c r="AE28">
        <f t="shared" si="13"/>
        <v>0</v>
      </c>
      <c r="AF28">
        <f t="shared" si="14"/>
        <v>5.1377613723579927</v>
      </c>
      <c r="AG28">
        <f t="shared" si="15"/>
        <v>6.165313646829591</v>
      </c>
      <c r="AH28">
        <f t="shared" si="16"/>
        <v>0</v>
      </c>
      <c r="AI28">
        <f t="shared" si="17"/>
        <v>0.81122547984599891</v>
      </c>
      <c r="AJ28">
        <f t="shared" si="18"/>
        <v>0</v>
      </c>
      <c r="AK28">
        <f t="shared" si="19"/>
        <v>3.8533210292684945</v>
      </c>
      <c r="AL28">
        <f t="shared" si="20"/>
        <v>0.34251742482386627</v>
      </c>
    </row>
    <row r="29" spans="1:38" x14ac:dyDescent="0.2">
      <c r="A29">
        <v>2046</v>
      </c>
      <c r="B29">
        <v>21</v>
      </c>
      <c r="C29">
        <f t="shared" si="21"/>
        <v>16.406339960453206</v>
      </c>
      <c r="D29">
        <f t="shared" si="23"/>
        <v>2.5458984304619099</v>
      </c>
      <c r="E29">
        <f t="shared" si="4"/>
        <v>0</v>
      </c>
      <c r="F29">
        <f t="shared" si="5"/>
        <v>0</v>
      </c>
      <c r="G29" s="9">
        <f t="shared" si="6"/>
        <v>0.15517772011299846</v>
      </c>
      <c r="H29" s="9">
        <f t="shared" si="6"/>
        <v>0</v>
      </c>
      <c r="I29" s="9">
        <f t="shared" si="6"/>
        <v>0</v>
      </c>
      <c r="J29" s="9">
        <f t="shared" si="7"/>
        <v>2.01731036146898E-2</v>
      </c>
      <c r="K29" s="9">
        <f t="shared" si="8"/>
        <v>0</v>
      </c>
      <c r="L29" s="9">
        <f t="shared" si="9"/>
        <v>0</v>
      </c>
      <c r="M29">
        <f t="shared" si="0"/>
        <v>16.075373164493158</v>
      </c>
      <c r="N29">
        <f t="shared" si="10"/>
        <v>0</v>
      </c>
      <c r="O29">
        <f t="shared" si="24"/>
        <v>16.075373164493158</v>
      </c>
      <c r="P29">
        <f t="shared" si="22"/>
        <v>15.785686423567961</v>
      </c>
      <c r="Q29" s="9">
        <f t="shared" si="1"/>
        <v>0.98197947021441168</v>
      </c>
      <c r="R29">
        <f>VLOOKUP($B$1,dictionary!$A$3:$K$51,3,FALSE)*Q29</f>
        <v>0</v>
      </c>
      <c r="S29">
        <f>VLOOKUP($B$1,dictionary!$A$3:$K$51,4,FALSE)*Q29</f>
        <v>0</v>
      </c>
      <c r="T29">
        <f>VLOOKUP($B$1,dictionary!$A$3:$K$51,5,FALSE)*Q29</f>
        <v>0.29459384106432351</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0.24549486755360292</v>
      </c>
      <c r="Z29">
        <f>VLOOKUP($B$1,dictionary!$A$3:$K$51,11,FALSE)*Q29</f>
        <v>4.9098973510720588E-2</v>
      </c>
      <c r="AA29">
        <f t="shared" si="2"/>
        <v>0.28968674092519642</v>
      </c>
      <c r="AB29">
        <f t="shared" si="11"/>
        <v>0.28968674092519642</v>
      </c>
      <c r="AC29">
        <f t="shared" si="12"/>
        <v>0</v>
      </c>
      <c r="AD29">
        <f t="shared" si="3"/>
        <v>0</v>
      </c>
      <c r="AE29">
        <f t="shared" si="13"/>
        <v>0</v>
      </c>
      <c r="AF29">
        <f t="shared" si="14"/>
        <v>5.261895474522654</v>
      </c>
      <c r="AG29">
        <f t="shared" si="15"/>
        <v>6.3142745694271856</v>
      </c>
      <c r="AH29">
        <f t="shared" si="16"/>
        <v>0</v>
      </c>
      <c r="AI29">
        <f t="shared" si="17"/>
        <v>0.83082560124041915</v>
      </c>
      <c r="AJ29">
        <f t="shared" si="18"/>
        <v>0</v>
      </c>
      <c r="AK29">
        <f t="shared" si="19"/>
        <v>3.9464216058919903</v>
      </c>
      <c r="AL29">
        <f t="shared" si="20"/>
        <v>0.35079303163484366</v>
      </c>
    </row>
    <row r="30" spans="1:38" x14ac:dyDescent="0.2">
      <c r="A30">
        <v>2047</v>
      </c>
      <c r="B30">
        <v>22</v>
      </c>
      <c r="C30">
        <f t="shared" si="21"/>
        <v>16.750873099622723</v>
      </c>
      <c r="D30">
        <f t="shared" si="23"/>
        <v>2.7176000053236153</v>
      </c>
      <c r="E30">
        <f t="shared" si="4"/>
        <v>0</v>
      </c>
      <c r="F30">
        <f t="shared" si="5"/>
        <v>0</v>
      </c>
      <c r="G30" s="9">
        <f t="shared" si="6"/>
        <v>0.16223631981217884</v>
      </c>
      <c r="H30" s="9">
        <f t="shared" si="6"/>
        <v>0</v>
      </c>
      <c r="I30" s="9">
        <f t="shared" si="6"/>
        <v>0</v>
      </c>
      <c r="J30" s="9">
        <f t="shared" si="7"/>
        <v>2.1090721575583251E-2</v>
      </c>
      <c r="K30" s="9">
        <f t="shared" si="8"/>
        <v>0</v>
      </c>
      <c r="L30" s="9">
        <f t="shared" si="9"/>
        <v>0</v>
      </c>
      <c r="M30">
        <f t="shared" si="0"/>
        <v>16.397585098930652</v>
      </c>
      <c r="N30">
        <f t="shared" si="10"/>
        <v>0</v>
      </c>
      <c r="O30">
        <f t="shared" si="24"/>
        <v>16.397585098930652</v>
      </c>
      <c r="P30">
        <f t="shared" si="22"/>
        <v>16.143697750383858</v>
      </c>
      <c r="Q30" s="9">
        <f t="shared" si="1"/>
        <v>0.98451678420846556</v>
      </c>
      <c r="R30">
        <f>VLOOKUP($B$1,dictionary!$A$3:$K$51,3,FALSE)*Q30</f>
        <v>0</v>
      </c>
      <c r="S30">
        <f>VLOOKUP($B$1,dictionary!$A$3:$K$51,4,FALSE)*Q30</f>
        <v>0</v>
      </c>
      <c r="T30">
        <f>VLOOKUP($B$1,dictionary!$A$3:$K$51,5,FALSE)*Q30</f>
        <v>0.29535503526253964</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0.24612919605211639</v>
      </c>
      <c r="Z30">
        <f>VLOOKUP($B$1,dictionary!$A$3:$K$51,11,FALSE)*Q30</f>
        <v>4.9225839210423283E-2</v>
      </c>
      <c r="AA30">
        <f t="shared" si="2"/>
        <v>0.25388734854679385</v>
      </c>
      <c r="AB30">
        <f t="shared" si="11"/>
        <v>0.25388734854679385</v>
      </c>
      <c r="AC30">
        <f t="shared" si="12"/>
        <v>0</v>
      </c>
      <c r="AD30">
        <f t="shared" si="3"/>
        <v>0</v>
      </c>
      <c r="AE30">
        <f t="shared" si="13"/>
        <v>0</v>
      </c>
      <c r="AF30">
        <f t="shared" si="14"/>
        <v>5.3812325834612862</v>
      </c>
      <c r="AG30">
        <f t="shared" si="15"/>
        <v>6.4574791001535434</v>
      </c>
      <c r="AH30">
        <f t="shared" si="16"/>
        <v>0</v>
      </c>
      <c r="AI30">
        <f t="shared" si="17"/>
        <v>0.84966830265178206</v>
      </c>
      <c r="AJ30">
        <f t="shared" si="18"/>
        <v>0</v>
      </c>
      <c r="AK30">
        <f t="shared" si="19"/>
        <v>4.0359244375959644</v>
      </c>
      <c r="AL30">
        <f t="shared" si="20"/>
        <v>0.35874883889741915</v>
      </c>
    </row>
    <row r="31" spans="1:38" x14ac:dyDescent="0.2">
      <c r="A31">
        <v>2048</v>
      </c>
      <c r="B31">
        <v>23</v>
      </c>
      <c r="C31">
        <f t="shared" si="21"/>
        <v>17.102641434714798</v>
      </c>
      <c r="D31">
        <f t="shared" si="23"/>
        <v>2.8944897410543646</v>
      </c>
      <c r="E31">
        <f t="shared" si="4"/>
        <v>0</v>
      </c>
      <c r="F31">
        <f t="shared" si="5"/>
        <v>0</v>
      </c>
      <c r="G31" s="9">
        <f t="shared" si="6"/>
        <v>0.16924226307985116</v>
      </c>
      <c r="H31" s="9">
        <f t="shared" si="6"/>
        <v>0</v>
      </c>
      <c r="I31" s="9">
        <f t="shared" si="6"/>
        <v>0</v>
      </c>
      <c r="J31" s="9">
        <f t="shared" si="7"/>
        <v>2.2001494200380649E-2</v>
      </c>
      <c r="K31" s="9">
        <f t="shared" si="8"/>
        <v>0</v>
      </c>
      <c r="L31" s="9">
        <f t="shared" si="9"/>
        <v>0</v>
      </c>
      <c r="M31">
        <f t="shared" si="0"/>
        <v>16.726357768377731</v>
      </c>
      <c r="N31">
        <f t="shared" si="10"/>
        <v>0</v>
      </c>
      <c r="O31">
        <f t="shared" si="24"/>
        <v>16.726357768377731</v>
      </c>
      <c r="P31">
        <f t="shared" si="22"/>
        <v>16.494554338521439</v>
      </c>
      <c r="Q31" s="9">
        <f t="shared" si="1"/>
        <v>0.98614142821370643</v>
      </c>
      <c r="R31">
        <f>VLOOKUP($B$1,dictionary!$A$3:$K$51,3,FALSE)*Q31</f>
        <v>0</v>
      </c>
      <c r="S31">
        <f>VLOOKUP($B$1,dictionary!$A$3:$K$51,4,FALSE)*Q31</f>
        <v>0</v>
      </c>
      <c r="T31">
        <f>VLOOKUP($B$1,dictionary!$A$3:$K$51,5,FALSE)*Q31</f>
        <v>0.29584242846411191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0.24653535705342661</v>
      </c>
      <c r="Z31">
        <f>VLOOKUP($B$1,dictionary!$A$3:$K$51,11,FALSE)*Q31</f>
        <v>4.9307071410685327E-2</v>
      </c>
      <c r="AA31">
        <f t="shared" si="2"/>
        <v>0.2318034298562921</v>
      </c>
      <c r="AB31">
        <f t="shared" si="11"/>
        <v>0.2318034298562921</v>
      </c>
      <c r="AC31">
        <f t="shared" si="12"/>
        <v>0</v>
      </c>
      <c r="AD31">
        <f t="shared" si="3"/>
        <v>0</v>
      </c>
      <c r="AE31">
        <f t="shared" si="13"/>
        <v>0</v>
      </c>
      <c r="AF31">
        <f t="shared" si="14"/>
        <v>5.4981847795071461</v>
      </c>
      <c r="AG31">
        <f t="shared" si="15"/>
        <v>6.5978217354085755</v>
      </c>
      <c r="AH31">
        <f t="shared" si="16"/>
        <v>0</v>
      </c>
      <c r="AI31">
        <f t="shared" si="17"/>
        <v>0.86813443886954944</v>
      </c>
      <c r="AJ31">
        <f t="shared" si="18"/>
        <v>0</v>
      </c>
      <c r="AK31">
        <f t="shared" si="19"/>
        <v>4.1236385846303598</v>
      </c>
      <c r="AL31">
        <f t="shared" si="20"/>
        <v>0.36654565196714317</v>
      </c>
    </row>
    <row r="32" spans="1:38" x14ac:dyDescent="0.2">
      <c r="A32">
        <v>2049</v>
      </c>
      <c r="B32">
        <v>24</v>
      </c>
      <c r="C32">
        <f t="shared" si="21"/>
        <v>17.461796904843808</v>
      </c>
      <c r="D32">
        <f t="shared" si="23"/>
        <v>3.0766467398926149</v>
      </c>
      <c r="E32">
        <f t="shared" si="4"/>
        <v>0</v>
      </c>
      <c r="F32">
        <f t="shared" si="5"/>
        <v>0</v>
      </c>
      <c r="G32" s="9">
        <f t="shared" si="6"/>
        <v>0.17619302049259145</v>
      </c>
      <c r="H32" s="9">
        <f t="shared" si="6"/>
        <v>0</v>
      </c>
      <c r="I32" s="9">
        <f t="shared" si="6"/>
        <v>0</v>
      </c>
      <c r="J32" s="9">
        <f t="shared" si="7"/>
        <v>2.290509266403689E-2</v>
      </c>
      <c r="K32" s="9">
        <f t="shared" si="8"/>
        <v>0</v>
      </c>
      <c r="L32" s="9">
        <f t="shared" si="9"/>
        <v>0</v>
      </c>
      <c r="M32">
        <f t="shared" si="0"/>
        <v>17.061832828657771</v>
      </c>
      <c r="N32">
        <f t="shared" si="10"/>
        <v>0</v>
      </c>
      <c r="O32">
        <f t="shared" si="24"/>
        <v>17.061832828657771</v>
      </c>
      <c r="P32">
        <f t="shared" si="22"/>
        <v>16.843102152374588</v>
      </c>
      <c r="Q32" s="9">
        <f t="shared" si="1"/>
        <v>0.987180118426914</v>
      </c>
      <c r="R32">
        <f>VLOOKUP($B$1,dictionary!$A$3:$K$51,3,FALSE)*Q32</f>
        <v>0</v>
      </c>
      <c r="S32">
        <f>VLOOKUP($B$1,dictionary!$A$3:$K$51,4,FALSE)*Q32</f>
        <v>0</v>
      </c>
      <c r="T32">
        <f>VLOOKUP($B$1,dictionary!$A$3:$K$51,5,FALSE)*Q32</f>
        <v>0.29615403552807418</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0.2467950296067285</v>
      </c>
      <c r="Z32">
        <f>VLOOKUP($B$1,dictionary!$A$3:$K$51,11,FALSE)*Q32</f>
        <v>4.9359005921345706E-2</v>
      </c>
      <c r="AA32">
        <f t="shared" si="2"/>
        <v>0.2187306762831831</v>
      </c>
      <c r="AB32">
        <f t="shared" si="11"/>
        <v>0.2187306762831831</v>
      </c>
      <c r="AC32">
        <f t="shared" si="12"/>
        <v>0</v>
      </c>
      <c r="AD32">
        <f t="shared" si="3"/>
        <v>0</v>
      </c>
      <c r="AE32">
        <f t="shared" si="13"/>
        <v>0</v>
      </c>
      <c r="AF32">
        <f t="shared" si="14"/>
        <v>5.6143673841248622</v>
      </c>
      <c r="AG32">
        <f t="shared" si="15"/>
        <v>6.7372408609498349</v>
      </c>
      <c r="AH32">
        <f t="shared" si="16"/>
        <v>0</v>
      </c>
      <c r="AI32">
        <f t="shared" si="17"/>
        <v>0.88647906065129412</v>
      </c>
      <c r="AJ32">
        <f t="shared" si="18"/>
        <v>0</v>
      </c>
      <c r="AK32">
        <f t="shared" si="19"/>
        <v>4.2107755380936469</v>
      </c>
      <c r="AL32">
        <f t="shared" si="20"/>
        <v>0.37429115894165754</v>
      </c>
    </row>
    <row r="33" spans="1:38" x14ac:dyDescent="0.2">
      <c r="A33">
        <v>2050</v>
      </c>
      <c r="B33">
        <v>25</v>
      </c>
      <c r="C33">
        <f t="shared" si="21"/>
        <v>17.828494639845527</v>
      </c>
      <c r="D33">
        <f t="shared" si="23"/>
        <v>3.2641504718875769</v>
      </c>
      <c r="E33">
        <f t="shared" si="4"/>
        <v>0</v>
      </c>
      <c r="F33">
        <f t="shared" si="5"/>
        <v>0</v>
      </c>
      <c r="G33" s="9">
        <f t="shared" si="6"/>
        <v>0.18308615156954489</v>
      </c>
      <c r="H33" s="9">
        <f t="shared" si="6"/>
        <v>0</v>
      </c>
      <c r="I33" s="9">
        <f t="shared" si="6"/>
        <v>0</v>
      </c>
      <c r="J33" s="9">
        <f t="shared" si="7"/>
        <v>2.3801199704040835E-2</v>
      </c>
      <c r="K33" s="9">
        <f t="shared" si="8"/>
        <v>0</v>
      </c>
      <c r="L33" s="9">
        <f t="shared" si="9"/>
        <v>0</v>
      </c>
      <c r="M33">
        <f t="shared" si="0"/>
        <v>17.404155078500143</v>
      </c>
      <c r="N33">
        <f t="shared" si="10"/>
        <v>0</v>
      </c>
      <c r="O33">
        <f t="shared" si="24"/>
        <v>17.404155078500143</v>
      </c>
      <c r="P33">
        <f t="shared" si="22"/>
        <v>17.192582287099789</v>
      </c>
      <c r="Q33" s="9">
        <f t="shared" si="1"/>
        <v>0.98784354710435118</v>
      </c>
      <c r="R33">
        <f>VLOOKUP($B$1,dictionary!$A$3:$K$51,3,FALSE)*Q33</f>
        <v>0</v>
      </c>
      <c r="S33">
        <f>VLOOKUP($B$1,dictionary!$A$3:$K$51,4,FALSE)*Q33</f>
        <v>0</v>
      </c>
      <c r="T33">
        <f>VLOOKUP($B$1,dictionary!$A$3:$K$51,5,FALSE)*Q33</f>
        <v>0.29635306413130535</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0.2469608867760878</v>
      </c>
      <c r="Z33">
        <f>VLOOKUP($B$1,dictionary!$A$3:$K$51,11,FALSE)*Q33</f>
        <v>4.9392177355217559E-2</v>
      </c>
      <c r="AA33">
        <f t="shared" si="2"/>
        <v>0.21157279140035357</v>
      </c>
      <c r="AB33">
        <f t="shared" si="11"/>
        <v>0.21157279140035357</v>
      </c>
      <c r="AC33">
        <f t="shared" si="12"/>
        <v>0</v>
      </c>
      <c r="AD33">
        <f t="shared" si="3"/>
        <v>0</v>
      </c>
      <c r="AE33">
        <f t="shared" si="13"/>
        <v>0</v>
      </c>
      <c r="AF33">
        <f t="shared" si="14"/>
        <v>5.7308607623665964</v>
      </c>
      <c r="AG33">
        <f t="shared" si="15"/>
        <v>6.8770329148399165</v>
      </c>
      <c r="AH33">
        <f t="shared" si="16"/>
        <v>0</v>
      </c>
      <c r="AI33">
        <f t="shared" si="17"/>
        <v>0.9048727519526204</v>
      </c>
      <c r="AJ33">
        <f t="shared" si="18"/>
        <v>0</v>
      </c>
      <c r="AK33">
        <f t="shared" si="19"/>
        <v>4.2981455717749473</v>
      </c>
      <c r="AL33">
        <f t="shared" si="20"/>
        <v>0.38205738415777313</v>
      </c>
    </row>
    <row r="35" spans="1:38" x14ac:dyDescent="0.2">
      <c r="G35" s="2"/>
    </row>
    <row r="37" spans="1:38" x14ac:dyDescent="0.2">
      <c r="H37" s="2"/>
      <c r="I37" s="2"/>
    </row>
  </sheetData>
  <mergeCells count="1">
    <mergeCell ref="J6:L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B47-9209-BB4D-B75A-5C43183A53CB}">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6</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0.78928445057578944</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0.78928445057578944</v>
      </c>
      <c r="N8">
        <f>IF($N$7="LFO",M8/(1+EXP(-$I$4*(B8-$J$4)))-M8/(1+EXP($I$4*$J$4)),IF($N$7="MGO",M8/(1+EXP(-$I$5*(B8-$J$5)))-M8/(1+EXP($I$5*$J$5)),0))</f>
        <v>0</v>
      </c>
      <c r="O8">
        <f>M8-N8</f>
        <v>0.78928445057578944</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0.78928445057578944</v>
      </c>
      <c r="AB8">
        <f>O8/M8*AA8</f>
        <v>0.78928445057578944</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0.80585942403788091</v>
      </c>
      <c r="D9">
        <f>IF($E$2=0,0,C9/(1+EXP(-$E$2*(B9-$G$2)))-C9/(1+EXP($E$2*$G$2)))</f>
        <v>6.0163801137019246E-3</v>
      </c>
      <c r="E9">
        <f t="shared" ref="E9:E33" si="4">IF($E$3=0,0,C9/(1+EXP(-$E$3*(B9-$G$3)))-C9/(1+EXP($E$3*$G$3)))</f>
        <v>0</v>
      </c>
      <c r="F9">
        <f t="shared" ref="F9:F33" si="5">IF($E$4=0,0,C9/(1+EXP(-$E$4*(B9-$G$4)))-C9/(1+EXP($E$4*$G$4)))</f>
        <v>0</v>
      </c>
      <c r="G9" s="9">
        <f t="shared" ref="G9:I33" si="6">D9/$C9</f>
        <v>7.4657935791777917E-3</v>
      </c>
      <c r="H9" s="9">
        <f t="shared" si="6"/>
        <v>0</v>
      </c>
      <c r="I9" s="9">
        <f t="shared" si="6"/>
        <v>0</v>
      </c>
      <c r="J9" s="9">
        <f t="shared" ref="J9:J33" si="7">G9*$F$2</f>
        <v>9.7055316529311294E-4</v>
      </c>
      <c r="K9" s="9">
        <f t="shared" ref="K9:K33" si="8">H9*$F$3</f>
        <v>0</v>
      </c>
      <c r="L9" s="9">
        <f t="shared" ref="L9:L33" si="9">I9*$F$4</f>
        <v>0</v>
      </c>
      <c r="M9">
        <f t="shared" si="0"/>
        <v>0.80507729462309963</v>
      </c>
      <c r="N9">
        <f t="shared" ref="N9:N33" si="10">IF($N$7="LFO",M9/(1+EXP(-$I$4*(B9-$J$4)))-M9/(1+EXP($I$4*$J$4)),IF($N$7="MGO",M9/(1+EXP(-$I$5*(B9-$J$5)))-M9/(1+EXP($I$5*$J$5)),0))</f>
        <v>0</v>
      </c>
      <c r="O9">
        <f>M9-N9</f>
        <v>0.80507729462309963</v>
      </c>
      <c r="P9">
        <f>IF($I$3=0,0,M9/(1+EXP(-$I$3*(B9-$J$3)))-M9/(1+EXP($I$3*$J$3)))</f>
        <v>4.9408323656447532E-3</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0.80013646225745483</v>
      </c>
      <c r="AB9">
        <f t="shared" ref="AB9:AB33" si="11">O9/M9*AA9</f>
        <v>0.80013646225745483</v>
      </c>
      <c r="AC9">
        <f t="shared" ref="AC9:AC33" si="12">N9/M9*AA9</f>
        <v>0</v>
      </c>
      <c r="AD9">
        <f t="shared" si="3"/>
        <v>9.8816647312895091E-4</v>
      </c>
      <c r="AE9">
        <f t="shared" ref="AE9:AE33" si="13">S9*$O9*$AE$2+S9*$N9*$AE$3</f>
        <v>0</v>
      </c>
      <c r="AF9">
        <f t="shared" ref="AF9:AF33" si="14">T9*$O9*$AF$2+T9*$N9*$AF$3</f>
        <v>1.0979627479210565E-3</v>
      </c>
      <c r="AG9">
        <f t="shared" ref="AG9:AG33" si="15">U9*$O9*$AG$2+U9*$N9*$AG$3</f>
        <v>1.9763329462579014E-3</v>
      </c>
      <c r="AH9">
        <f t="shared" ref="AH9:AH33" si="16">V9*$O9*$AH$2+V9*$N9*$AH$3</f>
        <v>0</v>
      </c>
      <c r="AI9">
        <f t="shared" ref="AI9:AI33" si="17">W9*$O9*$AI$2+W9*$N9*$AI$3</f>
        <v>2.6004380871814497E-4</v>
      </c>
      <c r="AJ9">
        <f t="shared" ref="AJ9:AJ33" si="18">X9*$O9*$AJ$2+X9*$N9*$AJ$3</f>
        <v>0</v>
      </c>
      <c r="AK9">
        <f t="shared" ref="AK9:AK33" si="19">Y9*$O9*$AK$2+Y9*$N9*$AK$3</f>
        <v>9.8816647312895091E-4</v>
      </c>
      <c r="AL9">
        <f t="shared" ref="AL9:AL33" si="20">Z9*$O9*$AL$2+Z9*$N9*$AL$3</f>
        <v>0</v>
      </c>
    </row>
    <row r="10" spans="1:51" x14ac:dyDescent="0.2">
      <c r="A10">
        <v>2027</v>
      </c>
      <c r="B10">
        <v>2</v>
      </c>
      <c r="C10">
        <f t="shared" ref="C10:C33" si="21">C9*(1+$I$2)</f>
        <v>0.82278247194267629</v>
      </c>
      <c r="D10">
        <f>IF($E$2=0,0,C10/(1+EXP(-$E$2*(B10-$G$2)))-C10/(1+EXP($E$2*$G$2)))</f>
        <v>1.2296500952967027E-2</v>
      </c>
      <c r="E10">
        <f t="shared" si="4"/>
        <v>0</v>
      </c>
      <c r="F10">
        <f t="shared" si="5"/>
        <v>0</v>
      </c>
      <c r="G10" s="9">
        <f t="shared" si="6"/>
        <v>1.4945020551949399E-2</v>
      </c>
      <c r="H10" s="9">
        <f t="shared" si="6"/>
        <v>0</v>
      </c>
      <c r="I10" s="9">
        <f t="shared" si="6"/>
        <v>0</v>
      </c>
      <c r="J10" s="9">
        <f t="shared" si="7"/>
        <v>1.9428526717534219E-3</v>
      </c>
      <c r="K10" s="9">
        <f t="shared" si="8"/>
        <v>0</v>
      </c>
      <c r="L10" s="9">
        <f t="shared" si="9"/>
        <v>0</v>
      </c>
      <c r="M10">
        <f t="shared" si="0"/>
        <v>0.8211839268187906</v>
      </c>
      <c r="N10">
        <f t="shared" si="10"/>
        <v>0</v>
      </c>
      <c r="O10">
        <f>M10-N10</f>
        <v>0.8211839268187906</v>
      </c>
      <c r="P10">
        <f t="shared" ref="P10:P33" si="22">IF($I$3=0,0,M10/(1+EXP(-$I$3*(B10-$J$3)))-M10/(1+EXP($I$3*$J$3)))</f>
        <v>1.2818722933901572E-2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0.80836520388488897</v>
      </c>
      <c r="AB10">
        <f t="shared" si="11"/>
        <v>0.80836520388488897</v>
      </c>
      <c r="AC10">
        <f t="shared" si="12"/>
        <v>0</v>
      </c>
      <c r="AD10">
        <f t="shared" si="3"/>
        <v>2.5637445867803146E-3</v>
      </c>
      <c r="AE10">
        <f t="shared" si="13"/>
        <v>0</v>
      </c>
      <c r="AF10">
        <f t="shared" si="14"/>
        <v>2.8486050964225719E-3</v>
      </c>
      <c r="AG10">
        <f t="shared" si="15"/>
        <v>5.1274891735606301E-3</v>
      </c>
      <c r="AH10">
        <f t="shared" si="16"/>
        <v>0</v>
      </c>
      <c r="AI10">
        <f t="shared" si="17"/>
        <v>6.7466962810008272E-4</v>
      </c>
      <c r="AJ10">
        <f t="shared" si="18"/>
        <v>0</v>
      </c>
      <c r="AK10">
        <f t="shared" si="19"/>
        <v>2.5637445867803146E-3</v>
      </c>
      <c r="AL10">
        <f t="shared" si="20"/>
        <v>0</v>
      </c>
    </row>
    <row r="11" spans="1:51" x14ac:dyDescent="0.2">
      <c r="A11">
        <v>2028</v>
      </c>
      <c r="B11">
        <v>3</v>
      </c>
      <c r="C11">
        <f t="shared" si="21"/>
        <v>0.84006090385347243</v>
      </c>
      <c r="D11">
        <f t="shared" ref="D11:D33" si="23">IF($E$2=0,0,C11/(1+EXP(-$E$2*(B11-$G$2)))-C11/(1+EXP($E$2*$G$2)))</f>
        <v>1.8846215066428085E-2</v>
      </c>
      <c r="E11">
        <f t="shared" si="4"/>
        <v>0</v>
      </c>
      <c r="F11">
        <f t="shared" si="5"/>
        <v>0</v>
      </c>
      <c r="G11" s="9">
        <f t="shared" si="6"/>
        <v>2.2434343724339462E-2</v>
      </c>
      <c r="H11" s="9">
        <f t="shared" si="6"/>
        <v>0</v>
      </c>
      <c r="I11" s="9">
        <f t="shared" si="6"/>
        <v>0</v>
      </c>
      <c r="J11" s="9">
        <f t="shared" si="7"/>
        <v>2.9164646841641304E-3</v>
      </c>
      <c r="K11" s="9">
        <f t="shared" si="8"/>
        <v>0</v>
      </c>
      <c r="L11" s="9">
        <f t="shared" si="9"/>
        <v>0</v>
      </c>
      <c r="M11">
        <f t="shared" si="0"/>
        <v>0.83761089589483673</v>
      </c>
      <c r="N11">
        <f t="shared" si="10"/>
        <v>0</v>
      </c>
      <c r="O11">
        <f t="shared" ref="O11:O33" si="24">M11-N11</f>
        <v>0.83761089589483673</v>
      </c>
      <c r="P11">
        <f t="shared" si="22"/>
        <v>2.5215719486999147E-2</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0.81239517640783754</v>
      </c>
      <c r="AB11">
        <f t="shared" si="11"/>
        <v>0.81239517640783754</v>
      </c>
      <c r="AC11">
        <f t="shared" si="12"/>
        <v>0</v>
      </c>
      <c r="AD11">
        <f t="shared" si="3"/>
        <v>5.0431438973998297E-3</v>
      </c>
      <c r="AE11">
        <f t="shared" si="13"/>
        <v>0</v>
      </c>
      <c r="AF11">
        <f t="shared" si="14"/>
        <v>5.6034932193331447E-3</v>
      </c>
      <c r="AG11">
        <f t="shared" si="15"/>
        <v>1.0086287794799659E-2</v>
      </c>
      <c r="AH11">
        <f t="shared" si="16"/>
        <v>0</v>
      </c>
      <c r="AI11">
        <f t="shared" si="17"/>
        <v>1.327143130894692E-3</v>
      </c>
      <c r="AJ11">
        <f t="shared" si="18"/>
        <v>0</v>
      </c>
      <c r="AK11">
        <f t="shared" si="19"/>
        <v>5.0431438973998297E-3</v>
      </c>
      <c r="AL11">
        <f t="shared" si="20"/>
        <v>0</v>
      </c>
    </row>
    <row r="12" spans="1:51" x14ac:dyDescent="0.2">
      <c r="A12">
        <v>2029</v>
      </c>
      <c r="B12">
        <v>4</v>
      </c>
      <c r="C12">
        <f t="shared" si="21"/>
        <v>0.85770218283439525</v>
      </c>
      <c r="D12">
        <f t="shared" si="23"/>
        <v>2.5671376097290477E-2</v>
      </c>
      <c r="E12">
        <f t="shared" si="4"/>
        <v>0</v>
      </c>
      <c r="F12">
        <f t="shared" si="5"/>
        <v>0</v>
      </c>
      <c r="G12" s="9">
        <f t="shared" si="6"/>
        <v>2.9930407793129162E-2</v>
      </c>
      <c r="H12" s="9">
        <f t="shared" si="6"/>
        <v>0</v>
      </c>
      <c r="I12" s="9">
        <f t="shared" si="6"/>
        <v>0</v>
      </c>
      <c r="J12" s="9">
        <f t="shared" si="7"/>
        <v>3.8909530131067912E-3</v>
      </c>
      <c r="K12" s="9">
        <f t="shared" si="8"/>
        <v>0</v>
      </c>
      <c r="L12" s="9">
        <f t="shared" si="9"/>
        <v>0</v>
      </c>
      <c r="M12">
        <f t="shared" si="0"/>
        <v>0.85436490394174747</v>
      </c>
      <c r="N12">
        <f t="shared" si="10"/>
        <v>0</v>
      </c>
      <c r="O12">
        <f t="shared" si="24"/>
        <v>0.85436490394174747</v>
      </c>
      <c r="P12">
        <f t="shared" si="22"/>
        <v>4.441536711332502E-2</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0.80994953682842241</v>
      </c>
      <c r="AB12">
        <f t="shared" si="11"/>
        <v>0.80994953682842241</v>
      </c>
      <c r="AC12">
        <f t="shared" si="12"/>
        <v>0</v>
      </c>
      <c r="AD12">
        <f t="shared" si="3"/>
        <v>8.8830734226650054E-3</v>
      </c>
      <c r="AE12">
        <f t="shared" si="13"/>
        <v>0</v>
      </c>
      <c r="AF12">
        <f t="shared" si="14"/>
        <v>9.8700815807388955E-3</v>
      </c>
      <c r="AG12">
        <f t="shared" si="15"/>
        <v>1.7766146845330011E-2</v>
      </c>
      <c r="AH12">
        <f t="shared" si="16"/>
        <v>0</v>
      </c>
      <c r="AI12">
        <f t="shared" si="17"/>
        <v>2.3376509007013171E-3</v>
      </c>
      <c r="AJ12">
        <f t="shared" si="18"/>
        <v>0</v>
      </c>
      <c r="AK12">
        <f t="shared" si="19"/>
        <v>8.8830734226650054E-3</v>
      </c>
      <c r="AL12">
        <f t="shared" si="20"/>
        <v>0</v>
      </c>
    </row>
    <row r="13" spans="1:51" x14ac:dyDescent="0.2">
      <c r="A13">
        <v>2030</v>
      </c>
      <c r="B13">
        <v>5</v>
      </c>
      <c r="C13">
        <f t="shared" si="21"/>
        <v>0.87571392867391751</v>
      </c>
      <c r="D13">
        <f t="shared" si="23"/>
        <v>3.2777836915632019E-2</v>
      </c>
      <c r="E13">
        <f t="shared" si="4"/>
        <v>0</v>
      </c>
      <c r="F13">
        <f t="shared" si="5"/>
        <v>0</v>
      </c>
      <c r="G13" s="9">
        <f t="shared" si="6"/>
        <v>3.7429845343749504E-2</v>
      </c>
      <c r="H13" s="9">
        <f t="shared" si="6"/>
        <v>0</v>
      </c>
      <c r="I13" s="9">
        <f t="shared" si="6"/>
        <v>0</v>
      </c>
      <c r="J13" s="9">
        <f t="shared" si="7"/>
        <v>4.8658798946874362E-3</v>
      </c>
      <c r="K13" s="9">
        <f t="shared" si="8"/>
        <v>0</v>
      </c>
      <c r="L13" s="9">
        <f t="shared" si="9"/>
        <v>0</v>
      </c>
      <c r="M13">
        <f t="shared" si="0"/>
        <v>0.87145280987488538</v>
      </c>
      <c r="N13">
        <f t="shared" si="10"/>
        <v>0</v>
      </c>
      <c r="O13">
        <f t="shared" si="24"/>
        <v>0.87145280987488538</v>
      </c>
      <c r="P13">
        <f t="shared" si="22"/>
        <v>7.3517957079031138E-2</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0.7979348527958543</v>
      </c>
      <c r="AB13">
        <f t="shared" si="11"/>
        <v>0.7979348527958543</v>
      </c>
      <c r="AC13">
        <f t="shared" si="12"/>
        <v>0</v>
      </c>
      <c r="AD13">
        <f t="shared" si="3"/>
        <v>1.4703591415806226E-2</v>
      </c>
      <c r="AE13">
        <f t="shared" si="13"/>
        <v>0</v>
      </c>
      <c r="AF13">
        <f t="shared" si="14"/>
        <v>1.6337323795340253E-2</v>
      </c>
      <c r="AG13">
        <f t="shared" si="15"/>
        <v>2.9407182831612453E-2</v>
      </c>
      <c r="AH13">
        <f t="shared" si="16"/>
        <v>0</v>
      </c>
      <c r="AI13">
        <f t="shared" si="17"/>
        <v>3.8693661620542701E-3</v>
      </c>
      <c r="AJ13">
        <f t="shared" si="18"/>
        <v>0</v>
      </c>
      <c r="AK13">
        <f t="shared" si="19"/>
        <v>1.4703591415806226E-2</v>
      </c>
      <c r="AL13">
        <f t="shared" si="20"/>
        <v>0</v>
      </c>
    </row>
    <row r="14" spans="1:51" x14ac:dyDescent="0.2">
      <c r="A14">
        <v>2031</v>
      </c>
      <c r="B14">
        <v>6</v>
      </c>
      <c r="C14">
        <f t="shared" si="21"/>
        <v>0.89410392117606974</v>
      </c>
      <c r="D14">
        <f t="shared" si="23"/>
        <v>4.0171448011485089E-2</v>
      </c>
      <c r="E14">
        <f t="shared" si="4"/>
        <v>0</v>
      </c>
      <c r="F14">
        <f t="shared" si="5"/>
        <v>0</v>
      </c>
      <c r="G14" s="9">
        <f t="shared" si="6"/>
        <v>4.4929282894369954E-2</v>
      </c>
      <c r="H14" s="9">
        <f t="shared" si="6"/>
        <v>0</v>
      </c>
      <c r="I14" s="9">
        <f t="shared" si="6"/>
        <v>0</v>
      </c>
      <c r="J14" s="9">
        <f t="shared" si="7"/>
        <v>5.8408067762680945E-3</v>
      </c>
      <c r="K14" s="9">
        <f t="shared" si="8"/>
        <v>0</v>
      </c>
      <c r="L14" s="9">
        <f t="shared" si="9"/>
        <v>0</v>
      </c>
      <c r="M14">
        <f t="shared" si="0"/>
        <v>0.88888163293457667</v>
      </c>
      <c r="N14">
        <f t="shared" si="10"/>
        <v>0</v>
      </c>
      <c r="O14">
        <f t="shared" si="24"/>
        <v>0.88888163293457667</v>
      </c>
      <c r="P14">
        <f t="shared" si="22"/>
        <v>0.11632271469581401</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0.77255891823876266</v>
      </c>
      <c r="AB14">
        <f t="shared" si="11"/>
        <v>0.77255891823876266</v>
      </c>
      <c r="AC14">
        <f t="shared" si="12"/>
        <v>0</v>
      </c>
      <c r="AD14">
        <f t="shared" si="3"/>
        <v>2.3264542939162802E-2</v>
      </c>
      <c r="AE14">
        <f t="shared" si="13"/>
        <v>0</v>
      </c>
      <c r="AF14">
        <f t="shared" si="14"/>
        <v>2.5849492154625339E-2</v>
      </c>
      <c r="AG14">
        <f t="shared" si="15"/>
        <v>4.6529085878325611E-2</v>
      </c>
      <c r="AH14">
        <f t="shared" si="16"/>
        <v>0</v>
      </c>
      <c r="AI14">
        <f t="shared" si="17"/>
        <v>6.1222481418849476E-3</v>
      </c>
      <c r="AJ14">
        <f t="shared" si="18"/>
        <v>0</v>
      </c>
      <c r="AK14">
        <f t="shared" si="19"/>
        <v>2.3264542939162802E-2</v>
      </c>
      <c r="AL14">
        <f t="shared" si="20"/>
        <v>0</v>
      </c>
    </row>
    <row r="15" spans="1:51" x14ac:dyDescent="0.2">
      <c r="A15">
        <v>2032</v>
      </c>
      <c r="B15">
        <v>7</v>
      </c>
      <c r="C15">
        <f t="shared" si="21"/>
        <v>0.91288010352076709</v>
      </c>
      <c r="D15">
        <f t="shared" si="23"/>
        <v>4.7858056162841223E-2</v>
      </c>
      <c r="E15">
        <f t="shared" si="4"/>
        <v>0</v>
      </c>
      <c r="F15">
        <f t="shared" si="5"/>
        <v>0</v>
      </c>
      <c r="G15" s="9">
        <f t="shared" si="6"/>
        <v>5.242534696315955E-2</v>
      </c>
      <c r="H15" s="9">
        <f t="shared" si="6"/>
        <v>0</v>
      </c>
      <c r="I15" s="9">
        <f t="shared" si="6"/>
        <v>0</v>
      </c>
      <c r="J15" s="9">
        <f t="shared" si="7"/>
        <v>6.8152951052107419E-3</v>
      </c>
      <c r="K15" s="9">
        <f t="shared" si="8"/>
        <v>0</v>
      </c>
      <c r="L15" s="9">
        <f t="shared" si="9"/>
        <v>0</v>
      </c>
      <c r="M15">
        <f t="shared" si="0"/>
        <v>0.90665855621959779</v>
      </c>
      <c r="N15">
        <f t="shared" si="10"/>
        <v>0</v>
      </c>
      <c r="O15">
        <f t="shared" si="24"/>
        <v>0.90665855621959779</v>
      </c>
      <c r="P15">
        <f>IF($I$3=0,0,M15/(1+EXP(-$I$3*(B15-$J$3)))-M15/(1+EXP($I$3*$J$3)))</f>
        <v>0.17669272852271756</v>
      </c>
      <c r="Q15" s="9">
        <f t="shared" si="1"/>
        <v>0.19488342917035417</v>
      </c>
      <c r="R15">
        <f>VLOOKUP($B$1,dictionary!$A$3:$K$51,3,FALSE)*Q15</f>
        <v>3.8976685834070837E-2</v>
      </c>
      <c r="S15">
        <f>VLOOKUP($B$1,dictionary!$A$3:$K$51,4,FALSE)*Q15</f>
        <v>0</v>
      </c>
      <c r="T15">
        <f>VLOOKUP($B$1,dictionary!$A$3:$K$51,5,FALSE)*Q15</f>
        <v>3.8976685834070837E-2</v>
      </c>
      <c r="U15">
        <f>VLOOKUP($B$1,dictionary!$A$3:$K$51,6,FALSE)*Q15</f>
        <v>6.8209200209623955E-2</v>
      </c>
      <c r="V15">
        <f>VLOOKUP($B$1,dictionary!$A$3:$K$51,7,FALSE)*Q15</f>
        <v>0</v>
      </c>
      <c r="W15">
        <f>VLOOKUP($B$1,dictionary!$A$3:$K$51,8,FALSE)*Q15</f>
        <v>9.7441714585177093E-3</v>
      </c>
      <c r="X15">
        <f>VLOOKUP($B$1,dictionary!$A$3:$K$51,9,FALSE)*Q15</f>
        <v>0</v>
      </c>
      <c r="Y15">
        <f>VLOOKUP($B$1,dictionary!$A$3:$K$51,10,FALSE)*Q15</f>
        <v>3.8976685834070837E-2</v>
      </c>
      <c r="Z15">
        <f>VLOOKUP($B$1,dictionary!$A$3:$K$51,11,FALSE)*Q15</f>
        <v>0</v>
      </c>
      <c r="AA15">
        <f t="shared" si="2"/>
        <v>0.72996582769688023</v>
      </c>
      <c r="AB15">
        <f t="shared" si="11"/>
        <v>0.72996582769688023</v>
      </c>
      <c r="AC15">
        <f t="shared" si="12"/>
        <v>0</v>
      </c>
      <c r="AD15">
        <f t="shared" si="3"/>
        <v>3.5338545704543513E-2</v>
      </c>
      <c r="AE15">
        <f t="shared" si="13"/>
        <v>0</v>
      </c>
      <c r="AF15">
        <f t="shared" si="14"/>
        <v>3.9265050782826126E-2</v>
      </c>
      <c r="AG15">
        <f t="shared" si="15"/>
        <v>7.0677091409087026E-2</v>
      </c>
      <c r="AH15">
        <f t="shared" si="16"/>
        <v>0</v>
      </c>
      <c r="AI15">
        <f t="shared" si="17"/>
        <v>9.2996172906693441E-3</v>
      </c>
      <c r="AJ15">
        <f t="shared" si="18"/>
        <v>0</v>
      </c>
      <c r="AK15">
        <f t="shared" si="19"/>
        <v>3.5338545704543513E-2</v>
      </c>
      <c r="AL15">
        <f t="shared" si="20"/>
        <v>0</v>
      </c>
    </row>
    <row r="16" spans="1:51" x14ac:dyDescent="0.2">
      <c r="A16">
        <v>2033</v>
      </c>
      <c r="B16">
        <v>8</v>
      </c>
      <c r="C16">
        <f t="shared" si="21"/>
        <v>0.93205058569470312</v>
      </c>
      <c r="D16">
        <f t="shared" si="23"/>
        <v>5.584350339154398E-2</v>
      </c>
      <c r="E16">
        <f t="shared" si="4"/>
        <v>0</v>
      </c>
      <c r="F16">
        <f t="shared" si="5"/>
        <v>0</v>
      </c>
      <c r="G16" s="9">
        <f t="shared" si="6"/>
        <v>5.9914670135549644E-2</v>
      </c>
      <c r="H16" s="9">
        <f t="shared" si="6"/>
        <v>0</v>
      </c>
      <c r="I16" s="9">
        <f t="shared" si="6"/>
        <v>0</v>
      </c>
      <c r="J16" s="9">
        <f t="shared" si="7"/>
        <v>7.7889071176214537E-3</v>
      </c>
      <c r="K16" s="9">
        <f t="shared" si="8"/>
        <v>0</v>
      </c>
      <c r="L16" s="9">
        <f t="shared" si="9"/>
        <v>0</v>
      </c>
      <c r="M16">
        <f t="shared" si="0"/>
        <v>0.92479093025380232</v>
      </c>
      <c r="N16">
        <f t="shared" si="10"/>
        <v>0</v>
      </c>
      <c r="O16">
        <f t="shared" si="24"/>
        <v>0.92479093025380232</v>
      </c>
      <c r="P16">
        <f t="shared" si="22"/>
        <v>0.25715065346175542</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0.66764027679204685</v>
      </c>
      <c r="AB16">
        <f t="shared" si="11"/>
        <v>0.66764027679204685</v>
      </c>
      <c r="AC16">
        <f t="shared" si="12"/>
        <v>0</v>
      </c>
      <c r="AD16">
        <f t="shared" si="3"/>
        <v>5.1430130692351084E-2</v>
      </c>
      <c r="AE16">
        <f t="shared" si="13"/>
        <v>0</v>
      </c>
      <c r="AF16">
        <f t="shared" si="14"/>
        <v>5.714458965816787E-2</v>
      </c>
      <c r="AG16">
        <f t="shared" si="15"/>
        <v>0.10286026138470218</v>
      </c>
      <c r="AH16">
        <f t="shared" si="16"/>
        <v>0</v>
      </c>
      <c r="AI16">
        <f t="shared" si="17"/>
        <v>1.3534244919039758E-2</v>
      </c>
      <c r="AJ16">
        <f t="shared" si="18"/>
        <v>0</v>
      </c>
      <c r="AK16">
        <f t="shared" si="19"/>
        <v>5.1430130692351084E-2</v>
      </c>
      <c r="AL16">
        <f t="shared" si="20"/>
        <v>0</v>
      </c>
    </row>
    <row r="17" spans="1:38" x14ac:dyDescent="0.2">
      <c r="A17">
        <v>2034</v>
      </c>
      <c r="B17">
        <v>9</v>
      </c>
      <c r="C17">
        <f t="shared" si="21"/>
        <v>0.95162364799429178</v>
      </c>
      <c r="D17">
        <f t="shared" si="23"/>
        <v>6.4133626218772721E-2</v>
      </c>
      <c r="E17">
        <f t="shared" si="4"/>
        <v>0</v>
      </c>
      <c r="F17">
        <f t="shared" si="5"/>
        <v>0</v>
      </c>
      <c r="G17" s="9">
        <f t="shared" si="6"/>
        <v>6.739389710832136E-2</v>
      </c>
      <c r="H17" s="9">
        <f t="shared" si="6"/>
        <v>0</v>
      </c>
      <c r="I17" s="9">
        <f t="shared" si="6"/>
        <v>0</v>
      </c>
      <c r="J17" s="9">
        <f t="shared" si="7"/>
        <v>8.7612066240817764E-3</v>
      </c>
      <c r="K17" s="9">
        <f t="shared" si="8"/>
        <v>0</v>
      </c>
      <c r="L17" s="9">
        <f t="shared" si="9"/>
        <v>0</v>
      </c>
      <c r="M17">
        <f t="shared" si="0"/>
        <v>0.94328627658585129</v>
      </c>
      <c r="N17">
        <f t="shared" si="10"/>
        <v>0</v>
      </c>
      <c r="O17">
        <f t="shared" si="24"/>
        <v>0.94328627658585129</v>
      </c>
      <c r="P17">
        <f t="shared" si="22"/>
        <v>0.35691483505157856</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0.58637144153427267</v>
      </c>
      <c r="AB17">
        <f t="shared" si="11"/>
        <v>0.58637144153427267</v>
      </c>
      <c r="AC17">
        <f t="shared" si="12"/>
        <v>0</v>
      </c>
      <c r="AD17">
        <f t="shared" si="3"/>
        <v>7.1382967010315726E-2</v>
      </c>
      <c r="AE17">
        <f t="shared" si="13"/>
        <v>0</v>
      </c>
      <c r="AF17">
        <f t="shared" si="14"/>
        <v>7.9314407789239705E-2</v>
      </c>
      <c r="AG17">
        <f t="shared" si="15"/>
        <v>0.14276593402063142</v>
      </c>
      <c r="AH17">
        <f t="shared" si="16"/>
        <v>0</v>
      </c>
      <c r="AI17">
        <f t="shared" si="17"/>
        <v>1.8784991318504137E-2</v>
      </c>
      <c r="AJ17">
        <f t="shared" si="18"/>
        <v>0</v>
      </c>
      <c r="AK17">
        <f t="shared" si="19"/>
        <v>7.1382967010315726E-2</v>
      </c>
      <c r="AL17">
        <f t="shared" si="20"/>
        <v>0</v>
      </c>
    </row>
    <row r="18" spans="1:38" x14ac:dyDescent="0.2">
      <c r="A18">
        <v>2035</v>
      </c>
      <c r="B18">
        <v>10</v>
      </c>
      <c r="C18">
        <f t="shared" si="21"/>
        <v>0.97160774460217181</v>
      </c>
      <c r="D18">
        <f t="shared" si="23"/>
        <v>7.2734255230497202E-2</v>
      </c>
      <c r="E18">
        <f t="shared" si="4"/>
        <v>0</v>
      </c>
      <c r="F18">
        <f t="shared" si="5"/>
        <v>0</v>
      </c>
      <c r="G18" s="9">
        <f t="shared" si="6"/>
        <v>7.4859690687499092E-2</v>
      </c>
      <c r="H18" s="9">
        <f t="shared" si="6"/>
        <v>0</v>
      </c>
      <c r="I18" s="9">
        <f t="shared" si="6"/>
        <v>0</v>
      </c>
      <c r="J18" s="9">
        <f t="shared" si="7"/>
        <v>9.7317597893748827E-3</v>
      </c>
      <c r="K18" s="9">
        <f t="shared" si="8"/>
        <v>0</v>
      </c>
      <c r="L18" s="9">
        <f t="shared" si="9"/>
        <v>0</v>
      </c>
      <c r="M18">
        <f t="shared" si="0"/>
        <v>0.96215229142220715</v>
      </c>
      <c r="N18">
        <f t="shared" si="10"/>
        <v>0</v>
      </c>
      <c r="O18">
        <f t="shared" si="24"/>
        <v>0.96215229142220715</v>
      </c>
      <c r="P18">
        <f t="shared" si="22"/>
        <v>0.470505033683354</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0.49164725773885315</v>
      </c>
      <c r="AB18">
        <f t="shared" si="11"/>
        <v>0.49164725773885315</v>
      </c>
      <c r="AC18">
        <f t="shared" si="12"/>
        <v>0</v>
      </c>
      <c r="AD18">
        <f t="shared" si="3"/>
        <v>9.4101006736670795E-2</v>
      </c>
      <c r="AE18">
        <f t="shared" si="13"/>
        <v>0</v>
      </c>
      <c r="AF18">
        <f t="shared" si="14"/>
        <v>0.10455667415185645</v>
      </c>
      <c r="AG18">
        <f t="shared" si="15"/>
        <v>0.18820201347334162</v>
      </c>
      <c r="AH18">
        <f t="shared" si="16"/>
        <v>0</v>
      </c>
      <c r="AI18">
        <f t="shared" si="17"/>
        <v>2.4763422825439682E-2</v>
      </c>
      <c r="AJ18">
        <f t="shared" si="18"/>
        <v>0</v>
      </c>
      <c r="AK18">
        <f t="shared" si="19"/>
        <v>9.4101006736670795E-2</v>
      </c>
      <c r="AL18">
        <f t="shared" si="20"/>
        <v>0</v>
      </c>
    </row>
    <row r="19" spans="1:38" x14ac:dyDescent="0.2">
      <c r="A19">
        <v>2036</v>
      </c>
      <c r="B19">
        <v>11</v>
      </c>
      <c r="C19">
        <f t="shared" si="21"/>
        <v>0.99201150723881737</v>
      </c>
      <c r="D19">
        <f t="shared" si="23"/>
        <v>8.1651214961892593E-2</v>
      </c>
      <c r="E19">
        <f t="shared" si="4"/>
        <v>0</v>
      </c>
      <c r="F19">
        <f t="shared" si="5"/>
        <v>0</v>
      </c>
      <c r="G19" s="9">
        <f t="shared" si="6"/>
        <v>8.2308737717329564E-2</v>
      </c>
      <c r="H19" s="9">
        <f t="shared" si="6"/>
        <v>0</v>
      </c>
      <c r="I19" s="9">
        <f t="shared" si="6"/>
        <v>0</v>
      </c>
      <c r="J19" s="9">
        <f t="shared" si="7"/>
        <v>1.0700135903252844E-2</v>
      </c>
      <c r="K19" s="9">
        <f t="shared" si="8"/>
        <v>0</v>
      </c>
      <c r="L19" s="9">
        <f t="shared" si="9"/>
        <v>0</v>
      </c>
      <c r="M19">
        <f t="shared" si="0"/>
        <v>0.98139684929377136</v>
      </c>
      <c r="N19">
        <f t="shared" si="10"/>
        <v>0</v>
      </c>
      <c r="O19">
        <f t="shared" si="24"/>
        <v>0.98139684929377136</v>
      </c>
      <c r="P19">
        <f t="shared" si="22"/>
        <v>0.58849686937189305</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0.39289997992187831</v>
      </c>
      <c r="AB19">
        <f t="shared" si="11"/>
        <v>0.39289997992187831</v>
      </c>
      <c r="AC19">
        <f t="shared" si="12"/>
        <v>0</v>
      </c>
      <c r="AD19">
        <f t="shared" si="3"/>
        <v>0.11769937387437862</v>
      </c>
      <c r="AE19">
        <f t="shared" si="13"/>
        <v>0</v>
      </c>
      <c r="AF19">
        <f t="shared" si="14"/>
        <v>0.13077708208264291</v>
      </c>
      <c r="AG19">
        <f t="shared" si="15"/>
        <v>0.23539874774875721</v>
      </c>
      <c r="AH19">
        <f t="shared" si="16"/>
        <v>0</v>
      </c>
      <c r="AI19">
        <f t="shared" si="17"/>
        <v>3.097351944062595E-2</v>
      </c>
      <c r="AJ19">
        <f t="shared" si="18"/>
        <v>0</v>
      </c>
      <c r="AK19">
        <f t="shared" si="19"/>
        <v>0.11769937387437862</v>
      </c>
      <c r="AL19">
        <f t="shared" si="20"/>
        <v>0</v>
      </c>
    </row>
    <row r="20" spans="1:38" x14ac:dyDescent="0.2">
      <c r="A20">
        <v>2037</v>
      </c>
      <c r="B20">
        <v>12</v>
      </c>
      <c r="C20">
        <f t="shared" si="21"/>
        <v>1.0128437488908324</v>
      </c>
      <c r="D20">
        <f t="shared" si="23"/>
        <v>9.0890324108269638E-2</v>
      </c>
      <c r="E20">
        <f t="shared" si="4"/>
        <v>0</v>
      </c>
      <c r="F20">
        <f t="shared" si="5"/>
        <v>0</v>
      </c>
      <c r="G20" s="9">
        <f t="shared" si="6"/>
        <v>8.9737754918074827E-2</v>
      </c>
      <c r="H20" s="9">
        <f t="shared" si="6"/>
        <v>0</v>
      </c>
      <c r="I20" s="9">
        <f t="shared" si="6"/>
        <v>0</v>
      </c>
      <c r="J20" s="9">
        <f t="shared" si="7"/>
        <v>1.1665908139349729E-2</v>
      </c>
      <c r="K20" s="9">
        <f t="shared" si="8"/>
        <v>0</v>
      </c>
      <c r="L20" s="9">
        <f t="shared" si="9"/>
        <v>0</v>
      </c>
      <c r="M20">
        <f t="shared" si="0"/>
        <v>1.0010280067567574</v>
      </c>
      <c r="N20">
        <f t="shared" si="10"/>
        <v>0</v>
      </c>
      <c r="O20">
        <f t="shared" si="24"/>
        <v>1.0010280067567574</v>
      </c>
      <c r="P20">
        <f>IF($I$3=0,0,M20/(1+EXP(-$I$3*(B20-$J$3)))-M20/(1+EXP($I$3*$J$3)))</f>
        <v>0.70068212623556214</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0.30034588052119526</v>
      </c>
      <c r="AB20">
        <f t="shared" si="11"/>
        <v>0.30034588052119526</v>
      </c>
      <c r="AC20">
        <f t="shared" si="12"/>
        <v>0</v>
      </c>
      <c r="AD20">
        <f t="shared" si="3"/>
        <v>0.14013642524711245</v>
      </c>
      <c r="AE20">
        <f t="shared" si="13"/>
        <v>0</v>
      </c>
      <c r="AF20">
        <f t="shared" si="14"/>
        <v>0.1557071391634583</v>
      </c>
      <c r="AG20">
        <f t="shared" si="15"/>
        <v>0.2802728504942249</v>
      </c>
      <c r="AH20">
        <f t="shared" si="16"/>
        <v>0</v>
      </c>
      <c r="AI20">
        <f t="shared" si="17"/>
        <v>3.687800664397696E-2</v>
      </c>
      <c r="AJ20">
        <f t="shared" si="18"/>
        <v>0</v>
      </c>
      <c r="AK20">
        <f t="shared" si="19"/>
        <v>0.14013642524711245</v>
      </c>
      <c r="AL20">
        <f t="shared" si="20"/>
        <v>0</v>
      </c>
    </row>
    <row r="21" spans="1:38" x14ac:dyDescent="0.2">
      <c r="A21">
        <v>2038</v>
      </c>
      <c r="B21">
        <v>13</v>
      </c>
      <c r="C21">
        <f t="shared" si="21"/>
        <v>1.0341134676175399</v>
      </c>
      <c r="D21">
        <f t="shared" si="23"/>
        <v>0.10045739606860749</v>
      </c>
      <c r="E21">
        <f t="shared" si="4"/>
        <v>0</v>
      </c>
      <c r="F21">
        <f t="shared" si="5"/>
        <v>0</v>
      </c>
      <c r="G21" s="9">
        <f t="shared" si="6"/>
        <v>9.7143494610942446E-2</v>
      </c>
      <c r="H21" s="9">
        <f t="shared" si="6"/>
        <v>0</v>
      </c>
      <c r="I21" s="9">
        <f t="shared" si="6"/>
        <v>0</v>
      </c>
      <c r="J21" s="9">
        <f t="shared" si="7"/>
        <v>1.2628654299422518E-2</v>
      </c>
      <c r="K21" s="9">
        <f t="shared" si="8"/>
        <v>0</v>
      </c>
      <c r="L21" s="9">
        <f t="shared" si="9"/>
        <v>0</v>
      </c>
      <c r="M21">
        <f t="shared" si="0"/>
        <v>1.0210540061286209</v>
      </c>
      <c r="N21">
        <f t="shared" si="10"/>
        <v>0</v>
      </c>
      <c r="O21">
        <f t="shared" si="24"/>
        <v>1.0210540061286209</v>
      </c>
      <c r="P21">
        <f t="shared" si="22"/>
        <v>0.79963097647000247</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0.22142302965861838</v>
      </c>
      <c r="AB21">
        <f t="shared" si="11"/>
        <v>0.22142302965861838</v>
      </c>
      <c r="AC21">
        <f t="shared" si="12"/>
        <v>0</v>
      </c>
      <c r="AD21">
        <f t="shared" si="3"/>
        <v>0.15992619529400051</v>
      </c>
      <c r="AE21">
        <f t="shared" si="13"/>
        <v>0</v>
      </c>
      <c r="AF21">
        <f t="shared" si="14"/>
        <v>0.17769577254888946</v>
      </c>
      <c r="AG21">
        <f t="shared" si="15"/>
        <v>0.31985239058800102</v>
      </c>
      <c r="AH21">
        <f t="shared" si="16"/>
        <v>0</v>
      </c>
      <c r="AI21">
        <f t="shared" si="17"/>
        <v>4.2085840866842236E-2</v>
      </c>
      <c r="AJ21">
        <f t="shared" si="18"/>
        <v>0</v>
      </c>
      <c r="AK21">
        <f t="shared" si="19"/>
        <v>0.15992619529400051</v>
      </c>
      <c r="AL21">
        <f t="shared" si="20"/>
        <v>0</v>
      </c>
    </row>
    <row r="22" spans="1:38" x14ac:dyDescent="0.2">
      <c r="A22">
        <v>2039</v>
      </c>
      <c r="B22">
        <v>14</v>
      </c>
      <c r="C22">
        <f t="shared" si="21"/>
        <v>1.0558298504375081</v>
      </c>
      <c r="D22">
        <f t="shared" si="23"/>
        <v>0.11035823982628373</v>
      </c>
      <c r="E22">
        <f t="shared" si="4"/>
        <v>0</v>
      </c>
      <c r="F22">
        <f t="shared" si="5"/>
        <v>0</v>
      </c>
      <c r="G22" s="9">
        <f t="shared" si="6"/>
        <v>0.10452275030920388</v>
      </c>
      <c r="H22" s="9">
        <f t="shared" si="6"/>
        <v>0</v>
      </c>
      <c r="I22" s="9">
        <f t="shared" si="6"/>
        <v>0</v>
      </c>
      <c r="J22" s="9">
        <f t="shared" si="7"/>
        <v>1.3587957540196505E-2</v>
      </c>
      <c r="K22" s="9">
        <f t="shared" si="8"/>
        <v>0</v>
      </c>
      <c r="L22" s="9">
        <f t="shared" si="9"/>
        <v>0</v>
      </c>
      <c r="M22">
        <f t="shared" si="0"/>
        <v>1.0414832792600912</v>
      </c>
      <c r="N22">
        <f t="shared" si="10"/>
        <v>0</v>
      </c>
      <c r="O22">
        <f t="shared" si="24"/>
        <v>1.0414832792600912</v>
      </c>
      <c r="P22">
        <f t="shared" si="22"/>
        <v>0.88230504998104253</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0.15917822927904868</v>
      </c>
      <c r="AB22">
        <f t="shared" si="11"/>
        <v>0.15917822927904868</v>
      </c>
      <c r="AC22">
        <f t="shared" si="12"/>
        <v>0</v>
      </c>
      <c r="AD22">
        <f t="shared" si="3"/>
        <v>0.17646100999620853</v>
      </c>
      <c r="AE22">
        <f t="shared" si="13"/>
        <v>0</v>
      </c>
      <c r="AF22">
        <f t="shared" si="14"/>
        <v>0.19606778888467616</v>
      </c>
      <c r="AG22">
        <f t="shared" si="15"/>
        <v>0.35292201999241707</v>
      </c>
      <c r="AH22">
        <f t="shared" si="16"/>
        <v>0</v>
      </c>
      <c r="AI22">
        <f t="shared" si="17"/>
        <v>4.6437107893739088E-2</v>
      </c>
      <c r="AJ22">
        <f t="shared" si="18"/>
        <v>0</v>
      </c>
      <c r="AK22">
        <f t="shared" si="19"/>
        <v>0.17646100999620853</v>
      </c>
      <c r="AL22">
        <f t="shared" si="20"/>
        <v>0</v>
      </c>
    </row>
    <row r="23" spans="1:38" x14ac:dyDescent="0.2">
      <c r="A23">
        <v>2040</v>
      </c>
      <c r="B23">
        <v>15</v>
      </c>
      <c r="C23">
        <f t="shared" si="21"/>
        <v>1.0780022772966957</v>
      </c>
      <c r="D23">
        <f t="shared" si="23"/>
        <v>0.12059866117009105</v>
      </c>
      <c r="E23">
        <f t="shared" si="4"/>
        <v>0</v>
      </c>
      <c r="F23">
        <f t="shared" si="5"/>
        <v>0</v>
      </c>
      <c r="G23" s="9">
        <f t="shared" si="6"/>
        <v>0.11187236215540851</v>
      </c>
      <c r="H23" s="9">
        <f t="shared" si="6"/>
        <v>0</v>
      </c>
      <c r="I23" s="9">
        <f t="shared" si="6"/>
        <v>0</v>
      </c>
      <c r="J23" s="9">
        <f t="shared" si="7"/>
        <v>1.4543407080203106E-2</v>
      </c>
      <c r="K23" s="9">
        <f t="shared" si="8"/>
        <v>0</v>
      </c>
      <c r="L23" s="9">
        <f t="shared" si="9"/>
        <v>0</v>
      </c>
      <c r="M23">
        <f t="shared" si="0"/>
        <v>1.062324451344584</v>
      </c>
      <c r="N23">
        <f t="shared" si="10"/>
        <v>0</v>
      </c>
      <c r="O23">
        <f t="shared" si="24"/>
        <v>1.062324451344584</v>
      </c>
      <c r="P23">
        <f t="shared" si="22"/>
        <v>0.94936068555763864</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0.11296376578694534</v>
      </c>
      <c r="AB23">
        <f t="shared" si="11"/>
        <v>0.11296376578694534</v>
      </c>
      <c r="AC23">
        <f t="shared" si="12"/>
        <v>0</v>
      </c>
      <c r="AD23">
        <f t="shared" si="3"/>
        <v>0.18987213711152773</v>
      </c>
      <c r="AE23">
        <f t="shared" si="13"/>
        <v>0</v>
      </c>
      <c r="AF23">
        <f t="shared" si="14"/>
        <v>0.21096904123503082</v>
      </c>
      <c r="AG23">
        <f t="shared" si="15"/>
        <v>0.37974427422305546</v>
      </c>
      <c r="AH23">
        <f t="shared" si="16"/>
        <v>0</v>
      </c>
      <c r="AI23">
        <f t="shared" si="17"/>
        <v>4.9966351871454665E-2</v>
      </c>
      <c r="AJ23">
        <f t="shared" si="18"/>
        <v>0</v>
      </c>
      <c r="AK23">
        <f t="shared" si="19"/>
        <v>0.18987213711152773</v>
      </c>
      <c r="AL23">
        <f t="shared" si="20"/>
        <v>0</v>
      </c>
    </row>
    <row r="24" spans="1:38" x14ac:dyDescent="0.2">
      <c r="A24">
        <v>2041</v>
      </c>
      <c r="B24">
        <v>16</v>
      </c>
      <c r="C24">
        <f t="shared" si="21"/>
        <v>1.1006403251199262</v>
      </c>
      <c r="D24">
        <f t="shared" si="23"/>
        <v>0.13118446425713426</v>
      </c>
      <c r="E24">
        <f t="shared" si="4"/>
        <v>0</v>
      </c>
      <c r="F24">
        <f t="shared" si="5"/>
        <v>0</v>
      </c>
      <c r="G24" s="9">
        <f t="shared" si="6"/>
        <v>0.11918922218558579</v>
      </c>
      <c r="H24" s="9">
        <f t="shared" si="6"/>
        <v>0</v>
      </c>
      <c r="I24" s="9">
        <f t="shared" si="6"/>
        <v>0</v>
      </c>
      <c r="J24" s="9">
        <f t="shared" si="7"/>
        <v>1.5494598884126154E-2</v>
      </c>
      <c r="K24" s="9">
        <f t="shared" si="8"/>
        <v>0</v>
      </c>
      <c r="L24" s="9">
        <f t="shared" si="9"/>
        <v>0</v>
      </c>
      <c r="M24">
        <f t="shared" si="0"/>
        <v>1.0835863447664986</v>
      </c>
      <c r="N24">
        <f t="shared" si="10"/>
        <v>0</v>
      </c>
      <c r="O24">
        <f t="shared" si="24"/>
        <v>1.0835863447664986</v>
      </c>
      <c r="P24">
        <f t="shared" si="22"/>
        <v>1.0034439750537749</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8.0142369712723704E-2</v>
      </c>
      <c r="AB24">
        <f t="shared" si="11"/>
        <v>8.0142369712723704E-2</v>
      </c>
      <c r="AC24">
        <f t="shared" si="12"/>
        <v>0</v>
      </c>
      <c r="AD24">
        <f t="shared" si="3"/>
        <v>0.20068879501075501</v>
      </c>
      <c r="AE24">
        <f t="shared" si="13"/>
        <v>0</v>
      </c>
      <c r="AF24">
        <f t="shared" si="14"/>
        <v>0.22298755001195003</v>
      </c>
      <c r="AG24">
        <f t="shared" si="15"/>
        <v>0.40137759002150997</v>
      </c>
      <c r="AH24">
        <f t="shared" si="16"/>
        <v>0</v>
      </c>
      <c r="AI24">
        <f t="shared" si="17"/>
        <v>5.2812840792303944E-2</v>
      </c>
      <c r="AJ24">
        <f t="shared" si="18"/>
        <v>0</v>
      </c>
      <c r="AK24">
        <f t="shared" si="19"/>
        <v>0.20068879501075501</v>
      </c>
      <c r="AL24">
        <f t="shared" si="20"/>
        <v>0</v>
      </c>
    </row>
    <row r="25" spans="1:38" x14ac:dyDescent="0.2">
      <c r="A25">
        <v>2042</v>
      </c>
      <c r="B25">
        <v>17</v>
      </c>
      <c r="C25">
        <f t="shared" si="21"/>
        <v>1.1237537719474444</v>
      </c>
      <c r="D25">
        <f t="shared" si="23"/>
        <v>0.14212145351771066</v>
      </c>
      <c r="E25">
        <f t="shared" si="4"/>
        <v>0</v>
      </c>
      <c r="F25">
        <f t="shared" si="5"/>
        <v>0</v>
      </c>
      <c r="G25" s="9">
        <f t="shared" si="6"/>
        <v>0.12647027940241465</v>
      </c>
      <c r="H25" s="9">
        <f t="shared" si="6"/>
        <v>0</v>
      </c>
      <c r="I25" s="9">
        <f t="shared" si="6"/>
        <v>0</v>
      </c>
      <c r="J25" s="9">
        <f t="shared" si="7"/>
        <v>1.6441136322313903E-2</v>
      </c>
      <c r="K25" s="9">
        <f t="shared" si="8"/>
        <v>0</v>
      </c>
      <c r="L25" s="9">
        <f t="shared" si="9"/>
        <v>0</v>
      </c>
      <c r="M25">
        <f t="shared" si="0"/>
        <v>1.105277982990142</v>
      </c>
      <c r="N25">
        <f t="shared" si="10"/>
        <v>0</v>
      </c>
      <c r="O25">
        <f t="shared" si="24"/>
        <v>1.105277982990142</v>
      </c>
      <c r="P25">
        <f>IF($I$3=0,0,M25/(1+EXP(-$I$3*(B25-$J$3)))-M25/(1+EXP($I$3*$J$3)))</f>
        <v>1.0477170721122748</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5.7560910877867189E-2</v>
      </c>
      <c r="AB25">
        <f t="shared" si="11"/>
        <v>5.7560910877867189E-2</v>
      </c>
      <c r="AC25">
        <f t="shared" si="12"/>
        <v>0</v>
      </c>
      <c r="AD25">
        <f t="shared" si="3"/>
        <v>0.209543414422455</v>
      </c>
      <c r="AE25">
        <f t="shared" si="13"/>
        <v>0</v>
      </c>
      <c r="AF25">
        <f t="shared" si="14"/>
        <v>0.23282601602495001</v>
      </c>
      <c r="AG25">
        <f t="shared" si="15"/>
        <v>0.41908682884491</v>
      </c>
      <c r="AH25">
        <f t="shared" si="16"/>
        <v>0</v>
      </c>
      <c r="AI25">
        <f t="shared" si="17"/>
        <v>5.5143003795382894E-2</v>
      </c>
      <c r="AJ25">
        <f t="shared" si="18"/>
        <v>0</v>
      </c>
      <c r="AK25">
        <f t="shared" si="19"/>
        <v>0.209543414422455</v>
      </c>
      <c r="AL25">
        <f t="shared" si="20"/>
        <v>0</v>
      </c>
    </row>
    <row r="26" spans="1:38" x14ac:dyDescent="0.2">
      <c r="A26">
        <v>2043</v>
      </c>
      <c r="B26">
        <v>18</v>
      </c>
      <c r="C26">
        <f t="shared" si="21"/>
        <v>1.1473526011583406</v>
      </c>
      <c r="D26">
        <f t="shared" si="23"/>
        <v>0.1534154359008213</v>
      </c>
      <c r="E26">
        <f t="shared" si="4"/>
        <v>0</v>
      </c>
      <c r="F26">
        <f t="shared" si="5"/>
        <v>0</v>
      </c>
      <c r="G26" s="9">
        <f t="shared" si="6"/>
        <v>0.13371254464053739</v>
      </c>
      <c r="H26" s="9">
        <f t="shared" si="6"/>
        <v>0</v>
      </c>
      <c r="I26" s="9">
        <f t="shared" si="6"/>
        <v>0</v>
      </c>
      <c r="J26" s="9">
        <f t="shared" si="7"/>
        <v>1.738263080326986E-2</v>
      </c>
      <c r="K26" s="9">
        <f t="shared" si="8"/>
        <v>0</v>
      </c>
      <c r="L26" s="9">
        <f t="shared" si="9"/>
        <v>0</v>
      </c>
      <c r="M26">
        <f t="shared" si="0"/>
        <v>1.1274085944912338</v>
      </c>
      <c r="N26">
        <f t="shared" si="10"/>
        <v>0</v>
      </c>
      <c r="O26">
        <f t="shared" si="24"/>
        <v>1.1274085944912338</v>
      </c>
      <c r="P26">
        <f t="shared" si="22"/>
        <v>1.0850361417961341</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4.2372452695099705E-2</v>
      </c>
      <c r="AB26">
        <f t="shared" si="11"/>
        <v>4.2372452695099705E-2</v>
      </c>
      <c r="AC26">
        <f t="shared" si="12"/>
        <v>0</v>
      </c>
      <c r="AD26">
        <f t="shared" si="3"/>
        <v>0.21700722835922684</v>
      </c>
      <c r="AE26">
        <f t="shared" si="13"/>
        <v>0</v>
      </c>
      <c r="AF26">
        <f t="shared" si="14"/>
        <v>0.24111914262136316</v>
      </c>
      <c r="AG26">
        <f t="shared" si="15"/>
        <v>0.43401445671845368</v>
      </c>
      <c r="AH26">
        <f t="shared" si="16"/>
        <v>0</v>
      </c>
      <c r="AI26">
        <f t="shared" si="17"/>
        <v>5.7107165357691267E-2</v>
      </c>
      <c r="AJ26">
        <f t="shared" si="18"/>
        <v>0</v>
      </c>
      <c r="AK26">
        <f t="shared" si="19"/>
        <v>0.21700722835922684</v>
      </c>
      <c r="AL26">
        <f t="shared" si="20"/>
        <v>0</v>
      </c>
    </row>
    <row r="27" spans="1:38" x14ac:dyDescent="0.2">
      <c r="A27">
        <v>2044</v>
      </c>
      <c r="B27">
        <v>19</v>
      </c>
      <c r="C27">
        <f t="shared" si="21"/>
        <v>1.1714470057826656</v>
      </c>
      <c r="D27">
        <f t="shared" si="23"/>
        <v>0.16507222345753669</v>
      </c>
      <c r="E27">
        <f t="shared" si="4"/>
        <v>0</v>
      </c>
      <c r="F27">
        <f t="shared" si="5"/>
        <v>0</v>
      </c>
      <c r="G27" s="9">
        <f t="shared" si="6"/>
        <v>0.14091309520847584</v>
      </c>
      <c r="H27" s="9">
        <f t="shared" si="6"/>
        <v>0</v>
      </c>
      <c r="I27" s="9">
        <f t="shared" si="6"/>
        <v>0</v>
      </c>
      <c r="J27" s="9">
        <f t="shared" si="7"/>
        <v>1.8318702377101859E-2</v>
      </c>
      <c r="K27" s="9">
        <f t="shared" si="8"/>
        <v>0</v>
      </c>
      <c r="L27" s="9">
        <f t="shared" si="9"/>
        <v>0</v>
      </c>
      <c r="M27">
        <f t="shared" si="0"/>
        <v>1.1499876167331857</v>
      </c>
      <c r="N27">
        <f t="shared" si="10"/>
        <v>0</v>
      </c>
      <c r="O27">
        <f t="shared" si="24"/>
        <v>1.1499876167331857</v>
      </c>
      <c r="P27">
        <f t="shared" si="22"/>
        <v>1.1176603425006322</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3.2327274232553549E-2</v>
      </c>
      <c r="AB27">
        <f t="shared" si="11"/>
        <v>3.2327274232553549E-2</v>
      </c>
      <c r="AC27">
        <f t="shared" si="12"/>
        <v>0</v>
      </c>
      <c r="AD27">
        <f t="shared" si="3"/>
        <v>0.22353206850012647</v>
      </c>
      <c r="AE27">
        <f t="shared" si="13"/>
        <v>0</v>
      </c>
      <c r="AF27">
        <f t="shared" si="14"/>
        <v>0.24836896500014052</v>
      </c>
      <c r="AG27">
        <f t="shared" si="15"/>
        <v>0.44706413700025294</v>
      </c>
      <c r="AH27">
        <f t="shared" si="16"/>
        <v>0</v>
      </c>
      <c r="AI27">
        <f t="shared" si="17"/>
        <v>5.8824228552664858E-2</v>
      </c>
      <c r="AJ27">
        <f t="shared" si="18"/>
        <v>0</v>
      </c>
      <c r="AK27">
        <f t="shared" si="19"/>
        <v>0.22353206850012647</v>
      </c>
      <c r="AL27">
        <f t="shared" si="20"/>
        <v>0</v>
      </c>
    </row>
    <row r="28" spans="1:38" x14ac:dyDescent="0.2">
      <c r="A28">
        <v>2045</v>
      </c>
      <c r="B28">
        <v>20</v>
      </c>
      <c r="C28">
        <f t="shared" si="21"/>
        <v>1.1960473929041016</v>
      </c>
      <c r="D28">
        <f t="shared" si="23"/>
        <v>0.17709763625806929</v>
      </c>
      <c r="E28">
        <f t="shared" si="4"/>
        <v>0</v>
      </c>
      <c r="F28">
        <f t="shared" si="5"/>
        <v>0</v>
      </c>
      <c r="G28" s="9">
        <f t="shared" si="6"/>
        <v>0.14806907929297153</v>
      </c>
      <c r="H28" s="9">
        <f t="shared" si="6"/>
        <v>0</v>
      </c>
      <c r="I28" s="9">
        <f t="shared" si="6"/>
        <v>0</v>
      </c>
      <c r="J28" s="9">
        <f t="shared" si="7"/>
        <v>1.9248980308086298E-2</v>
      </c>
      <c r="K28" s="9">
        <f t="shared" si="8"/>
        <v>0</v>
      </c>
      <c r="L28" s="9">
        <f t="shared" si="9"/>
        <v>0</v>
      </c>
      <c r="M28">
        <f t="shared" si="0"/>
        <v>1.1730247001905525</v>
      </c>
      <c r="N28">
        <f t="shared" si="10"/>
        <v>0</v>
      </c>
      <c r="O28">
        <f t="shared" si="24"/>
        <v>1.1730247001905525</v>
      </c>
      <c r="P28">
        <f t="shared" si="22"/>
        <v>1.1472487900200279</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2.5775910170524607E-2</v>
      </c>
      <c r="AB28">
        <f t="shared" si="11"/>
        <v>2.5775910170524607E-2</v>
      </c>
      <c r="AC28">
        <f t="shared" si="12"/>
        <v>0</v>
      </c>
      <c r="AD28">
        <f t="shared" si="3"/>
        <v>0.22944975800400558</v>
      </c>
      <c r="AE28">
        <f t="shared" si="13"/>
        <v>0</v>
      </c>
      <c r="AF28">
        <f t="shared" si="14"/>
        <v>0.2549441755600062</v>
      </c>
      <c r="AG28">
        <f t="shared" si="15"/>
        <v>0.45889951600801115</v>
      </c>
      <c r="AH28">
        <f t="shared" si="16"/>
        <v>0</v>
      </c>
      <c r="AI28">
        <f t="shared" si="17"/>
        <v>6.0381515264211989E-2</v>
      </c>
      <c r="AJ28">
        <f t="shared" si="18"/>
        <v>0</v>
      </c>
      <c r="AK28">
        <f t="shared" si="19"/>
        <v>0.22944975800400558</v>
      </c>
      <c r="AL28">
        <f t="shared" si="20"/>
        <v>0</v>
      </c>
    </row>
    <row r="29" spans="1:38" x14ac:dyDescent="0.2">
      <c r="A29">
        <v>2046</v>
      </c>
      <c r="B29">
        <v>21</v>
      </c>
      <c r="C29">
        <f t="shared" si="21"/>
        <v>1.2211643881550875</v>
      </c>
      <c r="D29">
        <f t="shared" si="23"/>
        <v>0.18949750563709122</v>
      </c>
      <c r="E29">
        <f t="shared" si="4"/>
        <v>0</v>
      </c>
      <c r="F29">
        <f t="shared" si="5"/>
        <v>0</v>
      </c>
      <c r="G29" s="9">
        <f t="shared" si="6"/>
        <v>0.15517772011299849</v>
      </c>
      <c r="H29" s="9">
        <f t="shared" si="6"/>
        <v>0</v>
      </c>
      <c r="I29" s="9">
        <f t="shared" si="6"/>
        <v>0</v>
      </c>
      <c r="J29" s="9">
        <f t="shared" si="7"/>
        <v>2.0173103614689804E-2</v>
      </c>
      <c r="K29" s="9">
        <f t="shared" si="8"/>
        <v>0</v>
      </c>
      <c r="L29" s="9">
        <f t="shared" si="9"/>
        <v>0</v>
      </c>
      <c r="M29">
        <f t="shared" si="0"/>
        <v>1.1965297124222656</v>
      </c>
      <c r="N29">
        <f t="shared" si="10"/>
        <v>0</v>
      </c>
      <c r="O29">
        <f t="shared" si="24"/>
        <v>1.1965297124222656</v>
      </c>
      <c r="P29">
        <f t="shared" si="22"/>
        <v>1.1749676131002187</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2.156209932204689E-2</v>
      </c>
      <c r="AB29">
        <f t="shared" si="11"/>
        <v>2.156209932204689E-2</v>
      </c>
      <c r="AC29">
        <f t="shared" si="12"/>
        <v>0</v>
      </c>
      <c r="AD29">
        <f t="shared" si="3"/>
        <v>0.23499352262004375</v>
      </c>
      <c r="AE29">
        <f t="shared" si="13"/>
        <v>0</v>
      </c>
      <c r="AF29">
        <f t="shared" si="14"/>
        <v>0.26110391402227084</v>
      </c>
      <c r="AG29">
        <f t="shared" si="15"/>
        <v>0.4699870452400875</v>
      </c>
      <c r="AH29">
        <f t="shared" si="16"/>
        <v>0</v>
      </c>
      <c r="AI29">
        <f t="shared" si="17"/>
        <v>6.1840400689485195E-2</v>
      </c>
      <c r="AJ29">
        <f t="shared" si="18"/>
        <v>0</v>
      </c>
      <c r="AK29">
        <f t="shared" si="19"/>
        <v>0.23499352262004375</v>
      </c>
      <c r="AL29">
        <f t="shared" si="20"/>
        <v>0</v>
      </c>
    </row>
    <row r="30" spans="1:38" x14ac:dyDescent="0.2">
      <c r="A30">
        <v>2047</v>
      </c>
      <c r="B30">
        <v>22</v>
      </c>
      <c r="C30">
        <f t="shared" si="21"/>
        <v>1.2468088403063442</v>
      </c>
      <c r="D30">
        <f t="shared" si="23"/>
        <v>0.2022776777605918</v>
      </c>
      <c r="E30">
        <f t="shared" si="4"/>
        <v>0</v>
      </c>
      <c r="F30">
        <f t="shared" si="5"/>
        <v>0</v>
      </c>
      <c r="G30" s="9">
        <f t="shared" si="6"/>
        <v>0.16223631981217879</v>
      </c>
      <c r="H30" s="9">
        <f t="shared" si="6"/>
        <v>0</v>
      </c>
      <c r="I30" s="9">
        <f t="shared" si="6"/>
        <v>0</v>
      </c>
      <c r="J30" s="9">
        <f t="shared" si="7"/>
        <v>2.1090721575583244E-2</v>
      </c>
      <c r="K30" s="9">
        <f t="shared" si="8"/>
        <v>0</v>
      </c>
      <c r="L30" s="9">
        <f t="shared" si="9"/>
        <v>0</v>
      </c>
      <c r="M30">
        <f t="shared" si="0"/>
        <v>1.2205127421974673</v>
      </c>
      <c r="N30">
        <f t="shared" si="10"/>
        <v>0</v>
      </c>
      <c r="O30">
        <f t="shared" si="24"/>
        <v>1.2205127421974673</v>
      </c>
      <c r="P30">
        <f t="shared" si="22"/>
        <v>1.2016152800337065</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1.8897462163760759E-2</v>
      </c>
      <c r="AB30">
        <f t="shared" si="11"/>
        <v>1.8897462163760759E-2</v>
      </c>
      <c r="AC30">
        <f t="shared" si="12"/>
        <v>0</v>
      </c>
      <c r="AD30">
        <f t="shared" si="3"/>
        <v>0.24032305600674131</v>
      </c>
      <c r="AE30">
        <f t="shared" si="13"/>
        <v>0</v>
      </c>
      <c r="AF30">
        <f t="shared" si="14"/>
        <v>0.26702561778526812</v>
      </c>
      <c r="AG30">
        <f t="shared" si="15"/>
        <v>0.48064611201348267</v>
      </c>
      <c r="AH30">
        <f t="shared" si="16"/>
        <v>0</v>
      </c>
      <c r="AI30">
        <f t="shared" si="17"/>
        <v>6.3242909475458242E-2</v>
      </c>
      <c r="AJ30">
        <f t="shared" si="18"/>
        <v>0</v>
      </c>
      <c r="AK30">
        <f t="shared" si="19"/>
        <v>0.24032305600674131</v>
      </c>
      <c r="AL30">
        <f t="shared" si="20"/>
        <v>0</v>
      </c>
    </row>
    <row r="31" spans="1:38" x14ac:dyDescent="0.2">
      <c r="A31">
        <v>2048</v>
      </c>
      <c r="B31">
        <v>23</v>
      </c>
      <c r="C31">
        <f t="shared" si="21"/>
        <v>1.2729918259527773</v>
      </c>
      <c r="D31">
        <f t="shared" si="23"/>
        <v>0.21544401750640008</v>
      </c>
      <c r="E31">
        <f t="shared" si="4"/>
        <v>0</v>
      </c>
      <c r="F31">
        <f t="shared" si="5"/>
        <v>0</v>
      </c>
      <c r="G31" s="9">
        <f t="shared" si="6"/>
        <v>0.16924226307985119</v>
      </c>
      <c r="H31" s="9">
        <f t="shared" si="6"/>
        <v>0</v>
      </c>
      <c r="I31" s="9">
        <f t="shared" si="6"/>
        <v>0</v>
      </c>
      <c r="J31" s="9">
        <f t="shared" si="7"/>
        <v>2.2001494200380656E-2</v>
      </c>
      <c r="K31" s="9">
        <f t="shared" si="8"/>
        <v>0</v>
      </c>
      <c r="L31" s="9">
        <f t="shared" si="9"/>
        <v>0</v>
      </c>
      <c r="M31">
        <f t="shared" si="0"/>
        <v>1.2449841036769453</v>
      </c>
      <c r="N31">
        <f t="shared" si="10"/>
        <v>0</v>
      </c>
      <c r="O31">
        <f t="shared" si="24"/>
        <v>1.2449841036769453</v>
      </c>
      <c r="P31">
        <f t="shared" si="22"/>
        <v>1.2277304021033439</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1.7253701573601399E-2</v>
      </c>
      <c r="AB31">
        <f t="shared" si="11"/>
        <v>1.7253701573601399E-2</v>
      </c>
      <c r="AC31">
        <f t="shared" si="12"/>
        <v>0</v>
      </c>
      <c r="AD31">
        <f t="shared" si="3"/>
        <v>0.24554608042066881</v>
      </c>
      <c r="AE31">
        <f t="shared" si="13"/>
        <v>0</v>
      </c>
      <c r="AF31">
        <f t="shared" si="14"/>
        <v>0.27282897824518759</v>
      </c>
      <c r="AG31">
        <f t="shared" si="15"/>
        <v>0.49109216084133761</v>
      </c>
      <c r="AH31">
        <f t="shared" si="16"/>
        <v>0</v>
      </c>
      <c r="AI31">
        <f t="shared" si="17"/>
        <v>6.4617389584386523E-2</v>
      </c>
      <c r="AJ31">
        <f t="shared" si="18"/>
        <v>0</v>
      </c>
      <c r="AK31">
        <f t="shared" si="19"/>
        <v>0.24554608042066881</v>
      </c>
      <c r="AL31">
        <f t="shared" si="20"/>
        <v>0</v>
      </c>
    </row>
    <row r="32" spans="1:38" x14ac:dyDescent="0.2">
      <c r="A32">
        <v>2049</v>
      </c>
      <c r="B32">
        <v>24</v>
      </c>
      <c r="C32">
        <f t="shared" si="21"/>
        <v>1.2997246542977854</v>
      </c>
      <c r="D32">
        <f t="shared" si="23"/>
        <v>0.22900241264941601</v>
      </c>
      <c r="E32">
        <f t="shared" si="4"/>
        <v>0</v>
      </c>
      <c r="F32">
        <f t="shared" si="5"/>
        <v>0</v>
      </c>
      <c r="G32" s="9">
        <f t="shared" si="6"/>
        <v>0.17619302049259142</v>
      </c>
      <c r="H32" s="9">
        <f t="shared" si="6"/>
        <v>0</v>
      </c>
      <c r="I32" s="9">
        <f t="shared" si="6"/>
        <v>0</v>
      </c>
      <c r="J32" s="9">
        <f t="shared" si="7"/>
        <v>2.2905092664036886E-2</v>
      </c>
      <c r="K32" s="9">
        <f t="shared" si="8"/>
        <v>0</v>
      </c>
      <c r="L32" s="9">
        <f t="shared" si="9"/>
        <v>0</v>
      </c>
      <c r="M32">
        <f t="shared" si="0"/>
        <v>1.2699543406533613</v>
      </c>
      <c r="N32">
        <f t="shared" si="10"/>
        <v>0</v>
      </c>
      <c r="O32">
        <f t="shared" si="24"/>
        <v>1.2699543406533613</v>
      </c>
      <c r="P32">
        <f t="shared" si="22"/>
        <v>1.2536736764029588</v>
      </c>
      <c r="Q32" s="9">
        <f t="shared" si="1"/>
        <v>0.98718011842691411</v>
      </c>
      <c r="R32">
        <f>VLOOKUP($B$1,dictionary!$A$3:$K$51,3,FALSE)*Q32</f>
        <v>0.19743602368538282</v>
      </c>
      <c r="S32">
        <f>VLOOKUP($B$1,dictionary!$A$3:$K$51,4,FALSE)*Q32</f>
        <v>0</v>
      </c>
      <c r="T32">
        <f>VLOOKUP($B$1,dictionary!$A$3:$K$51,5,FALSE)*Q32</f>
        <v>0.19743602368538282</v>
      </c>
      <c r="U32">
        <f>VLOOKUP($B$1,dictionary!$A$3:$K$51,6,FALSE)*Q32</f>
        <v>0.34551304144941991</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1.6280664250402532E-2</v>
      </c>
      <c r="AB32">
        <f t="shared" si="11"/>
        <v>1.6280664250402532E-2</v>
      </c>
      <c r="AC32">
        <f t="shared" si="12"/>
        <v>0</v>
      </c>
      <c r="AD32">
        <f t="shared" si="3"/>
        <v>0.25073473528059176</v>
      </c>
      <c r="AE32">
        <f t="shared" si="13"/>
        <v>0</v>
      </c>
      <c r="AF32">
        <f t="shared" si="14"/>
        <v>0.27859415031176865</v>
      </c>
      <c r="AG32">
        <f t="shared" si="15"/>
        <v>0.50146947056118363</v>
      </c>
      <c r="AH32">
        <f t="shared" si="16"/>
        <v>0</v>
      </c>
      <c r="AI32">
        <f t="shared" si="17"/>
        <v>6.5982825073839929E-2</v>
      </c>
      <c r="AJ32">
        <f t="shared" si="18"/>
        <v>0</v>
      </c>
      <c r="AK32">
        <f t="shared" si="19"/>
        <v>0.25073473528059176</v>
      </c>
      <c r="AL32">
        <f t="shared" si="20"/>
        <v>0</v>
      </c>
    </row>
    <row r="33" spans="1:38" x14ac:dyDescent="0.2">
      <c r="A33">
        <v>2050</v>
      </c>
      <c r="B33">
        <v>25</v>
      </c>
      <c r="C33">
        <f t="shared" si="21"/>
        <v>1.3270188720380387</v>
      </c>
      <c r="D33">
        <f t="shared" si="23"/>
        <v>0.24295877834160295</v>
      </c>
      <c r="E33">
        <f t="shared" si="4"/>
        <v>0</v>
      </c>
      <c r="F33">
        <f t="shared" si="5"/>
        <v>0</v>
      </c>
      <c r="G33" s="9">
        <f t="shared" si="6"/>
        <v>0.18308615156954497</v>
      </c>
      <c r="H33" s="9">
        <f t="shared" si="6"/>
        <v>0</v>
      </c>
      <c r="I33" s="9">
        <f t="shared" si="6"/>
        <v>0</v>
      </c>
      <c r="J33" s="9">
        <f t="shared" si="7"/>
        <v>2.3801199704040849E-2</v>
      </c>
      <c r="K33" s="9">
        <f t="shared" si="8"/>
        <v>0</v>
      </c>
      <c r="L33" s="9">
        <f t="shared" si="9"/>
        <v>0</v>
      </c>
      <c r="M33">
        <f t="shared" si="0"/>
        <v>1.2954342308536304</v>
      </c>
      <c r="N33">
        <f t="shared" si="10"/>
        <v>0</v>
      </c>
      <c r="O33">
        <f t="shared" si="24"/>
        <v>1.2954342308536304</v>
      </c>
      <c r="P33">
        <f t="shared" si="22"/>
        <v>1.2796863456468475</v>
      </c>
      <c r="Q33" s="9">
        <f t="shared" si="1"/>
        <v>0.9878435471043514</v>
      </c>
      <c r="R33">
        <f>VLOOKUP($B$1,dictionary!$A$3:$K$51,3,FALSE)*Q33</f>
        <v>0.19756870942087029</v>
      </c>
      <c r="S33">
        <f>VLOOKUP($B$1,dictionary!$A$3:$K$51,4,FALSE)*Q33</f>
        <v>0</v>
      </c>
      <c r="T33">
        <f>VLOOKUP($B$1,dictionary!$A$3:$K$51,5,FALSE)*Q33</f>
        <v>0.19756870942087029</v>
      </c>
      <c r="U33">
        <f>VLOOKUP($B$1,dictionary!$A$3:$K$51,6,FALSE)*Q33</f>
        <v>0.34574524148652297</v>
      </c>
      <c r="V33">
        <f>VLOOKUP($B$1,dictionary!$A$3:$K$51,7,FALSE)*Q33</f>
        <v>0</v>
      </c>
      <c r="W33">
        <f>VLOOKUP($B$1,dictionary!$A$3:$K$51,8,FALSE)*Q33</f>
        <v>4.9392177355217573E-2</v>
      </c>
      <c r="X33">
        <f>VLOOKUP($B$1,dictionary!$A$3:$K$51,9,FALSE)*Q33</f>
        <v>0</v>
      </c>
      <c r="Y33">
        <f>VLOOKUP($B$1,dictionary!$A$3:$K$51,10,FALSE)*Q33</f>
        <v>0.19756870942087029</v>
      </c>
      <c r="Z33">
        <f>VLOOKUP($B$1,dictionary!$A$3:$K$51,11,FALSE)*Q33</f>
        <v>0</v>
      </c>
      <c r="AA33">
        <f t="shared" si="2"/>
        <v>1.5747885206782941E-2</v>
      </c>
      <c r="AB33">
        <f t="shared" si="11"/>
        <v>1.5747885206782941E-2</v>
      </c>
      <c r="AC33">
        <f t="shared" si="12"/>
        <v>0</v>
      </c>
      <c r="AD33">
        <f t="shared" si="3"/>
        <v>0.25593726912936954</v>
      </c>
      <c r="AE33">
        <f t="shared" si="13"/>
        <v>0</v>
      </c>
      <c r="AF33">
        <f t="shared" si="14"/>
        <v>0.28437474347707725</v>
      </c>
      <c r="AG33">
        <f t="shared" si="15"/>
        <v>0.51187453825873896</v>
      </c>
      <c r="AH33">
        <f t="shared" si="16"/>
        <v>0</v>
      </c>
      <c r="AI33">
        <f t="shared" si="17"/>
        <v>6.7351912928781454E-2</v>
      </c>
      <c r="AJ33">
        <f t="shared" si="18"/>
        <v>0</v>
      </c>
      <c r="AK33">
        <f t="shared" si="19"/>
        <v>0.25593726912936954</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CE9E-8F62-8044-8138-24E45EDB1938}">
  <sheetPr>
    <tabColor theme="4" tint="0.79998168889431442"/>
  </sheetPr>
  <dimension ref="A1:AY37"/>
  <sheetViews>
    <sheetView topLeftCell="D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6</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emissions!N22</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f>IF($N$7="LFO",M8/(1+EXP(-$I$4*(B8-$J$4)))-M8/(1+EXP($I$4*$J$4)),IF($N$7="MGO",M8/(1+EXP(-$I$5*(B8-$J$5)))-M8/(1+EXP($I$5*$J$5)),0))</f>
        <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f t="shared" ref="N9:N33" si="10">IF($N$7="LFO",M9/(1+EXP(-$I$4*(B9-$J$4)))-M9/(1+EXP($I$4*$J$4)),IF($N$7="MGO",M9/(1+EXP(-$I$5*(B9-$J$5)))-M9/(1+EXP($I$5*$J$5)),0))</f>
        <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f t="shared" si="10"/>
        <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f t="shared" si="10"/>
        <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f t="shared" si="10"/>
        <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f t="shared" si="10"/>
        <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f t="shared" si="10"/>
        <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f t="shared" si="10"/>
        <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f t="shared" si="10"/>
        <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f t="shared" si="10"/>
        <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f t="shared" si="10"/>
        <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f t="shared" si="10"/>
        <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f t="shared" si="10"/>
        <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f t="shared" si="10"/>
        <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f t="shared" si="10"/>
        <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f t="shared" si="10"/>
        <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f t="shared" si="10"/>
        <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f t="shared" si="10"/>
        <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f t="shared" si="10"/>
        <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f t="shared" si="10"/>
        <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f t="shared" si="10"/>
        <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f t="shared" si="10"/>
        <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f t="shared" si="10"/>
        <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f t="shared" si="10"/>
        <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f t="shared" si="10"/>
        <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f t="shared" si="10"/>
        <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F7DD-A838-6C47-804D-2750A96BD579}">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33</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4.8756260059855672</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4.8756260059855672</v>
      </c>
      <c r="N8">
        <f>IF($N$7="LFO",M8/(1+EXP(-$I$4*(B8-$J$4)))-M8/(1+EXP($I$4*$J$4)),IF($N$7="MGO",M8/(1+EXP(-$I$5*(B8-$J$5)))-M8/(1+EXP($I$5*$J$5)),0))</f>
        <v>0</v>
      </c>
      <c r="O8">
        <f>M8-N8</f>
        <v>4.8756260059855672</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4.8756260059855672</v>
      </c>
      <c r="AB8">
        <f>O8/M8*AA8</f>
        <v>4.8756260059855672</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4.978014152111264</v>
      </c>
      <c r="D9">
        <f>IF($E$2=0,0,C9/(1+EXP(-$E$2*(B9-$G$2)))-C9/(1+EXP($E$2*$G$2)))</f>
        <v>3.7164826093888603E-2</v>
      </c>
      <c r="E9">
        <f t="shared" ref="E9:E33" si="4">IF($E$3=0,0,C9/(1+EXP(-$E$3*(B9-$G$3)))-C9/(1+EXP($E$3*$G$3)))</f>
        <v>3.7164826093888603E-2</v>
      </c>
      <c r="F9">
        <f t="shared" ref="F9:F33" si="5">IF($E$4=0,0,C9/(1+EXP(-$E$4*(B9-$G$4)))-C9/(1+EXP($E$4*$G$4)))</f>
        <v>1.2416972757080647E-2</v>
      </c>
      <c r="G9" s="9">
        <f t="shared" ref="G9:I33" si="6">D9/$C9</f>
        <v>7.4657935791778221E-3</v>
      </c>
      <c r="H9" s="9">
        <f t="shared" si="6"/>
        <v>7.4657935791778221E-3</v>
      </c>
      <c r="I9" s="9">
        <f t="shared" si="6"/>
        <v>2.4943626871398888E-3</v>
      </c>
      <c r="J9" s="9">
        <f t="shared" ref="J9:J33" si="7">G9*$F$2</f>
        <v>9.7055316529311695E-4</v>
      </c>
      <c r="K9" s="9">
        <f t="shared" ref="K9:K33" si="8">H9*$F$3</f>
        <v>1.4931587158355645E-3</v>
      </c>
      <c r="L9" s="9">
        <f t="shared" ref="L9:L33" si="9">I9*$F$4</f>
        <v>9.977450748559556E-4</v>
      </c>
      <c r="M9">
        <f t="shared" si="0"/>
        <v>4.9608024140248723</v>
      </c>
      <c r="N9">
        <f t="shared" ref="N9:N33" si="10">IF($N$7="LFO",M9/(1+EXP(-$I$4*(B9-$J$4)))-M9/(1+EXP($I$4*$J$4)),IF($N$7="MGO",M9/(1+EXP(-$I$5*(B9-$J$5)))-M9/(1+EXP($I$5*$J$5)),0))</f>
        <v>0</v>
      </c>
      <c r="O9">
        <f>M9-N9</f>
        <v>4.9608024140248723</v>
      </c>
      <c r="P9">
        <f>IF($I$3=0,0,M9/(1+EXP(-$I$3*(B9-$J$3)))-M9/(1+EXP($I$3*$J$3)))</f>
        <v>3.0444894285905064E-2</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4.9303575197389673</v>
      </c>
      <c r="AB9">
        <f t="shared" ref="AB9:AB33" si="11">O9/M9*AA9</f>
        <v>4.9303575197389673</v>
      </c>
      <c r="AC9">
        <f t="shared" ref="AC9:AC33" si="12">N9/M9*AA9</f>
        <v>0</v>
      </c>
      <c r="AD9">
        <f t="shared" si="3"/>
        <v>6.0889788571810138E-3</v>
      </c>
      <c r="AE9">
        <f t="shared" ref="AE9:AE33" si="13">S9*$O9*$AE$2+S9*$N9*$AE$3</f>
        <v>0</v>
      </c>
      <c r="AF9">
        <f t="shared" ref="AF9:AF33" si="14">T9*$O9*$AF$2+T9*$N9*$AF$3</f>
        <v>6.7655320635344601E-3</v>
      </c>
      <c r="AG9">
        <f t="shared" ref="AG9:AG33" si="15">U9*$O9*$AG$2+U9*$N9*$AG$3</f>
        <v>1.2177957714362028E-2</v>
      </c>
      <c r="AH9">
        <f t="shared" ref="AH9:AH33" si="16">V9*$O9*$AH$2+V9*$N9*$AH$3</f>
        <v>0</v>
      </c>
      <c r="AI9">
        <f t="shared" ref="AI9:AI33" si="17">W9*$O9*$AI$2+W9*$N9*$AI$3</f>
        <v>1.6023628571528983E-3</v>
      </c>
      <c r="AJ9">
        <f t="shared" ref="AJ9:AJ33" si="18">X9*$O9*$AJ$2+X9*$N9*$AJ$3</f>
        <v>0</v>
      </c>
      <c r="AK9">
        <f t="shared" ref="AK9:AK33" si="19">Y9*$O9*$AK$2+Y9*$N9*$AK$3</f>
        <v>6.0889788571810138E-3</v>
      </c>
      <c r="AL9">
        <f t="shared" ref="AL9:AL33" si="20">Z9*$O9*$AL$2+Z9*$N9*$AL$3</f>
        <v>0</v>
      </c>
    </row>
    <row r="10" spans="1:51" x14ac:dyDescent="0.2">
      <c r="A10">
        <v>2027</v>
      </c>
      <c r="B10">
        <v>2</v>
      </c>
      <c r="C10">
        <f t="shared" ref="C10:C33" si="21">C9*(1+$I$2)</f>
        <v>5.0825524493056005</v>
      </c>
      <c r="D10">
        <f>IF($E$2=0,0,C10/(1+EXP(-$E$2*(B10-$G$2)))-C10/(1+EXP($E$2*$G$2)))</f>
        <v>7.5958850811233436E-2</v>
      </c>
      <c r="E10">
        <f t="shared" si="4"/>
        <v>7.5958850811233436E-2</v>
      </c>
      <c r="F10">
        <f t="shared" si="5"/>
        <v>2.5361160734995281E-2</v>
      </c>
      <c r="G10" s="9">
        <f t="shared" si="6"/>
        <v>1.4945020551949493E-2</v>
      </c>
      <c r="H10" s="9">
        <f t="shared" si="6"/>
        <v>1.4945020551949493E-2</v>
      </c>
      <c r="I10" s="9">
        <f t="shared" si="6"/>
        <v>4.989847323358213E-3</v>
      </c>
      <c r="J10" s="9">
        <f t="shared" si="7"/>
        <v>1.9428526717534342E-3</v>
      </c>
      <c r="K10" s="9">
        <f t="shared" si="8"/>
        <v>2.9890041103898986E-3</v>
      </c>
      <c r="L10" s="9">
        <f t="shared" si="9"/>
        <v>1.9959389293432851E-3</v>
      </c>
      <c r="M10">
        <f t="shared" si="0"/>
        <v>5.0474210517492955</v>
      </c>
      <c r="N10">
        <f t="shared" si="10"/>
        <v>0</v>
      </c>
      <c r="O10">
        <f>M10-N10</f>
        <v>5.0474210517492955</v>
      </c>
      <c r="P10">
        <f t="shared" ref="P10:P33" si="22">IF($I$3=0,0,M10/(1+EXP(-$I$3*(B10-$J$3)))-M10/(1+EXP($I$3*$J$3)))</f>
        <v>7.8790499765095695E-2</v>
      </c>
      <c r="Q10" s="9">
        <f t="shared" si="1"/>
        <v>1.5610050946272672E-2</v>
      </c>
      <c r="R10">
        <f>VLOOKUP($B$1,dictionary!$A$3:$K$51,3,FALSE)*Q10</f>
        <v>3.1220101892545345E-3</v>
      </c>
      <c r="S10">
        <f>VLOOKUP($B$1,dictionary!$A$3:$K$51,4,FALSE)*Q10</f>
        <v>0</v>
      </c>
      <c r="T10">
        <f>VLOOKUP($B$1,dictionary!$A$3:$K$51,5,FALSE)*Q10</f>
        <v>3.1220101892545345E-3</v>
      </c>
      <c r="U10">
        <f>VLOOKUP($B$1,dictionary!$A$3:$K$51,6,FALSE)*Q10</f>
        <v>5.4635178311954347E-3</v>
      </c>
      <c r="V10">
        <f>VLOOKUP($B$1,dictionary!$A$3:$K$51,7,FALSE)*Q10</f>
        <v>0</v>
      </c>
      <c r="W10">
        <f>VLOOKUP($B$1,dictionary!$A$3:$K$51,8,FALSE)*Q10</f>
        <v>7.8050254731363363E-4</v>
      </c>
      <c r="X10">
        <f>VLOOKUP($B$1,dictionary!$A$3:$K$51,9,FALSE)*Q10</f>
        <v>0</v>
      </c>
      <c r="Y10">
        <f>VLOOKUP($B$1,dictionary!$A$3:$K$51,10,FALSE)*Q10</f>
        <v>3.1220101892545345E-3</v>
      </c>
      <c r="Z10">
        <f>VLOOKUP($B$1,dictionary!$A$3:$K$51,11,FALSE)*Q10</f>
        <v>0</v>
      </c>
      <c r="AA10">
        <f t="shared" si="2"/>
        <v>4.9686305519841998</v>
      </c>
      <c r="AB10">
        <f t="shared" si="11"/>
        <v>4.9686305519841998</v>
      </c>
      <c r="AC10">
        <f t="shared" si="12"/>
        <v>0</v>
      </c>
      <c r="AD10">
        <f t="shared" si="3"/>
        <v>1.575809995301914E-2</v>
      </c>
      <c r="AE10">
        <f t="shared" si="13"/>
        <v>0</v>
      </c>
      <c r="AF10">
        <f t="shared" si="14"/>
        <v>1.7508999947799045E-2</v>
      </c>
      <c r="AG10">
        <f t="shared" si="15"/>
        <v>3.1516199906038281E-2</v>
      </c>
      <c r="AH10">
        <f t="shared" si="16"/>
        <v>0</v>
      </c>
      <c r="AI10">
        <f t="shared" si="17"/>
        <v>4.1468684086892471E-3</v>
      </c>
      <c r="AJ10">
        <f t="shared" si="18"/>
        <v>0</v>
      </c>
      <c r="AK10">
        <f t="shared" si="19"/>
        <v>1.575809995301914E-2</v>
      </c>
      <c r="AL10">
        <f t="shared" si="20"/>
        <v>0</v>
      </c>
    </row>
    <row r="11" spans="1:51" x14ac:dyDescent="0.2">
      <c r="A11">
        <v>2028</v>
      </c>
      <c r="B11">
        <v>3</v>
      </c>
      <c r="C11">
        <f t="shared" si="21"/>
        <v>5.1892860507410177</v>
      </c>
      <c r="D11">
        <f t="shared" ref="D11:D33" si="23">IF($E$2=0,0,C11/(1+EXP(-$E$2*(B11-$G$2)))-C11/(1+EXP($E$2*$G$2)))</f>
        <v>0.11641822694624393</v>
      </c>
      <c r="E11">
        <f t="shared" si="4"/>
        <v>0.11641822694624393</v>
      </c>
      <c r="F11">
        <f t="shared" si="5"/>
        <v>3.8848706867513627E-2</v>
      </c>
      <c r="G11" s="9">
        <f t="shared" si="6"/>
        <v>2.2434343724339438E-2</v>
      </c>
      <c r="H11" s="9">
        <f t="shared" si="6"/>
        <v>2.2434343724339438E-2</v>
      </c>
      <c r="I11" s="9">
        <f t="shared" si="6"/>
        <v>7.4863298125502492E-3</v>
      </c>
      <c r="J11" s="9">
        <f t="shared" si="7"/>
        <v>2.9164646841641269E-3</v>
      </c>
      <c r="K11" s="9">
        <f t="shared" si="8"/>
        <v>4.4868687448678876E-3</v>
      </c>
      <c r="L11" s="9">
        <f t="shared" si="9"/>
        <v>2.9945319250200999E-3</v>
      </c>
      <c r="M11">
        <f t="shared" si="0"/>
        <v>5.1355112996568648</v>
      </c>
      <c r="N11">
        <f t="shared" si="10"/>
        <v>0</v>
      </c>
      <c r="O11">
        <f t="shared" ref="O11:O33" si="24">M11-N11</f>
        <v>5.1355112996568648</v>
      </c>
      <c r="P11">
        <f t="shared" si="22"/>
        <v>0.15460115548773889</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4.9809101441691261</v>
      </c>
      <c r="AB11">
        <f t="shared" si="11"/>
        <v>4.9809101441691261</v>
      </c>
      <c r="AC11">
        <f t="shared" si="12"/>
        <v>0</v>
      </c>
      <c r="AD11">
        <f t="shared" si="3"/>
        <v>3.0920231097547778E-2</v>
      </c>
      <c r="AE11">
        <f t="shared" si="13"/>
        <v>0</v>
      </c>
      <c r="AF11">
        <f t="shared" si="14"/>
        <v>3.4355812330608644E-2</v>
      </c>
      <c r="AG11">
        <f t="shared" si="15"/>
        <v>6.1840462195095564E-2</v>
      </c>
      <c r="AH11">
        <f t="shared" si="16"/>
        <v>0</v>
      </c>
      <c r="AI11">
        <f t="shared" si="17"/>
        <v>8.1369029204073091E-3</v>
      </c>
      <c r="AJ11">
        <f t="shared" si="18"/>
        <v>0</v>
      </c>
      <c r="AK11">
        <f t="shared" si="19"/>
        <v>3.0920231097547778E-2</v>
      </c>
      <c r="AL11">
        <f t="shared" si="20"/>
        <v>0</v>
      </c>
    </row>
    <row r="12" spans="1:51" x14ac:dyDescent="0.2">
      <c r="A12">
        <v>2029</v>
      </c>
      <c r="B12">
        <v>4</v>
      </c>
      <c r="C12">
        <f t="shared" si="21"/>
        <v>5.2982610578065783</v>
      </c>
      <c r="D12">
        <f t="shared" si="23"/>
        <v>0.15857911405460667</v>
      </c>
      <c r="E12">
        <f t="shared" si="4"/>
        <v>0.15857911405460667</v>
      </c>
      <c r="F12">
        <f t="shared" si="5"/>
        <v>5.2896174002921459E-2</v>
      </c>
      <c r="G12" s="9">
        <f t="shared" si="6"/>
        <v>2.9930407793129145E-2</v>
      </c>
      <c r="H12" s="9">
        <f t="shared" si="6"/>
        <v>2.9930407793129145E-2</v>
      </c>
      <c r="I12" s="9">
        <f t="shared" si="6"/>
        <v>9.9836858595298995E-3</v>
      </c>
      <c r="J12" s="9">
        <f t="shared" si="7"/>
        <v>3.890953013106789E-3</v>
      </c>
      <c r="K12" s="9">
        <f t="shared" si="8"/>
        <v>5.9860815586258295E-3</v>
      </c>
      <c r="L12" s="9">
        <f t="shared" si="9"/>
        <v>3.9934743438119601E-3</v>
      </c>
      <c r="M12">
        <f t="shared" si="0"/>
        <v>5.2251033754656468</v>
      </c>
      <c r="N12">
        <f t="shared" si="10"/>
        <v>0</v>
      </c>
      <c r="O12">
        <f t="shared" si="24"/>
        <v>5.2251033754656468</v>
      </c>
      <c r="P12">
        <f t="shared" si="22"/>
        <v>0.27163438427265246</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4.9534689911929943</v>
      </c>
      <c r="AB12">
        <f t="shared" si="11"/>
        <v>4.9534689911929943</v>
      </c>
      <c r="AC12">
        <f t="shared" si="12"/>
        <v>0</v>
      </c>
      <c r="AD12">
        <f t="shared" si="3"/>
        <v>5.4326876854530498E-2</v>
      </c>
      <c r="AE12">
        <f t="shared" si="13"/>
        <v>0</v>
      </c>
      <c r="AF12">
        <f t="shared" si="14"/>
        <v>6.0363196505033891E-2</v>
      </c>
      <c r="AG12">
        <f t="shared" si="15"/>
        <v>0.10865375370906098</v>
      </c>
      <c r="AH12">
        <f t="shared" si="16"/>
        <v>0</v>
      </c>
      <c r="AI12">
        <f t="shared" si="17"/>
        <v>1.429654654066592E-2</v>
      </c>
      <c r="AJ12">
        <f t="shared" si="18"/>
        <v>0</v>
      </c>
      <c r="AK12">
        <f t="shared" si="19"/>
        <v>5.4326876854530498E-2</v>
      </c>
      <c r="AL12">
        <f t="shared" si="20"/>
        <v>0</v>
      </c>
    </row>
    <row r="13" spans="1:51" x14ac:dyDescent="0.2">
      <c r="A13">
        <v>2030</v>
      </c>
      <c r="B13">
        <v>5</v>
      </c>
      <c r="C13">
        <f t="shared" si="21"/>
        <v>5.4095245400205156</v>
      </c>
      <c r="D13">
        <f t="shared" si="23"/>
        <v>0.20247766691618585</v>
      </c>
      <c r="E13">
        <f t="shared" si="4"/>
        <v>0.20247766691618585</v>
      </c>
      <c r="F13">
        <f t="shared" si="5"/>
        <v>6.7520554689397105E-2</v>
      </c>
      <c r="G13" s="9">
        <f t="shared" si="6"/>
        <v>3.7429845343749553E-2</v>
      </c>
      <c r="H13" s="9">
        <f t="shared" si="6"/>
        <v>3.7429845343749553E-2</v>
      </c>
      <c r="I13" s="9">
        <f t="shared" si="6"/>
        <v>1.2481790994729647E-2</v>
      </c>
      <c r="J13" s="9">
        <f t="shared" si="7"/>
        <v>4.8658798946874422E-3</v>
      </c>
      <c r="K13" s="9">
        <f t="shared" si="8"/>
        <v>7.4859690687499106E-3</v>
      </c>
      <c r="L13" s="9">
        <f t="shared" si="9"/>
        <v>4.9927163978918596E-3</v>
      </c>
      <c r="M13">
        <f t="shared" si="0"/>
        <v>5.3162283521447096</v>
      </c>
      <c r="N13">
        <f t="shared" si="10"/>
        <v>0</v>
      </c>
      <c r="O13">
        <f t="shared" si="24"/>
        <v>5.3162283521447096</v>
      </c>
      <c r="P13">
        <f t="shared" si="22"/>
        <v>0.44849043274232581</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4.8677379194023835</v>
      </c>
      <c r="AB13">
        <f t="shared" si="11"/>
        <v>4.8677379194023835</v>
      </c>
      <c r="AC13">
        <f t="shared" si="12"/>
        <v>0</v>
      </c>
      <c r="AD13">
        <f t="shared" si="3"/>
        <v>8.9698086548465172E-2</v>
      </c>
      <c r="AE13">
        <f t="shared" si="13"/>
        <v>0</v>
      </c>
      <c r="AF13">
        <f t="shared" si="14"/>
        <v>9.9664540609405758E-2</v>
      </c>
      <c r="AG13">
        <f t="shared" si="15"/>
        <v>0.17939617309693032</v>
      </c>
      <c r="AH13">
        <f t="shared" si="16"/>
        <v>0</v>
      </c>
      <c r="AI13">
        <f t="shared" si="17"/>
        <v>2.3604759618017151E-2</v>
      </c>
      <c r="AJ13">
        <f t="shared" si="18"/>
        <v>0</v>
      </c>
      <c r="AK13">
        <f t="shared" si="19"/>
        <v>8.9698086548465172E-2</v>
      </c>
      <c r="AL13">
        <f t="shared" si="20"/>
        <v>0</v>
      </c>
    </row>
    <row r="14" spans="1:51" x14ac:dyDescent="0.2">
      <c r="A14">
        <v>2031</v>
      </c>
      <c r="B14">
        <v>6</v>
      </c>
      <c r="C14">
        <f t="shared" si="21"/>
        <v>5.5231245553609458</v>
      </c>
      <c r="D14">
        <f t="shared" si="23"/>
        <v>0.24815002560865285</v>
      </c>
      <c r="E14">
        <f t="shared" si="4"/>
        <v>0.24815002560865285</v>
      </c>
      <c r="F14">
        <f t="shared" si="5"/>
        <v>8.2739281172287349E-2</v>
      </c>
      <c r="G14" s="9">
        <f t="shared" si="6"/>
        <v>4.4929282894369892E-2</v>
      </c>
      <c r="H14" s="9">
        <f t="shared" si="6"/>
        <v>4.4929282894369892E-2</v>
      </c>
      <c r="I14" s="9">
        <f t="shared" si="6"/>
        <v>1.4980520598974648E-2</v>
      </c>
      <c r="J14" s="9">
        <f t="shared" si="7"/>
        <v>5.8408067762680859E-3</v>
      </c>
      <c r="K14" s="9">
        <f t="shared" si="8"/>
        <v>8.9858565788739787E-3</v>
      </c>
      <c r="L14" s="9">
        <f t="shared" si="9"/>
        <v>5.9922082395898598E-3</v>
      </c>
      <c r="M14">
        <f t="shared" si="0"/>
        <v>5.4089181756817197</v>
      </c>
      <c r="N14">
        <f t="shared" si="10"/>
        <v>0</v>
      </c>
      <c r="O14">
        <f t="shared" si="24"/>
        <v>5.4089181756817197</v>
      </c>
      <c r="P14">
        <f t="shared" si="22"/>
        <v>0.70783332949026789</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4.7010848461914518</v>
      </c>
      <c r="AB14">
        <f t="shared" si="11"/>
        <v>4.7010848461914518</v>
      </c>
      <c r="AC14">
        <f t="shared" si="12"/>
        <v>0</v>
      </c>
      <c r="AD14">
        <f t="shared" si="3"/>
        <v>0.14156666589805356</v>
      </c>
      <c r="AE14">
        <f t="shared" si="13"/>
        <v>0</v>
      </c>
      <c r="AF14">
        <f t="shared" si="14"/>
        <v>0.15729629544228174</v>
      </c>
      <c r="AG14">
        <f t="shared" si="15"/>
        <v>0.28313333179610717</v>
      </c>
      <c r="AH14">
        <f t="shared" si="16"/>
        <v>0</v>
      </c>
      <c r="AI14">
        <f t="shared" si="17"/>
        <v>3.725438576264567E-2</v>
      </c>
      <c r="AJ14">
        <f t="shared" si="18"/>
        <v>0</v>
      </c>
      <c r="AK14">
        <f t="shared" si="19"/>
        <v>0.14156666589805356</v>
      </c>
      <c r="AL14">
        <f t="shared" si="20"/>
        <v>0</v>
      </c>
    </row>
    <row r="15" spans="1:51" x14ac:dyDescent="0.2">
      <c r="A15">
        <v>2032</v>
      </c>
      <c r="B15">
        <v>7</v>
      </c>
      <c r="C15">
        <f t="shared" si="21"/>
        <v>5.6391101710235247</v>
      </c>
      <c r="D15">
        <f t="shared" si="23"/>
        <v>0.29563230727939027</v>
      </c>
      <c r="E15">
        <f t="shared" si="4"/>
        <v>0.29563230727939027</v>
      </c>
      <c r="F15">
        <f t="shared" si="5"/>
        <v>9.8570235607734702E-2</v>
      </c>
      <c r="G15" s="9">
        <f t="shared" si="6"/>
        <v>5.242534696315955E-2</v>
      </c>
      <c r="H15" s="9">
        <f t="shared" si="6"/>
        <v>5.242534696315955E-2</v>
      </c>
      <c r="I15" s="9">
        <f t="shared" si="6"/>
        <v>1.7479749928319587E-2</v>
      </c>
      <c r="J15" s="9">
        <f t="shared" si="7"/>
        <v>6.8152951052107419E-3</v>
      </c>
      <c r="K15" s="9">
        <f t="shared" si="8"/>
        <v>1.0485069392631911E-2</v>
      </c>
      <c r="L15" s="9">
        <f t="shared" si="9"/>
        <v>6.9918999713278352E-3</v>
      </c>
      <c r="M15">
        <f t="shared" si="0"/>
        <v>5.5032056825774793</v>
      </c>
      <c r="N15">
        <f t="shared" si="10"/>
        <v>0</v>
      </c>
      <c r="O15">
        <f t="shared" si="24"/>
        <v>5.5032056825774793</v>
      </c>
      <c r="P15">
        <f>IF($I$3=0,0,M15/(1+EXP(-$I$3*(B15-$J$3)))-M15/(1+EXP($I$3*$J$3)))</f>
        <v>1.0724835948504787</v>
      </c>
      <c r="Q15" s="9">
        <f t="shared" si="1"/>
        <v>0.19488342917035417</v>
      </c>
      <c r="R15">
        <f>VLOOKUP($B$1,dictionary!$A$3:$K$51,3,FALSE)*Q15</f>
        <v>3.8976685834070837E-2</v>
      </c>
      <c r="S15">
        <f>VLOOKUP($B$1,dictionary!$A$3:$K$51,4,FALSE)*Q15</f>
        <v>0</v>
      </c>
      <c r="T15">
        <f>VLOOKUP($B$1,dictionary!$A$3:$K$51,5,FALSE)*Q15</f>
        <v>3.8976685834070837E-2</v>
      </c>
      <c r="U15">
        <f>VLOOKUP($B$1,dictionary!$A$3:$K$51,6,FALSE)*Q15</f>
        <v>6.8209200209623955E-2</v>
      </c>
      <c r="V15">
        <f>VLOOKUP($B$1,dictionary!$A$3:$K$51,7,FALSE)*Q15</f>
        <v>0</v>
      </c>
      <c r="W15">
        <f>VLOOKUP($B$1,dictionary!$A$3:$K$51,8,FALSE)*Q15</f>
        <v>9.7441714585177093E-3</v>
      </c>
      <c r="X15">
        <f>VLOOKUP($B$1,dictionary!$A$3:$K$51,9,FALSE)*Q15</f>
        <v>0</v>
      </c>
      <c r="Y15">
        <f>VLOOKUP($B$1,dictionary!$A$3:$K$51,10,FALSE)*Q15</f>
        <v>3.8976685834070837E-2</v>
      </c>
      <c r="Z15">
        <f>VLOOKUP($B$1,dictionary!$A$3:$K$51,11,FALSE)*Q15</f>
        <v>0</v>
      </c>
      <c r="AA15">
        <f t="shared" si="2"/>
        <v>4.4307220877270002</v>
      </c>
      <c r="AB15">
        <f t="shared" si="11"/>
        <v>4.4307220877270002</v>
      </c>
      <c r="AC15">
        <f t="shared" si="12"/>
        <v>0</v>
      </c>
      <c r="AD15">
        <f t="shared" si="3"/>
        <v>0.21449671897009578</v>
      </c>
      <c r="AE15">
        <f t="shared" si="13"/>
        <v>0</v>
      </c>
      <c r="AF15">
        <f t="shared" si="14"/>
        <v>0.23832968774455088</v>
      </c>
      <c r="AG15">
        <f t="shared" si="15"/>
        <v>0.42899343794019151</v>
      </c>
      <c r="AH15">
        <f t="shared" si="16"/>
        <v>0</v>
      </c>
      <c r="AI15">
        <f t="shared" si="17"/>
        <v>5.644650499213047E-2</v>
      </c>
      <c r="AJ15">
        <f t="shared" si="18"/>
        <v>0</v>
      </c>
      <c r="AK15">
        <f t="shared" si="19"/>
        <v>0.21449671897009578</v>
      </c>
      <c r="AL15">
        <f t="shared" si="20"/>
        <v>0</v>
      </c>
    </row>
    <row r="16" spans="1:51" x14ac:dyDescent="0.2">
      <c r="A16">
        <v>2033</v>
      </c>
      <c r="B16">
        <v>8</v>
      </c>
      <c r="C16">
        <f t="shared" si="21"/>
        <v>5.7575314846150185</v>
      </c>
      <c r="D16">
        <f t="shared" si="23"/>
        <v>0.34496059969575033</v>
      </c>
      <c r="E16">
        <f t="shared" si="4"/>
        <v>0.34496059969575033</v>
      </c>
      <c r="F16">
        <f t="shared" si="5"/>
        <v>0.11503176049722219</v>
      </c>
      <c r="G16" s="9">
        <f t="shared" si="6"/>
        <v>5.9914670135549658E-2</v>
      </c>
      <c r="H16" s="9">
        <f t="shared" si="6"/>
        <v>5.9914670135549658E-2</v>
      </c>
      <c r="I16" s="9">
        <f t="shared" si="6"/>
        <v>1.9979354138940305E-2</v>
      </c>
      <c r="J16" s="9">
        <f t="shared" si="7"/>
        <v>7.7889071176214554E-3</v>
      </c>
      <c r="K16" s="9">
        <f t="shared" si="8"/>
        <v>1.1982934027109933E-2</v>
      </c>
      <c r="L16" s="9">
        <f t="shared" si="9"/>
        <v>7.991741655576123E-3</v>
      </c>
      <c r="M16">
        <f t="shared" si="0"/>
        <v>5.5991246170607463</v>
      </c>
      <c r="N16">
        <f t="shared" si="10"/>
        <v>0</v>
      </c>
      <c r="O16">
        <f t="shared" si="24"/>
        <v>5.5991246170607463</v>
      </c>
      <c r="P16">
        <f t="shared" si="22"/>
        <v>1.5569124944768042</v>
      </c>
      <c r="Q16" s="9">
        <f t="shared" si="1"/>
        <v>0.27806355474440281</v>
      </c>
      <c r="R16">
        <f>VLOOKUP($B$1,dictionary!$A$3:$K$51,3,FALSE)*Q16</f>
        <v>5.5612710948880567E-2</v>
      </c>
      <c r="S16">
        <f>VLOOKUP($B$1,dictionary!$A$3:$K$51,4,FALSE)*Q16</f>
        <v>0</v>
      </c>
      <c r="T16">
        <f>VLOOKUP($B$1,dictionary!$A$3:$K$51,5,FALSE)*Q16</f>
        <v>5.5612710948880567E-2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5.5612710948880567E-2</v>
      </c>
      <c r="Z16">
        <f>VLOOKUP($B$1,dictionary!$A$3:$K$51,11,FALSE)*Q16</f>
        <v>0</v>
      </c>
      <c r="AA16">
        <f t="shared" si="2"/>
        <v>4.0422121225839422</v>
      </c>
      <c r="AB16">
        <f t="shared" si="11"/>
        <v>4.0422121225839422</v>
      </c>
      <c r="AC16">
        <f t="shared" si="12"/>
        <v>0</v>
      </c>
      <c r="AD16">
        <f t="shared" si="3"/>
        <v>0.3113824988953609</v>
      </c>
      <c r="AE16">
        <f t="shared" si="13"/>
        <v>0</v>
      </c>
      <c r="AF16">
        <f t="shared" si="14"/>
        <v>0.34598055432817881</v>
      </c>
      <c r="AG16">
        <f t="shared" si="15"/>
        <v>0.6227649977907217</v>
      </c>
      <c r="AH16">
        <f t="shared" si="16"/>
        <v>0</v>
      </c>
      <c r="AI16">
        <f t="shared" si="17"/>
        <v>8.1942762867200231E-2</v>
      </c>
      <c r="AJ16">
        <f t="shared" si="18"/>
        <v>0</v>
      </c>
      <c r="AK16">
        <f t="shared" si="19"/>
        <v>0.3113824988953609</v>
      </c>
      <c r="AL16">
        <f t="shared" si="20"/>
        <v>0</v>
      </c>
    </row>
    <row r="17" spans="1:38" x14ac:dyDescent="0.2">
      <c r="A17">
        <v>2034</v>
      </c>
      <c r="B17">
        <v>9</v>
      </c>
      <c r="C17">
        <f t="shared" si="21"/>
        <v>5.878439645791933</v>
      </c>
      <c r="D17">
        <f t="shared" si="23"/>
        <v>0.39617095664597857</v>
      </c>
      <c r="E17">
        <f t="shared" si="4"/>
        <v>0.39617095664597857</v>
      </c>
      <c r="F17">
        <f t="shared" si="5"/>
        <v>0.13214266934765861</v>
      </c>
      <c r="G17" s="9">
        <f t="shared" si="6"/>
        <v>6.739389710832136E-2</v>
      </c>
      <c r="H17" s="9">
        <f t="shared" si="6"/>
        <v>6.739389710832136E-2</v>
      </c>
      <c r="I17" s="9">
        <f t="shared" si="6"/>
        <v>2.2479208312065027E-2</v>
      </c>
      <c r="J17" s="9">
        <f t="shared" si="7"/>
        <v>8.7612066240817764E-3</v>
      </c>
      <c r="K17" s="9">
        <f t="shared" si="8"/>
        <v>1.3478779421664273E-2</v>
      </c>
      <c r="L17" s="9">
        <f t="shared" si="9"/>
        <v>8.9916833248260119E-3</v>
      </c>
      <c r="M17">
        <f t="shared" si="0"/>
        <v>5.696709648019791</v>
      </c>
      <c r="N17">
        <f t="shared" si="10"/>
        <v>0</v>
      </c>
      <c r="O17">
        <f t="shared" si="24"/>
        <v>5.696709648019791</v>
      </c>
      <c r="P17">
        <f t="shared" si="22"/>
        <v>2.1554858104359038</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3.5412238375838871</v>
      </c>
      <c r="AB17">
        <f t="shared" si="11"/>
        <v>3.5412238375838871</v>
      </c>
      <c r="AC17">
        <f t="shared" si="12"/>
        <v>0</v>
      </c>
      <c r="AD17">
        <f t="shared" si="3"/>
        <v>0.43109716208718074</v>
      </c>
      <c r="AE17">
        <f t="shared" si="13"/>
        <v>0</v>
      </c>
      <c r="AF17">
        <f t="shared" si="14"/>
        <v>0.47899684676353416</v>
      </c>
      <c r="AG17">
        <f t="shared" si="15"/>
        <v>0.86219432417436159</v>
      </c>
      <c r="AH17">
        <f t="shared" si="16"/>
        <v>0</v>
      </c>
      <c r="AI17">
        <f t="shared" si="17"/>
        <v>0.11344662160188966</v>
      </c>
      <c r="AJ17">
        <f t="shared" si="18"/>
        <v>0</v>
      </c>
      <c r="AK17">
        <f t="shared" si="19"/>
        <v>0.43109716208718074</v>
      </c>
      <c r="AL17">
        <f t="shared" si="20"/>
        <v>0</v>
      </c>
    </row>
    <row r="18" spans="1:38" x14ac:dyDescent="0.2">
      <c r="A18">
        <v>2035</v>
      </c>
      <c r="B18">
        <v>10</v>
      </c>
      <c r="C18">
        <f t="shared" si="21"/>
        <v>6.001886878353563</v>
      </c>
      <c r="D18">
        <f t="shared" si="23"/>
        <v>0.44929939525490692</v>
      </c>
      <c r="E18">
        <f t="shared" si="4"/>
        <v>0.44929939525490692</v>
      </c>
      <c r="F18">
        <f t="shared" si="5"/>
        <v>0.14992225756178357</v>
      </c>
      <c r="G18" s="9">
        <f t="shared" si="6"/>
        <v>7.4859690687499036E-2</v>
      </c>
      <c r="H18" s="9">
        <f t="shared" si="6"/>
        <v>7.4859690687499036E-2</v>
      </c>
      <c r="I18" s="9">
        <f t="shared" si="6"/>
        <v>2.4979187478939995E-2</v>
      </c>
      <c r="J18" s="9">
        <f t="shared" si="7"/>
        <v>9.7317597893748758E-3</v>
      </c>
      <c r="K18" s="9">
        <f t="shared" si="8"/>
        <v>1.4971938137499807E-2</v>
      </c>
      <c r="L18" s="9">
        <f t="shared" si="9"/>
        <v>9.9916749915759991E-3</v>
      </c>
      <c r="M18">
        <f t="shared" si="0"/>
        <v>5.7959963856502856</v>
      </c>
      <c r="N18">
        <f t="shared" si="10"/>
        <v>0</v>
      </c>
      <c r="O18">
        <f t="shared" si="24"/>
        <v>5.7959963856502856</v>
      </c>
      <c r="P18">
        <f t="shared" si="22"/>
        <v>2.8343179130488778</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2.9616784726014078</v>
      </c>
      <c r="AB18">
        <f t="shared" si="11"/>
        <v>2.9616784726014078</v>
      </c>
      <c r="AC18">
        <f t="shared" si="12"/>
        <v>0</v>
      </c>
      <c r="AD18">
        <f t="shared" si="3"/>
        <v>0.56686358260977554</v>
      </c>
      <c r="AE18">
        <f t="shared" si="13"/>
        <v>0</v>
      </c>
      <c r="AF18">
        <f t="shared" si="14"/>
        <v>0.62984842512197281</v>
      </c>
      <c r="AG18">
        <f t="shared" si="15"/>
        <v>1.1337271652195513</v>
      </c>
      <c r="AH18">
        <f t="shared" si="16"/>
        <v>0</v>
      </c>
      <c r="AI18">
        <f t="shared" si="17"/>
        <v>0.1491746270025725</v>
      </c>
      <c r="AJ18">
        <f t="shared" si="18"/>
        <v>0</v>
      </c>
      <c r="AK18">
        <f t="shared" si="19"/>
        <v>0.56686358260977554</v>
      </c>
      <c r="AL18">
        <f t="shared" si="20"/>
        <v>0</v>
      </c>
    </row>
    <row r="19" spans="1:38" x14ac:dyDescent="0.2">
      <c r="A19">
        <v>2036</v>
      </c>
      <c r="B19">
        <v>11</v>
      </c>
      <c r="C19">
        <f t="shared" si="21"/>
        <v>6.1279265027989869</v>
      </c>
      <c r="D19">
        <f t="shared" si="23"/>
        <v>0.50438189526995458</v>
      </c>
      <c r="E19">
        <f t="shared" si="4"/>
        <v>0.50438189526995458</v>
      </c>
      <c r="F19">
        <f t="shared" si="5"/>
        <v>0.16839031356371947</v>
      </c>
      <c r="G19" s="9">
        <f t="shared" si="6"/>
        <v>8.2308737717329591E-2</v>
      </c>
      <c r="H19" s="9">
        <f t="shared" si="6"/>
        <v>8.2308737717329591E-2</v>
      </c>
      <c r="I19" s="9">
        <f t="shared" si="6"/>
        <v>2.7479166645814967E-2</v>
      </c>
      <c r="J19" s="9">
        <f t="shared" si="7"/>
        <v>1.0700135903252847E-2</v>
      </c>
      <c r="K19" s="9">
        <f t="shared" si="8"/>
        <v>1.646174754346592E-2</v>
      </c>
      <c r="L19" s="9">
        <f t="shared" si="9"/>
        <v>1.0991666658325988E-2</v>
      </c>
      <c r="M19">
        <f t="shared" si="0"/>
        <v>5.8970213978222654</v>
      </c>
      <c r="N19">
        <f t="shared" si="10"/>
        <v>0</v>
      </c>
      <c r="O19">
        <f t="shared" si="24"/>
        <v>5.8970213978222654</v>
      </c>
      <c r="P19">
        <f t="shared" si="22"/>
        <v>3.5361623931591049</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2.3608590046631606</v>
      </c>
      <c r="AB19">
        <f t="shared" si="11"/>
        <v>2.3608590046631606</v>
      </c>
      <c r="AC19">
        <f t="shared" si="12"/>
        <v>0</v>
      </c>
      <c r="AD19">
        <f t="shared" si="3"/>
        <v>0.70723247863182104</v>
      </c>
      <c r="AE19">
        <f t="shared" si="13"/>
        <v>0</v>
      </c>
      <c r="AF19">
        <f t="shared" si="14"/>
        <v>0.78581386514646789</v>
      </c>
      <c r="AG19">
        <f t="shared" si="15"/>
        <v>1.4144649572636421</v>
      </c>
      <c r="AH19">
        <f t="shared" si="16"/>
        <v>0</v>
      </c>
      <c r="AI19">
        <f t="shared" si="17"/>
        <v>0.18611381016626868</v>
      </c>
      <c r="AJ19">
        <f t="shared" si="18"/>
        <v>0</v>
      </c>
      <c r="AK19">
        <f t="shared" si="19"/>
        <v>0.70723247863182104</v>
      </c>
      <c r="AL19">
        <f t="shared" si="20"/>
        <v>0</v>
      </c>
    </row>
    <row r="20" spans="1:38" x14ac:dyDescent="0.2">
      <c r="A20">
        <v>2037</v>
      </c>
      <c r="B20">
        <v>12</v>
      </c>
      <c r="C20">
        <f t="shared" si="21"/>
        <v>6.2566129593577653</v>
      </c>
      <c r="D20">
        <f t="shared" si="23"/>
        <v>0.56145440036409777</v>
      </c>
      <c r="E20">
        <f t="shared" si="4"/>
        <v>0.56145440036409777</v>
      </c>
      <c r="F20">
        <f t="shared" si="5"/>
        <v>0.18756713016463422</v>
      </c>
      <c r="G20" s="9">
        <f t="shared" si="6"/>
        <v>8.9737754918074786E-2</v>
      </c>
      <c r="H20" s="9">
        <f t="shared" si="6"/>
        <v>8.9737754918074786E-2</v>
      </c>
      <c r="I20" s="9">
        <f t="shared" si="6"/>
        <v>2.9979020818939675E-2</v>
      </c>
      <c r="J20" s="9">
        <f t="shared" si="7"/>
        <v>1.1665908139349722E-2</v>
      </c>
      <c r="K20" s="9">
        <f t="shared" si="8"/>
        <v>1.7947550983614956E-2</v>
      </c>
      <c r="L20" s="9">
        <f t="shared" si="9"/>
        <v>1.199160832757587E-2</v>
      </c>
      <c r="M20">
        <f t="shared" si="0"/>
        <v>5.9998222261721317</v>
      </c>
      <c r="N20">
        <f t="shared" si="10"/>
        <v>0</v>
      </c>
      <c r="O20">
        <f t="shared" si="24"/>
        <v>5.9998222261721317</v>
      </c>
      <c r="P20">
        <f>IF($I$3=0,0,M20/(1+EXP(-$I$3*(B20-$J$3)))-M20/(1+EXP($I$3*$J$3)))</f>
        <v>4.1996509249428096</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1.8001713012293221</v>
      </c>
      <c r="AB20">
        <f t="shared" si="11"/>
        <v>1.8001713012293221</v>
      </c>
      <c r="AC20">
        <f t="shared" si="12"/>
        <v>0</v>
      </c>
      <c r="AD20">
        <f t="shared" si="3"/>
        <v>0.83993018498856198</v>
      </c>
      <c r="AE20">
        <f t="shared" si="13"/>
        <v>0</v>
      </c>
      <c r="AF20">
        <f t="shared" si="14"/>
        <v>0.93325576109840225</v>
      </c>
      <c r="AG20">
        <f t="shared" si="15"/>
        <v>1.679860369977124</v>
      </c>
      <c r="AH20">
        <f t="shared" si="16"/>
        <v>0</v>
      </c>
      <c r="AI20">
        <f t="shared" si="17"/>
        <v>0.22103425920751629</v>
      </c>
      <c r="AJ20">
        <f t="shared" si="18"/>
        <v>0</v>
      </c>
      <c r="AK20">
        <f t="shared" si="19"/>
        <v>0.83993018498856198</v>
      </c>
      <c r="AL20">
        <f t="shared" si="20"/>
        <v>0</v>
      </c>
    </row>
    <row r="21" spans="1:38" x14ac:dyDescent="0.2">
      <c r="A21">
        <v>2038</v>
      </c>
      <c r="B21">
        <v>13</v>
      </c>
      <c r="C21">
        <f t="shared" si="21"/>
        <v>6.3880018315042779</v>
      </c>
      <c r="D21">
        <f t="shared" si="23"/>
        <v>0.62055282149342661</v>
      </c>
      <c r="E21">
        <f t="shared" si="4"/>
        <v>0.62055282149342661</v>
      </c>
      <c r="F21">
        <f t="shared" si="5"/>
        <v>0.20747351617357213</v>
      </c>
      <c r="G21" s="9">
        <f t="shared" si="6"/>
        <v>9.7143494610942502E-2</v>
      </c>
      <c r="H21" s="9">
        <f t="shared" si="6"/>
        <v>9.7143494610942502E-2</v>
      </c>
      <c r="I21" s="9">
        <f t="shared" si="6"/>
        <v>3.2478625029560337E-2</v>
      </c>
      <c r="J21" s="9">
        <f t="shared" si="7"/>
        <v>1.2628654299422526E-2</v>
      </c>
      <c r="K21" s="9">
        <f t="shared" si="8"/>
        <v>1.94286989221885E-2</v>
      </c>
      <c r="L21" s="9">
        <f t="shared" si="9"/>
        <v>1.2991450011824135E-2</v>
      </c>
      <c r="M21">
        <f t="shared" si="0"/>
        <v>6.1044374019287657</v>
      </c>
      <c r="N21">
        <f t="shared" si="10"/>
        <v>0</v>
      </c>
      <c r="O21">
        <f t="shared" si="24"/>
        <v>6.1044374019287657</v>
      </c>
      <c r="P21">
        <f t="shared" si="22"/>
        <v>4.7806455008310431</v>
      </c>
      <c r="Q21" s="9">
        <f t="shared" si="1"/>
        <v>0.78314268556845945</v>
      </c>
      <c r="R21">
        <f>VLOOKUP($B$1,dictionary!$A$3:$K$51,3,FALSE)*Q21</f>
        <v>0.1566285371136919</v>
      </c>
      <c r="S21">
        <f>VLOOKUP($B$1,dictionary!$A$3:$K$51,4,FALSE)*Q21</f>
        <v>0</v>
      </c>
      <c r="T21">
        <f>VLOOKUP($B$1,dictionary!$A$3:$K$51,5,FALSE)*Q21</f>
        <v>0.1566285371136919</v>
      </c>
      <c r="U21">
        <f>VLOOKUP($B$1,dictionary!$A$3:$K$51,6,FALSE)*Q21</f>
        <v>0.27409993994896081</v>
      </c>
      <c r="V21">
        <f>VLOOKUP($B$1,dictionary!$A$3:$K$51,7,FALSE)*Q21</f>
        <v>0</v>
      </c>
      <c r="W21">
        <f>VLOOKUP($B$1,dictionary!$A$3:$K$51,8,FALSE)*Q21</f>
        <v>3.9157134278422975E-2</v>
      </c>
      <c r="X21">
        <f>VLOOKUP($B$1,dictionary!$A$3:$K$51,9,FALSE)*Q21</f>
        <v>0</v>
      </c>
      <c r="Y21">
        <f>VLOOKUP($B$1,dictionary!$A$3:$K$51,10,FALSE)*Q21</f>
        <v>0.1566285371136919</v>
      </c>
      <c r="Z21">
        <f>VLOOKUP($B$1,dictionary!$A$3:$K$51,11,FALSE)*Q21</f>
        <v>0</v>
      </c>
      <c r="AA21">
        <f t="shared" si="2"/>
        <v>1.3237919010977226</v>
      </c>
      <c r="AB21">
        <f t="shared" si="11"/>
        <v>1.3237919010977226</v>
      </c>
      <c r="AC21">
        <f t="shared" si="12"/>
        <v>0</v>
      </c>
      <c r="AD21">
        <f t="shared" si="3"/>
        <v>0.95612910016620867</v>
      </c>
      <c r="AE21">
        <f t="shared" si="13"/>
        <v>0</v>
      </c>
      <c r="AF21">
        <f t="shared" si="14"/>
        <v>1.062365666851343</v>
      </c>
      <c r="AG21">
        <f t="shared" si="15"/>
        <v>1.9122582003324173</v>
      </c>
      <c r="AH21">
        <f t="shared" si="16"/>
        <v>0</v>
      </c>
      <c r="AI21">
        <f t="shared" si="17"/>
        <v>0.25161292109637068</v>
      </c>
      <c r="AJ21">
        <f t="shared" si="18"/>
        <v>0</v>
      </c>
      <c r="AK21">
        <f t="shared" si="19"/>
        <v>0.95612910016620867</v>
      </c>
      <c r="AL21">
        <f t="shared" si="20"/>
        <v>0</v>
      </c>
    </row>
    <row r="22" spans="1:38" x14ac:dyDescent="0.2">
      <c r="A22">
        <v>2039</v>
      </c>
      <c r="B22">
        <v>14</v>
      </c>
      <c r="C22">
        <f t="shared" si="21"/>
        <v>6.5221498699658671</v>
      </c>
      <c r="D22">
        <f t="shared" si="23"/>
        <v>0.68171304233764873</v>
      </c>
      <c r="E22">
        <f t="shared" si="4"/>
        <v>0.68171304233764873</v>
      </c>
      <c r="F22">
        <f t="shared" si="5"/>
        <v>0.22813080825862064</v>
      </c>
      <c r="G22" s="9">
        <f t="shared" si="6"/>
        <v>0.10452275030920385</v>
      </c>
      <c r="H22" s="9">
        <f t="shared" si="6"/>
        <v>0.10452275030920385</v>
      </c>
      <c r="I22" s="9">
        <f t="shared" si="6"/>
        <v>3.4977854358905512E-2</v>
      </c>
      <c r="J22" s="9">
        <f t="shared" si="7"/>
        <v>1.3587957540196502E-2</v>
      </c>
      <c r="K22" s="9">
        <f t="shared" si="8"/>
        <v>2.0904550061840773E-2</v>
      </c>
      <c r="L22" s="9">
        <f t="shared" si="9"/>
        <v>1.3991141743562205E-2</v>
      </c>
      <c r="M22">
        <f t="shared" si="0"/>
        <v>6.2109064614859335</v>
      </c>
      <c r="N22">
        <f t="shared" si="10"/>
        <v>0</v>
      </c>
      <c r="O22">
        <f t="shared" si="24"/>
        <v>6.2109064614859335</v>
      </c>
      <c r="P22">
        <f t="shared" si="22"/>
        <v>5.2616438929505067</v>
      </c>
      <c r="Q22" s="9">
        <f t="shared" si="1"/>
        <v>0.84716199246891899</v>
      </c>
      <c r="R22">
        <f>VLOOKUP($B$1,dictionary!$A$3:$K$51,3,FALSE)*Q22</f>
        <v>0.1694323984937838</v>
      </c>
      <c r="S22">
        <f>VLOOKUP($B$1,dictionary!$A$3:$K$51,4,FALSE)*Q22</f>
        <v>0</v>
      </c>
      <c r="T22">
        <f>VLOOKUP($B$1,dictionary!$A$3:$K$51,5,FALSE)*Q22</f>
        <v>0.1694323984937838</v>
      </c>
      <c r="U22">
        <f>VLOOKUP($B$1,dictionary!$A$3:$K$51,6,FALSE)*Q22</f>
        <v>0.29650669736412161</v>
      </c>
      <c r="V22">
        <f>VLOOKUP($B$1,dictionary!$A$3:$K$51,7,FALSE)*Q22</f>
        <v>0</v>
      </c>
      <c r="W22">
        <f>VLOOKUP($B$1,dictionary!$A$3:$K$51,8,FALSE)*Q22</f>
        <v>4.2358099623445951E-2</v>
      </c>
      <c r="X22">
        <f>VLOOKUP($B$1,dictionary!$A$3:$K$51,9,FALSE)*Q22</f>
        <v>0</v>
      </c>
      <c r="Y22">
        <f>VLOOKUP($B$1,dictionary!$A$3:$K$51,10,FALSE)*Q22</f>
        <v>0.1694323984937838</v>
      </c>
      <c r="Z22">
        <f>VLOOKUP($B$1,dictionary!$A$3:$K$51,11,FALSE)*Q22</f>
        <v>0</v>
      </c>
      <c r="AA22">
        <f t="shared" si="2"/>
        <v>0.94926256853542679</v>
      </c>
      <c r="AB22">
        <f t="shared" si="11"/>
        <v>0.94926256853542679</v>
      </c>
      <c r="AC22">
        <f t="shared" si="12"/>
        <v>0</v>
      </c>
      <c r="AD22">
        <f t="shared" si="3"/>
        <v>1.0523287785901014</v>
      </c>
      <c r="AE22">
        <f t="shared" si="13"/>
        <v>0</v>
      </c>
      <c r="AF22">
        <f t="shared" si="14"/>
        <v>1.1692541984334461</v>
      </c>
      <c r="AG22">
        <f t="shared" si="15"/>
        <v>2.1046575571802029</v>
      </c>
      <c r="AH22">
        <f t="shared" si="16"/>
        <v>0</v>
      </c>
      <c r="AI22">
        <f t="shared" si="17"/>
        <v>0.27692862594476353</v>
      </c>
      <c r="AJ22">
        <f t="shared" si="18"/>
        <v>0</v>
      </c>
      <c r="AK22">
        <f t="shared" si="19"/>
        <v>1.0523287785901014</v>
      </c>
      <c r="AL22">
        <f t="shared" si="20"/>
        <v>0</v>
      </c>
    </row>
    <row r="23" spans="1:38" x14ac:dyDescent="0.2">
      <c r="A23">
        <v>2040</v>
      </c>
      <c r="B23">
        <v>15</v>
      </c>
      <c r="C23">
        <f t="shared" si="21"/>
        <v>6.6591150172351501</v>
      </c>
      <c r="D23">
        <f t="shared" si="23"/>
        <v>0.74497092684265054</v>
      </c>
      <c r="E23">
        <f t="shared" si="4"/>
        <v>0.74497092684265054</v>
      </c>
      <c r="F23">
        <f t="shared" si="5"/>
        <v>0.24956088306368818</v>
      </c>
      <c r="G23" s="9">
        <f t="shared" si="6"/>
        <v>0.11187236215540858</v>
      </c>
      <c r="H23" s="9">
        <f t="shared" si="6"/>
        <v>0.11187236215540858</v>
      </c>
      <c r="I23" s="9">
        <f t="shared" si="6"/>
        <v>3.7476583963150303E-2</v>
      </c>
      <c r="J23" s="9">
        <f t="shared" si="7"/>
        <v>1.4543407080203116E-2</v>
      </c>
      <c r="K23" s="9">
        <f t="shared" si="8"/>
        <v>2.2374472431081718E-2</v>
      </c>
      <c r="L23" s="9">
        <f t="shared" si="9"/>
        <v>1.4990633585260121E-2</v>
      </c>
      <c r="M23">
        <f t="shared" si="0"/>
        <v>6.3192699617362385</v>
      </c>
      <c r="N23">
        <f t="shared" si="10"/>
        <v>0</v>
      </c>
      <c r="O23">
        <f t="shared" si="24"/>
        <v>6.3192699617362385</v>
      </c>
      <c r="P23">
        <f t="shared" si="22"/>
        <v>5.6473014957948457</v>
      </c>
      <c r="Q23" s="9">
        <f t="shared" si="1"/>
        <v>0.89366359247029736</v>
      </c>
      <c r="R23">
        <f>VLOOKUP($B$1,dictionary!$A$3:$K$51,3,FALSE)*Q23</f>
        <v>0.17873271849405947</v>
      </c>
      <c r="S23">
        <f>VLOOKUP($B$1,dictionary!$A$3:$K$51,4,FALSE)*Q23</f>
        <v>0</v>
      </c>
      <c r="T23">
        <f>VLOOKUP($B$1,dictionary!$A$3:$K$51,5,FALSE)*Q23</f>
        <v>0.17873271849405947</v>
      </c>
      <c r="U23">
        <f>VLOOKUP($B$1,dictionary!$A$3:$K$51,6,FALSE)*Q23</f>
        <v>0.31278225736460408</v>
      </c>
      <c r="V23">
        <f>VLOOKUP($B$1,dictionary!$A$3:$K$51,7,FALSE)*Q23</f>
        <v>0</v>
      </c>
      <c r="W23">
        <f>VLOOKUP($B$1,dictionary!$A$3:$K$51,8,FALSE)*Q23</f>
        <v>4.4683179623514868E-2</v>
      </c>
      <c r="X23">
        <f>VLOOKUP($B$1,dictionary!$A$3:$K$51,9,FALSE)*Q23</f>
        <v>0</v>
      </c>
      <c r="Y23">
        <f>VLOOKUP($B$1,dictionary!$A$3:$K$51,10,FALSE)*Q23</f>
        <v>0.17873271849405947</v>
      </c>
      <c r="Z23">
        <f>VLOOKUP($B$1,dictionary!$A$3:$K$51,11,FALSE)*Q23</f>
        <v>0</v>
      </c>
      <c r="AA23">
        <f t="shared" si="2"/>
        <v>0.6719684659413927</v>
      </c>
      <c r="AB23">
        <f t="shared" si="11"/>
        <v>0.6719684659413927</v>
      </c>
      <c r="AC23">
        <f t="shared" si="12"/>
        <v>0</v>
      </c>
      <c r="AD23">
        <f t="shared" si="3"/>
        <v>1.1294602991589691</v>
      </c>
      <c r="AE23">
        <f t="shared" si="13"/>
        <v>0</v>
      </c>
      <c r="AF23">
        <f t="shared" si="14"/>
        <v>1.25495588795441</v>
      </c>
      <c r="AG23">
        <f t="shared" si="15"/>
        <v>2.2589205983179386</v>
      </c>
      <c r="AH23">
        <f t="shared" si="16"/>
        <v>0</v>
      </c>
      <c r="AI23">
        <f t="shared" si="17"/>
        <v>0.29722639451551813</v>
      </c>
      <c r="AJ23">
        <f t="shared" si="18"/>
        <v>0</v>
      </c>
      <c r="AK23">
        <f t="shared" si="19"/>
        <v>1.1294602991589691</v>
      </c>
      <c r="AL23">
        <f t="shared" si="20"/>
        <v>0</v>
      </c>
    </row>
    <row r="24" spans="1:38" x14ac:dyDescent="0.2">
      <c r="A24">
        <v>2041</v>
      </c>
      <c r="B24">
        <v>16</v>
      </c>
      <c r="C24">
        <f t="shared" si="21"/>
        <v>6.7989564325970875</v>
      </c>
      <c r="D24">
        <f t="shared" si="23"/>
        <v>0.81036232887493176</v>
      </c>
      <c r="E24">
        <f t="shared" si="4"/>
        <v>0.81036232887493176</v>
      </c>
      <c r="F24">
        <f t="shared" si="5"/>
        <v>0.27178616958629531</v>
      </c>
      <c r="G24" s="9">
        <f t="shared" si="6"/>
        <v>0.11918922218558575</v>
      </c>
      <c r="H24" s="9">
        <f t="shared" si="6"/>
        <v>0.11918922218558575</v>
      </c>
      <c r="I24" s="9">
        <f t="shared" si="6"/>
        <v>3.9974689098349989E-2</v>
      </c>
      <c r="J24" s="9">
        <f t="shared" si="7"/>
        <v>1.5494598884126149E-2</v>
      </c>
      <c r="K24" s="9">
        <f t="shared" si="8"/>
        <v>2.3837844437117152E-2</v>
      </c>
      <c r="L24" s="9">
        <f t="shared" si="9"/>
        <v>1.5989875639339995E-2</v>
      </c>
      <c r="M24">
        <f t="shared" si="0"/>
        <v>6.4295694951847082</v>
      </c>
      <c r="N24">
        <f t="shared" si="10"/>
        <v>0</v>
      </c>
      <c r="O24">
        <f t="shared" si="24"/>
        <v>6.4295694951847082</v>
      </c>
      <c r="P24">
        <f t="shared" si="22"/>
        <v>5.9540366148882322</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0.475532880296476</v>
      </c>
      <c r="AB24">
        <f t="shared" si="11"/>
        <v>0.475532880296476</v>
      </c>
      <c r="AC24">
        <f t="shared" si="12"/>
        <v>0</v>
      </c>
      <c r="AD24">
        <f t="shared" si="3"/>
        <v>1.1908073229776466</v>
      </c>
      <c r="AE24">
        <f t="shared" si="13"/>
        <v>0</v>
      </c>
      <c r="AF24">
        <f t="shared" si="14"/>
        <v>1.3231192477529408</v>
      </c>
      <c r="AG24">
        <f t="shared" si="15"/>
        <v>2.3816146459552932</v>
      </c>
      <c r="AH24">
        <f t="shared" si="16"/>
        <v>0</v>
      </c>
      <c r="AI24">
        <f t="shared" si="17"/>
        <v>0.31337034815201226</v>
      </c>
      <c r="AJ24">
        <f t="shared" si="18"/>
        <v>0</v>
      </c>
      <c r="AK24">
        <f t="shared" si="19"/>
        <v>1.1908073229776466</v>
      </c>
      <c r="AL24">
        <f t="shared" si="20"/>
        <v>0</v>
      </c>
    </row>
    <row r="25" spans="1:38" x14ac:dyDescent="0.2">
      <c r="A25">
        <v>2042</v>
      </c>
      <c r="B25">
        <v>17</v>
      </c>
      <c r="C25">
        <f t="shared" si="21"/>
        <v>6.9417345176816259</v>
      </c>
      <c r="D25">
        <f t="shared" si="23"/>
        <v>0.87792310398858175</v>
      </c>
      <c r="E25">
        <f t="shared" si="4"/>
        <v>0.87792310398858175</v>
      </c>
      <c r="F25">
        <f t="shared" si="5"/>
        <v>0.29482966182186754</v>
      </c>
      <c r="G25" s="9">
        <f t="shared" si="6"/>
        <v>0.1264702794024147</v>
      </c>
      <c r="H25" s="9">
        <f t="shared" si="6"/>
        <v>0.1264702794024147</v>
      </c>
      <c r="I25" s="9">
        <f t="shared" si="6"/>
        <v>4.2472045145329707E-2</v>
      </c>
      <c r="J25" s="9">
        <f t="shared" si="7"/>
        <v>1.6441136322313914E-2</v>
      </c>
      <c r="K25" s="9">
        <f t="shared" si="8"/>
        <v>2.5294055880482943E-2</v>
      </c>
      <c r="L25" s="9">
        <f t="shared" si="9"/>
        <v>1.6988818058131884E-2</v>
      </c>
      <c r="M25">
        <f t="shared" si="0"/>
        <v>6.5418477048630495</v>
      </c>
      <c r="N25">
        <f t="shared" si="10"/>
        <v>0</v>
      </c>
      <c r="O25">
        <f t="shared" si="24"/>
        <v>6.5418477048630495</v>
      </c>
      <c r="P25">
        <f>IF($I$3=0,0,M25/(1+EXP(-$I$3*(B25-$J$3)))-M25/(1+EXP($I$3*$J$3)))</f>
        <v>6.2011599154460404</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0.34068778941700906</v>
      </c>
      <c r="AB25">
        <f t="shared" si="11"/>
        <v>0.34068778941700906</v>
      </c>
      <c r="AC25">
        <f t="shared" si="12"/>
        <v>0</v>
      </c>
      <c r="AD25">
        <f t="shared" si="3"/>
        <v>1.2402319830892081</v>
      </c>
      <c r="AE25">
        <f t="shared" si="13"/>
        <v>0</v>
      </c>
      <c r="AF25">
        <f t="shared" si="14"/>
        <v>1.3780355367657868</v>
      </c>
      <c r="AG25">
        <f t="shared" si="15"/>
        <v>2.4804639661784162</v>
      </c>
      <c r="AH25">
        <f t="shared" si="16"/>
        <v>0</v>
      </c>
      <c r="AI25">
        <f t="shared" si="17"/>
        <v>0.32637683765505476</v>
      </c>
      <c r="AJ25">
        <f t="shared" si="18"/>
        <v>0</v>
      </c>
      <c r="AK25">
        <f t="shared" si="19"/>
        <v>1.2402319830892081</v>
      </c>
      <c r="AL25">
        <f t="shared" si="20"/>
        <v>0</v>
      </c>
    </row>
    <row r="26" spans="1:38" x14ac:dyDescent="0.2">
      <c r="A26">
        <v>2043</v>
      </c>
      <c r="B26">
        <v>18</v>
      </c>
      <c r="C26">
        <f t="shared" si="21"/>
        <v>7.0875109425529397</v>
      </c>
      <c r="D26">
        <f t="shared" si="23"/>
        <v>0.94768912329640731</v>
      </c>
      <c r="E26">
        <f t="shared" si="4"/>
        <v>0.94768912329640731</v>
      </c>
      <c r="F26">
        <f t="shared" si="5"/>
        <v>0.31871493168016762</v>
      </c>
      <c r="G26" s="9">
        <f t="shared" si="6"/>
        <v>0.13371254464053742</v>
      </c>
      <c r="H26" s="9">
        <f t="shared" si="6"/>
        <v>0.13371254464053742</v>
      </c>
      <c r="I26" s="9">
        <f t="shared" si="6"/>
        <v>4.4968527634521818E-2</v>
      </c>
      <c r="J26" s="9">
        <f t="shared" si="7"/>
        <v>1.7382630803269863E-2</v>
      </c>
      <c r="K26" s="9">
        <f t="shared" si="8"/>
        <v>2.6742508928107485E-2</v>
      </c>
      <c r="L26" s="9">
        <f t="shared" si="9"/>
        <v>1.7987411053808727E-2</v>
      </c>
      <c r="M26">
        <f t="shared" si="0"/>
        <v>6.6561482990681569</v>
      </c>
      <c r="N26">
        <f t="shared" si="10"/>
        <v>0</v>
      </c>
      <c r="O26">
        <f t="shared" si="24"/>
        <v>6.6561482990681569</v>
      </c>
      <c r="P26">
        <f t="shared" si="22"/>
        <v>6.4059840460085917</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0.25016425305956513</v>
      </c>
      <c r="AB26">
        <f t="shared" si="11"/>
        <v>0.25016425305956513</v>
      </c>
      <c r="AC26">
        <f t="shared" si="12"/>
        <v>0</v>
      </c>
      <c r="AD26">
        <f t="shared" si="3"/>
        <v>1.2811968092017185</v>
      </c>
      <c r="AE26">
        <f t="shared" si="13"/>
        <v>0</v>
      </c>
      <c r="AF26">
        <f t="shared" si="14"/>
        <v>1.4235520102241317</v>
      </c>
      <c r="AG26">
        <f t="shared" si="15"/>
        <v>2.562393618403437</v>
      </c>
      <c r="AH26">
        <f t="shared" si="16"/>
        <v>0</v>
      </c>
      <c r="AI26">
        <f t="shared" si="17"/>
        <v>0.3371570550530838</v>
      </c>
      <c r="AJ26">
        <f t="shared" si="18"/>
        <v>0</v>
      </c>
      <c r="AK26">
        <f t="shared" si="19"/>
        <v>1.2811968092017185</v>
      </c>
      <c r="AL26">
        <f t="shared" si="20"/>
        <v>0</v>
      </c>
    </row>
    <row r="27" spans="1:38" x14ac:dyDescent="0.2">
      <c r="A27">
        <v>2044</v>
      </c>
      <c r="B27">
        <v>19</v>
      </c>
      <c r="C27">
        <f t="shared" si="21"/>
        <v>7.2363486723465504</v>
      </c>
      <c r="D27">
        <f t="shared" si="23"/>
        <v>1.0196962894280968</v>
      </c>
      <c r="E27">
        <f t="shared" si="4"/>
        <v>1.0196962894280968</v>
      </c>
      <c r="F27">
        <f t="shared" si="5"/>
        <v>0.34346614217961102</v>
      </c>
      <c r="G27" s="9">
        <f t="shared" si="6"/>
        <v>0.14091309520847578</v>
      </c>
      <c r="H27" s="9">
        <f t="shared" si="6"/>
        <v>0.14091309520847578</v>
      </c>
      <c r="I27" s="9">
        <f t="shared" si="6"/>
        <v>4.7464012270740173E-2</v>
      </c>
      <c r="J27" s="9">
        <f t="shared" si="7"/>
        <v>1.8318702377101852E-2</v>
      </c>
      <c r="K27" s="9">
        <f t="shared" si="8"/>
        <v>2.8182619041695157E-2</v>
      </c>
      <c r="L27" s="9">
        <f t="shared" si="9"/>
        <v>1.898560490829607E-2</v>
      </c>
      <c r="M27">
        <f t="shared" si="0"/>
        <v>6.7725160659510992</v>
      </c>
      <c r="N27">
        <f t="shared" si="10"/>
        <v>0</v>
      </c>
      <c r="O27">
        <f t="shared" si="24"/>
        <v>6.7725160659510992</v>
      </c>
      <c r="P27">
        <f t="shared" si="22"/>
        <v>6.5821340297250766</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0.19038203622602268</v>
      </c>
      <c r="AB27">
        <f t="shared" si="11"/>
        <v>0.19038203622602268</v>
      </c>
      <c r="AC27">
        <f t="shared" si="12"/>
        <v>0</v>
      </c>
      <c r="AD27">
        <f t="shared" si="3"/>
        <v>1.3164268059450155</v>
      </c>
      <c r="AE27">
        <f t="shared" si="13"/>
        <v>0</v>
      </c>
      <c r="AF27">
        <f t="shared" si="14"/>
        <v>1.4626964510500173</v>
      </c>
      <c r="AG27">
        <f t="shared" si="15"/>
        <v>2.632853611890031</v>
      </c>
      <c r="AH27">
        <f t="shared" si="16"/>
        <v>0</v>
      </c>
      <c r="AI27">
        <f t="shared" si="17"/>
        <v>0.34642810682763564</v>
      </c>
      <c r="AJ27">
        <f t="shared" si="18"/>
        <v>0</v>
      </c>
      <c r="AK27">
        <f t="shared" si="19"/>
        <v>1.3164268059450155</v>
      </c>
      <c r="AL27">
        <f t="shared" si="20"/>
        <v>0</v>
      </c>
    </row>
    <row r="28" spans="1:38" x14ac:dyDescent="0.2">
      <c r="A28">
        <v>2045</v>
      </c>
      <c r="B28">
        <v>20</v>
      </c>
      <c r="C28">
        <f t="shared" si="21"/>
        <v>7.3883119944658278</v>
      </c>
      <c r="D28">
        <f t="shared" si="23"/>
        <v>1.0939805545497734</v>
      </c>
      <c r="E28">
        <f t="shared" si="4"/>
        <v>1.0939805545497734</v>
      </c>
      <c r="F28">
        <f t="shared" si="5"/>
        <v>0.36910806092532589</v>
      </c>
      <c r="G28" s="9">
        <f t="shared" si="6"/>
        <v>0.14806907929297156</v>
      </c>
      <c r="H28" s="9">
        <f t="shared" si="6"/>
        <v>0.14806907929297156</v>
      </c>
      <c r="I28" s="9">
        <f t="shared" si="6"/>
        <v>4.9958374957879977E-2</v>
      </c>
      <c r="J28" s="9">
        <f t="shared" si="7"/>
        <v>1.9248980308086302E-2</v>
      </c>
      <c r="K28" s="9">
        <f t="shared" si="8"/>
        <v>2.9613815858594312E-2</v>
      </c>
      <c r="L28" s="9">
        <f t="shared" si="9"/>
        <v>1.9983349983151991E-2</v>
      </c>
      <c r="M28">
        <f t="shared" si="0"/>
        <v>6.8909968879850894</v>
      </c>
      <c r="N28">
        <f t="shared" si="10"/>
        <v>0</v>
      </c>
      <c r="O28">
        <f t="shared" si="24"/>
        <v>6.8909968879850894</v>
      </c>
      <c r="P28">
        <f t="shared" si="22"/>
        <v>6.7395749130333131</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0.15142197495177623</v>
      </c>
      <c r="AB28">
        <f t="shared" si="11"/>
        <v>0.15142197495177623</v>
      </c>
      <c r="AC28">
        <f t="shared" si="12"/>
        <v>0</v>
      </c>
      <c r="AD28">
        <f t="shared" si="3"/>
        <v>1.3479149826066628</v>
      </c>
      <c r="AE28">
        <f t="shared" si="13"/>
        <v>0</v>
      </c>
      <c r="AF28">
        <f t="shared" si="14"/>
        <v>1.4976833140074031</v>
      </c>
      <c r="AG28">
        <f t="shared" si="15"/>
        <v>2.6958299652133255</v>
      </c>
      <c r="AH28">
        <f t="shared" si="16"/>
        <v>0</v>
      </c>
      <c r="AI28">
        <f t="shared" si="17"/>
        <v>0.35471446910701648</v>
      </c>
      <c r="AJ28">
        <f t="shared" si="18"/>
        <v>0</v>
      </c>
      <c r="AK28">
        <f t="shared" si="19"/>
        <v>1.3479149826066628</v>
      </c>
      <c r="AL28">
        <f t="shared" si="20"/>
        <v>0</v>
      </c>
    </row>
    <row r="29" spans="1:38" x14ac:dyDescent="0.2">
      <c r="A29">
        <v>2046</v>
      </c>
      <c r="B29">
        <v>21</v>
      </c>
      <c r="C29">
        <f t="shared" si="21"/>
        <v>7.5434665463496096</v>
      </c>
      <c r="D29">
        <f t="shared" si="23"/>
        <v>1.1705779404112073</v>
      </c>
      <c r="E29">
        <f t="shared" si="4"/>
        <v>1.1705779404112073</v>
      </c>
      <c r="F29">
        <f t="shared" si="5"/>
        <v>0.39566607387695685</v>
      </c>
      <c r="G29" s="9">
        <f t="shared" si="6"/>
        <v>0.15517772011299852</v>
      </c>
      <c r="H29" s="9">
        <f t="shared" si="6"/>
        <v>0.15517772011299852</v>
      </c>
      <c r="I29" s="9">
        <f t="shared" si="6"/>
        <v>5.2451491823533737E-2</v>
      </c>
      <c r="J29" s="9">
        <f t="shared" si="7"/>
        <v>2.0173103614689807E-2</v>
      </c>
      <c r="K29" s="9">
        <f t="shared" si="8"/>
        <v>3.1035544022599705E-2</v>
      </c>
      <c r="L29" s="9">
        <f t="shared" si="9"/>
        <v>2.0980596729413496E-2</v>
      </c>
      <c r="M29">
        <f t="shared" si="0"/>
        <v>7.011637756343168</v>
      </c>
      <c r="N29">
        <f t="shared" si="10"/>
        <v>0</v>
      </c>
      <c r="O29">
        <f t="shared" si="24"/>
        <v>7.011637756343168</v>
      </c>
      <c r="P29">
        <f t="shared" si="22"/>
        <v>6.8852843293092301</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0.12635342703393793</v>
      </c>
      <c r="AB29">
        <f t="shared" si="11"/>
        <v>0.12635342703393793</v>
      </c>
      <c r="AC29">
        <f t="shared" si="12"/>
        <v>0</v>
      </c>
      <c r="AD29">
        <f t="shared" si="3"/>
        <v>1.3770568658618461</v>
      </c>
      <c r="AE29">
        <f t="shared" si="13"/>
        <v>0</v>
      </c>
      <c r="AF29">
        <f t="shared" si="14"/>
        <v>1.5300631842909402</v>
      </c>
      <c r="AG29">
        <f t="shared" si="15"/>
        <v>2.7541137317236926</v>
      </c>
      <c r="AH29">
        <f t="shared" si="16"/>
        <v>0</v>
      </c>
      <c r="AI29">
        <f t="shared" si="17"/>
        <v>0.36238338575311735</v>
      </c>
      <c r="AJ29">
        <f t="shared" si="18"/>
        <v>0</v>
      </c>
      <c r="AK29">
        <f t="shared" si="19"/>
        <v>1.3770568658618461</v>
      </c>
      <c r="AL29">
        <f t="shared" si="20"/>
        <v>0</v>
      </c>
    </row>
    <row r="30" spans="1:38" x14ac:dyDescent="0.2">
      <c r="A30">
        <v>2047</v>
      </c>
      <c r="B30">
        <v>22</v>
      </c>
      <c r="C30">
        <f t="shared" si="21"/>
        <v>7.7018793438229505</v>
      </c>
      <c r="D30">
        <f t="shared" si="23"/>
        <v>1.2495245603792742</v>
      </c>
      <c r="E30">
        <f t="shared" si="4"/>
        <v>1.2495245603792742</v>
      </c>
      <c r="F30">
        <f t="shared" si="5"/>
        <v>0.42316619941232547</v>
      </c>
      <c r="G30" s="9">
        <f t="shared" si="6"/>
        <v>0.16223631981217881</v>
      </c>
      <c r="H30" s="9">
        <f t="shared" si="6"/>
        <v>0.16223631981217881</v>
      </c>
      <c r="I30" s="9">
        <f t="shared" si="6"/>
        <v>5.4943239243511723E-2</v>
      </c>
      <c r="J30" s="9">
        <f t="shared" si="7"/>
        <v>2.1090721575583248E-2</v>
      </c>
      <c r="K30" s="9">
        <f t="shared" si="8"/>
        <v>3.2447263962435767E-2</v>
      </c>
      <c r="L30" s="9">
        <f t="shared" si="9"/>
        <v>2.197729569740469E-2</v>
      </c>
      <c r="M30">
        <f t="shared" si="0"/>
        <v>7.1344867852182858</v>
      </c>
      <c r="N30">
        <f t="shared" si="10"/>
        <v>0</v>
      </c>
      <c r="O30">
        <f t="shared" si="24"/>
        <v>7.1344867852182858</v>
      </c>
      <c r="P30">
        <f t="shared" si="22"/>
        <v>7.0240219867609008</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0.11046479845738499</v>
      </c>
      <c r="AB30">
        <f t="shared" si="11"/>
        <v>0.11046479845738499</v>
      </c>
      <c r="AC30">
        <f t="shared" si="12"/>
        <v>0</v>
      </c>
      <c r="AD30">
        <f t="shared" si="3"/>
        <v>1.4048043973521802</v>
      </c>
      <c r="AE30">
        <f t="shared" si="13"/>
        <v>0</v>
      </c>
      <c r="AF30">
        <f t="shared" si="14"/>
        <v>1.5608937748357559</v>
      </c>
      <c r="AG30">
        <f t="shared" si="15"/>
        <v>2.8096087947043609</v>
      </c>
      <c r="AH30">
        <f t="shared" si="16"/>
        <v>0</v>
      </c>
      <c r="AI30">
        <f t="shared" si="17"/>
        <v>0.36968536772425792</v>
      </c>
      <c r="AJ30">
        <f t="shared" si="18"/>
        <v>0</v>
      </c>
      <c r="AK30">
        <f t="shared" si="19"/>
        <v>1.4048043973521802</v>
      </c>
      <c r="AL30">
        <f t="shared" si="20"/>
        <v>0</v>
      </c>
    </row>
    <row r="31" spans="1:38" x14ac:dyDescent="0.2">
      <c r="A31">
        <v>2048</v>
      </c>
      <c r="B31">
        <v>23</v>
      </c>
      <c r="C31">
        <f t="shared" si="21"/>
        <v>7.8636188100432314</v>
      </c>
      <c r="D31">
        <f t="shared" si="23"/>
        <v>1.3308566434090023</v>
      </c>
      <c r="E31">
        <f t="shared" si="4"/>
        <v>1.3308566434090023</v>
      </c>
      <c r="F31">
        <f t="shared" si="5"/>
        <v>0.45163510269321483</v>
      </c>
      <c r="G31" s="9">
        <f t="shared" si="6"/>
        <v>0.1692422630798511</v>
      </c>
      <c r="H31" s="9">
        <f t="shared" si="6"/>
        <v>0.1692422630798511</v>
      </c>
      <c r="I31" s="9">
        <f t="shared" si="6"/>
        <v>5.7433493866258747E-2</v>
      </c>
      <c r="J31" s="9">
        <f t="shared" si="7"/>
        <v>2.2001494200380643E-2</v>
      </c>
      <c r="K31" s="9">
        <f t="shared" si="8"/>
        <v>3.384845261597022E-2</v>
      </c>
      <c r="L31" s="9">
        <f t="shared" si="9"/>
        <v>2.2973397546503502E-2</v>
      </c>
      <c r="M31">
        <f t="shared" si="0"/>
        <v>7.2595932261202902</v>
      </c>
      <c r="N31">
        <f t="shared" si="10"/>
        <v>0</v>
      </c>
      <c r="O31">
        <f t="shared" si="24"/>
        <v>7.2595932261202902</v>
      </c>
      <c r="P31">
        <f t="shared" si="22"/>
        <v>7.1589856322568117</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0.10060759386347851</v>
      </c>
      <c r="AB31">
        <f t="shared" si="11"/>
        <v>0.10060759386347851</v>
      </c>
      <c r="AC31">
        <f t="shared" si="12"/>
        <v>0</v>
      </c>
      <c r="AD31">
        <f t="shared" si="3"/>
        <v>1.4317971264513625</v>
      </c>
      <c r="AE31">
        <f t="shared" si="13"/>
        <v>0</v>
      </c>
      <c r="AF31">
        <f t="shared" si="14"/>
        <v>1.5908856960570694</v>
      </c>
      <c r="AG31">
        <f t="shared" si="15"/>
        <v>2.863594252902725</v>
      </c>
      <c r="AH31">
        <f t="shared" si="16"/>
        <v>0</v>
      </c>
      <c r="AI31">
        <f t="shared" si="17"/>
        <v>0.37678871748720061</v>
      </c>
      <c r="AJ31">
        <f t="shared" si="18"/>
        <v>0</v>
      </c>
      <c r="AK31">
        <f t="shared" si="19"/>
        <v>1.4317971264513625</v>
      </c>
      <c r="AL31">
        <f t="shared" si="20"/>
        <v>0</v>
      </c>
    </row>
    <row r="32" spans="1:38" x14ac:dyDescent="0.2">
      <c r="A32">
        <v>2049</v>
      </c>
      <c r="B32">
        <v>24</v>
      </c>
      <c r="C32">
        <f t="shared" si="21"/>
        <v>8.0287548050541382</v>
      </c>
      <c r="D32">
        <f t="shared" si="23"/>
        <v>1.4146105598968957</v>
      </c>
      <c r="E32">
        <f t="shared" si="4"/>
        <v>1.4146105598968957</v>
      </c>
      <c r="F32">
        <f t="shared" si="5"/>
        <v>0.4811001103396455</v>
      </c>
      <c r="G32" s="9">
        <f t="shared" si="6"/>
        <v>0.17619302049259142</v>
      </c>
      <c r="H32" s="9">
        <f t="shared" si="6"/>
        <v>0.17619302049259142</v>
      </c>
      <c r="I32" s="9">
        <f t="shared" si="6"/>
        <v>5.9922132637154492E-2</v>
      </c>
      <c r="J32" s="9">
        <f t="shared" si="7"/>
        <v>2.2905092664036886E-2</v>
      </c>
      <c r="K32" s="9">
        <f t="shared" si="8"/>
        <v>3.5238604098518284E-2</v>
      </c>
      <c r="L32" s="9">
        <f t="shared" si="9"/>
        <v>2.3968853054861797E-2</v>
      </c>
      <c r="M32">
        <f t="shared" si="0"/>
        <v>7.3870074821858367</v>
      </c>
      <c r="N32">
        <f t="shared" si="10"/>
        <v>0</v>
      </c>
      <c r="O32">
        <f t="shared" si="24"/>
        <v>7.3870074821858367</v>
      </c>
      <c r="P32">
        <f t="shared" si="22"/>
        <v>7.2923069210847142</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9.470056110112246E-2</v>
      </c>
      <c r="AB32">
        <f t="shared" si="11"/>
        <v>9.470056110112246E-2</v>
      </c>
      <c r="AC32">
        <f t="shared" si="12"/>
        <v>0</v>
      </c>
      <c r="AD32">
        <f t="shared" si="3"/>
        <v>1.4584613842169429</v>
      </c>
      <c r="AE32">
        <f t="shared" si="13"/>
        <v>0</v>
      </c>
      <c r="AF32">
        <f t="shared" si="14"/>
        <v>1.6205126491299366</v>
      </c>
      <c r="AG32">
        <f t="shared" si="15"/>
        <v>2.9169227684338859</v>
      </c>
      <c r="AH32">
        <f t="shared" si="16"/>
        <v>0</v>
      </c>
      <c r="AI32">
        <f t="shared" si="17"/>
        <v>0.38380562742551128</v>
      </c>
      <c r="AJ32">
        <f t="shared" si="18"/>
        <v>0</v>
      </c>
      <c r="AK32">
        <f t="shared" si="19"/>
        <v>1.4584613842169429</v>
      </c>
      <c r="AL32">
        <f t="shared" si="20"/>
        <v>0</v>
      </c>
    </row>
    <row r="33" spans="1:38" x14ac:dyDescent="0.2">
      <c r="A33">
        <v>2050</v>
      </c>
      <c r="B33">
        <v>25</v>
      </c>
      <c r="C33">
        <f t="shared" si="21"/>
        <v>8.197358655960274</v>
      </c>
      <c r="D33">
        <f t="shared" si="23"/>
        <v>1.5008228493550639</v>
      </c>
      <c r="E33">
        <f t="shared" si="4"/>
        <v>1.5008228493550639</v>
      </c>
      <c r="F33">
        <f t="shared" si="5"/>
        <v>0.51158922541918317</v>
      </c>
      <c r="G33" s="9">
        <f t="shared" si="6"/>
        <v>0.18308615156954494</v>
      </c>
      <c r="H33" s="9">
        <f t="shared" si="6"/>
        <v>0.18308615156954494</v>
      </c>
      <c r="I33" s="9">
        <f t="shared" si="6"/>
        <v>6.2409032822689565E-2</v>
      </c>
      <c r="J33" s="9">
        <f t="shared" si="7"/>
        <v>2.3801199704040842E-2</v>
      </c>
      <c r="K33" s="9">
        <f t="shared" si="8"/>
        <v>3.661723031390899E-2</v>
      </c>
      <c r="L33" s="9">
        <f t="shared" si="9"/>
        <v>2.4963613129075829E-2</v>
      </c>
      <c r="M33">
        <f t="shared" si="0"/>
        <v>7.5167811225386689</v>
      </c>
      <c r="N33">
        <f t="shared" si="10"/>
        <v>0</v>
      </c>
      <c r="O33">
        <f t="shared" si="24"/>
        <v>7.5167811225386689</v>
      </c>
      <c r="P33">
        <f t="shared" si="22"/>
        <v>7.4254037268956266</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9.1377395643042369E-2</v>
      </c>
      <c r="AB33">
        <f t="shared" si="11"/>
        <v>9.1377395643042369E-2</v>
      </c>
      <c r="AC33">
        <f t="shared" si="12"/>
        <v>0</v>
      </c>
      <c r="AD33">
        <f t="shared" si="3"/>
        <v>1.4850807453791253</v>
      </c>
      <c r="AE33">
        <f t="shared" si="13"/>
        <v>0</v>
      </c>
      <c r="AF33">
        <f t="shared" si="14"/>
        <v>1.650089717087917</v>
      </c>
      <c r="AG33">
        <f t="shared" si="15"/>
        <v>2.9701614907582505</v>
      </c>
      <c r="AH33">
        <f t="shared" si="16"/>
        <v>0</v>
      </c>
      <c r="AI33">
        <f t="shared" si="17"/>
        <v>0.39081072246819082</v>
      </c>
      <c r="AJ33">
        <f t="shared" si="18"/>
        <v>0</v>
      </c>
      <c r="AK33">
        <f t="shared" si="19"/>
        <v>1.4850807453791253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D3AF-090C-9E4D-B677-B9C3C22A6FED}">
  <sheetPr>
    <tabColor theme="4" tint="0.79998168889431442"/>
  </sheetPr>
  <dimension ref="A1:AY37"/>
  <sheetViews>
    <sheetView topLeftCell="J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33</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emissions!N23</f>
        <v>2.9856156326465362</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2.9856156326465362</v>
      </c>
      <c r="N8">
        <f>IF($N$7="LFO",M8/(1+EXP(-$I$4*(B8-$J$4)))-M8/(1+EXP($I$4*$J$4)),IF($N$7="MGO",M8/(1+EXP(-$I$5*(B8-$J$5)))-M8/(1+EXP($I$5*$J$5)),0))</f>
        <v>0</v>
      </c>
      <c r="O8">
        <f>M8-N8</f>
        <v>2.9856156326465362</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2.9856156326465362</v>
      </c>
      <c r="AB8">
        <f>O8/M8*AA8</f>
        <v>2.9856156326465362</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3.048313560932113</v>
      </c>
      <c r="D9">
        <f>IF($E$2=0,0,C9/(1+EXP(-$E$2*(B9-$G$2)))-C9/(1+EXP($E$2*$G$2)))</f>
        <v>2.2758079810527354E-2</v>
      </c>
      <c r="E9">
        <f t="shared" ref="E9:E33" si="4">IF($E$3=0,0,C9/(1+EXP(-$E$3*(B9-$G$3)))-C9/(1+EXP($E$3*$G$3)))</f>
        <v>2.2758079810527354E-2</v>
      </c>
      <c r="F9">
        <f t="shared" ref="F9:F33" si="5">IF($E$4=0,0,C9/(1+EXP(-$E$4*(B9-$G$4)))-C9/(1+EXP($E$4*$G$4)))</f>
        <v>7.6035996050918264E-3</v>
      </c>
      <c r="G9" s="9">
        <f t="shared" ref="G9:I33" si="6">D9/$C9</f>
        <v>7.4657935791777241E-3</v>
      </c>
      <c r="H9" s="9">
        <f t="shared" si="6"/>
        <v>7.4657935791777241E-3</v>
      </c>
      <c r="I9" s="9">
        <f t="shared" si="6"/>
        <v>2.4943626871399669E-3</v>
      </c>
      <c r="J9" s="9">
        <f t="shared" ref="J9:J33" si="7">G9*$F$2</f>
        <v>9.7055316529310416E-4</v>
      </c>
      <c r="K9" s="9">
        <f t="shared" ref="K9:K33" si="8">H9*$F$3</f>
        <v>1.493158715835545E-3</v>
      </c>
      <c r="L9" s="9">
        <f t="shared" ref="L9:L33" si="9">I9*$F$4</f>
        <v>9.9774507485598683E-4</v>
      </c>
      <c r="M9">
        <f t="shared" si="0"/>
        <v>3.0377738611617322</v>
      </c>
      <c r="N9">
        <f t="shared" ref="N9:N33" si="10">IF($N$7="LFO",M9/(1+EXP(-$I$4*(B9-$J$4)))-M9/(1+EXP($I$4*$J$4)),IF($N$7="MGO",M9/(1+EXP(-$I$5*(B9-$J$5)))-M9/(1+EXP($I$5*$J$5)),0))</f>
        <v>0</v>
      </c>
      <c r="O9">
        <f>M9-N9</f>
        <v>3.0377738611617322</v>
      </c>
      <c r="P9">
        <f>IF($I$3=0,0,M9/(1+EXP(-$I$3*(B9-$J$3)))-M9/(1+EXP($I$3*$J$3)))</f>
        <v>1.8643093666880904E-2</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3.0191307674948513</v>
      </c>
      <c r="AB9">
        <f t="shared" ref="AB9:AB33" si="11">O9/M9*AA9</f>
        <v>3.0191307674948513</v>
      </c>
      <c r="AC9">
        <f t="shared" ref="AC9:AC33" si="12">N9/M9*AA9</f>
        <v>0</v>
      </c>
      <c r="AD9">
        <f t="shared" si="3"/>
        <v>3.7286187333761813E-3</v>
      </c>
      <c r="AE9">
        <f t="shared" ref="AE9:AE33" si="13">S9*$O9*$AE$2+S9*$N9*$AE$3</f>
        <v>0</v>
      </c>
      <c r="AF9">
        <f t="shared" ref="AF9:AF33" si="14">T9*$O9*$AF$2+T9*$N9*$AF$3</f>
        <v>4.1429097037513126E-3</v>
      </c>
      <c r="AG9">
        <f t="shared" ref="AG9:AG33" si="15">U9*$O9*$AG$2+U9*$N9*$AG$3</f>
        <v>7.4572374667523627E-3</v>
      </c>
      <c r="AH9">
        <f t="shared" ref="AH9:AH33" si="16">V9*$O9*$AH$2+V9*$N9*$AH$3</f>
        <v>0</v>
      </c>
      <c r="AI9">
        <f t="shared" ref="AI9:AI33" si="17">W9*$O9*$AI$2+W9*$N9*$AI$3</f>
        <v>9.8121545615162658E-4</v>
      </c>
      <c r="AJ9">
        <f t="shared" ref="AJ9:AJ33" si="18">X9*$O9*$AJ$2+X9*$N9*$AJ$3</f>
        <v>0</v>
      </c>
      <c r="AK9">
        <f t="shared" ref="AK9:AK33" si="19">Y9*$O9*$AK$2+Y9*$N9*$AK$3</f>
        <v>3.7286187333761813E-3</v>
      </c>
      <c r="AL9">
        <f t="shared" ref="AL9:AL33" si="20">Z9*$O9*$AL$2+Z9*$N9*$AL$3</f>
        <v>0</v>
      </c>
    </row>
    <row r="10" spans="1:51" x14ac:dyDescent="0.2">
      <c r="A10">
        <v>2027</v>
      </c>
      <c r="B10">
        <v>2</v>
      </c>
      <c r="C10">
        <f t="shared" ref="C10:C33" si="21">C9*(1+$I$2)</f>
        <v>3.1123281457116869</v>
      </c>
      <c r="D10">
        <f>IF($E$2=0,0,C10/(1+EXP(-$E$2*(B10-$G$2)))-C10/(1+EXP($E$2*$G$2)))</f>
        <v>4.651380810207173E-2</v>
      </c>
      <c r="E10">
        <f t="shared" si="4"/>
        <v>4.651380810207173E-2</v>
      </c>
      <c r="F10">
        <f t="shared" si="5"/>
        <v>1.5530042267291932E-2</v>
      </c>
      <c r="G10" s="9">
        <f t="shared" si="6"/>
        <v>1.4945020551949401E-2</v>
      </c>
      <c r="H10" s="9">
        <f t="shared" si="6"/>
        <v>1.4945020551949401E-2</v>
      </c>
      <c r="I10" s="9">
        <f t="shared" si="6"/>
        <v>4.989847323358226E-3</v>
      </c>
      <c r="J10" s="9">
        <f t="shared" si="7"/>
        <v>1.9428526717534221E-3</v>
      </c>
      <c r="K10" s="9">
        <f t="shared" si="8"/>
        <v>2.9890041103898804E-3</v>
      </c>
      <c r="L10" s="9">
        <f t="shared" si="9"/>
        <v>1.9959389293432903E-3</v>
      </c>
      <c r="M10">
        <f t="shared" si="0"/>
        <v>3.0908152467296777</v>
      </c>
      <c r="N10">
        <f t="shared" si="10"/>
        <v>0</v>
      </c>
      <c r="O10">
        <f>M10-N10</f>
        <v>3.0908152467296777</v>
      </c>
      <c r="P10">
        <f t="shared" ref="P10:P33" si="22">IF($I$3=0,0,M10/(1+EXP(-$I$3*(B10-$J$3)))-M10/(1+EXP($I$3*$J$3)))</f>
        <v>4.8247783466966614E-2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3.0425674632627109</v>
      </c>
      <c r="AB10">
        <f t="shared" si="11"/>
        <v>3.0425674632627109</v>
      </c>
      <c r="AC10">
        <f t="shared" si="12"/>
        <v>0</v>
      </c>
      <c r="AD10">
        <f t="shared" si="3"/>
        <v>9.6495566933933238E-3</v>
      </c>
      <c r="AE10">
        <f t="shared" si="13"/>
        <v>0</v>
      </c>
      <c r="AF10">
        <f t="shared" si="14"/>
        <v>1.0721729659325916E-2</v>
      </c>
      <c r="AG10">
        <f t="shared" si="15"/>
        <v>1.9299113386786648E-2</v>
      </c>
      <c r="AH10">
        <f t="shared" si="16"/>
        <v>0</v>
      </c>
      <c r="AI10">
        <f t="shared" si="17"/>
        <v>2.5393570245771904E-3</v>
      </c>
      <c r="AJ10">
        <f t="shared" si="18"/>
        <v>0</v>
      </c>
      <c r="AK10">
        <f t="shared" si="19"/>
        <v>9.6495566933933238E-3</v>
      </c>
      <c r="AL10">
        <f t="shared" si="20"/>
        <v>0</v>
      </c>
    </row>
    <row r="11" spans="1:51" x14ac:dyDescent="0.2">
      <c r="A11">
        <v>2028</v>
      </c>
      <c r="B11">
        <v>3</v>
      </c>
      <c r="C11">
        <f t="shared" si="21"/>
        <v>3.1776870367716321</v>
      </c>
      <c r="D11">
        <f t="shared" ref="D11:D33" si="23">IF($E$2=0,0,C11/(1+EXP(-$E$2*(B11-$G$2)))-C11/(1+EXP($E$2*$G$2)))</f>
        <v>7.128932323131254E-2</v>
      </c>
      <c r="E11">
        <f t="shared" si="4"/>
        <v>7.128932323131254E-2</v>
      </c>
      <c r="F11">
        <f t="shared" si="5"/>
        <v>2.3789213198337933E-2</v>
      </c>
      <c r="G11" s="9">
        <f t="shared" si="6"/>
        <v>2.2434343724339466E-2</v>
      </c>
      <c r="H11" s="9">
        <f t="shared" si="6"/>
        <v>2.2434343724339466E-2</v>
      </c>
      <c r="I11" s="9">
        <f t="shared" si="6"/>
        <v>7.4863298125502501E-3</v>
      </c>
      <c r="J11" s="9">
        <f t="shared" si="7"/>
        <v>2.9164646841641309E-3</v>
      </c>
      <c r="K11" s="9">
        <f t="shared" si="8"/>
        <v>4.4868687448678937E-3</v>
      </c>
      <c r="L11" s="9">
        <f t="shared" si="9"/>
        <v>2.9945319250201004E-3</v>
      </c>
      <c r="M11">
        <f t="shared" si="0"/>
        <v>3.1447577806553051</v>
      </c>
      <c r="N11">
        <f t="shared" si="10"/>
        <v>0</v>
      </c>
      <c r="O11">
        <f t="shared" ref="O11:O33" si="24">M11-N11</f>
        <v>3.1447577806553051</v>
      </c>
      <c r="P11">
        <f t="shared" si="22"/>
        <v>9.4670843514812697E-2</v>
      </c>
      <c r="Q11" s="9">
        <f t="shared" si="1"/>
        <v>3.010433556987183E-2</v>
      </c>
      <c r="R11">
        <f>VLOOKUP($B$1,dictionary!$A$3:$K$51,3,FALSE)*Q11</f>
        <v>6.0208671139743665E-3</v>
      </c>
      <c r="S11">
        <f>VLOOKUP($B$1,dictionary!$A$3:$K$51,4,FALSE)*Q11</f>
        <v>0</v>
      </c>
      <c r="T11">
        <f>VLOOKUP($B$1,dictionary!$A$3:$K$51,5,FALSE)*Q11</f>
        <v>6.0208671139743665E-3</v>
      </c>
      <c r="U11">
        <f>VLOOKUP($B$1,dictionary!$A$3:$K$51,6,FALSE)*Q11</f>
        <v>1.053651744945514E-2</v>
      </c>
      <c r="V11">
        <f>VLOOKUP($B$1,dictionary!$A$3:$K$51,7,FALSE)*Q11</f>
        <v>0</v>
      </c>
      <c r="W11">
        <f>VLOOKUP($B$1,dictionary!$A$3:$K$51,8,FALSE)*Q11</f>
        <v>1.5052167784935916E-3</v>
      </c>
      <c r="X11">
        <f>VLOOKUP($B$1,dictionary!$A$3:$K$51,9,FALSE)*Q11</f>
        <v>0</v>
      </c>
      <c r="Y11">
        <f>VLOOKUP($B$1,dictionary!$A$3:$K$51,10,FALSE)*Q11</f>
        <v>6.0208671139743665E-3</v>
      </c>
      <c r="Z11">
        <f>VLOOKUP($B$1,dictionary!$A$3:$K$51,11,FALSE)*Q11</f>
        <v>0</v>
      </c>
      <c r="AA11">
        <f t="shared" si="2"/>
        <v>3.0500869371404926</v>
      </c>
      <c r="AB11">
        <f t="shared" si="11"/>
        <v>3.0500869371404926</v>
      </c>
      <c r="AC11">
        <f t="shared" si="12"/>
        <v>0</v>
      </c>
      <c r="AD11">
        <f t="shared" si="3"/>
        <v>1.893416870296254E-2</v>
      </c>
      <c r="AE11">
        <f t="shared" si="13"/>
        <v>0</v>
      </c>
      <c r="AF11">
        <f t="shared" si="14"/>
        <v>2.1037965225513933E-2</v>
      </c>
      <c r="AG11">
        <f t="shared" si="15"/>
        <v>3.786833740592508E-2</v>
      </c>
      <c r="AH11">
        <f t="shared" si="16"/>
        <v>0</v>
      </c>
      <c r="AI11">
        <f t="shared" si="17"/>
        <v>4.9826759744638262E-3</v>
      </c>
      <c r="AJ11">
        <f t="shared" si="18"/>
        <v>0</v>
      </c>
      <c r="AK11">
        <f t="shared" si="19"/>
        <v>1.893416870296254E-2</v>
      </c>
      <c r="AL11">
        <f t="shared" si="20"/>
        <v>0</v>
      </c>
    </row>
    <row r="12" spans="1:51" x14ac:dyDescent="0.2">
      <c r="A12">
        <v>2029</v>
      </c>
      <c r="B12">
        <v>4</v>
      </c>
      <c r="C12">
        <f t="shared" si="21"/>
        <v>3.2444184645438363</v>
      </c>
      <c r="D12">
        <f t="shared" si="23"/>
        <v>9.7106767695354979E-2</v>
      </c>
      <c r="E12">
        <f t="shared" si="4"/>
        <v>9.7106767695354979E-2</v>
      </c>
      <c r="F12">
        <f t="shared" si="5"/>
        <v>3.2391254746864107E-2</v>
      </c>
      <c r="G12" s="9">
        <f t="shared" si="6"/>
        <v>2.9930407793129159E-2</v>
      </c>
      <c r="H12" s="9">
        <f t="shared" si="6"/>
        <v>2.9930407793129159E-2</v>
      </c>
      <c r="I12" s="9">
        <f t="shared" si="6"/>
        <v>9.9836858595299307E-3</v>
      </c>
      <c r="J12" s="9">
        <f t="shared" si="7"/>
        <v>3.8909530131067908E-3</v>
      </c>
      <c r="K12" s="9">
        <f t="shared" si="8"/>
        <v>5.9860815586258321E-3</v>
      </c>
      <c r="L12" s="9">
        <f t="shared" si="9"/>
        <v>3.9934743438119723E-3</v>
      </c>
      <c r="M12">
        <f t="shared" si="0"/>
        <v>3.1996199669197098</v>
      </c>
      <c r="N12">
        <f t="shared" si="10"/>
        <v>0</v>
      </c>
      <c r="O12">
        <f t="shared" si="24"/>
        <v>3.1996199669197098</v>
      </c>
      <c r="P12">
        <f t="shared" si="22"/>
        <v>0.16633676640766287</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3.0332832005120469</v>
      </c>
      <c r="AB12">
        <f t="shared" si="11"/>
        <v>3.0332832005120469</v>
      </c>
      <c r="AC12">
        <f t="shared" si="12"/>
        <v>0</v>
      </c>
      <c r="AD12">
        <f t="shared" si="3"/>
        <v>3.3267353281532575E-2</v>
      </c>
      <c r="AE12">
        <f t="shared" si="13"/>
        <v>0</v>
      </c>
      <c r="AF12">
        <f t="shared" si="14"/>
        <v>3.6963725868369532E-2</v>
      </c>
      <c r="AG12">
        <f t="shared" si="15"/>
        <v>6.6534706563065163E-2</v>
      </c>
      <c r="AH12">
        <f t="shared" si="16"/>
        <v>0</v>
      </c>
      <c r="AI12">
        <f t="shared" si="17"/>
        <v>8.7545666530348884E-3</v>
      </c>
      <c r="AJ12">
        <f t="shared" si="18"/>
        <v>0</v>
      </c>
      <c r="AK12">
        <f t="shared" si="19"/>
        <v>3.3267353281532575E-2</v>
      </c>
      <c r="AL12">
        <f t="shared" si="20"/>
        <v>0</v>
      </c>
    </row>
    <row r="13" spans="1:51" x14ac:dyDescent="0.2">
      <c r="A13">
        <v>2030</v>
      </c>
      <c r="B13">
        <v>5</v>
      </c>
      <c r="C13">
        <f t="shared" si="21"/>
        <v>3.3125512522992566</v>
      </c>
      <c r="D13">
        <f t="shared" si="23"/>
        <v>0.12398828106680493</v>
      </c>
      <c r="E13">
        <f t="shared" si="4"/>
        <v>0.12398828106680493</v>
      </c>
      <c r="F13">
        <f t="shared" si="5"/>
        <v>4.1346572390529079E-2</v>
      </c>
      <c r="G13" s="9">
        <f t="shared" si="6"/>
        <v>3.7429845343749504E-2</v>
      </c>
      <c r="H13" s="9">
        <f t="shared" si="6"/>
        <v>3.7429845343749504E-2</v>
      </c>
      <c r="I13" s="9">
        <f t="shared" si="6"/>
        <v>1.2481790994729588E-2</v>
      </c>
      <c r="J13" s="9">
        <f t="shared" si="7"/>
        <v>4.8658798946874362E-3</v>
      </c>
      <c r="K13" s="9">
        <f t="shared" si="8"/>
        <v>7.485969068749901E-3</v>
      </c>
      <c r="L13" s="9">
        <f t="shared" si="9"/>
        <v>4.9927163978918353E-3</v>
      </c>
      <c r="M13">
        <f t="shared" si="0"/>
        <v>3.255420833221506</v>
      </c>
      <c r="N13">
        <f t="shared" si="10"/>
        <v>0</v>
      </c>
      <c r="O13">
        <f t="shared" si="24"/>
        <v>3.255420833221506</v>
      </c>
      <c r="P13">
        <f t="shared" si="22"/>
        <v>0.27463551253604118</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2.9807853206854649</v>
      </c>
      <c r="AB13">
        <f t="shared" si="11"/>
        <v>2.9807853206854649</v>
      </c>
      <c r="AC13">
        <f t="shared" si="12"/>
        <v>0</v>
      </c>
      <c r="AD13">
        <f t="shared" si="3"/>
        <v>5.4927102507208246E-2</v>
      </c>
      <c r="AE13">
        <f t="shared" si="13"/>
        <v>0</v>
      </c>
      <c r="AF13">
        <f t="shared" si="14"/>
        <v>6.1030113896898053E-2</v>
      </c>
      <c r="AG13">
        <f t="shared" si="15"/>
        <v>0.10985420501441649</v>
      </c>
      <c r="AH13">
        <f t="shared" si="16"/>
        <v>0</v>
      </c>
      <c r="AI13">
        <f t="shared" si="17"/>
        <v>1.4454500659791644E-2</v>
      </c>
      <c r="AJ13">
        <f t="shared" si="18"/>
        <v>0</v>
      </c>
      <c r="AK13">
        <f t="shared" si="19"/>
        <v>5.4927102507208246E-2</v>
      </c>
      <c r="AL13">
        <f t="shared" si="20"/>
        <v>0</v>
      </c>
    </row>
    <row r="14" spans="1:51" x14ac:dyDescent="0.2">
      <c r="A14">
        <v>2031</v>
      </c>
      <c r="B14">
        <v>6</v>
      </c>
      <c r="C14">
        <f t="shared" si="21"/>
        <v>3.3821148285975409</v>
      </c>
      <c r="D14">
        <f t="shared" si="23"/>
        <v>0.15195599391530235</v>
      </c>
      <c r="E14">
        <f t="shared" si="4"/>
        <v>0.15195599391530235</v>
      </c>
      <c r="F14">
        <f t="shared" si="5"/>
        <v>5.0665840857903044E-2</v>
      </c>
      <c r="G14" s="9">
        <f t="shared" si="6"/>
        <v>4.4929282894369919E-2</v>
      </c>
      <c r="H14" s="9">
        <f t="shared" si="6"/>
        <v>4.4929282894369919E-2</v>
      </c>
      <c r="I14" s="9">
        <f t="shared" si="6"/>
        <v>1.498052059897464E-2</v>
      </c>
      <c r="J14" s="9">
        <f t="shared" si="7"/>
        <v>5.8408067762680893E-3</v>
      </c>
      <c r="K14" s="9">
        <f t="shared" si="8"/>
        <v>8.9858565788739839E-3</v>
      </c>
      <c r="L14" s="9">
        <f t="shared" si="9"/>
        <v>5.9922082395898564E-3</v>
      </c>
      <c r="M14">
        <f t="shared" si="0"/>
        <v>3.3121799418569129</v>
      </c>
      <c r="N14">
        <f t="shared" si="10"/>
        <v>0</v>
      </c>
      <c r="O14">
        <f t="shared" si="24"/>
        <v>3.3121799418569129</v>
      </c>
      <c r="P14">
        <f t="shared" si="22"/>
        <v>0.43344552089105542</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2.8787344209658574</v>
      </c>
      <c r="AB14">
        <f t="shared" si="11"/>
        <v>2.8787344209658574</v>
      </c>
      <c r="AC14">
        <f t="shared" si="12"/>
        <v>0</v>
      </c>
      <c r="AD14">
        <f t="shared" si="3"/>
        <v>8.6689104178211088E-2</v>
      </c>
      <c r="AE14">
        <f t="shared" si="13"/>
        <v>0</v>
      </c>
      <c r="AF14">
        <f t="shared" si="14"/>
        <v>9.6321226864678991E-2</v>
      </c>
      <c r="AG14">
        <f t="shared" si="15"/>
        <v>0.1733782083564222</v>
      </c>
      <c r="AH14">
        <f t="shared" si="16"/>
        <v>0</v>
      </c>
      <c r="AI14">
        <f t="shared" si="17"/>
        <v>2.2812922152160811E-2</v>
      </c>
      <c r="AJ14">
        <f t="shared" si="18"/>
        <v>0</v>
      </c>
      <c r="AK14">
        <f t="shared" si="19"/>
        <v>8.6689104178211088E-2</v>
      </c>
      <c r="AL14">
        <f t="shared" si="20"/>
        <v>0</v>
      </c>
    </row>
    <row r="15" spans="1:51" x14ac:dyDescent="0.2">
      <c r="A15">
        <v>2032</v>
      </c>
      <c r="B15">
        <v>7</v>
      </c>
      <c r="C15">
        <f t="shared" si="21"/>
        <v>3.4531392399980887</v>
      </c>
      <c r="D15">
        <f t="shared" si="23"/>
        <v>0.18103202276900099</v>
      </c>
      <c r="E15">
        <f t="shared" si="4"/>
        <v>0.18103202276900099</v>
      </c>
      <c r="F15">
        <f t="shared" si="5"/>
        <v>6.0360010382834339E-2</v>
      </c>
      <c r="G15" s="9">
        <f t="shared" si="6"/>
        <v>5.2425346963159584E-2</v>
      </c>
      <c r="H15" s="9">
        <f t="shared" si="6"/>
        <v>5.2425346963159584E-2</v>
      </c>
      <c r="I15" s="9">
        <f t="shared" si="6"/>
        <v>1.7479749928319643E-2</v>
      </c>
      <c r="J15" s="9">
        <f t="shared" si="7"/>
        <v>6.8152951052107462E-3</v>
      </c>
      <c r="K15" s="9">
        <f t="shared" si="8"/>
        <v>1.0485069392631918E-2</v>
      </c>
      <c r="L15" s="9">
        <f t="shared" si="9"/>
        <v>6.9918999713278578E-3</v>
      </c>
      <c r="M15">
        <f t="shared" si="0"/>
        <v>3.3699174004326231</v>
      </c>
      <c r="N15">
        <f t="shared" si="10"/>
        <v>0</v>
      </c>
      <c r="O15">
        <f t="shared" si="24"/>
        <v>3.3699174004326231</v>
      </c>
      <c r="P15">
        <f>IF($I$3=0,0,M15/(1+EXP(-$I$3*(B15-$J$3)))-M15/(1+EXP($I$3*$J$3)))</f>
        <v>0.65674105901715507</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2.7131763414154682</v>
      </c>
      <c r="AB15">
        <f t="shared" si="11"/>
        <v>2.7131763414154682</v>
      </c>
      <c r="AC15">
        <f t="shared" si="12"/>
        <v>0</v>
      </c>
      <c r="AD15">
        <f t="shared" si="3"/>
        <v>0.13134821180343101</v>
      </c>
      <c r="AE15">
        <f t="shared" si="13"/>
        <v>0</v>
      </c>
      <c r="AF15">
        <f t="shared" si="14"/>
        <v>0.1459424575593678</v>
      </c>
      <c r="AG15">
        <f t="shared" si="15"/>
        <v>0.26269642360686202</v>
      </c>
      <c r="AH15">
        <f t="shared" si="16"/>
        <v>0</v>
      </c>
      <c r="AI15">
        <f t="shared" si="17"/>
        <v>3.4565318895639741E-2</v>
      </c>
      <c r="AJ15">
        <f t="shared" si="18"/>
        <v>0</v>
      </c>
      <c r="AK15">
        <f t="shared" si="19"/>
        <v>0.13134821180343101</v>
      </c>
      <c r="AL15">
        <f t="shared" si="20"/>
        <v>0</v>
      </c>
    </row>
    <row r="16" spans="1:51" x14ac:dyDescent="0.2">
      <c r="A16">
        <v>2033</v>
      </c>
      <c r="B16">
        <v>8</v>
      </c>
      <c r="C16">
        <f t="shared" si="21"/>
        <v>3.525655164038048</v>
      </c>
      <c r="D16">
        <f t="shared" si="23"/>
        <v>0.21123846616503683</v>
      </c>
      <c r="E16">
        <f t="shared" si="4"/>
        <v>0.21123846616503683</v>
      </c>
      <c r="F16">
        <f t="shared" si="5"/>
        <v>7.0440313094099816E-2</v>
      </c>
      <c r="G16" s="9">
        <f t="shared" si="6"/>
        <v>5.9914670135549651E-2</v>
      </c>
      <c r="H16" s="9">
        <f t="shared" si="6"/>
        <v>5.9914670135549651E-2</v>
      </c>
      <c r="I16" s="9">
        <f t="shared" si="6"/>
        <v>1.9979354138940298E-2</v>
      </c>
      <c r="J16" s="9">
        <f t="shared" si="7"/>
        <v>7.7889071176214545E-3</v>
      </c>
      <c r="K16" s="9">
        <f t="shared" si="8"/>
        <v>1.1982934027109931E-2</v>
      </c>
      <c r="L16" s="9">
        <f t="shared" si="9"/>
        <v>7.9917416555761196E-3</v>
      </c>
      <c r="M16">
        <f t="shared" si="0"/>
        <v>3.4286538724073941</v>
      </c>
      <c r="N16">
        <f t="shared" si="10"/>
        <v>0</v>
      </c>
      <c r="O16">
        <f t="shared" si="24"/>
        <v>3.4286538724073941</v>
      </c>
      <c r="P16">
        <f t="shared" si="22"/>
        <v>0.95338368374976212</v>
      </c>
      <c r="Q16" s="9">
        <f t="shared" si="1"/>
        <v>0.27806355474440281</v>
      </c>
      <c r="R16">
        <f>VLOOKUP($B$1,dictionary!$A$3:$K$51,3,FALSE)*Q16</f>
        <v>5.5612710948880567E-2</v>
      </c>
      <c r="S16">
        <f>VLOOKUP($B$1,dictionary!$A$3:$K$51,4,FALSE)*Q16</f>
        <v>0</v>
      </c>
      <c r="T16">
        <f>VLOOKUP($B$1,dictionary!$A$3:$K$51,5,FALSE)*Q16</f>
        <v>5.5612710948880567E-2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5.5612710948880567E-2</v>
      </c>
      <c r="Z16">
        <f>VLOOKUP($B$1,dictionary!$A$3:$K$51,11,FALSE)*Q16</f>
        <v>0</v>
      </c>
      <c r="AA16">
        <f t="shared" si="2"/>
        <v>2.4752701886576318</v>
      </c>
      <c r="AB16">
        <f t="shared" si="11"/>
        <v>2.4752701886576318</v>
      </c>
      <c r="AC16">
        <f t="shared" si="12"/>
        <v>0</v>
      </c>
      <c r="AD16">
        <f t="shared" si="3"/>
        <v>0.19067673674995245</v>
      </c>
      <c r="AE16">
        <f t="shared" si="13"/>
        <v>0</v>
      </c>
      <c r="AF16">
        <f t="shared" si="14"/>
        <v>0.2118630408332805</v>
      </c>
      <c r="AG16">
        <f t="shared" si="15"/>
        <v>0.38135347349990484</v>
      </c>
      <c r="AH16">
        <f t="shared" si="16"/>
        <v>0</v>
      </c>
      <c r="AI16">
        <f t="shared" si="17"/>
        <v>5.0178088618408535E-2</v>
      </c>
      <c r="AJ16">
        <f t="shared" si="18"/>
        <v>0</v>
      </c>
      <c r="AK16">
        <f t="shared" si="19"/>
        <v>0.19067673674995245</v>
      </c>
      <c r="AL16">
        <f t="shared" si="20"/>
        <v>0</v>
      </c>
    </row>
    <row r="17" spans="1:38" x14ac:dyDescent="0.2">
      <c r="A17">
        <v>2034</v>
      </c>
      <c r="B17">
        <v>9</v>
      </c>
      <c r="C17">
        <f t="shared" si="21"/>
        <v>3.5996939224828468</v>
      </c>
      <c r="D17">
        <f t="shared" si="23"/>
        <v>0.24259740183325862</v>
      </c>
      <c r="E17">
        <f t="shared" si="4"/>
        <v>0.24259740183325862</v>
      </c>
      <c r="F17">
        <f t="shared" si="5"/>
        <v>8.0918269543166277E-2</v>
      </c>
      <c r="G17" s="9">
        <f t="shared" si="6"/>
        <v>6.7393897108321332E-2</v>
      </c>
      <c r="H17" s="9">
        <f t="shared" si="6"/>
        <v>6.7393897108321332E-2</v>
      </c>
      <c r="I17" s="9">
        <f t="shared" si="6"/>
        <v>2.2479208312064999E-2</v>
      </c>
      <c r="J17" s="9">
        <f t="shared" si="7"/>
        <v>8.7612066240817729E-3</v>
      </c>
      <c r="K17" s="9">
        <f t="shared" si="8"/>
        <v>1.3478779421664267E-2</v>
      </c>
      <c r="L17" s="9">
        <f t="shared" si="9"/>
        <v>8.9916833248259997E-3</v>
      </c>
      <c r="M17">
        <f t="shared" si="0"/>
        <v>3.4884105874601783</v>
      </c>
      <c r="N17">
        <f t="shared" si="10"/>
        <v>0</v>
      </c>
      <c r="O17">
        <f t="shared" si="24"/>
        <v>3.4884105874601783</v>
      </c>
      <c r="P17">
        <f t="shared" si="22"/>
        <v>1.3199232516367607</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2.1684873358234178</v>
      </c>
      <c r="AB17">
        <f t="shared" si="11"/>
        <v>2.1684873358234178</v>
      </c>
      <c r="AC17">
        <f t="shared" si="12"/>
        <v>0</v>
      </c>
      <c r="AD17">
        <f t="shared" si="3"/>
        <v>0.26398465032735219</v>
      </c>
      <c r="AE17">
        <f t="shared" si="13"/>
        <v>0</v>
      </c>
      <c r="AF17">
        <f t="shared" si="14"/>
        <v>0.29331627814150246</v>
      </c>
      <c r="AG17">
        <f t="shared" si="15"/>
        <v>0.52796930065470438</v>
      </c>
      <c r="AH17">
        <f t="shared" si="16"/>
        <v>0</v>
      </c>
      <c r="AI17">
        <f t="shared" si="17"/>
        <v>6.9469644822987411E-2</v>
      </c>
      <c r="AJ17">
        <f t="shared" si="18"/>
        <v>0</v>
      </c>
      <c r="AK17">
        <f t="shared" si="19"/>
        <v>0.26398465032735219</v>
      </c>
      <c r="AL17">
        <f t="shared" si="20"/>
        <v>0</v>
      </c>
    </row>
    <row r="18" spans="1:38" x14ac:dyDescent="0.2">
      <c r="A18">
        <v>2035</v>
      </c>
      <c r="B18">
        <v>10</v>
      </c>
      <c r="C18">
        <f t="shared" si="21"/>
        <v>3.6752874948549863</v>
      </c>
      <c r="D18">
        <f t="shared" si="23"/>
        <v>0.27513088505247763</v>
      </c>
      <c r="E18">
        <f t="shared" si="4"/>
        <v>0.27513088505247763</v>
      </c>
      <c r="F18">
        <f t="shared" si="5"/>
        <v>9.180569537298644E-2</v>
      </c>
      <c r="G18" s="9">
        <f t="shared" si="6"/>
        <v>7.4859690687499078E-2</v>
      </c>
      <c r="H18" s="9">
        <f t="shared" si="6"/>
        <v>7.4859690687499078E-2</v>
      </c>
      <c r="I18" s="9">
        <f t="shared" si="6"/>
        <v>2.4979187478940002E-2</v>
      </c>
      <c r="J18" s="9">
        <f t="shared" si="7"/>
        <v>9.731759789374881E-3</v>
      </c>
      <c r="K18" s="9">
        <f t="shared" si="8"/>
        <v>1.4971938137499816E-2</v>
      </c>
      <c r="L18" s="9">
        <f t="shared" si="9"/>
        <v>9.9916749915760009E-3</v>
      </c>
      <c r="M18">
        <f t="shared" si="0"/>
        <v>3.5492093516845387</v>
      </c>
      <c r="N18">
        <f t="shared" si="10"/>
        <v>0</v>
      </c>
      <c r="O18">
        <f t="shared" si="24"/>
        <v>3.5492093516845387</v>
      </c>
      <c r="P18">
        <f t="shared" si="22"/>
        <v>1.7356097163113464</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1.8135996353731922</v>
      </c>
      <c r="AB18">
        <f t="shared" si="11"/>
        <v>1.8135996353731922</v>
      </c>
      <c r="AC18">
        <f t="shared" si="12"/>
        <v>0</v>
      </c>
      <c r="AD18">
        <f t="shared" si="3"/>
        <v>0.34712194326226931</v>
      </c>
      <c r="AE18">
        <f t="shared" si="13"/>
        <v>0</v>
      </c>
      <c r="AF18">
        <f t="shared" si="14"/>
        <v>0.38569104806918814</v>
      </c>
      <c r="AG18">
        <f t="shared" si="15"/>
        <v>0.69424388652453872</v>
      </c>
      <c r="AH18">
        <f t="shared" si="16"/>
        <v>0</v>
      </c>
      <c r="AI18">
        <f t="shared" si="17"/>
        <v>9.1347879805860344E-2</v>
      </c>
      <c r="AJ18">
        <f t="shared" si="18"/>
        <v>0</v>
      </c>
      <c r="AK18">
        <f t="shared" si="19"/>
        <v>0.34712194326226931</v>
      </c>
      <c r="AL18">
        <f t="shared" si="20"/>
        <v>0</v>
      </c>
    </row>
    <row r="19" spans="1:38" x14ac:dyDescent="0.2">
      <c r="A19">
        <v>2036</v>
      </c>
      <c r="B19">
        <v>11</v>
      </c>
      <c r="C19">
        <f t="shared" si="21"/>
        <v>3.7524685322469407</v>
      </c>
      <c r="D19">
        <f t="shared" si="23"/>
        <v>0.30886094821324628</v>
      </c>
      <c r="E19">
        <f t="shared" si="4"/>
        <v>0.30886094821324628</v>
      </c>
      <c r="F19">
        <f t="shared" si="5"/>
        <v>0.1031147081307906</v>
      </c>
      <c r="G19" s="9">
        <f t="shared" si="6"/>
        <v>8.2308737717329619E-2</v>
      </c>
      <c r="H19" s="9">
        <f t="shared" si="6"/>
        <v>8.2308737717329619E-2</v>
      </c>
      <c r="I19" s="9">
        <f t="shared" si="6"/>
        <v>2.7479166645815026E-2</v>
      </c>
      <c r="J19" s="9">
        <f t="shared" si="7"/>
        <v>1.070013590325285E-2</v>
      </c>
      <c r="K19" s="9">
        <f t="shared" si="8"/>
        <v>1.6461747543465924E-2</v>
      </c>
      <c r="L19" s="9">
        <f t="shared" si="9"/>
        <v>1.0991666658326011E-2</v>
      </c>
      <c r="M19">
        <f t="shared" si="0"/>
        <v>3.6110725576110569</v>
      </c>
      <c r="N19">
        <f t="shared" si="10"/>
        <v>0</v>
      </c>
      <c r="O19">
        <f t="shared" si="24"/>
        <v>3.6110725576110569</v>
      </c>
      <c r="P19">
        <f t="shared" si="22"/>
        <v>2.1653879332892916</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1.4456846243217654</v>
      </c>
      <c r="AB19">
        <f t="shared" si="11"/>
        <v>1.4456846243217654</v>
      </c>
      <c r="AC19">
        <f t="shared" si="12"/>
        <v>0</v>
      </c>
      <c r="AD19">
        <f t="shared" si="3"/>
        <v>0.43307758665785839</v>
      </c>
      <c r="AE19">
        <f t="shared" si="13"/>
        <v>0</v>
      </c>
      <c r="AF19">
        <f t="shared" si="14"/>
        <v>0.48119731850873154</v>
      </c>
      <c r="AG19">
        <f t="shared" si="15"/>
        <v>0.86615517331571668</v>
      </c>
      <c r="AH19">
        <f t="shared" si="16"/>
        <v>0</v>
      </c>
      <c r="AI19">
        <f t="shared" si="17"/>
        <v>0.11396778596259431</v>
      </c>
      <c r="AJ19">
        <f t="shared" si="18"/>
        <v>0</v>
      </c>
      <c r="AK19">
        <f t="shared" si="19"/>
        <v>0.43307758665785839</v>
      </c>
      <c r="AL19">
        <f t="shared" si="20"/>
        <v>0</v>
      </c>
    </row>
    <row r="20" spans="1:38" x14ac:dyDescent="0.2">
      <c r="A20">
        <v>2037</v>
      </c>
      <c r="B20">
        <v>12</v>
      </c>
      <c r="C20">
        <f t="shared" si="21"/>
        <v>3.8312703714241261</v>
      </c>
      <c r="D20">
        <f t="shared" si="23"/>
        <v>0.3438096016157397</v>
      </c>
      <c r="E20">
        <f t="shared" si="4"/>
        <v>0.3438096016157397</v>
      </c>
      <c r="F20">
        <f t="shared" si="5"/>
        <v>0.1148577342279109</v>
      </c>
      <c r="G20" s="9">
        <f t="shared" si="6"/>
        <v>8.9737754918074814E-2</v>
      </c>
      <c r="H20" s="9">
        <f t="shared" si="6"/>
        <v>8.9737754918074814E-2</v>
      </c>
      <c r="I20" s="9">
        <f t="shared" si="6"/>
        <v>2.9979020818939748E-2</v>
      </c>
      <c r="J20" s="9">
        <f t="shared" si="7"/>
        <v>1.1665908139349725E-2</v>
      </c>
      <c r="K20" s="9">
        <f t="shared" si="8"/>
        <v>1.7947550983614963E-2</v>
      </c>
      <c r="L20" s="9">
        <f t="shared" si="9"/>
        <v>1.19916083275759E-2</v>
      </c>
      <c r="M20">
        <f t="shared" si="0"/>
        <v>3.6740231940613466</v>
      </c>
      <c r="N20">
        <f t="shared" si="10"/>
        <v>0</v>
      </c>
      <c r="O20">
        <f t="shared" si="24"/>
        <v>3.6740231940613466</v>
      </c>
      <c r="P20">
        <f>IF($I$3=0,0,M20/(1+EXP(-$I$3*(B20-$J$3)))-M20/(1+EXP($I$3*$J$3)))</f>
        <v>2.5716786803940219</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1.1023445136673247</v>
      </c>
      <c r="AB20">
        <f t="shared" si="11"/>
        <v>1.1023445136673247</v>
      </c>
      <c r="AC20">
        <f t="shared" si="12"/>
        <v>0</v>
      </c>
      <c r="AD20">
        <f t="shared" si="3"/>
        <v>0.51433573607880445</v>
      </c>
      <c r="AE20">
        <f t="shared" si="13"/>
        <v>0</v>
      </c>
      <c r="AF20">
        <f t="shared" si="14"/>
        <v>0.57148415119867169</v>
      </c>
      <c r="AG20">
        <f t="shared" si="15"/>
        <v>1.0286714721576087</v>
      </c>
      <c r="AH20">
        <f t="shared" si="16"/>
        <v>0</v>
      </c>
      <c r="AI20">
        <f t="shared" si="17"/>
        <v>0.13535150949442221</v>
      </c>
      <c r="AJ20">
        <f t="shared" si="18"/>
        <v>0</v>
      </c>
      <c r="AK20">
        <f t="shared" si="19"/>
        <v>0.51433573607880445</v>
      </c>
      <c r="AL20">
        <f t="shared" si="20"/>
        <v>0</v>
      </c>
    </row>
    <row r="21" spans="1:38" x14ac:dyDescent="0.2">
      <c r="A21">
        <v>2038</v>
      </c>
      <c r="B21">
        <v>13</v>
      </c>
      <c r="C21">
        <f t="shared" si="21"/>
        <v>3.9117270492240324</v>
      </c>
      <c r="D21">
        <f t="shared" si="23"/>
        <v>0.37999883552577307</v>
      </c>
      <c r="E21">
        <f t="shared" si="4"/>
        <v>0.37999883552577307</v>
      </c>
      <c r="F21">
        <f t="shared" si="5"/>
        <v>0.12704751604973596</v>
      </c>
      <c r="G21" s="9">
        <f t="shared" si="6"/>
        <v>9.7143494610942571E-2</v>
      </c>
      <c r="H21" s="9">
        <f t="shared" si="6"/>
        <v>9.7143494610942571E-2</v>
      </c>
      <c r="I21" s="9">
        <f t="shared" si="6"/>
        <v>3.2478625029560365E-2</v>
      </c>
      <c r="J21" s="9">
        <f t="shared" si="7"/>
        <v>1.2628654299422535E-2</v>
      </c>
      <c r="K21" s="9">
        <f t="shared" si="8"/>
        <v>1.9428698922188514E-2</v>
      </c>
      <c r="L21" s="9">
        <f t="shared" si="9"/>
        <v>1.2991450011824147E-2</v>
      </c>
      <c r="M21">
        <f t="shared" si="0"/>
        <v>3.7380848558392645</v>
      </c>
      <c r="N21">
        <f t="shared" si="10"/>
        <v>0</v>
      </c>
      <c r="O21">
        <f t="shared" si="24"/>
        <v>3.7380848558392645</v>
      </c>
      <c r="P21">
        <f t="shared" si="22"/>
        <v>2.9274538128847496</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0.81063104295451494</v>
      </c>
      <c r="AB21">
        <f t="shared" si="11"/>
        <v>0.81063104295451494</v>
      </c>
      <c r="AC21">
        <f t="shared" si="12"/>
        <v>0</v>
      </c>
      <c r="AD21">
        <f t="shared" si="3"/>
        <v>0.58549076257694999</v>
      </c>
      <c r="AE21">
        <f t="shared" si="13"/>
        <v>0</v>
      </c>
      <c r="AF21">
        <f t="shared" si="14"/>
        <v>0.65054529175216669</v>
      </c>
      <c r="AG21">
        <f t="shared" si="15"/>
        <v>1.1709815251538997</v>
      </c>
      <c r="AH21">
        <f t="shared" si="16"/>
        <v>0</v>
      </c>
      <c r="AI21">
        <f t="shared" si="17"/>
        <v>0.15407651646761841</v>
      </c>
      <c r="AJ21">
        <f t="shared" si="18"/>
        <v>0</v>
      </c>
      <c r="AK21">
        <f t="shared" si="19"/>
        <v>0.58549076257694999</v>
      </c>
      <c r="AL21">
        <f t="shared" si="20"/>
        <v>0</v>
      </c>
    </row>
    <row r="22" spans="1:38" x14ac:dyDescent="0.2">
      <c r="A22">
        <v>2039</v>
      </c>
      <c r="B22">
        <v>14</v>
      </c>
      <c r="C22">
        <f t="shared" si="21"/>
        <v>3.9938733172577368</v>
      </c>
      <c r="D22">
        <f t="shared" si="23"/>
        <v>0.417450623506322</v>
      </c>
      <c r="E22">
        <f t="shared" si="4"/>
        <v>0.417450623506322</v>
      </c>
      <c r="F22">
        <f t="shared" si="5"/>
        <v>0.13969711921896</v>
      </c>
      <c r="G22" s="9">
        <f t="shared" si="6"/>
        <v>0.10452275030920383</v>
      </c>
      <c r="H22" s="9">
        <f t="shared" si="6"/>
        <v>0.10452275030920383</v>
      </c>
      <c r="I22" s="9">
        <f t="shared" si="6"/>
        <v>3.4977854358905526E-2</v>
      </c>
      <c r="J22" s="9">
        <f t="shared" si="7"/>
        <v>1.3587957540196498E-2</v>
      </c>
      <c r="K22" s="9">
        <f t="shared" si="8"/>
        <v>2.0904550061840766E-2</v>
      </c>
      <c r="L22" s="9">
        <f t="shared" si="9"/>
        <v>1.399114174356221E-2</v>
      </c>
      <c r="M22">
        <f t="shared" si="0"/>
        <v>3.803281753266758</v>
      </c>
      <c r="N22">
        <f t="shared" si="10"/>
        <v>0</v>
      </c>
      <c r="O22">
        <f t="shared" si="24"/>
        <v>3.803281753266758</v>
      </c>
      <c r="P22">
        <f t="shared" si="22"/>
        <v>3.2219957480181507</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0.5812860052486073</v>
      </c>
      <c r="AB22">
        <f t="shared" si="11"/>
        <v>0.5812860052486073</v>
      </c>
      <c r="AC22">
        <f t="shared" si="12"/>
        <v>0</v>
      </c>
      <c r="AD22">
        <f t="shared" si="3"/>
        <v>0.64439914960363021</v>
      </c>
      <c r="AE22">
        <f t="shared" si="13"/>
        <v>0</v>
      </c>
      <c r="AF22">
        <f t="shared" si="14"/>
        <v>0.71599905511514472</v>
      </c>
      <c r="AG22">
        <f t="shared" si="15"/>
        <v>1.2887982992072604</v>
      </c>
      <c r="AH22">
        <f t="shared" si="16"/>
        <v>0</v>
      </c>
      <c r="AI22">
        <f t="shared" si="17"/>
        <v>0.16957872357990267</v>
      </c>
      <c r="AJ22">
        <f t="shared" si="18"/>
        <v>0</v>
      </c>
      <c r="AK22">
        <f t="shared" si="19"/>
        <v>0.64439914960363021</v>
      </c>
      <c r="AL22">
        <f t="shared" si="20"/>
        <v>0</v>
      </c>
    </row>
    <row r="23" spans="1:38" x14ac:dyDescent="0.2">
      <c r="A23">
        <v>2040</v>
      </c>
      <c r="B23">
        <v>15</v>
      </c>
      <c r="C23">
        <f t="shared" si="21"/>
        <v>4.0777446569201485</v>
      </c>
      <c r="D23">
        <f t="shared" si="23"/>
        <v>0.45618692703625308</v>
      </c>
      <c r="E23">
        <f t="shared" si="4"/>
        <v>0.45618692703625308</v>
      </c>
      <c r="F23">
        <f t="shared" si="5"/>
        <v>0.15281994001535559</v>
      </c>
      <c r="G23" s="9">
        <f t="shared" si="6"/>
        <v>0.11187236215540856</v>
      </c>
      <c r="H23" s="9">
        <f t="shared" si="6"/>
        <v>0.11187236215540856</v>
      </c>
      <c r="I23" s="9">
        <f t="shared" si="6"/>
        <v>3.7476583963150331E-2</v>
      </c>
      <c r="J23" s="9">
        <f t="shared" si="7"/>
        <v>1.4543407080203114E-2</v>
      </c>
      <c r="K23" s="9">
        <f t="shared" si="8"/>
        <v>2.2374472431081715E-2</v>
      </c>
      <c r="L23" s="9">
        <f t="shared" si="9"/>
        <v>1.4990633585260133E-2</v>
      </c>
      <c r="M23">
        <f t="shared" si="0"/>
        <v>3.8696387215736827</v>
      </c>
      <c r="N23">
        <f t="shared" si="10"/>
        <v>0</v>
      </c>
      <c r="O23">
        <f t="shared" si="24"/>
        <v>3.8696387215736827</v>
      </c>
      <c r="P23">
        <f t="shared" si="22"/>
        <v>3.4581552414837065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0.41148348008997626</v>
      </c>
      <c r="AB23">
        <f t="shared" si="11"/>
        <v>0.41148348008997626</v>
      </c>
      <c r="AC23">
        <f t="shared" si="12"/>
        <v>0</v>
      </c>
      <c r="AD23">
        <f t="shared" si="3"/>
        <v>0.69163104829674127</v>
      </c>
      <c r="AE23">
        <f t="shared" si="13"/>
        <v>0</v>
      </c>
      <c r="AF23">
        <f t="shared" si="14"/>
        <v>0.76847894255193483</v>
      </c>
      <c r="AG23">
        <f t="shared" si="15"/>
        <v>1.3832620965934825</v>
      </c>
      <c r="AH23">
        <f t="shared" si="16"/>
        <v>0</v>
      </c>
      <c r="AI23">
        <f t="shared" si="17"/>
        <v>0.18200817060440558</v>
      </c>
      <c r="AJ23">
        <f t="shared" si="18"/>
        <v>0</v>
      </c>
      <c r="AK23">
        <f t="shared" si="19"/>
        <v>0.69163104829674127</v>
      </c>
      <c r="AL23">
        <f t="shared" si="20"/>
        <v>0</v>
      </c>
    </row>
    <row r="24" spans="1:38" x14ac:dyDescent="0.2">
      <c r="A24">
        <v>2041</v>
      </c>
      <c r="B24">
        <v>16</v>
      </c>
      <c r="C24">
        <f t="shared" si="21"/>
        <v>4.1633772947154712</v>
      </c>
      <c r="D24">
        <f t="shared" si="23"/>
        <v>0.49622970142226541</v>
      </c>
      <c r="E24">
        <f t="shared" si="4"/>
        <v>0.49622970142226541</v>
      </c>
      <c r="F24">
        <f t="shared" si="5"/>
        <v>0.16642971295538045</v>
      </c>
      <c r="G24" s="9">
        <f t="shared" si="6"/>
        <v>0.11918922218558579</v>
      </c>
      <c r="H24" s="9">
        <f t="shared" si="6"/>
        <v>0.11918922218558579</v>
      </c>
      <c r="I24" s="9">
        <f t="shared" si="6"/>
        <v>3.9974689098349996E-2</v>
      </c>
      <c r="J24" s="9">
        <f t="shared" si="7"/>
        <v>1.5494598884126154E-2</v>
      </c>
      <c r="K24" s="9">
        <f t="shared" si="8"/>
        <v>2.3837844437117159E-2</v>
      </c>
      <c r="L24" s="9">
        <f t="shared" si="9"/>
        <v>1.5989875639339998E-2</v>
      </c>
      <c r="M24">
        <f t="shared" si="0"/>
        <v>3.9371812301527025</v>
      </c>
      <c r="N24">
        <f t="shared" si="10"/>
        <v>0</v>
      </c>
      <c r="O24">
        <f t="shared" si="24"/>
        <v>3.9371812301527025</v>
      </c>
      <c r="P24">
        <f t="shared" si="22"/>
        <v>3.6459861303834371</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0.29119509976926539</v>
      </c>
      <c r="AB24">
        <f t="shared" si="11"/>
        <v>0.29119509976926539</v>
      </c>
      <c r="AC24">
        <f t="shared" si="12"/>
        <v>0</v>
      </c>
      <c r="AD24">
        <f t="shared" si="3"/>
        <v>0.72919722607668758</v>
      </c>
      <c r="AE24">
        <f t="shared" si="13"/>
        <v>0</v>
      </c>
      <c r="AF24">
        <f t="shared" si="14"/>
        <v>0.81021914008520846</v>
      </c>
      <c r="AG24">
        <f t="shared" si="15"/>
        <v>1.4583944521533749</v>
      </c>
      <c r="AH24">
        <f t="shared" si="16"/>
        <v>0</v>
      </c>
      <c r="AI24">
        <f t="shared" si="17"/>
        <v>0.19189400686228619</v>
      </c>
      <c r="AJ24">
        <f t="shared" si="18"/>
        <v>0</v>
      </c>
      <c r="AK24">
        <f t="shared" si="19"/>
        <v>0.72919722607668758</v>
      </c>
      <c r="AL24">
        <f t="shared" si="20"/>
        <v>0</v>
      </c>
    </row>
    <row r="25" spans="1:38" x14ac:dyDescent="0.2">
      <c r="A25">
        <v>2042</v>
      </c>
      <c r="B25">
        <v>17</v>
      </c>
      <c r="C25">
        <f t="shared" si="21"/>
        <v>4.2508082179044955</v>
      </c>
      <c r="D25">
        <f t="shared" si="23"/>
        <v>0.53760090300446173</v>
      </c>
      <c r="E25">
        <f t="shared" si="4"/>
        <v>0.53760090300446173</v>
      </c>
      <c r="F25">
        <f t="shared" si="5"/>
        <v>0.18054051853497821</v>
      </c>
      <c r="G25" s="9">
        <f t="shared" si="6"/>
        <v>0.12647027940241462</v>
      </c>
      <c r="H25" s="9">
        <f t="shared" si="6"/>
        <v>0.12647027940241462</v>
      </c>
      <c r="I25" s="9">
        <f t="shared" si="6"/>
        <v>4.24720451453297E-2</v>
      </c>
      <c r="J25" s="9">
        <f t="shared" si="7"/>
        <v>1.64411363223139E-2</v>
      </c>
      <c r="K25" s="9">
        <f t="shared" si="8"/>
        <v>2.5294055880482925E-2</v>
      </c>
      <c r="L25" s="9">
        <f t="shared" si="9"/>
        <v>1.6988818058131881E-2</v>
      </c>
      <c r="M25">
        <f t="shared" si="0"/>
        <v>4.0059353916920983</v>
      </c>
      <c r="N25">
        <f t="shared" si="10"/>
        <v>0</v>
      </c>
      <c r="O25">
        <f t="shared" si="24"/>
        <v>4.0059353916920983</v>
      </c>
      <c r="P25">
        <f>IF($I$3=0,0,M25/(1+EXP(-$I$3*(B25-$J$3)))-M25/(1+EXP($I$3*$J$3)))</f>
        <v>3.7973134037286056</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0.20862198796349274</v>
      </c>
      <c r="AB25">
        <f t="shared" si="11"/>
        <v>0.20862198796349274</v>
      </c>
      <c r="AC25">
        <f t="shared" si="12"/>
        <v>0</v>
      </c>
      <c r="AD25">
        <f t="shared" si="3"/>
        <v>0.75946268074572121</v>
      </c>
      <c r="AE25">
        <f t="shared" si="13"/>
        <v>0</v>
      </c>
      <c r="AF25">
        <f t="shared" si="14"/>
        <v>0.8438474230508014</v>
      </c>
      <c r="AG25">
        <f t="shared" si="15"/>
        <v>1.5189253614914424</v>
      </c>
      <c r="AH25">
        <f t="shared" si="16"/>
        <v>0</v>
      </c>
      <c r="AI25">
        <f t="shared" si="17"/>
        <v>0.19985860019624241</v>
      </c>
      <c r="AJ25">
        <f t="shared" si="18"/>
        <v>0</v>
      </c>
      <c r="AK25">
        <f t="shared" si="19"/>
        <v>0.75946268074572121</v>
      </c>
      <c r="AL25">
        <f t="shared" si="20"/>
        <v>0</v>
      </c>
    </row>
    <row r="26" spans="1:38" x14ac:dyDescent="0.2">
      <c r="A26">
        <v>2043</v>
      </c>
      <c r="B26">
        <v>18</v>
      </c>
      <c r="C26">
        <f t="shared" si="21"/>
        <v>4.3400751904804897</v>
      </c>
      <c r="D26">
        <f t="shared" si="23"/>
        <v>0.58032249765041088</v>
      </c>
      <c r="E26">
        <f t="shared" si="4"/>
        <v>0.58032249765041088</v>
      </c>
      <c r="F26">
        <f t="shared" si="5"/>
        <v>0.19516679113902446</v>
      </c>
      <c r="G26" s="9">
        <f t="shared" si="6"/>
        <v>0.13371254464053731</v>
      </c>
      <c r="H26" s="9">
        <f t="shared" si="6"/>
        <v>0.13371254464053731</v>
      </c>
      <c r="I26" s="9">
        <f t="shared" si="6"/>
        <v>4.4968527634521825E-2</v>
      </c>
      <c r="J26" s="9">
        <f t="shared" si="7"/>
        <v>1.738263080326985E-2</v>
      </c>
      <c r="K26" s="9">
        <f t="shared" si="8"/>
        <v>2.6742508928107464E-2</v>
      </c>
      <c r="L26" s="9">
        <f t="shared" si="9"/>
        <v>1.798741105380873E-2</v>
      </c>
      <c r="M26">
        <f t="shared" si="0"/>
        <v>4.0759279712009899</v>
      </c>
      <c r="N26">
        <f t="shared" si="10"/>
        <v>0</v>
      </c>
      <c r="O26">
        <f t="shared" si="24"/>
        <v>4.0759279712009899</v>
      </c>
      <c r="P26">
        <f t="shared" si="22"/>
        <v>3.9227385543451736</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0.15318941685581633</v>
      </c>
      <c r="AB26">
        <f t="shared" si="11"/>
        <v>0.15318941685581633</v>
      </c>
      <c r="AC26">
        <f t="shared" si="12"/>
        <v>0</v>
      </c>
      <c r="AD26">
        <f t="shared" si="3"/>
        <v>0.78454771086903474</v>
      </c>
      <c r="AE26">
        <f t="shared" si="13"/>
        <v>0</v>
      </c>
      <c r="AF26">
        <f t="shared" si="14"/>
        <v>0.87171967874337197</v>
      </c>
      <c r="AG26">
        <f t="shared" si="15"/>
        <v>1.5690954217380697</v>
      </c>
      <c r="AH26">
        <f t="shared" si="16"/>
        <v>0</v>
      </c>
      <c r="AI26">
        <f t="shared" si="17"/>
        <v>0.20645992391290388</v>
      </c>
      <c r="AJ26">
        <f t="shared" si="18"/>
        <v>0</v>
      </c>
      <c r="AK26">
        <f t="shared" si="19"/>
        <v>0.78454771086903474</v>
      </c>
      <c r="AL26">
        <f t="shared" si="20"/>
        <v>0</v>
      </c>
    </row>
    <row r="27" spans="1:38" x14ac:dyDescent="0.2">
      <c r="A27">
        <v>2044</v>
      </c>
      <c r="B27">
        <v>19</v>
      </c>
      <c r="C27">
        <f t="shared" si="21"/>
        <v>4.4312167694805797</v>
      </c>
      <c r="D27">
        <f t="shared" si="23"/>
        <v>0.62441647052721194</v>
      </c>
      <c r="E27">
        <f t="shared" si="4"/>
        <v>0.62441647052721194</v>
      </c>
      <c r="F27">
        <f t="shared" si="5"/>
        <v>0.21032332712093549</v>
      </c>
      <c r="G27" s="9">
        <f t="shared" si="6"/>
        <v>0.14091309520847589</v>
      </c>
      <c r="H27" s="9">
        <f t="shared" si="6"/>
        <v>0.14091309520847589</v>
      </c>
      <c r="I27" s="9">
        <f t="shared" si="6"/>
        <v>4.746401227074009E-2</v>
      </c>
      <c r="J27" s="9">
        <f t="shared" si="7"/>
        <v>1.8318702377101866E-2</v>
      </c>
      <c r="K27" s="9">
        <f t="shared" si="8"/>
        <v>2.8182619041695181E-2</v>
      </c>
      <c r="L27" s="9">
        <f t="shared" si="9"/>
        <v>1.8985604908296039E-2</v>
      </c>
      <c r="M27">
        <f t="shared" si="0"/>
        <v>4.1471863949429588</v>
      </c>
      <c r="N27">
        <f t="shared" si="10"/>
        <v>0</v>
      </c>
      <c r="O27">
        <f t="shared" si="24"/>
        <v>4.1471863949429588</v>
      </c>
      <c r="P27">
        <f t="shared" si="22"/>
        <v>4.0306049379498079</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0.11658145699315092</v>
      </c>
      <c r="AB27">
        <f t="shared" si="11"/>
        <v>0.11658145699315092</v>
      </c>
      <c r="AC27">
        <f t="shared" si="12"/>
        <v>0</v>
      </c>
      <c r="AD27">
        <f t="shared" si="3"/>
        <v>0.80612098758996165</v>
      </c>
      <c r="AE27">
        <f t="shared" si="13"/>
        <v>0</v>
      </c>
      <c r="AF27">
        <f t="shared" si="14"/>
        <v>0.89568998621106855</v>
      </c>
      <c r="AG27">
        <f t="shared" si="15"/>
        <v>1.6122419751799233</v>
      </c>
      <c r="AH27">
        <f t="shared" si="16"/>
        <v>0</v>
      </c>
      <c r="AI27">
        <f t="shared" si="17"/>
        <v>0.21213710199735833</v>
      </c>
      <c r="AJ27">
        <f t="shared" si="18"/>
        <v>0</v>
      </c>
      <c r="AK27">
        <f t="shared" si="19"/>
        <v>0.80612098758996165</v>
      </c>
      <c r="AL27">
        <f t="shared" si="20"/>
        <v>0</v>
      </c>
    </row>
    <row r="28" spans="1:38" x14ac:dyDescent="0.2">
      <c r="A28">
        <v>2045</v>
      </c>
      <c r="B28">
        <v>20</v>
      </c>
      <c r="C28">
        <f t="shared" si="21"/>
        <v>4.5242723216396712</v>
      </c>
      <c r="D28">
        <f t="shared" si="23"/>
        <v>0.66990483713586091</v>
      </c>
      <c r="E28">
        <f t="shared" si="4"/>
        <v>0.66990483713586091</v>
      </c>
      <c r="F28">
        <f t="shared" si="5"/>
        <v>0.22602529305603269</v>
      </c>
      <c r="G28" s="9">
        <f t="shared" si="6"/>
        <v>0.14806907929297153</v>
      </c>
      <c r="H28" s="9">
        <f t="shared" si="6"/>
        <v>0.14806907929297153</v>
      </c>
      <c r="I28" s="9">
        <f t="shared" si="6"/>
        <v>4.9958374957879942E-2</v>
      </c>
      <c r="J28" s="9">
        <f t="shared" si="7"/>
        <v>1.9248980308086298E-2</v>
      </c>
      <c r="K28" s="9">
        <f t="shared" si="8"/>
        <v>2.9613815858594308E-2</v>
      </c>
      <c r="L28" s="9">
        <f t="shared" si="9"/>
        <v>1.9983349983151977E-2</v>
      </c>
      <c r="M28">
        <f t="shared" si="0"/>
        <v>4.2197387592956028</v>
      </c>
      <c r="N28">
        <f t="shared" si="10"/>
        <v>0</v>
      </c>
      <c r="O28">
        <f t="shared" si="24"/>
        <v>4.2197387592956028</v>
      </c>
      <c r="P28">
        <f t="shared" si="22"/>
        <v>4.1270147039666609</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9.2724055328941901E-2</v>
      </c>
      <c r="AB28">
        <f t="shared" si="11"/>
        <v>9.2724055328941901E-2</v>
      </c>
      <c r="AC28">
        <f t="shared" si="12"/>
        <v>0</v>
      </c>
      <c r="AD28">
        <f t="shared" si="3"/>
        <v>0.82540294079333221</v>
      </c>
      <c r="AE28">
        <f t="shared" si="13"/>
        <v>0</v>
      </c>
      <c r="AF28">
        <f t="shared" si="14"/>
        <v>0.91711437865925804</v>
      </c>
      <c r="AG28">
        <f t="shared" si="15"/>
        <v>1.6508058815866642</v>
      </c>
      <c r="AH28">
        <f t="shared" si="16"/>
        <v>0</v>
      </c>
      <c r="AI28">
        <f t="shared" si="17"/>
        <v>0.21721130020877163</v>
      </c>
      <c r="AJ28">
        <f t="shared" si="18"/>
        <v>0</v>
      </c>
      <c r="AK28">
        <f t="shared" si="19"/>
        <v>0.82540294079333221</v>
      </c>
      <c r="AL28">
        <f t="shared" si="20"/>
        <v>0</v>
      </c>
    </row>
    <row r="29" spans="1:38" x14ac:dyDescent="0.2">
      <c r="A29">
        <v>2046</v>
      </c>
      <c r="B29">
        <v>21</v>
      </c>
      <c r="C29">
        <f t="shared" si="21"/>
        <v>4.6192820403941042</v>
      </c>
      <c r="D29">
        <f t="shared" si="23"/>
        <v>0.7168096555872765</v>
      </c>
      <c r="E29">
        <f t="shared" si="4"/>
        <v>0.7168096555872765</v>
      </c>
      <c r="F29">
        <f t="shared" si="5"/>
        <v>0.24228823417232759</v>
      </c>
      <c r="G29" s="9">
        <f t="shared" si="6"/>
        <v>0.15517772011299841</v>
      </c>
      <c r="H29" s="9">
        <f t="shared" si="6"/>
        <v>0.15517772011299841</v>
      </c>
      <c r="I29" s="9">
        <f t="shared" si="6"/>
        <v>5.2451491823533737E-2</v>
      </c>
      <c r="J29" s="9">
        <f t="shared" si="7"/>
        <v>2.0173103614689793E-2</v>
      </c>
      <c r="K29" s="9">
        <f t="shared" si="8"/>
        <v>3.1035544022599684E-2</v>
      </c>
      <c r="L29" s="9">
        <f t="shared" si="9"/>
        <v>2.0980596729413496E-2</v>
      </c>
      <c r="M29">
        <f t="shared" si="0"/>
        <v>4.2936138395547827</v>
      </c>
      <c r="N29">
        <f t="shared" si="10"/>
        <v>0</v>
      </c>
      <c r="O29">
        <f t="shared" si="24"/>
        <v>4.2936138395547827</v>
      </c>
      <c r="P29">
        <f t="shared" si="22"/>
        <v>4.2162406434712709</v>
      </c>
      <c r="Q29" s="9">
        <f t="shared" si="1"/>
        <v>0.98197947021441157</v>
      </c>
      <c r="R29">
        <f>VLOOKUP($B$1,dictionary!$A$3:$K$51,3,FALSE)*Q29</f>
        <v>0.19639589404288232</v>
      </c>
      <c r="S29">
        <f>VLOOKUP($B$1,dictionary!$A$3:$K$51,4,FALSE)*Q29</f>
        <v>0</v>
      </c>
      <c r="T29">
        <f>VLOOKUP($B$1,dictionary!$A$3:$K$51,5,FALSE)*Q29</f>
        <v>0.19639589404288232</v>
      </c>
      <c r="U29">
        <f>VLOOKUP($B$1,dictionary!$A$3:$K$51,6,FALSE)*Q29</f>
        <v>0.34369281457504403</v>
      </c>
      <c r="V29">
        <f>VLOOKUP($B$1,dictionary!$A$3:$K$51,7,FALSE)*Q29</f>
        <v>0</v>
      </c>
      <c r="W29">
        <f>VLOOKUP($B$1,dictionary!$A$3:$K$51,8,FALSE)*Q29</f>
        <v>4.9098973510720581E-2</v>
      </c>
      <c r="X29">
        <f>VLOOKUP($B$1,dictionary!$A$3:$K$51,9,FALSE)*Q29</f>
        <v>0</v>
      </c>
      <c r="Y29">
        <f>VLOOKUP($B$1,dictionary!$A$3:$K$51,10,FALSE)*Q29</f>
        <v>0.19639589404288232</v>
      </c>
      <c r="Z29">
        <f>VLOOKUP($B$1,dictionary!$A$3:$K$51,11,FALSE)*Q29</f>
        <v>0</v>
      </c>
      <c r="AA29">
        <f t="shared" si="2"/>
        <v>7.7373196083511786E-2</v>
      </c>
      <c r="AB29">
        <f t="shared" si="11"/>
        <v>7.7373196083511786E-2</v>
      </c>
      <c r="AC29">
        <f t="shared" si="12"/>
        <v>0</v>
      </c>
      <c r="AD29">
        <f t="shared" si="3"/>
        <v>0.84324812869425425</v>
      </c>
      <c r="AE29">
        <f t="shared" si="13"/>
        <v>0</v>
      </c>
      <c r="AF29">
        <f t="shared" si="14"/>
        <v>0.93694236521583807</v>
      </c>
      <c r="AG29">
        <f t="shared" si="15"/>
        <v>1.6864962573885085</v>
      </c>
      <c r="AH29">
        <f t="shared" si="16"/>
        <v>0</v>
      </c>
      <c r="AI29">
        <f t="shared" si="17"/>
        <v>0.22190740228796163</v>
      </c>
      <c r="AJ29">
        <f t="shared" si="18"/>
        <v>0</v>
      </c>
      <c r="AK29">
        <f t="shared" si="19"/>
        <v>0.84324812869425425</v>
      </c>
      <c r="AL29">
        <f t="shared" si="20"/>
        <v>0</v>
      </c>
    </row>
    <row r="30" spans="1:38" x14ac:dyDescent="0.2">
      <c r="A30">
        <v>2047</v>
      </c>
      <c r="B30">
        <v>22</v>
      </c>
      <c r="C30">
        <f t="shared" si="21"/>
        <v>4.7162869632423803</v>
      </c>
      <c r="D30">
        <f t="shared" si="23"/>
        <v>0.76515304009460072</v>
      </c>
      <c r="E30">
        <f t="shared" si="4"/>
        <v>0.76515304009460072</v>
      </c>
      <c r="F30">
        <f t="shared" si="5"/>
        <v>0.2591280829624818</v>
      </c>
      <c r="G30" s="9">
        <f t="shared" si="6"/>
        <v>0.16223631981217887</v>
      </c>
      <c r="H30" s="9">
        <f t="shared" si="6"/>
        <v>0.16223631981217887</v>
      </c>
      <c r="I30" s="9">
        <f t="shared" si="6"/>
        <v>5.4943239243511792E-2</v>
      </c>
      <c r="J30" s="9">
        <f t="shared" si="7"/>
        <v>2.1090721575583254E-2</v>
      </c>
      <c r="K30" s="9">
        <f t="shared" si="8"/>
        <v>3.2447263962435774E-2</v>
      </c>
      <c r="L30" s="9">
        <f t="shared" si="9"/>
        <v>2.1977295697404718E-2</v>
      </c>
      <c r="M30">
        <f t="shared" si="0"/>
        <v>4.3688410987036024</v>
      </c>
      <c r="N30">
        <f t="shared" si="10"/>
        <v>0</v>
      </c>
      <c r="O30">
        <f t="shared" si="24"/>
        <v>4.3688410987036024</v>
      </c>
      <c r="P30">
        <f t="shared" si="22"/>
        <v>4.301197389213451</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6.7643709490151416E-2</v>
      </c>
      <c r="AB30">
        <f t="shared" si="11"/>
        <v>6.7643709490151416E-2</v>
      </c>
      <c r="AC30">
        <f t="shared" si="12"/>
        <v>0</v>
      </c>
      <c r="AD30">
        <f t="shared" si="3"/>
        <v>0.86023947784269028</v>
      </c>
      <c r="AE30">
        <f t="shared" si="13"/>
        <v>0</v>
      </c>
      <c r="AF30">
        <f t="shared" si="14"/>
        <v>0.95582164204743369</v>
      </c>
      <c r="AG30">
        <f t="shared" si="15"/>
        <v>1.7204789556853803</v>
      </c>
      <c r="AH30">
        <f t="shared" si="16"/>
        <v>0</v>
      </c>
      <c r="AI30">
        <f t="shared" si="17"/>
        <v>0.22637880995860268</v>
      </c>
      <c r="AJ30">
        <f t="shared" si="18"/>
        <v>0</v>
      </c>
      <c r="AK30">
        <f t="shared" si="19"/>
        <v>0.86023947784269028</v>
      </c>
      <c r="AL30">
        <f t="shared" si="20"/>
        <v>0</v>
      </c>
    </row>
    <row r="31" spans="1:38" x14ac:dyDescent="0.2">
      <c r="A31">
        <v>2048</v>
      </c>
      <c r="B31">
        <v>23</v>
      </c>
      <c r="C31">
        <f t="shared" si="21"/>
        <v>4.8153289894704701</v>
      </c>
      <c r="D31">
        <f t="shared" si="23"/>
        <v>0.81495717565199532</v>
      </c>
      <c r="E31">
        <f t="shared" si="4"/>
        <v>0.81495717565199532</v>
      </c>
      <c r="F31">
        <f t="shared" si="5"/>
        <v>0.27656116798077024</v>
      </c>
      <c r="G31" s="9">
        <f t="shared" si="6"/>
        <v>0.16924226307985121</v>
      </c>
      <c r="H31" s="9">
        <f t="shared" si="6"/>
        <v>0.16924226307985121</v>
      </c>
      <c r="I31" s="9">
        <f t="shared" si="6"/>
        <v>5.7433493866258761E-2</v>
      </c>
      <c r="J31" s="9">
        <f t="shared" si="7"/>
        <v>2.200149420038066E-2</v>
      </c>
      <c r="K31" s="9">
        <f t="shared" si="8"/>
        <v>3.3848452615970241E-2</v>
      </c>
      <c r="L31" s="9">
        <f t="shared" si="9"/>
        <v>2.2973397546503505E-2</v>
      </c>
      <c r="M31">
        <f t="shared" si="0"/>
        <v>4.4454506961672404</v>
      </c>
      <c r="N31">
        <f t="shared" si="10"/>
        <v>0</v>
      </c>
      <c r="O31">
        <f t="shared" si="24"/>
        <v>4.4454506961672404</v>
      </c>
      <c r="P31">
        <f t="shared" si="22"/>
        <v>4.3838430985719778</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6.1607597595262575E-2</v>
      </c>
      <c r="AB31">
        <f t="shared" si="11"/>
        <v>6.1607597595262575E-2</v>
      </c>
      <c r="AC31">
        <f t="shared" si="12"/>
        <v>0</v>
      </c>
      <c r="AD31">
        <f t="shared" si="3"/>
        <v>0.87676861971439568</v>
      </c>
      <c r="AE31">
        <f t="shared" si="13"/>
        <v>0</v>
      </c>
      <c r="AF31">
        <f t="shared" si="14"/>
        <v>0.97418735523821742</v>
      </c>
      <c r="AG31">
        <f t="shared" si="15"/>
        <v>1.7535372394287911</v>
      </c>
      <c r="AH31">
        <f t="shared" si="16"/>
        <v>0</v>
      </c>
      <c r="AI31">
        <f t="shared" si="17"/>
        <v>0.23072858413536726</v>
      </c>
      <c r="AJ31">
        <f t="shared" si="18"/>
        <v>0</v>
      </c>
      <c r="AK31">
        <f t="shared" si="19"/>
        <v>0.87676861971439568</v>
      </c>
      <c r="AL31">
        <f t="shared" si="20"/>
        <v>0</v>
      </c>
    </row>
    <row r="32" spans="1:38" x14ac:dyDescent="0.2">
      <c r="A32">
        <v>2049</v>
      </c>
      <c r="B32">
        <v>24</v>
      </c>
      <c r="C32">
        <f t="shared" si="21"/>
        <v>4.9164508982493498</v>
      </c>
      <c r="D32">
        <f t="shared" si="23"/>
        <v>0.86624433386606681</v>
      </c>
      <c r="E32">
        <f t="shared" si="4"/>
        <v>0.86624433386606681</v>
      </c>
      <c r="F32">
        <f t="shared" si="5"/>
        <v>0.29460422282895493</v>
      </c>
      <c r="G32" s="9">
        <f t="shared" si="6"/>
        <v>0.17619302049259133</v>
      </c>
      <c r="H32" s="9">
        <f t="shared" si="6"/>
        <v>0.17619302049259133</v>
      </c>
      <c r="I32" s="9">
        <f t="shared" si="6"/>
        <v>5.9922132637154506E-2</v>
      </c>
      <c r="J32" s="9">
        <f t="shared" si="7"/>
        <v>2.2905092664036876E-2</v>
      </c>
      <c r="K32" s="9">
        <f t="shared" si="8"/>
        <v>3.523860409851827E-2</v>
      </c>
      <c r="L32" s="9">
        <f t="shared" si="9"/>
        <v>2.3968853054861804E-2</v>
      </c>
      <c r="M32">
        <f t="shared" si="0"/>
        <v>4.5234734965757033</v>
      </c>
      <c r="N32">
        <f t="shared" si="10"/>
        <v>0</v>
      </c>
      <c r="O32">
        <f t="shared" si="24"/>
        <v>4.5234734965757033</v>
      </c>
      <c r="P32">
        <f t="shared" si="22"/>
        <v>4.4654831020506096</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5.7990394525093691E-2</v>
      </c>
      <c r="AB32">
        <f t="shared" si="11"/>
        <v>5.7990394525093691E-2</v>
      </c>
      <c r="AC32">
        <f t="shared" si="12"/>
        <v>0</v>
      </c>
      <c r="AD32">
        <f t="shared" si="3"/>
        <v>0.89309662041012206</v>
      </c>
      <c r="AE32">
        <f t="shared" si="13"/>
        <v>0</v>
      </c>
      <c r="AF32">
        <f t="shared" si="14"/>
        <v>0.99232957823346901</v>
      </c>
      <c r="AG32">
        <f t="shared" si="15"/>
        <v>1.7861932408202439</v>
      </c>
      <c r="AH32">
        <f t="shared" si="16"/>
        <v>0</v>
      </c>
      <c r="AI32">
        <f t="shared" si="17"/>
        <v>0.23502542642371632</v>
      </c>
      <c r="AJ32">
        <f t="shared" si="18"/>
        <v>0</v>
      </c>
      <c r="AK32">
        <f t="shared" si="19"/>
        <v>0.89309662041012206</v>
      </c>
      <c r="AL32">
        <f t="shared" si="20"/>
        <v>0</v>
      </c>
    </row>
    <row r="33" spans="1:38" x14ac:dyDescent="0.2">
      <c r="A33">
        <v>2050</v>
      </c>
      <c r="B33">
        <v>25</v>
      </c>
      <c r="C33">
        <f t="shared" si="21"/>
        <v>5.0196963671125854</v>
      </c>
      <c r="D33">
        <f t="shared" si="23"/>
        <v>0.91903688990226895</v>
      </c>
      <c r="E33">
        <f t="shared" si="4"/>
        <v>0.91903688990226895</v>
      </c>
      <c r="F33">
        <f t="shared" si="5"/>
        <v>0.31327439533506496</v>
      </c>
      <c r="G33" s="9">
        <f t="shared" si="6"/>
        <v>0.18308615156954494</v>
      </c>
      <c r="H33" s="9">
        <f t="shared" si="6"/>
        <v>0.18308615156954494</v>
      </c>
      <c r="I33" s="9">
        <f t="shared" si="6"/>
        <v>6.2409032822689572E-2</v>
      </c>
      <c r="J33" s="9">
        <f t="shared" si="7"/>
        <v>2.3801199704040842E-2</v>
      </c>
      <c r="K33" s="9">
        <f t="shared" si="8"/>
        <v>3.661723031390899E-2</v>
      </c>
      <c r="L33" s="9">
        <f t="shared" si="9"/>
        <v>2.4963613129075829E-2</v>
      </c>
      <c r="M33">
        <f t="shared" si="0"/>
        <v>4.6029410785574241</v>
      </c>
      <c r="N33">
        <f t="shared" si="10"/>
        <v>0</v>
      </c>
      <c r="O33">
        <f t="shared" si="24"/>
        <v>4.6029410785574241</v>
      </c>
      <c r="P33">
        <f t="shared" si="22"/>
        <v>4.5469856421544943</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5.595543640292977E-2</v>
      </c>
      <c r="AB33">
        <f t="shared" si="11"/>
        <v>5.595543640292977E-2</v>
      </c>
      <c r="AC33">
        <f t="shared" si="12"/>
        <v>0</v>
      </c>
      <c r="AD33">
        <f t="shared" si="3"/>
        <v>0.90939712843089893</v>
      </c>
      <c r="AE33">
        <f t="shared" si="13"/>
        <v>0</v>
      </c>
      <c r="AF33">
        <f t="shared" si="14"/>
        <v>1.0104412538121099</v>
      </c>
      <c r="AG33">
        <f t="shared" si="15"/>
        <v>1.8187942568617979</v>
      </c>
      <c r="AH33">
        <f t="shared" si="16"/>
        <v>0</v>
      </c>
      <c r="AI33">
        <f t="shared" si="17"/>
        <v>0.23931503379760496</v>
      </c>
      <c r="AJ33">
        <f t="shared" si="18"/>
        <v>0</v>
      </c>
      <c r="AK33">
        <f t="shared" si="19"/>
        <v>0.90939712843089893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4452-07A7-784F-8A78-6C21B372137B}">
  <sheetPr>
    <tabColor theme="4" tint="0.79998168889431442"/>
  </sheetPr>
  <dimension ref="A1:AY37"/>
  <sheetViews>
    <sheetView zoomScale="93" zoomScaleNormal="125" workbookViewId="0">
      <selection activeCell="J37" sqref="J37"/>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125.995648383874</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125.995648383874</v>
      </c>
      <c r="N8">
        <f>IF($N$7="LFO",M8/(1+EXP(-$I$4*(B8-$J$4)))-M8/(1+EXP($I$4*$J$4)),IF($N$7="MGO",M8/(1+EXP(-$I$5*(B8-$J$5)))-M8/(1+EXP($I$5*$J$5)),0))</f>
        <v>0</v>
      </c>
      <c r="O8">
        <f>M8-N8</f>
        <v>125.995648383874</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125.995648383874</v>
      </c>
      <c r="AB8">
        <f>O8/M8*AA8</f>
        <v>125.995648383874</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128.64155699993535</v>
      </c>
      <c r="D9">
        <f>IF($E$2=0,0,C9/(1+EXP(-$E$2*(B9-$G$2)))-C9/(1+EXP($E$2*$G$2)))</f>
        <v>0.96041131026554893</v>
      </c>
      <c r="E9">
        <f t="shared" ref="E9:E33" si="4">IF($E$3=0,0,C9/(1+EXP(-$E$3*(B9-$G$3)))-C9/(1+EXP($E$3*$G$3)))</f>
        <v>0.96041131026554893</v>
      </c>
      <c r="F9">
        <f t="shared" ref="F9:F33" si="5">IF($E$4=0,0,C9/(1+EXP(-$E$4*(B9-$G$4)))-C9/(1+EXP($E$4*$G$4)))</f>
        <v>0.32087869979622496</v>
      </c>
      <c r="G9" s="9">
        <f t="shared" ref="G9:I33" si="6">D9/$C9</f>
        <v>7.4657935791777744E-3</v>
      </c>
      <c r="H9" s="9">
        <f t="shared" si="6"/>
        <v>7.4657935791777744E-3</v>
      </c>
      <c r="I9" s="9">
        <f t="shared" si="6"/>
        <v>2.4943626871399439E-3</v>
      </c>
      <c r="J9" s="9">
        <f t="shared" ref="J9:J33" si="7">G9*$F$2</f>
        <v>9.7055316529311066E-4</v>
      </c>
      <c r="K9" s="9">
        <f t="shared" ref="K9:K33" si="8">H9*$F$3</f>
        <v>1.493158715835555E-3</v>
      </c>
      <c r="L9" s="9">
        <f t="shared" ref="L9:L33" si="9">I9*$F$4</f>
        <v>9.9774507485597751E-4</v>
      </c>
      <c r="M9">
        <f t="shared" si="0"/>
        <v>128.19677224873703</v>
      </c>
      <c r="N9">
        <f t="shared" ref="N9:N33" si="10">IF($N$7="LFO",M9/(1+EXP(-$I$4*(B9-$J$4)))-M9/(1+EXP($I$4*$J$4)),IF($N$7="MGO",M9/(1+EXP(-$I$5*(B9-$J$5)))-M9/(1+EXP($I$5*$J$5)),0))</f>
        <v>6.2880122832435141</v>
      </c>
      <c r="O9">
        <f>M9-N9</f>
        <v>121.90875996549352</v>
      </c>
      <c r="P9">
        <f>IF($I$3=0,0,M9/(1+EXP(-$I$3*(B9-$J$3)))-M9/(1+EXP($I$3*$J$3)))</f>
        <v>0.78675521683204042</v>
      </c>
      <c r="Q9" s="9">
        <f t="shared" si="1"/>
        <v>6.137090685134558E-3</v>
      </c>
      <c r="R9">
        <f>VLOOKUP($B$1,dictionary!$A$3:$K$51,3,FALSE)*Q9</f>
        <v>9.205636027701837E-4</v>
      </c>
      <c r="S9">
        <f>VLOOKUP($B$1,dictionary!$A$3:$K$51,4,FALSE)*Q9</f>
        <v>3.068545342567279E-4</v>
      </c>
      <c r="T9">
        <f>VLOOKUP($B$1,dictionary!$A$3:$K$51,5,FALSE)*Q9</f>
        <v>2.4548362740538232E-3</v>
      </c>
      <c r="U9">
        <f>VLOOKUP($B$1,dictionary!$A$3:$K$51,6,FALSE)*Q9</f>
        <v>1.2274181370269116E-3</v>
      </c>
      <c r="V9">
        <f>VLOOKUP($B$1,dictionary!$A$3:$K$51,7,FALSE)*Q9</f>
        <v>3.068545342567279E-4</v>
      </c>
      <c r="W9">
        <f>VLOOKUP($B$1,dictionary!$A$3:$K$51,8,FALSE)*Q9</f>
        <v>3.068545342567279E-4</v>
      </c>
      <c r="X9">
        <f>VLOOKUP($B$1,dictionary!$A$3:$K$51,9,FALSE)*Q9</f>
        <v>3.068545342567279E-4</v>
      </c>
      <c r="Y9">
        <f>VLOOKUP($B$1,dictionary!$A$3:$K$51,10,FALSE)*Q9</f>
        <v>3.068545342567279E-4</v>
      </c>
      <c r="Z9">
        <f>VLOOKUP($B$1,dictionary!$A$3:$K$51,11,FALSE)*Q9</f>
        <v>0</v>
      </c>
      <c r="AA9">
        <f t="shared" si="2"/>
        <v>127.410017031905</v>
      </c>
      <c r="AB9">
        <f t="shared" ref="AB9:AB33" si="11">O9/M9*AA9</f>
        <v>121.16059485027299</v>
      </c>
      <c r="AC9">
        <f t="shared" ref="AC9:AC33" si="12">N9/M9*AA9</f>
        <v>6.249422181632009</v>
      </c>
      <c r="AD9">
        <f t="shared" si="3"/>
        <v>0.11801328252480606</v>
      </c>
      <c r="AE9">
        <f t="shared" ref="AE9:AE33" si="13">S9*$O9*$AE$2+S9*$N9*$AE$3</f>
        <v>1.7483449262934235E-2</v>
      </c>
      <c r="AF9">
        <f t="shared" ref="AF9:AF33" si="14">T9*$O9*$AF$2+T9*$N9*$AF$3</f>
        <v>0.34966898525868467</v>
      </c>
      <c r="AG9">
        <f t="shared" ref="AG9:AG33" si="15">U9*$O9*$AG$2+U9*$N9*$AG$3</f>
        <v>0.17982976384732358</v>
      </c>
      <c r="AH9">
        <f t="shared" ref="AH9:AH33" si="16">V9*$O9*$AH$2+V9*$N9*$AH$3</f>
        <v>4.1408169306949495E-2</v>
      </c>
      <c r="AI9">
        <f t="shared" ref="AI9:AI33" si="17">W9*$O9*$AI$2+W9*$N9*$AI$3</f>
        <v>4.1408169306949495E-2</v>
      </c>
      <c r="AJ9">
        <f t="shared" ref="AJ9:AJ33" si="18">X9*$O9*$AJ$2+X9*$N9*$AJ$3</f>
        <v>4.1408169306949495E-2</v>
      </c>
      <c r="AK9">
        <f t="shared" ref="AK9:AK33" si="19">Y9*$O9*$AK$2+Y9*$N9*$AK$3</f>
        <v>3.9337760841602024E-2</v>
      </c>
      <c r="AL9">
        <f t="shared" ref="AL9:AL33" si="20">Z9*$O9*$AL$2+Z9*$N9*$AL$3</f>
        <v>0</v>
      </c>
    </row>
    <row r="10" spans="1:51" x14ac:dyDescent="0.2">
      <c r="A10">
        <v>2027</v>
      </c>
      <c r="B10">
        <v>2</v>
      </c>
      <c r="C10">
        <f t="shared" ref="C10:C33" si="21">C9*(1+$I$2)</f>
        <v>131.34302969693397</v>
      </c>
      <c r="D10">
        <f>IF($E$2=0,0,C10/(1+EXP(-$E$2*(B10-$G$2)))-C10/(1+EXP($E$2*$G$2)))</f>
        <v>1.9629242781759828</v>
      </c>
      <c r="E10">
        <f t="shared" si="4"/>
        <v>1.9629242781759828</v>
      </c>
      <c r="F10">
        <f t="shared" si="5"/>
        <v>0.65538166517500684</v>
      </c>
      <c r="G10" s="9">
        <f t="shared" si="6"/>
        <v>1.4945020551949432E-2</v>
      </c>
      <c r="H10" s="9">
        <f t="shared" si="6"/>
        <v>1.4945020551949432E-2</v>
      </c>
      <c r="I10" s="9">
        <f t="shared" si="6"/>
        <v>4.9898473233582329E-3</v>
      </c>
      <c r="J10" s="9">
        <f t="shared" si="7"/>
        <v>1.9428526717534262E-3</v>
      </c>
      <c r="K10" s="9">
        <f t="shared" si="8"/>
        <v>2.9890041103898864E-3</v>
      </c>
      <c r="L10" s="9">
        <f t="shared" si="9"/>
        <v>1.9959389293432933E-3</v>
      </c>
      <c r="M10">
        <f t="shared" si="0"/>
        <v>130.43516613063412</v>
      </c>
      <c r="N10">
        <f t="shared" si="10"/>
        <v>13.907646141099992</v>
      </c>
      <c r="O10">
        <f>M10-N10</f>
        <v>116.52751998953413</v>
      </c>
      <c r="P10">
        <f t="shared" ref="P10:P33" si="22">IF($I$3=0,0,M10/(1+EXP(-$I$3*(B10-$J$3)))-M10/(1+EXP($I$3*$J$3)))</f>
        <v>2.0360995884847384</v>
      </c>
      <c r="Q10" s="9">
        <f t="shared" si="1"/>
        <v>1.5610050946272673E-2</v>
      </c>
      <c r="R10">
        <f>VLOOKUP($B$1,dictionary!$A$3:$K$51,3,FALSE)*Q10</f>
        <v>2.3415076419409011E-3</v>
      </c>
      <c r="S10">
        <f>VLOOKUP($B$1,dictionary!$A$3:$K$51,4,FALSE)*Q10</f>
        <v>7.8050254731363373E-4</v>
      </c>
      <c r="T10">
        <f>VLOOKUP($B$1,dictionary!$A$3:$K$51,5,FALSE)*Q10</f>
        <v>6.2440203785090699E-3</v>
      </c>
      <c r="U10">
        <f>VLOOKUP($B$1,dictionary!$A$3:$K$51,6,FALSE)*Q10</f>
        <v>3.1220101892545349E-3</v>
      </c>
      <c r="V10">
        <f>VLOOKUP($B$1,dictionary!$A$3:$K$51,7,FALSE)*Q10</f>
        <v>7.8050254731363373E-4</v>
      </c>
      <c r="W10">
        <f>VLOOKUP($B$1,dictionary!$A$3:$K$51,8,FALSE)*Q10</f>
        <v>7.8050254731363373E-4</v>
      </c>
      <c r="X10">
        <f>VLOOKUP($B$1,dictionary!$A$3:$K$51,9,FALSE)*Q10</f>
        <v>7.8050254731363373E-4</v>
      </c>
      <c r="Y10">
        <f>VLOOKUP($B$1,dictionary!$A$3:$K$51,10,FALSE)*Q10</f>
        <v>7.8050254731363373E-4</v>
      </c>
      <c r="Z10">
        <f>VLOOKUP($B$1,dictionary!$A$3:$K$51,11,FALSE)*Q10</f>
        <v>0</v>
      </c>
      <c r="AA10">
        <f t="shared" si="2"/>
        <v>128.39906654214937</v>
      </c>
      <c r="AB10">
        <f t="shared" si="11"/>
        <v>114.70851946585469</v>
      </c>
      <c r="AC10">
        <f t="shared" si="12"/>
        <v>13.690547076294687</v>
      </c>
      <c r="AD10">
        <f t="shared" si="3"/>
        <v>0.30541493827271082</v>
      </c>
      <c r="AE10">
        <f t="shared" si="13"/>
        <v>4.5246657521883088E-2</v>
      </c>
      <c r="AF10">
        <f t="shared" si="14"/>
        <v>0.90493315043766165</v>
      </c>
      <c r="AG10">
        <f t="shared" si="15"/>
        <v>0.46539419165365459</v>
      </c>
      <c r="AH10">
        <f t="shared" si="16"/>
        <v>0.10716313623603888</v>
      </c>
      <c r="AI10">
        <f t="shared" si="17"/>
        <v>0.10716313623603888</v>
      </c>
      <c r="AJ10">
        <f t="shared" si="18"/>
        <v>0.10716313623603888</v>
      </c>
      <c r="AK10">
        <f t="shared" si="19"/>
        <v>0.10180497942423693</v>
      </c>
      <c r="AL10">
        <f t="shared" si="20"/>
        <v>0</v>
      </c>
    </row>
    <row r="11" spans="1:51" x14ac:dyDescent="0.2">
      <c r="A11">
        <v>2028</v>
      </c>
      <c r="B11">
        <v>3</v>
      </c>
      <c r="C11">
        <f t="shared" si="21"/>
        <v>134.10123332056958</v>
      </c>
      <c r="D11">
        <f t="shared" ref="D11:D33" si="23">IF($E$2=0,0,C11/(1+EXP(-$E$2*(B11-$G$2)))-C11/(1+EXP($E$2*$G$2)))</f>
        <v>3.008473162171498</v>
      </c>
      <c r="E11">
        <f t="shared" si="4"/>
        <v>3.008473162171498</v>
      </c>
      <c r="F11">
        <f t="shared" si="5"/>
        <v>1.0039260609075313</v>
      </c>
      <c r="G11" s="9">
        <f t="shared" si="6"/>
        <v>2.2434343724339431E-2</v>
      </c>
      <c r="H11" s="9">
        <f t="shared" si="6"/>
        <v>2.2434343724339431E-2</v>
      </c>
      <c r="I11" s="9">
        <f t="shared" si="6"/>
        <v>7.4863298125502076E-3</v>
      </c>
      <c r="J11" s="9">
        <f t="shared" si="7"/>
        <v>2.9164646841641261E-3</v>
      </c>
      <c r="K11" s="9">
        <f t="shared" si="8"/>
        <v>4.4868687448678867E-3</v>
      </c>
      <c r="L11" s="9">
        <f t="shared" si="9"/>
        <v>2.994531925020083E-3</v>
      </c>
      <c r="M11">
        <f t="shared" si="0"/>
        <v>132.71158927871497</v>
      </c>
      <c r="N11">
        <f t="shared" si="10"/>
        <v>22.815533562321374</v>
      </c>
      <c r="O11">
        <f t="shared" ref="O11:O33" si="24">M11-N11</f>
        <v>109.89605571639359</v>
      </c>
      <c r="P11">
        <f t="shared" si="22"/>
        <v>3.9951942176574402</v>
      </c>
      <c r="Q11" s="9">
        <f t="shared" si="1"/>
        <v>3.0104335569871833E-2</v>
      </c>
      <c r="R11">
        <f>VLOOKUP($B$1,dictionary!$A$3:$K$51,3,FALSE)*Q11</f>
        <v>4.5156503354807746E-3</v>
      </c>
      <c r="S11">
        <f>VLOOKUP($B$1,dictionary!$A$3:$K$51,4,FALSE)*Q11</f>
        <v>1.5052167784935918E-3</v>
      </c>
      <c r="T11">
        <f>VLOOKUP($B$1,dictionary!$A$3:$K$51,5,FALSE)*Q11</f>
        <v>1.2041734227948735E-2</v>
      </c>
      <c r="U11">
        <f>VLOOKUP($B$1,dictionary!$A$3:$K$51,6,FALSE)*Q11</f>
        <v>6.0208671139743673E-3</v>
      </c>
      <c r="V11">
        <f>VLOOKUP($B$1,dictionary!$A$3:$K$51,7,FALSE)*Q11</f>
        <v>1.5052167784935918E-3</v>
      </c>
      <c r="W11">
        <f>VLOOKUP($B$1,dictionary!$A$3:$K$51,8,FALSE)*Q11</f>
        <v>1.5052167784935918E-3</v>
      </c>
      <c r="X11">
        <f>VLOOKUP($B$1,dictionary!$A$3:$K$51,9,FALSE)*Q11</f>
        <v>1.5052167784935918E-3</v>
      </c>
      <c r="Y11">
        <f>VLOOKUP($B$1,dictionary!$A$3:$K$51,10,FALSE)*Q11</f>
        <v>1.5052167784935918E-3</v>
      </c>
      <c r="Z11">
        <f>VLOOKUP($B$1,dictionary!$A$3:$K$51,11,FALSE)*Q11</f>
        <v>0</v>
      </c>
      <c r="AA11">
        <f t="shared" si="2"/>
        <v>128.71639506105754</v>
      </c>
      <c r="AB11">
        <f t="shared" si="11"/>
        <v>106.58770797730196</v>
      </c>
      <c r="AC11">
        <f t="shared" si="12"/>
        <v>22.12868708375558</v>
      </c>
      <c r="AD11">
        <f t="shared" si="3"/>
        <v>0.59927913264861599</v>
      </c>
      <c r="AE11">
        <f t="shared" si="13"/>
        <v>8.8782093725720906E-2</v>
      </c>
      <c r="AF11">
        <f t="shared" si="14"/>
        <v>1.7756418745144182</v>
      </c>
      <c r="AG11">
        <f t="shared" si="15"/>
        <v>0.91318724975027243</v>
      </c>
      <c r="AH11">
        <f t="shared" si="16"/>
        <v>0.21027337987670741</v>
      </c>
      <c r="AI11">
        <f t="shared" si="17"/>
        <v>0.21027337987670741</v>
      </c>
      <c r="AJ11">
        <f t="shared" si="18"/>
        <v>0.21027337987670741</v>
      </c>
      <c r="AK11">
        <f t="shared" si="19"/>
        <v>0.19975971088287203</v>
      </c>
      <c r="AL11">
        <f t="shared" si="20"/>
        <v>0</v>
      </c>
    </row>
    <row r="12" spans="1:51" x14ac:dyDescent="0.2">
      <c r="A12">
        <v>2029</v>
      </c>
      <c r="B12">
        <v>4</v>
      </c>
      <c r="C12">
        <f t="shared" si="21"/>
        <v>136.91735922030153</v>
      </c>
      <c r="D12">
        <f t="shared" si="23"/>
        <v>4.0979923954219828</v>
      </c>
      <c r="E12">
        <f t="shared" si="4"/>
        <v>4.0979923954219828</v>
      </c>
      <c r="F12">
        <f t="shared" si="5"/>
        <v>1.3669399031719109</v>
      </c>
      <c r="G12" s="9">
        <f t="shared" si="6"/>
        <v>2.9930407793129197E-2</v>
      </c>
      <c r="H12" s="9">
        <f t="shared" si="6"/>
        <v>2.9930407793129197E-2</v>
      </c>
      <c r="I12" s="9">
        <f t="shared" si="6"/>
        <v>9.9836858595299793E-3</v>
      </c>
      <c r="J12" s="9">
        <f t="shared" si="7"/>
        <v>3.8909530131067955E-3</v>
      </c>
      <c r="K12" s="9">
        <f t="shared" si="8"/>
        <v>5.9860815586258399E-3</v>
      </c>
      <c r="L12" s="9">
        <f t="shared" si="9"/>
        <v>3.9934743438119922E-3</v>
      </c>
      <c r="M12">
        <f t="shared" si="0"/>
        <v>135.02682257752147</v>
      </c>
      <c r="N12">
        <f t="shared" si="10"/>
        <v>32.829335942396398</v>
      </c>
      <c r="O12">
        <f t="shared" si="24"/>
        <v>102.19748663512507</v>
      </c>
      <c r="P12">
        <f t="shared" si="22"/>
        <v>7.0195602221686375</v>
      </c>
      <c r="Q12" s="9">
        <f t="shared" si="1"/>
        <v>5.198641342640329E-2</v>
      </c>
      <c r="R12">
        <f>VLOOKUP($B$1,dictionary!$A$3:$K$51,3,FALSE)*Q12</f>
        <v>7.7979620139604928E-3</v>
      </c>
      <c r="S12">
        <f>VLOOKUP($B$1,dictionary!$A$3:$K$51,4,FALSE)*Q12</f>
        <v>2.5993206713201648E-3</v>
      </c>
      <c r="T12">
        <f>VLOOKUP($B$1,dictionary!$A$3:$K$51,5,FALSE)*Q12</f>
        <v>2.0794565370561319E-2</v>
      </c>
      <c r="U12">
        <f>VLOOKUP($B$1,dictionary!$A$3:$K$51,6,FALSE)*Q12</f>
        <v>1.0397282685280659E-2</v>
      </c>
      <c r="V12">
        <f>VLOOKUP($B$1,dictionary!$A$3:$K$51,7,FALSE)*Q12</f>
        <v>2.5993206713201648E-3</v>
      </c>
      <c r="W12">
        <f>VLOOKUP($B$1,dictionary!$A$3:$K$51,8,FALSE)*Q12</f>
        <v>2.5993206713201648E-3</v>
      </c>
      <c r="X12">
        <f>VLOOKUP($B$1,dictionary!$A$3:$K$51,9,FALSE)*Q12</f>
        <v>2.5993206713201648E-3</v>
      </c>
      <c r="Y12">
        <f>VLOOKUP($B$1,dictionary!$A$3:$K$51,10,FALSE)*Q12</f>
        <v>2.5993206713201648E-3</v>
      </c>
      <c r="Z12">
        <f>VLOOKUP($B$1,dictionary!$A$3:$K$51,11,FALSE)*Q12</f>
        <v>0</v>
      </c>
      <c r="AA12">
        <f t="shared" si="2"/>
        <v>128.00726235535282</v>
      </c>
      <c r="AB12">
        <f t="shared" si="11"/>
        <v>96.884605843772135</v>
      </c>
      <c r="AC12">
        <f t="shared" si="12"/>
        <v>31.122656511580693</v>
      </c>
      <c r="AD12">
        <f t="shared" si="3"/>
        <v>1.0529340333252954</v>
      </c>
      <c r="AE12">
        <f t="shared" si="13"/>
        <v>0.15599022715930308</v>
      </c>
      <c r="AF12">
        <f t="shared" si="14"/>
        <v>3.1198045431860617</v>
      </c>
      <c r="AG12">
        <f t="shared" si="15"/>
        <v>1.6044709079242603</v>
      </c>
      <c r="AH12">
        <f t="shared" si="16"/>
        <v>0.36945053800887562</v>
      </c>
      <c r="AI12">
        <f t="shared" si="17"/>
        <v>0.36945053800887562</v>
      </c>
      <c r="AJ12">
        <f t="shared" si="18"/>
        <v>0.36945053800887562</v>
      </c>
      <c r="AK12">
        <f t="shared" si="19"/>
        <v>0.35097801110843191</v>
      </c>
      <c r="AL12">
        <f t="shared" si="20"/>
        <v>0</v>
      </c>
    </row>
    <row r="13" spans="1:51" x14ac:dyDescent="0.2">
      <c r="A13">
        <v>2030</v>
      </c>
      <c r="B13">
        <v>5</v>
      </c>
      <c r="C13">
        <f t="shared" si="21"/>
        <v>139.79262376392785</v>
      </c>
      <c r="D13">
        <f t="shared" si="23"/>
        <v>5.2324162876807918</v>
      </c>
      <c r="E13">
        <f t="shared" si="4"/>
        <v>5.2324162876807918</v>
      </c>
      <c r="F13">
        <f t="shared" si="5"/>
        <v>1.7448623124262213</v>
      </c>
      <c r="G13" s="9">
        <f t="shared" si="6"/>
        <v>3.7429845343749581E-2</v>
      </c>
      <c r="H13" s="9">
        <f t="shared" si="6"/>
        <v>3.7429845343749581E-2</v>
      </c>
      <c r="I13" s="9">
        <f t="shared" si="6"/>
        <v>1.2481790994729625E-2</v>
      </c>
      <c r="J13" s="9">
        <f t="shared" si="7"/>
        <v>4.8658798946874457E-3</v>
      </c>
      <c r="K13" s="9">
        <f t="shared" si="8"/>
        <v>7.4859690687499167E-3</v>
      </c>
      <c r="L13" s="9">
        <f t="shared" si="9"/>
        <v>4.99271639789185E-3</v>
      </c>
      <c r="M13">
        <f t="shared" si="0"/>
        <v>137.38166901294304</v>
      </c>
      <c r="N13">
        <f t="shared" si="10"/>
        <v>43.628911575393914</v>
      </c>
      <c r="O13">
        <f t="shared" si="24"/>
        <v>93.752757437549121</v>
      </c>
      <c r="P13">
        <f t="shared" si="22"/>
        <v>11.589864111390343</v>
      </c>
      <c r="Q13" s="9">
        <f t="shared" si="1"/>
        <v>8.4362522268516302E-2</v>
      </c>
      <c r="R13">
        <f>VLOOKUP($B$1,dictionary!$A$3:$K$51,3,FALSE)*Q13</f>
        <v>1.2654378340277444E-2</v>
      </c>
      <c r="S13">
        <f>VLOOKUP($B$1,dictionary!$A$3:$K$51,4,FALSE)*Q13</f>
        <v>4.2181261134258156E-3</v>
      </c>
      <c r="T13">
        <f>VLOOKUP($B$1,dictionary!$A$3:$K$51,5,FALSE)*Q13</f>
        <v>3.3745008907406525E-2</v>
      </c>
      <c r="U13">
        <f>VLOOKUP($B$1,dictionary!$A$3:$K$51,6,FALSE)*Q13</f>
        <v>1.6872504453703262E-2</v>
      </c>
      <c r="V13">
        <f>VLOOKUP($B$1,dictionary!$A$3:$K$51,7,FALSE)*Q13</f>
        <v>4.2181261134258156E-3</v>
      </c>
      <c r="W13">
        <f>VLOOKUP($B$1,dictionary!$A$3:$K$51,8,FALSE)*Q13</f>
        <v>4.2181261134258156E-3</v>
      </c>
      <c r="X13">
        <f>VLOOKUP($B$1,dictionary!$A$3:$K$51,9,FALSE)*Q13</f>
        <v>4.2181261134258156E-3</v>
      </c>
      <c r="Y13">
        <f>VLOOKUP($B$1,dictionary!$A$3:$K$51,10,FALSE)*Q13</f>
        <v>4.2181261134258156E-3</v>
      </c>
      <c r="Z13">
        <f>VLOOKUP($B$1,dictionary!$A$3:$K$51,11,FALSE)*Q13</f>
        <v>0</v>
      </c>
      <c r="AA13">
        <f t="shared" si="2"/>
        <v>125.79180490155269</v>
      </c>
      <c r="AB13">
        <f t="shared" si="11"/>
        <v>85.843538350489084</v>
      </c>
      <c r="AC13">
        <f t="shared" si="12"/>
        <v>39.948266551063618</v>
      </c>
      <c r="AD13">
        <f t="shared" si="3"/>
        <v>1.7384796167085512</v>
      </c>
      <c r="AE13">
        <f t="shared" si="13"/>
        <v>0.25755253580867432</v>
      </c>
      <c r="AF13">
        <f t="shared" si="14"/>
        <v>5.1510507161734864</v>
      </c>
      <c r="AG13">
        <f t="shared" si="15"/>
        <v>2.6491117968892222</v>
      </c>
      <c r="AH13">
        <f t="shared" si="16"/>
        <v>0.60999284796791287</v>
      </c>
      <c r="AI13">
        <f t="shared" si="17"/>
        <v>0.60999284796791287</v>
      </c>
      <c r="AJ13">
        <f t="shared" si="18"/>
        <v>0.60999284796791287</v>
      </c>
      <c r="AK13">
        <f t="shared" si="19"/>
        <v>0.57949320556951722</v>
      </c>
      <c r="AL13">
        <f t="shared" si="20"/>
        <v>0</v>
      </c>
    </row>
    <row r="14" spans="1:51" x14ac:dyDescent="0.2">
      <c r="A14">
        <v>2031</v>
      </c>
      <c r="B14">
        <v>6</v>
      </c>
      <c r="C14">
        <f t="shared" si="21"/>
        <v>142.72826886297031</v>
      </c>
      <c r="D14">
        <f t="shared" si="23"/>
        <v>6.4126787687680746</v>
      </c>
      <c r="E14">
        <f t="shared" si="4"/>
        <v>6.4126787687680746</v>
      </c>
      <c r="F14">
        <f t="shared" si="5"/>
        <v>2.1381437717577114</v>
      </c>
      <c r="G14" s="9">
        <f t="shared" si="6"/>
        <v>4.4929282894369864E-2</v>
      </c>
      <c r="H14" s="9">
        <f t="shared" si="6"/>
        <v>4.4929282894369864E-2</v>
      </c>
      <c r="I14" s="9">
        <f t="shared" si="6"/>
        <v>1.4980520598974598E-2</v>
      </c>
      <c r="J14" s="9">
        <f t="shared" si="7"/>
        <v>5.8408067762680824E-3</v>
      </c>
      <c r="K14" s="9">
        <f t="shared" si="8"/>
        <v>8.9858565788739735E-3</v>
      </c>
      <c r="L14" s="9">
        <f t="shared" si="9"/>
        <v>5.9922082395898399E-3</v>
      </c>
      <c r="M14">
        <f t="shared" si="0"/>
        <v>139.77695413136587</v>
      </c>
      <c r="N14">
        <f t="shared" si="10"/>
        <v>54.794941250018162</v>
      </c>
      <c r="O14">
        <f t="shared" si="24"/>
        <v>84.982012881347714</v>
      </c>
      <c r="P14">
        <f t="shared" si="22"/>
        <v>18.291788415960511</v>
      </c>
      <c r="Q14" s="9">
        <f t="shared" si="1"/>
        <v>0.13086412226989458</v>
      </c>
      <c r="R14">
        <f>VLOOKUP($B$1,dictionary!$A$3:$K$51,3,FALSE)*Q14</f>
        <v>1.9629618340484187E-2</v>
      </c>
      <c r="S14">
        <f>VLOOKUP($B$1,dictionary!$A$3:$K$51,4,FALSE)*Q14</f>
        <v>6.5432061134947294E-3</v>
      </c>
      <c r="T14">
        <f>VLOOKUP($B$1,dictionary!$A$3:$K$51,5,FALSE)*Q14</f>
        <v>5.2345648907957835E-2</v>
      </c>
      <c r="U14">
        <f>VLOOKUP($B$1,dictionary!$A$3:$K$51,6,FALSE)*Q14</f>
        <v>2.6172824453978918E-2</v>
      </c>
      <c r="V14">
        <f>VLOOKUP($B$1,dictionary!$A$3:$K$51,7,FALSE)*Q14</f>
        <v>6.5432061134947294E-3</v>
      </c>
      <c r="W14">
        <f>VLOOKUP($B$1,dictionary!$A$3:$K$51,8,FALSE)*Q14</f>
        <v>6.5432061134947294E-3</v>
      </c>
      <c r="X14">
        <f>VLOOKUP($B$1,dictionary!$A$3:$K$51,9,FALSE)*Q14</f>
        <v>6.5432061134947294E-3</v>
      </c>
      <c r="Y14">
        <f>VLOOKUP($B$1,dictionary!$A$3:$K$51,10,FALSE)*Q14</f>
        <v>6.5432061134947294E-3</v>
      </c>
      <c r="Z14">
        <f>VLOOKUP($B$1,dictionary!$A$3:$K$51,11,FALSE)*Q14</f>
        <v>0</v>
      </c>
      <c r="AA14">
        <f t="shared" si="2"/>
        <v>121.48516571540536</v>
      </c>
      <c r="AB14">
        <f t="shared" si="11"/>
        <v>73.860916356901271</v>
      </c>
      <c r="AC14">
        <f t="shared" si="12"/>
        <v>47.624249358504095</v>
      </c>
      <c r="AD14">
        <f t="shared" si="3"/>
        <v>2.7437682623940765</v>
      </c>
      <c r="AE14">
        <f t="shared" si="13"/>
        <v>0.4064841870213447</v>
      </c>
      <c r="AF14">
        <f t="shared" si="14"/>
        <v>8.1296837404268949</v>
      </c>
      <c r="AG14">
        <f t="shared" si="15"/>
        <v>4.1809802093624029</v>
      </c>
      <c r="AH14">
        <f t="shared" si="16"/>
        <v>0.96272570610318464</v>
      </c>
      <c r="AI14">
        <f t="shared" si="17"/>
        <v>0.96272570610318464</v>
      </c>
      <c r="AJ14">
        <f t="shared" si="18"/>
        <v>0.96272570610318464</v>
      </c>
      <c r="AK14">
        <f t="shared" si="19"/>
        <v>0.91458942079802552</v>
      </c>
      <c r="AL14">
        <f t="shared" si="20"/>
        <v>0</v>
      </c>
    </row>
    <row r="15" spans="1:51" x14ac:dyDescent="0.2">
      <c r="A15">
        <v>2032</v>
      </c>
      <c r="B15">
        <v>7</v>
      </c>
      <c r="C15">
        <f t="shared" si="21"/>
        <v>145.72556250909267</v>
      </c>
      <c r="D15">
        <f t="shared" si="23"/>
        <v>7.6397131759407841</v>
      </c>
      <c r="E15">
        <f t="shared" si="4"/>
        <v>7.6397131759407841</v>
      </c>
      <c r="F15">
        <f t="shared" si="5"/>
        <v>2.5472463908226501</v>
      </c>
      <c r="G15" s="9">
        <f t="shared" si="6"/>
        <v>5.2425346963159591E-2</v>
      </c>
      <c r="H15" s="9">
        <f t="shared" si="6"/>
        <v>5.2425346963159591E-2</v>
      </c>
      <c r="I15" s="9">
        <f t="shared" si="6"/>
        <v>1.7479749928319629E-2</v>
      </c>
      <c r="J15" s="9">
        <f t="shared" si="7"/>
        <v>6.8152951052107471E-3</v>
      </c>
      <c r="K15" s="9">
        <f t="shared" si="8"/>
        <v>1.048506939263192E-2</v>
      </c>
      <c r="L15" s="9">
        <f t="shared" si="9"/>
        <v>6.9918999713278517E-3</v>
      </c>
      <c r="M15">
        <f t="shared" si="0"/>
        <v>142.21352649176552</v>
      </c>
      <c r="N15">
        <f t="shared" si="10"/>
        <v>65.877683147408177</v>
      </c>
      <c r="O15">
        <f t="shared" si="24"/>
        <v>76.335843344357343</v>
      </c>
      <c r="P15">
        <f>IF($I$3=0,0,M15/(1+EXP(-$I$3*(B15-$J$3)))-M15/(1+EXP($I$3*$J$3)))</f>
        <v>27.715059717124269</v>
      </c>
      <c r="Q15" s="9">
        <f t="shared" si="1"/>
        <v>0.19488342917035414</v>
      </c>
      <c r="R15">
        <f>VLOOKUP($B$1,dictionary!$A$3:$K$51,3,FALSE)*Q15</f>
        <v>2.9232514375553121E-2</v>
      </c>
      <c r="S15">
        <f>VLOOKUP($B$1,dictionary!$A$3:$K$51,4,FALSE)*Q15</f>
        <v>9.7441714585177076E-3</v>
      </c>
      <c r="T15">
        <f>VLOOKUP($B$1,dictionary!$A$3:$K$51,5,FALSE)*Q15</f>
        <v>7.7953371668141661E-2</v>
      </c>
      <c r="U15">
        <f>VLOOKUP($B$1,dictionary!$A$3:$K$51,6,FALSE)*Q15</f>
        <v>3.897668583407083E-2</v>
      </c>
      <c r="V15">
        <f>VLOOKUP($B$1,dictionary!$A$3:$K$51,7,FALSE)*Q15</f>
        <v>9.7441714585177076E-3</v>
      </c>
      <c r="W15">
        <f>VLOOKUP($B$1,dictionary!$A$3:$K$51,8,FALSE)*Q15</f>
        <v>9.7441714585177076E-3</v>
      </c>
      <c r="X15">
        <f>VLOOKUP($B$1,dictionary!$A$3:$K$51,9,FALSE)*Q15</f>
        <v>9.7441714585177076E-3</v>
      </c>
      <c r="Y15">
        <f>VLOOKUP($B$1,dictionary!$A$3:$K$51,10,FALSE)*Q15</f>
        <v>9.7441714585177076E-3</v>
      </c>
      <c r="Z15">
        <f>VLOOKUP($B$1,dictionary!$A$3:$K$51,11,FALSE)*Q15</f>
        <v>0</v>
      </c>
      <c r="AA15">
        <f t="shared" si="2"/>
        <v>114.49846677464126</v>
      </c>
      <c r="AB15">
        <f t="shared" si="11"/>
        <v>61.459252424798031</v>
      </c>
      <c r="AC15">
        <f t="shared" si="12"/>
        <v>53.039214349843228</v>
      </c>
      <c r="AD15">
        <f t="shared" si="3"/>
        <v>4.1572589575686401</v>
      </c>
      <c r="AE15">
        <f t="shared" si="13"/>
        <v>0.61589021593609494</v>
      </c>
      <c r="AF15">
        <f t="shared" si="14"/>
        <v>12.317804318721898</v>
      </c>
      <c r="AG15">
        <f t="shared" si="15"/>
        <v>6.3348707924855479</v>
      </c>
      <c r="AH15">
        <f t="shared" si="16"/>
        <v>1.4586873535328562</v>
      </c>
      <c r="AI15">
        <f t="shared" si="17"/>
        <v>1.4586873535328562</v>
      </c>
      <c r="AJ15">
        <f t="shared" si="18"/>
        <v>1.4586873535328562</v>
      </c>
      <c r="AK15">
        <f t="shared" si="19"/>
        <v>1.3857529858562134</v>
      </c>
      <c r="AL15">
        <f t="shared" si="20"/>
        <v>0</v>
      </c>
    </row>
    <row r="16" spans="1:51" x14ac:dyDescent="0.2">
      <c r="A16">
        <v>2033</v>
      </c>
      <c r="B16">
        <v>8</v>
      </c>
      <c r="C16">
        <f t="shared" si="21"/>
        <v>148.7857993217836</v>
      </c>
      <c r="D16">
        <f t="shared" si="23"/>
        <v>8.9144520872187485</v>
      </c>
      <c r="E16">
        <f t="shared" si="4"/>
        <v>8.9144520872187485</v>
      </c>
      <c r="F16">
        <f t="shared" si="5"/>
        <v>2.9726441754952191</v>
      </c>
      <c r="G16" s="9">
        <f t="shared" si="6"/>
        <v>5.991467013554963E-2</v>
      </c>
      <c r="H16" s="9">
        <f t="shared" si="6"/>
        <v>5.991467013554963E-2</v>
      </c>
      <c r="I16" s="9">
        <f t="shared" si="6"/>
        <v>1.9979354138940308E-2</v>
      </c>
      <c r="J16" s="9">
        <f t="shared" si="7"/>
        <v>7.7889071176214519E-3</v>
      </c>
      <c r="K16" s="9">
        <f t="shared" si="8"/>
        <v>1.1982934027109926E-2</v>
      </c>
      <c r="L16" s="9">
        <f t="shared" si="9"/>
        <v>7.991741655576123E-3</v>
      </c>
      <c r="M16">
        <f t="shared" si="0"/>
        <v>144.6922581105716</v>
      </c>
      <c r="N16">
        <f t="shared" si="10"/>
        <v>76.473327960854022</v>
      </c>
      <c r="O16">
        <f t="shared" si="24"/>
        <v>68.218930149717579</v>
      </c>
      <c r="P16">
        <f t="shared" si="22"/>
        <v>40.233643634220194</v>
      </c>
      <c r="Q16" s="9">
        <f t="shared" si="1"/>
        <v>0.27806355474440286</v>
      </c>
      <c r="R16">
        <f>VLOOKUP($B$1,dictionary!$A$3:$K$51,3,FALSE)*Q16</f>
        <v>4.1709533211660425E-2</v>
      </c>
      <c r="S16">
        <f>VLOOKUP($B$1,dictionary!$A$3:$K$51,4,FALSE)*Q16</f>
        <v>1.3903177737220144E-2</v>
      </c>
      <c r="T16">
        <f>VLOOKUP($B$1,dictionary!$A$3:$K$51,5,FALSE)*Q16</f>
        <v>0.11122542189776115</v>
      </c>
      <c r="U16">
        <f>VLOOKUP($B$1,dictionary!$A$3:$K$51,6,FALSE)*Q16</f>
        <v>5.5612710948880574E-2</v>
      </c>
      <c r="V16">
        <f>VLOOKUP($B$1,dictionary!$A$3:$K$51,7,FALSE)*Q16</f>
        <v>1.3903177737220144E-2</v>
      </c>
      <c r="W16">
        <f>VLOOKUP($B$1,dictionary!$A$3:$K$51,8,FALSE)*Q16</f>
        <v>1.3903177737220144E-2</v>
      </c>
      <c r="X16">
        <f>VLOOKUP($B$1,dictionary!$A$3:$K$51,9,FALSE)*Q16</f>
        <v>1.3903177737220144E-2</v>
      </c>
      <c r="Y16">
        <f>VLOOKUP($B$1,dictionary!$A$3:$K$51,10,FALSE)*Q16</f>
        <v>1.3903177737220144E-2</v>
      </c>
      <c r="Z16">
        <f>VLOOKUP($B$1,dictionary!$A$3:$K$51,11,FALSE)*Q16</f>
        <v>0</v>
      </c>
      <c r="AA16">
        <f t="shared" si="2"/>
        <v>104.45861447635141</v>
      </c>
      <c r="AB16">
        <f t="shared" si="11"/>
        <v>49.249731931426993</v>
      </c>
      <c r="AC16">
        <f t="shared" si="12"/>
        <v>55.208882544924421</v>
      </c>
      <c r="AD16">
        <f t="shared" si="3"/>
        <v>6.035046545133028</v>
      </c>
      <c r="AE16">
        <f t="shared" si="13"/>
        <v>0.8940809696493377</v>
      </c>
      <c r="AF16">
        <f t="shared" si="14"/>
        <v>17.881619392986753</v>
      </c>
      <c r="AG16">
        <f t="shared" si="15"/>
        <v>9.1962614021074742</v>
      </c>
      <c r="AH16">
        <f t="shared" si="16"/>
        <v>2.1175601912747473</v>
      </c>
      <c r="AI16">
        <f t="shared" si="17"/>
        <v>2.1175601912747473</v>
      </c>
      <c r="AJ16">
        <f t="shared" si="18"/>
        <v>2.1175601912747473</v>
      </c>
      <c r="AK16">
        <f t="shared" si="19"/>
        <v>2.0116821817110098</v>
      </c>
      <c r="AL16">
        <f t="shared" si="20"/>
        <v>0</v>
      </c>
    </row>
    <row r="17" spans="1:38" x14ac:dyDescent="0.2">
      <c r="A17">
        <v>2034</v>
      </c>
      <c r="B17">
        <v>9</v>
      </c>
      <c r="C17">
        <f t="shared" si="21"/>
        <v>151.91030110754104</v>
      </c>
      <c r="D17">
        <f t="shared" si="23"/>
        <v>10.237827202535726</v>
      </c>
      <c r="E17">
        <f t="shared" si="4"/>
        <v>10.237827202535726</v>
      </c>
      <c r="F17">
        <f t="shared" si="5"/>
        <v>3.4148233033449458</v>
      </c>
      <c r="G17" s="9">
        <f t="shared" si="6"/>
        <v>6.7393897108321291E-2</v>
      </c>
      <c r="H17" s="9">
        <f t="shared" si="6"/>
        <v>6.7393897108321291E-2</v>
      </c>
      <c r="I17" s="9">
        <f t="shared" si="6"/>
        <v>2.2479208312065079E-2</v>
      </c>
      <c r="J17" s="9">
        <f t="shared" si="7"/>
        <v>8.7612066240817677E-3</v>
      </c>
      <c r="K17" s="9">
        <f t="shared" si="8"/>
        <v>1.3478779421664259E-2</v>
      </c>
      <c r="L17" s="9">
        <f t="shared" si="9"/>
        <v>8.9916833248260327E-3</v>
      </c>
      <c r="M17">
        <f t="shared" si="0"/>
        <v>147.21404489921181</v>
      </c>
      <c r="N17">
        <f t="shared" si="10"/>
        <v>86.282042731790241</v>
      </c>
      <c r="O17">
        <f t="shared" si="24"/>
        <v>60.932002167421572</v>
      </c>
      <c r="P17">
        <f t="shared" si="22"/>
        <v>55.701941029665534</v>
      </c>
      <c r="Q17" s="9">
        <f t="shared" si="1"/>
        <v>0.37837382342018483</v>
      </c>
      <c r="R17">
        <f>VLOOKUP($B$1,dictionary!$A$3:$K$51,3,FALSE)*Q17</f>
        <v>5.6756073513027722E-2</v>
      </c>
      <c r="S17">
        <f>VLOOKUP($B$1,dictionary!$A$3:$K$51,4,FALSE)*Q17</f>
        <v>1.8918691171009243E-2</v>
      </c>
      <c r="T17">
        <f>VLOOKUP($B$1,dictionary!$A$3:$K$51,5,FALSE)*Q17</f>
        <v>0.15134952936807394</v>
      </c>
      <c r="U17">
        <f>VLOOKUP($B$1,dictionary!$A$3:$K$51,6,FALSE)*Q17</f>
        <v>7.5674764684036971E-2</v>
      </c>
      <c r="V17">
        <f>VLOOKUP($B$1,dictionary!$A$3:$K$51,7,FALSE)*Q17</f>
        <v>1.8918691171009243E-2</v>
      </c>
      <c r="W17">
        <f>VLOOKUP($B$1,dictionary!$A$3:$K$51,8,FALSE)*Q17</f>
        <v>1.8918691171009243E-2</v>
      </c>
      <c r="X17">
        <f>VLOOKUP($B$1,dictionary!$A$3:$K$51,9,FALSE)*Q17</f>
        <v>1.8918691171009243E-2</v>
      </c>
      <c r="Y17">
        <f>VLOOKUP($B$1,dictionary!$A$3:$K$51,10,FALSE)*Q17</f>
        <v>1.8918691171009243E-2</v>
      </c>
      <c r="Z17">
        <f>VLOOKUP($B$1,dictionary!$A$3:$K$51,11,FALSE)*Q17</f>
        <v>0</v>
      </c>
      <c r="AA17">
        <f t="shared" si="2"/>
        <v>91.51210386954628</v>
      </c>
      <c r="AB17">
        <f t="shared" si="11"/>
        <v>37.876927538687283</v>
      </c>
      <c r="AC17">
        <f t="shared" si="12"/>
        <v>53.635176330859004</v>
      </c>
      <c r="AD17">
        <f t="shared" si="3"/>
        <v>8.3552911544498301</v>
      </c>
      <c r="AE17">
        <f t="shared" si="13"/>
        <v>1.2378209117703451</v>
      </c>
      <c r="AF17">
        <f t="shared" si="14"/>
        <v>24.756418235406905</v>
      </c>
      <c r="AG17">
        <f t="shared" si="15"/>
        <v>12.731872235352125</v>
      </c>
      <c r="AH17">
        <f t="shared" si="16"/>
        <v>2.9316811068245014</v>
      </c>
      <c r="AI17">
        <f t="shared" si="17"/>
        <v>2.9316811068245014</v>
      </c>
      <c r="AJ17">
        <f t="shared" si="18"/>
        <v>2.9316811068245014</v>
      </c>
      <c r="AK17">
        <f t="shared" si="19"/>
        <v>2.7850970514832767</v>
      </c>
      <c r="AL17">
        <f t="shared" si="20"/>
        <v>0</v>
      </c>
    </row>
    <row r="18" spans="1:38" x14ac:dyDescent="0.2">
      <c r="A18">
        <v>2035</v>
      </c>
      <c r="B18">
        <v>10</v>
      </c>
      <c r="C18">
        <f t="shared" si="21"/>
        <v>155.10041743079938</v>
      </c>
      <c r="D18">
        <f t="shared" si="23"/>
        <v>11.610769274371634</v>
      </c>
      <c r="E18">
        <f t="shared" si="4"/>
        <v>11.610769274371634</v>
      </c>
      <c r="F18">
        <f t="shared" si="5"/>
        <v>3.8742824050657987</v>
      </c>
      <c r="G18" s="9">
        <f t="shared" si="6"/>
        <v>7.4859690687499092E-2</v>
      </c>
      <c r="H18" s="9">
        <f t="shared" si="6"/>
        <v>7.4859690687499092E-2</v>
      </c>
      <c r="I18" s="9">
        <f t="shared" si="6"/>
        <v>2.4979187478940047E-2</v>
      </c>
      <c r="J18" s="9">
        <f t="shared" si="7"/>
        <v>9.7317597893748827E-3</v>
      </c>
      <c r="K18" s="9">
        <f t="shared" si="8"/>
        <v>1.4971938137499819E-2</v>
      </c>
      <c r="L18" s="9">
        <f t="shared" si="9"/>
        <v>9.9916749915760199E-3</v>
      </c>
      <c r="M18">
        <f t="shared" si="0"/>
        <v>149.77980709432609</v>
      </c>
      <c r="N18">
        <f t="shared" si="10"/>
        <v>95.132487564731193</v>
      </c>
      <c r="O18">
        <f t="shared" si="24"/>
        <v>54.647319529594895</v>
      </c>
      <c r="P18">
        <f t="shared" si="22"/>
        <v>73.244281399396371</v>
      </c>
      <c r="Q18" s="9">
        <f t="shared" si="1"/>
        <v>0.48901305736940681</v>
      </c>
      <c r="R18">
        <f>VLOOKUP($B$1,dictionary!$A$3:$K$51,3,FALSE)*Q18</f>
        <v>7.3351958605411022E-2</v>
      </c>
      <c r="S18">
        <f>VLOOKUP($B$1,dictionary!$A$3:$K$51,4,FALSE)*Q18</f>
        <v>2.4450652868470341E-2</v>
      </c>
      <c r="T18">
        <f>VLOOKUP($B$1,dictionary!$A$3:$K$51,5,FALSE)*Q18</f>
        <v>0.19560522294776272</v>
      </c>
      <c r="U18">
        <f>VLOOKUP($B$1,dictionary!$A$3:$K$51,6,FALSE)*Q18</f>
        <v>9.7802611473881362E-2</v>
      </c>
      <c r="V18">
        <f>VLOOKUP($B$1,dictionary!$A$3:$K$51,7,FALSE)*Q18</f>
        <v>2.4450652868470341E-2</v>
      </c>
      <c r="W18">
        <f>VLOOKUP($B$1,dictionary!$A$3:$K$51,8,FALSE)*Q18</f>
        <v>2.4450652868470341E-2</v>
      </c>
      <c r="X18">
        <f>VLOOKUP($B$1,dictionary!$A$3:$K$51,9,FALSE)*Q18</f>
        <v>2.4450652868470341E-2</v>
      </c>
      <c r="Y18">
        <f>VLOOKUP($B$1,dictionary!$A$3:$K$51,10,FALSE)*Q18</f>
        <v>2.4450652868470341E-2</v>
      </c>
      <c r="Z18">
        <f>VLOOKUP($B$1,dictionary!$A$3:$K$51,11,FALSE)*Q18</f>
        <v>0</v>
      </c>
      <c r="AA18">
        <f t="shared" si="2"/>
        <v>76.535525694929717</v>
      </c>
      <c r="AB18">
        <f t="shared" si="11"/>
        <v>27.924066729384801</v>
      </c>
      <c r="AC18">
        <f t="shared" si="12"/>
        <v>48.611458965544919</v>
      </c>
      <c r="AD18">
        <f t="shared" si="3"/>
        <v>10.986642209909455</v>
      </c>
      <c r="AE18">
        <f t="shared" si="13"/>
        <v>1.6276506977643637</v>
      </c>
      <c r="AF18">
        <f t="shared" si="14"/>
        <v>32.55301395528727</v>
      </c>
      <c r="AG18">
        <f t="shared" si="15"/>
        <v>16.741550034147743</v>
      </c>
      <c r="AH18">
        <f t="shared" si="16"/>
        <v>3.8549621789155974</v>
      </c>
      <c r="AI18">
        <f t="shared" si="17"/>
        <v>3.8549621789155974</v>
      </c>
      <c r="AJ18">
        <f t="shared" si="18"/>
        <v>3.8549621789155974</v>
      </c>
      <c r="AK18">
        <f t="shared" si="19"/>
        <v>3.662214069969818</v>
      </c>
      <c r="AL18">
        <f t="shared" si="20"/>
        <v>0</v>
      </c>
    </row>
    <row r="19" spans="1:38" x14ac:dyDescent="0.2">
      <c r="A19">
        <v>2036</v>
      </c>
      <c r="B19">
        <v>11</v>
      </c>
      <c r="C19">
        <f t="shared" si="21"/>
        <v>158.35752619684615</v>
      </c>
      <c r="D19">
        <f t="shared" si="23"/>
        <v>13.034208089301359</v>
      </c>
      <c r="E19">
        <f t="shared" si="4"/>
        <v>13.034208089301359</v>
      </c>
      <c r="F19">
        <f t="shared" si="5"/>
        <v>4.3515328519821566</v>
      </c>
      <c r="G19" s="9">
        <f t="shared" si="6"/>
        <v>8.2308737717329591E-2</v>
      </c>
      <c r="H19" s="9">
        <f t="shared" si="6"/>
        <v>8.2308737717329591E-2</v>
      </c>
      <c r="I19" s="9">
        <f t="shared" si="6"/>
        <v>2.7479166645815043E-2</v>
      </c>
      <c r="J19" s="9">
        <f t="shared" si="7"/>
        <v>1.0700135903252847E-2</v>
      </c>
      <c r="K19" s="9">
        <f t="shared" si="8"/>
        <v>1.646174754346592E-2</v>
      </c>
      <c r="L19" s="9">
        <f t="shared" si="9"/>
        <v>1.0991666658326018E-2</v>
      </c>
      <c r="M19">
        <f t="shared" si="0"/>
        <v>152.39048968072032</v>
      </c>
      <c r="N19">
        <f t="shared" si="10"/>
        <v>102.9738215356908</v>
      </c>
      <c r="O19">
        <f t="shared" si="24"/>
        <v>49.416668145029519</v>
      </c>
      <c r="P19">
        <f t="shared" si="22"/>
        <v>91.381306312211805</v>
      </c>
      <c r="Q19" s="9">
        <f t="shared" si="1"/>
        <v>0.59965229131862885</v>
      </c>
      <c r="R19">
        <f>VLOOKUP($B$1,dictionary!$A$3:$K$51,3,FALSE)*Q19</f>
        <v>8.9947843697794322E-2</v>
      </c>
      <c r="S19">
        <f>VLOOKUP($B$1,dictionary!$A$3:$K$51,4,FALSE)*Q19</f>
        <v>2.9982614565931445E-2</v>
      </c>
      <c r="T19">
        <f>VLOOKUP($B$1,dictionary!$A$3:$K$51,5,FALSE)*Q19</f>
        <v>0.23986091652745156</v>
      </c>
      <c r="U19">
        <f>VLOOKUP($B$1,dictionary!$A$3:$K$51,6,FALSE)*Q19</f>
        <v>0.11993045826372578</v>
      </c>
      <c r="V19">
        <f>VLOOKUP($B$1,dictionary!$A$3:$K$51,7,FALSE)*Q19</f>
        <v>2.9982614565931445E-2</v>
      </c>
      <c r="W19">
        <f>VLOOKUP($B$1,dictionary!$A$3:$K$51,8,FALSE)*Q19</f>
        <v>2.9982614565931445E-2</v>
      </c>
      <c r="X19">
        <f>VLOOKUP($B$1,dictionary!$A$3:$K$51,9,FALSE)*Q19</f>
        <v>2.9982614565931445E-2</v>
      </c>
      <c r="Y19">
        <f>VLOOKUP($B$1,dictionary!$A$3:$K$51,10,FALSE)*Q19</f>
        <v>2.9982614565931445E-2</v>
      </c>
      <c r="Z19">
        <f>VLOOKUP($B$1,dictionary!$A$3:$K$51,11,FALSE)*Q19</f>
        <v>0</v>
      </c>
      <c r="AA19">
        <f t="shared" si="2"/>
        <v>61.009183368508516</v>
      </c>
      <c r="AB19">
        <f t="shared" si="11"/>
        <v>19.783849862530271</v>
      </c>
      <c r="AC19">
        <f t="shared" si="12"/>
        <v>41.225333505978242</v>
      </c>
      <c r="AD19">
        <f t="shared" si="3"/>
        <v>13.707195946831771</v>
      </c>
      <c r="AE19">
        <f t="shared" si="13"/>
        <v>2.0306956958269291</v>
      </c>
      <c r="AF19">
        <f t="shared" si="14"/>
        <v>40.613913916538586</v>
      </c>
      <c r="AG19">
        <f t="shared" si="15"/>
        <v>20.887155728505562</v>
      </c>
      <c r="AH19">
        <f t="shared" si="16"/>
        <v>4.8095424374848319</v>
      </c>
      <c r="AI19">
        <f t="shared" si="17"/>
        <v>4.8095424374848319</v>
      </c>
      <c r="AJ19">
        <f t="shared" si="18"/>
        <v>4.8095424374848319</v>
      </c>
      <c r="AK19">
        <f t="shared" si="19"/>
        <v>4.5690653156105903</v>
      </c>
      <c r="AL19">
        <f t="shared" si="20"/>
        <v>0</v>
      </c>
    </row>
    <row r="20" spans="1:38" x14ac:dyDescent="0.2">
      <c r="A20">
        <v>2037</v>
      </c>
      <c r="B20">
        <v>12</v>
      </c>
      <c r="C20">
        <f t="shared" si="21"/>
        <v>161.6830342469799</v>
      </c>
      <c r="D20">
        <f t="shared" si="23"/>
        <v>14.509072501666182</v>
      </c>
      <c r="E20">
        <f t="shared" si="4"/>
        <v>14.509072501666182</v>
      </c>
      <c r="F20">
        <f t="shared" si="5"/>
        <v>4.8470990497595494</v>
      </c>
      <c r="G20" s="9">
        <f t="shared" si="6"/>
        <v>8.9737754918074827E-2</v>
      </c>
      <c r="H20" s="9">
        <f t="shared" si="6"/>
        <v>8.9737754918074827E-2</v>
      </c>
      <c r="I20" s="9">
        <f t="shared" si="6"/>
        <v>2.9979020818939689E-2</v>
      </c>
      <c r="J20" s="9">
        <f t="shared" si="7"/>
        <v>1.1665908139349729E-2</v>
      </c>
      <c r="K20" s="9">
        <f t="shared" si="8"/>
        <v>1.7947550983614967E-2</v>
      </c>
      <c r="L20" s="9">
        <f t="shared" si="9"/>
        <v>1.1991608327575877E-2</v>
      </c>
      <c r="M20">
        <f t="shared" si="0"/>
        <v>155.04706280721521</v>
      </c>
      <c r="N20">
        <f t="shared" si="10"/>
        <v>109.84737947198823</v>
      </c>
      <c r="O20">
        <f t="shared" si="24"/>
        <v>45.199683335226979</v>
      </c>
      <c r="P20">
        <f>IF($I$3=0,0,M20/(1+EXP(-$I$3*(B20-$J$3)))-M20/(1+EXP($I$3*$J$3)))</f>
        <v>108.52713900215254</v>
      </c>
      <c r="Q20" s="9">
        <f t="shared" si="1"/>
        <v>0.6999625599944107</v>
      </c>
      <c r="R20">
        <f>VLOOKUP($B$1,dictionary!$A$3:$K$51,3,FALSE)*Q20</f>
        <v>0.1049943839991616</v>
      </c>
      <c r="S20">
        <f>VLOOKUP($B$1,dictionary!$A$3:$K$51,4,FALSE)*Q20</f>
        <v>3.4998127999720539E-2</v>
      </c>
      <c r="T20">
        <f>VLOOKUP($B$1,dictionary!$A$3:$K$51,5,FALSE)*Q20</f>
        <v>0.27998502399776432</v>
      </c>
      <c r="U20">
        <f>VLOOKUP($B$1,dictionary!$A$3:$K$51,6,FALSE)*Q20</f>
        <v>0.13999251199888216</v>
      </c>
      <c r="V20">
        <f>VLOOKUP($B$1,dictionary!$A$3:$K$51,7,FALSE)*Q20</f>
        <v>3.4998127999720539E-2</v>
      </c>
      <c r="W20">
        <f>VLOOKUP($B$1,dictionary!$A$3:$K$51,8,FALSE)*Q20</f>
        <v>3.4998127999720539E-2</v>
      </c>
      <c r="X20">
        <f>VLOOKUP($B$1,dictionary!$A$3:$K$51,9,FALSE)*Q20</f>
        <v>3.4998127999720539E-2</v>
      </c>
      <c r="Y20">
        <f>VLOOKUP($B$1,dictionary!$A$3:$K$51,10,FALSE)*Q20</f>
        <v>3.4998127999720539E-2</v>
      </c>
      <c r="Z20">
        <f>VLOOKUP($B$1,dictionary!$A$3:$K$51,11,FALSE)*Q20</f>
        <v>0</v>
      </c>
      <c r="AA20">
        <f t="shared" si="2"/>
        <v>46.519923805062675</v>
      </c>
      <c r="AB20">
        <f t="shared" si="11"/>
        <v>13.561597276964802</v>
      </c>
      <c r="AC20">
        <f t="shared" si="12"/>
        <v>32.958326528097878</v>
      </c>
      <c r="AD20">
        <f t="shared" si="3"/>
        <v>16.279070850322881</v>
      </c>
      <c r="AE20">
        <f t="shared" si="13"/>
        <v>2.4117142000478347</v>
      </c>
      <c r="AF20">
        <f t="shared" si="14"/>
        <v>48.234284000956691</v>
      </c>
      <c r="AG20">
        <f t="shared" si="15"/>
        <v>24.806203200492018</v>
      </c>
      <c r="AH20">
        <f t="shared" si="16"/>
        <v>5.7119546843238185</v>
      </c>
      <c r="AI20">
        <f t="shared" si="17"/>
        <v>5.7119546843238185</v>
      </c>
      <c r="AJ20">
        <f t="shared" si="18"/>
        <v>5.7119546843238185</v>
      </c>
      <c r="AK20">
        <f t="shared" si="19"/>
        <v>5.4263569501076274</v>
      </c>
      <c r="AL20">
        <f t="shared" si="20"/>
        <v>0</v>
      </c>
    </row>
    <row r="21" spans="1:38" x14ac:dyDescent="0.2">
      <c r="A21">
        <v>2038</v>
      </c>
      <c r="B21">
        <v>13</v>
      </c>
      <c r="C21">
        <f t="shared" si="21"/>
        <v>165.07837796616647</v>
      </c>
      <c r="D21">
        <f t="shared" si="23"/>
        <v>16.036290520339421</v>
      </c>
      <c r="E21">
        <f t="shared" si="4"/>
        <v>16.036290520339421</v>
      </c>
      <c r="F21">
        <f t="shared" si="5"/>
        <v>5.3615187384511671</v>
      </c>
      <c r="G21" s="9">
        <f t="shared" si="6"/>
        <v>9.7143494610942488E-2</v>
      </c>
      <c r="H21" s="9">
        <f t="shared" si="6"/>
        <v>9.7143494610942488E-2</v>
      </c>
      <c r="I21" s="9">
        <f t="shared" si="6"/>
        <v>3.2478625029560407E-2</v>
      </c>
      <c r="J21" s="9">
        <f t="shared" si="7"/>
        <v>1.2628654299422525E-2</v>
      </c>
      <c r="K21" s="9">
        <f t="shared" si="8"/>
        <v>1.94286989221885E-2</v>
      </c>
      <c r="L21" s="9">
        <f t="shared" si="9"/>
        <v>1.2991450011824163E-2</v>
      </c>
      <c r="M21">
        <f t="shared" si="0"/>
        <v>157.75052219562363</v>
      </c>
      <c r="N21">
        <f t="shared" si="10"/>
        <v>115.85226424902638</v>
      </c>
      <c r="O21">
        <f t="shared" si="24"/>
        <v>41.898257946597255</v>
      </c>
      <c r="P21">
        <f t="shared" si="22"/>
        <v>123.54116760210758</v>
      </c>
      <c r="Q21" s="9">
        <f t="shared" si="1"/>
        <v>0.78314268556845956</v>
      </c>
      <c r="R21">
        <f>VLOOKUP($B$1,dictionary!$A$3:$K$51,3,FALSE)*Q21</f>
        <v>0.11747140283526893</v>
      </c>
      <c r="S21">
        <f>VLOOKUP($B$1,dictionary!$A$3:$K$51,4,FALSE)*Q21</f>
        <v>3.9157134278422982E-2</v>
      </c>
      <c r="T21">
        <f>VLOOKUP($B$1,dictionary!$A$3:$K$51,5,FALSE)*Q21</f>
        <v>0.31325707422738386</v>
      </c>
      <c r="U21">
        <f>VLOOKUP($B$1,dictionary!$A$3:$K$51,6,FALSE)*Q21</f>
        <v>0.15662853711369193</v>
      </c>
      <c r="V21">
        <f>VLOOKUP($B$1,dictionary!$A$3:$K$51,7,FALSE)*Q21</f>
        <v>3.9157134278422982E-2</v>
      </c>
      <c r="W21">
        <f>VLOOKUP($B$1,dictionary!$A$3:$K$51,8,FALSE)*Q21</f>
        <v>3.9157134278422982E-2</v>
      </c>
      <c r="X21">
        <f>VLOOKUP($B$1,dictionary!$A$3:$K$51,9,FALSE)*Q21</f>
        <v>3.9157134278422982E-2</v>
      </c>
      <c r="Y21">
        <f>VLOOKUP($B$1,dictionary!$A$3:$K$51,10,FALSE)*Q21</f>
        <v>3.9157134278422982E-2</v>
      </c>
      <c r="Z21">
        <f>VLOOKUP($B$1,dictionary!$A$3:$K$51,11,FALSE)*Q21</f>
        <v>0</v>
      </c>
      <c r="AA21">
        <f t="shared" si="2"/>
        <v>34.209354593516053</v>
      </c>
      <c r="AB21">
        <f t="shared" si="11"/>
        <v>9.0859436976590295</v>
      </c>
      <c r="AC21">
        <f t="shared" si="12"/>
        <v>25.123410895857027</v>
      </c>
      <c r="AD21">
        <f t="shared" si="3"/>
        <v>18.531175140316137</v>
      </c>
      <c r="AE21">
        <f t="shared" si="13"/>
        <v>2.7453592800468352</v>
      </c>
      <c r="AF21">
        <f t="shared" si="14"/>
        <v>54.907185600936707</v>
      </c>
      <c r="AG21">
        <f t="shared" si="15"/>
        <v>28.237981166196025</v>
      </c>
      <c r="AH21">
        <f t="shared" si="16"/>
        <v>6.5021667159003993</v>
      </c>
      <c r="AI21">
        <f t="shared" si="17"/>
        <v>6.5021667159003993</v>
      </c>
      <c r="AJ21">
        <f t="shared" si="18"/>
        <v>6.5021667159003993</v>
      </c>
      <c r="AK21">
        <f t="shared" si="19"/>
        <v>6.1770583801053798</v>
      </c>
      <c r="AL21">
        <f t="shared" si="20"/>
        <v>0</v>
      </c>
    </row>
    <row r="22" spans="1:38" x14ac:dyDescent="0.2">
      <c r="A22">
        <v>2039</v>
      </c>
      <c r="B22">
        <v>14</v>
      </c>
      <c r="C22">
        <f t="shared" si="21"/>
        <v>168.54502390345596</v>
      </c>
      <c r="D22">
        <f t="shared" si="23"/>
        <v>17.616789449319725</v>
      </c>
      <c r="E22">
        <f t="shared" si="4"/>
        <v>17.616789449319725</v>
      </c>
      <c r="F22">
        <f t="shared" si="5"/>
        <v>5.8953432990133336</v>
      </c>
      <c r="G22" s="9">
        <f t="shared" si="6"/>
        <v>0.10452275030920387</v>
      </c>
      <c r="H22" s="9">
        <f t="shared" si="6"/>
        <v>0.10452275030920387</v>
      </c>
      <c r="I22" s="9">
        <f t="shared" si="6"/>
        <v>3.4977854358905533E-2</v>
      </c>
      <c r="J22" s="9">
        <f t="shared" si="7"/>
        <v>1.3587957540196503E-2</v>
      </c>
      <c r="K22" s="9">
        <f t="shared" si="8"/>
        <v>2.0904550061840776E-2</v>
      </c>
      <c r="L22" s="9">
        <f t="shared" si="9"/>
        <v>1.3991141743562214E-2</v>
      </c>
      <c r="M22">
        <f t="shared" si="0"/>
        <v>160.5018895431721</v>
      </c>
      <c r="N22">
        <f t="shared" si="10"/>
        <v>121.11490563332609</v>
      </c>
      <c r="O22">
        <f t="shared" si="24"/>
        <v>39.386983909846009</v>
      </c>
      <c r="P22">
        <f t="shared" si="22"/>
        <v>135.97110054042003</v>
      </c>
      <c r="Q22" s="9">
        <f t="shared" si="1"/>
        <v>0.84716199246891899</v>
      </c>
      <c r="R22">
        <f>VLOOKUP($B$1,dictionary!$A$3:$K$51,3,FALSE)*Q22</f>
        <v>0.12707429887033783</v>
      </c>
      <c r="S22">
        <f>VLOOKUP($B$1,dictionary!$A$3:$K$51,4,FALSE)*Q22</f>
        <v>4.2358099623445951E-2</v>
      </c>
      <c r="T22">
        <f>VLOOKUP($B$1,dictionary!$A$3:$K$51,5,FALSE)*Q22</f>
        <v>0.33886479698756761</v>
      </c>
      <c r="U22">
        <f>VLOOKUP($B$1,dictionary!$A$3:$K$51,6,FALSE)*Q22</f>
        <v>0.1694323984937838</v>
      </c>
      <c r="V22">
        <f>VLOOKUP($B$1,dictionary!$A$3:$K$51,7,FALSE)*Q22</f>
        <v>4.2358099623445951E-2</v>
      </c>
      <c r="W22">
        <f>VLOOKUP($B$1,dictionary!$A$3:$K$51,8,FALSE)*Q22</f>
        <v>4.2358099623445951E-2</v>
      </c>
      <c r="X22">
        <f>VLOOKUP($B$1,dictionary!$A$3:$K$51,9,FALSE)*Q22</f>
        <v>4.2358099623445951E-2</v>
      </c>
      <c r="Y22">
        <f>VLOOKUP($B$1,dictionary!$A$3:$K$51,10,FALSE)*Q22</f>
        <v>4.2358099623445951E-2</v>
      </c>
      <c r="Z22">
        <f>VLOOKUP($B$1,dictionary!$A$3:$K$51,11,FALSE)*Q22</f>
        <v>0</v>
      </c>
      <c r="AA22">
        <f t="shared" si="2"/>
        <v>24.530789002752073</v>
      </c>
      <c r="AB22">
        <f t="shared" si="11"/>
        <v>6.0198281434396117</v>
      </c>
      <c r="AC22">
        <f t="shared" si="12"/>
        <v>18.510960859312462</v>
      </c>
      <c r="AD22">
        <f t="shared" si="3"/>
        <v>20.395665081063001</v>
      </c>
      <c r="AE22">
        <f t="shared" si="13"/>
        <v>3.0215800120093341</v>
      </c>
      <c r="AF22">
        <f t="shared" si="14"/>
        <v>60.431600240186683</v>
      </c>
      <c r="AG22">
        <f t="shared" si="15"/>
        <v>31.079108694953153</v>
      </c>
      <c r="AH22">
        <f t="shared" si="16"/>
        <v>7.1563737126536848</v>
      </c>
      <c r="AI22">
        <f t="shared" si="17"/>
        <v>7.1563737126536848</v>
      </c>
      <c r="AJ22">
        <f t="shared" si="18"/>
        <v>7.1563737126536848</v>
      </c>
      <c r="AK22">
        <f t="shared" si="19"/>
        <v>6.7985550270210009</v>
      </c>
      <c r="AL22">
        <f t="shared" si="20"/>
        <v>0</v>
      </c>
    </row>
    <row r="23" spans="1:38" x14ac:dyDescent="0.2">
      <c r="A23">
        <v>2040</v>
      </c>
      <c r="B23">
        <v>15</v>
      </c>
      <c r="C23">
        <f t="shared" si="21"/>
        <v>172.08446940542851</v>
      </c>
      <c r="D23">
        <f t="shared" si="23"/>
        <v>19.251496082645417</v>
      </c>
      <c r="E23">
        <f t="shared" si="4"/>
        <v>19.251496082645417</v>
      </c>
      <c r="F23">
        <f t="shared" si="5"/>
        <v>6.4491380664267126</v>
      </c>
      <c r="G23" s="9">
        <f t="shared" si="6"/>
        <v>0.11187236215540854</v>
      </c>
      <c r="H23" s="9">
        <f t="shared" si="6"/>
        <v>0.11187236215540854</v>
      </c>
      <c r="I23" s="9">
        <f t="shared" si="6"/>
        <v>3.747658396315031E-2</v>
      </c>
      <c r="J23" s="9">
        <f t="shared" si="7"/>
        <v>1.4543407080203111E-2</v>
      </c>
      <c r="K23" s="9">
        <f t="shared" si="8"/>
        <v>2.2374472431081708E-2</v>
      </c>
      <c r="L23" s="9">
        <f t="shared" si="9"/>
        <v>1.4990633585260125E-2</v>
      </c>
      <c r="M23">
        <f t="shared" si="0"/>
        <v>163.30221291875947</v>
      </c>
      <c r="N23">
        <f t="shared" si="10"/>
        <v>125.76697114881657</v>
      </c>
      <c r="O23">
        <f t="shared" si="24"/>
        <v>37.5352417699429</v>
      </c>
      <c r="P23">
        <f t="shared" si="22"/>
        <v>145.93724225532802</v>
      </c>
      <c r="Q23" s="9">
        <f t="shared" si="1"/>
        <v>0.89366359247029759</v>
      </c>
      <c r="R23">
        <f>VLOOKUP($B$1,dictionary!$A$3:$K$51,3,FALSE)*Q23</f>
        <v>0.13404953887054463</v>
      </c>
      <c r="S23">
        <f>VLOOKUP($B$1,dictionary!$A$3:$K$51,4,FALSE)*Q23</f>
        <v>4.4683179623514882E-2</v>
      </c>
      <c r="T23">
        <f>VLOOKUP($B$1,dictionary!$A$3:$K$51,5,FALSE)*Q23</f>
        <v>0.35746543698811906</v>
      </c>
      <c r="U23">
        <f>VLOOKUP($B$1,dictionary!$A$3:$K$51,6,FALSE)*Q23</f>
        <v>0.17873271849405953</v>
      </c>
      <c r="V23">
        <f>VLOOKUP($B$1,dictionary!$A$3:$K$51,7,FALSE)*Q23</f>
        <v>4.4683179623514882E-2</v>
      </c>
      <c r="W23">
        <f>VLOOKUP($B$1,dictionary!$A$3:$K$51,8,FALSE)*Q23</f>
        <v>4.4683179623514882E-2</v>
      </c>
      <c r="X23">
        <f>VLOOKUP($B$1,dictionary!$A$3:$K$51,9,FALSE)*Q23</f>
        <v>4.4683179623514882E-2</v>
      </c>
      <c r="Y23">
        <f>VLOOKUP($B$1,dictionary!$A$3:$K$51,10,FALSE)*Q23</f>
        <v>4.4683179623514882E-2</v>
      </c>
      <c r="Z23">
        <f>VLOOKUP($B$1,dictionary!$A$3:$K$51,11,FALSE)*Q23</f>
        <v>0</v>
      </c>
      <c r="AA23">
        <f t="shared" si="2"/>
        <v>17.36497066343145</v>
      </c>
      <c r="AB23">
        <f t="shared" si="11"/>
        <v>3.9913627655745585</v>
      </c>
      <c r="AC23">
        <f t="shared" si="12"/>
        <v>13.373607897856891</v>
      </c>
      <c r="AD23">
        <f t="shared" si="3"/>
        <v>21.890586338299201</v>
      </c>
      <c r="AE23">
        <f t="shared" si="13"/>
        <v>3.2430498278961792</v>
      </c>
      <c r="AF23">
        <f t="shared" si="14"/>
        <v>64.860996557923571</v>
      </c>
      <c r="AG23">
        <f t="shared" si="15"/>
        <v>33.357083944074986</v>
      </c>
      <c r="AH23">
        <f t="shared" si="16"/>
        <v>7.6809074871225285</v>
      </c>
      <c r="AI23">
        <f t="shared" si="17"/>
        <v>7.6809074871225285</v>
      </c>
      <c r="AJ23">
        <f t="shared" si="18"/>
        <v>7.6809074871225285</v>
      </c>
      <c r="AK23">
        <f t="shared" si="19"/>
        <v>7.2968621127664015</v>
      </c>
      <c r="AL23">
        <f t="shared" si="20"/>
        <v>0</v>
      </c>
    </row>
    <row r="24" spans="1:38" x14ac:dyDescent="0.2">
      <c r="A24">
        <v>2041</v>
      </c>
      <c r="B24">
        <v>16</v>
      </c>
      <c r="C24">
        <f t="shared" si="21"/>
        <v>175.6982432629425</v>
      </c>
      <c r="D24">
        <f t="shared" si="23"/>
        <v>20.941336953883962</v>
      </c>
      <c r="E24">
        <f t="shared" si="4"/>
        <v>20.941336953883962</v>
      </c>
      <c r="F24">
        <f t="shared" si="5"/>
        <v>7.0234826495624105</v>
      </c>
      <c r="G24" s="9">
        <f t="shared" si="6"/>
        <v>0.11918922218558582</v>
      </c>
      <c r="H24" s="9">
        <f t="shared" si="6"/>
        <v>0.11918922218558582</v>
      </c>
      <c r="I24" s="9">
        <f t="shared" si="6"/>
        <v>3.9974689098350093E-2</v>
      </c>
      <c r="J24" s="9">
        <f t="shared" si="7"/>
        <v>1.5494598884126158E-2</v>
      </c>
      <c r="K24" s="9">
        <f t="shared" si="8"/>
        <v>2.3837844437117166E-2</v>
      </c>
      <c r="L24" s="9">
        <f t="shared" si="9"/>
        <v>1.5989875639340036E-2</v>
      </c>
      <c r="M24">
        <f t="shared" si="0"/>
        <v>166.15256715352189</v>
      </c>
      <c r="N24">
        <f t="shared" si="10"/>
        <v>129.93185364441754</v>
      </c>
      <c r="O24">
        <f t="shared" si="24"/>
        <v>36.220713509104343</v>
      </c>
      <c r="P24">
        <f t="shared" si="22"/>
        <v>153.86387365913762</v>
      </c>
      <c r="Q24" s="9">
        <f t="shared" si="1"/>
        <v>0.92603970131241042</v>
      </c>
      <c r="R24">
        <f>VLOOKUP($B$1,dictionary!$A$3:$K$51,3,FALSE)*Q24</f>
        <v>0.13890595519686155</v>
      </c>
      <c r="S24">
        <f>VLOOKUP($B$1,dictionary!$A$3:$K$51,4,FALSE)*Q24</f>
        <v>4.6301985065620527E-2</v>
      </c>
      <c r="T24">
        <f>VLOOKUP($B$1,dictionary!$A$3:$K$51,5,FALSE)*Q24</f>
        <v>0.37041588052496421</v>
      </c>
      <c r="U24">
        <f>VLOOKUP($B$1,dictionary!$A$3:$K$51,6,FALSE)*Q24</f>
        <v>0.18520794026248211</v>
      </c>
      <c r="V24">
        <f>VLOOKUP($B$1,dictionary!$A$3:$K$51,7,FALSE)*Q24</f>
        <v>4.6301985065620527E-2</v>
      </c>
      <c r="W24">
        <f>VLOOKUP($B$1,dictionary!$A$3:$K$51,8,FALSE)*Q24</f>
        <v>4.6301985065620527E-2</v>
      </c>
      <c r="X24">
        <f>VLOOKUP($B$1,dictionary!$A$3:$K$51,9,FALSE)*Q24</f>
        <v>4.6301985065620527E-2</v>
      </c>
      <c r="Y24">
        <f>VLOOKUP($B$1,dictionary!$A$3:$K$51,10,FALSE)*Q24</f>
        <v>4.6301985065620527E-2</v>
      </c>
      <c r="Z24">
        <f>VLOOKUP($B$1,dictionary!$A$3:$K$51,11,FALSE)*Q24</f>
        <v>0</v>
      </c>
      <c r="AA24">
        <f t="shared" si="2"/>
        <v>12.288693494384262</v>
      </c>
      <c r="AB24">
        <f t="shared" si="11"/>
        <v>2.6788947898109674</v>
      </c>
      <c r="AC24">
        <f t="shared" si="12"/>
        <v>9.6097987045732935</v>
      </c>
      <c r="AD24">
        <f t="shared" si="3"/>
        <v>23.07958104887064</v>
      </c>
      <c r="AE24">
        <f t="shared" si="13"/>
        <v>3.4191971924252815</v>
      </c>
      <c r="AF24">
        <f t="shared" si="14"/>
        <v>68.383943848505623</v>
      </c>
      <c r="AG24">
        <f t="shared" si="15"/>
        <v>35.16888540780289</v>
      </c>
      <c r="AH24">
        <f t="shared" si="16"/>
        <v>8.0980986136388218</v>
      </c>
      <c r="AI24">
        <f t="shared" si="17"/>
        <v>8.0980986136388218</v>
      </c>
      <c r="AJ24">
        <f t="shared" si="18"/>
        <v>8.0980986136388218</v>
      </c>
      <c r="AK24">
        <f t="shared" si="19"/>
        <v>7.6931936829568821</v>
      </c>
      <c r="AL24">
        <f t="shared" si="20"/>
        <v>0</v>
      </c>
    </row>
    <row r="25" spans="1:38" x14ac:dyDescent="0.2">
      <c r="A25">
        <v>2042</v>
      </c>
      <c r="B25">
        <v>17</v>
      </c>
      <c r="C25">
        <f t="shared" si="21"/>
        <v>179.38790637146428</v>
      </c>
      <c r="D25">
        <f t="shared" si="23"/>
        <v>22.68723864021328</v>
      </c>
      <c r="E25">
        <f t="shared" si="4"/>
        <v>22.68723864021328</v>
      </c>
      <c r="F25">
        <f t="shared" si="5"/>
        <v>7.6189712579350157</v>
      </c>
      <c r="G25" s="9">
        <f t="shared" si="6"/>
        <v>0.12647027940241462</v>
      </c>
      <c r="H25" s="9">
        <f t="shared" si="6"/>
        <v>0.12647027940241462</v>
      </c>
      <c r="I25" s="9">
        <f t="shared" si="6"/>
        <v>4.2472045145329741E-2</v>
      </c>
      <c r="J25" s="9">
        <f t="shared" si="7"/>
        <v>1.64411363223139E-2</v>
      </c>
      <c r="K25" s="9">
        <f t="shared" si="8"/>
        <v>2.5294055880482925E-2</v>
      </c>
      <c r="L25" s="9">
        <f t="shared" si="9"/>
        <v>1.6988818058131898E-2</v>
      </c>
      <c r="M25">
        <f t="shared" si="0"/>
        <v>169.05405422624568</v>
      </c>
      <c r="N25">
        <f t="shared" si="10"/>
        <v>133.71795023803605</v>
      </c>
      <c r="O25">
        <f t="shared" si="24"/>
        <v>35.336103988209629</v>
      </c>
      <c r="P25">
        <f>IF($I$3=0,0,M25/(1+EXP(-$I$3*(B25-$J$3)))-M25/(1+EXP($I$3*$J$3)))</f>
        <v>160.2500198578656</v>
      </c>
      <c r="Q25" s="9">
        <f t="shared" si="1"/>
        <v>0.94792177916894194</v>
      </c>
      <c r="R25">
        <f>VLOOKUP($B$1,dictionary!$A$3:$K$51,3,FALSE)*Q25</f>
        <v>0.14218826687534128</v>
      </c>
      <c r="S25">
        <f>VLOOKUP($B$1,dictionary!$A$3:$K$51,4,FALSE)*Q25</f>
        <v>4.7396088958447102E-2</v>
      </c>
      <c r="T25">
        <f>VLOOKUP($B$1,dictionary!$A$3:$K$51,5,FALSE)*Q25</f>
        <v>0.37916871166757682</v>
      </c>
      <c r="U25">
        <f>VLOOKUP($B$1,dictionary!$A$3:$K$51,6,FALSE)*Q25</f>
        <v>0.18958435583378841</v>
      </c>
      <c r="V25">
        <f>VLOOKUP($B$1,dictionary!$A$3:$K$51,7,FALSE)*Q25</f>
        <v>4.7396088958447102E-2</v>
      </c>
      <c r="W25">
        <f>VLOOKUP($B$1,dictionary!$A$3:$K$51,8,FALSE)*Q25</f>
        <v>4.7396088958447102E-2</v>
      </c>
      <c r="X25">
        <f>VLOOKUP($B$1,dictionary!$A$3:$K$51,9,FALSE)*Q25</f>
        <v>4.7396088958447102E-2</v>
      </c>
      <c r="Y25">
        <f>VLOOKUP($B$1,dictionary!$A$3:$K$51,10,FALSE)*Q25</f>
        <v>4.7396088958447102E-2</v>
      </c>
      <c r="Z25">
        <f>VLOOKUP($B$1,dictionary!$A$3:$K$51,11,FALSE)*Q25</f>
        <v>0</v>
      </c>
      <c r="AA25">
        <f t="shared" si="2"/>
        <v>8.804034368380087</v>
      </c>
      <c r="AB25">
        <f t="shared" si="11"/>
        <v>1.8402414268072127</v>
      </c>
      <c r="AC25">
        <f t="shared" si="12"/>
        <v>6.9637929415728745</v>
      </c>
      <c r="AD25">
        <f t="shared" si="3"/>
        <v>24.037502978679839</v>
      </c>
      <c r="AE25">
        <f t="shared" si="13"/>
        <v>3.5611115523970138</v>
      </c>
      <c r="AF25">
        <f t="shared" si="14"/>
        <v>71.222231047940269</v>
      </c>
      <c r="AG25">
        <f t="shared" si="15"/>
        <v>36.628575967512148</v>
      </c>
      <c r="AH25">
        <f t="shared" si="16"/>
        <v>8.4342115714666104</v>
      </c>
      <c r="AI25">
        <f t="shared" si="17"/>
        <v>8.4342115714666104</v>
      </c>
      <c r="AJ25">
        <f t="shared" si="18"/>
        <v>8.4342115714666104</v>
      </c>
      <c r="AK25">
        <f t="shared" si="19"/>
        <v>8.0125009928932798</v>
      </c>
      <c r="AL25">
        <f t="shared" si="20"/>
        <v>0</v>
      </c>
    </row>
    <row r="26" spans="1:38" x14ac:dyDescent="0.2">
      <c r="A26">
        <v>2043</v>
      </c>
      <c r="B26">
        <v>18</v>
      </c>
      <c r="C26">
        <f t="shared" si="21"/>
        <v>183.15505240526502</v>
      </c>
      <c r="D26">
        <f t="shared" si="23"/>
        <v>24.490128120878964</v>
      </c>
      <c r="E26">
        <f t="shared" si="4"/>
        <v>24.490128120878964</v>
      </c>
      <c r="F26">
        <f t="shared" si="5"/>
        <v>8.2362130354884471</v>
      </c>
      <c r="G26" s="9">
        <f t="shared" si="6"/>
        <v>0.13371254464053739</v>
      </c>
      <c r="H26" s="9">
        <f t="shared" si="6"/>
        <v>0.13371254464053739</v>
      </c>
      <c r="I26" s="9">
        <f t="shared" si="6"/>
        <v>4.496852763452179E-2</v>
      </c>
      <c r="J26" s="9">
        <f t="shared" si="7"/>
        <v>1.738263080326986E-2</v>
      </c>
      <c r="K26" s="9">
        <f t="shared" si="8"/>
        <v>2.6742508928107478E-2</v>
      </c>
      <c r="L26" s="9">
        <f t="shared" si="9"/>
        <v>1.7987411053808716E-2</v>
      </c>
      <c r="M26">
        <f t="shared" si="0"/>
        <v>172.00780364423937</v>
      </c>
      <c r="N26">
        <f t="shared" si="10"/>
        <v>137.21650255270924</v>
      </c>
      <c r="O26">
        <f t="shared" si="24"/>
        <v>34.79130109153013</v>
      </c>
      <c r="P26">
        <f t="shared" si="22"/>
        <v>165.54307332488912</v>
      </c>
      <c r="Q26" s="9">
        <f t="shared" si="1"/>
        <v>0.96241606379254085</v>
      </c>
      <c r="R26">
        <f>VLOOKUP($B$1,dictionary!$A$3:$K$51,3,FALSE)*Q26</f>
        <v>0.14436240956888113</v>
      </c>
      <c r="S26">
        <f>VLOOKUP($B$1,dictionary!$A$3:$K$51,4,FALSE)*Q26</f>
        <v>4.8120803189627047E-2</v>
      </c>
      <c r="T26">
        <f>VLOOKUP($B$1,dictionary!$A$3:$K$51,5,FALSE)*Q26</f>
        <v>0.38496642551701638</v>
      </c>
      <c r="U26">
        <f>VLOOKUP($B$1,dictionary!$A$3:$K$51,6,FALSE)*Q26</f>
        <v>0.19248321275850819</v>
      </c>
      <c r="V26">
        <f>VLOOKUP($B$1,dictionary!$A$3:$K$51,7,FALSE)*Q26</f>
        <v>4.8120803189627047E-2</v>
      </c>
      <c r="W26">
        <f>VLOOKUP($B$1,dictionary!$A$3:$K$51,8,FALSE)*Q26</f>
        <v>4.8120803189627047E-2</v>
      </c>
      <c r="X26">
        <f>VLOOKUP($B$1,dictionary!$A$3:$K$51,9,FALSE)*Q26</f>
        <v>4.8120803189627047E-2</v>
      </c>
      <c r="Y26">
        <f>VLOOKUP($B$1,dictionary!$A$3:$K$51,10,FALSE)*Q26</f>
        <v>4.8120803189627047E-2</v>
      </c>
      <c r="Z26">
        <f>VLOOKUP($B$1,dictionary!$A$3:$K$51,11,FALSE)*Q26</f>
        <v>0</v>
      </c>
      <c r="AA26">
        <f t="shared" si="2"/>
        <v>6.4647303193502523</v>
      </c>
      <c r="AB26">
        <f t="shared" si="11"/>
        <v>1.3075940407985724</v>
      </c>
      <c r="AC26">
        <f t="shared" si="12"/>
        <v>5.1571362785516799</v>
      </c>
      <c r="AD26">
        <f t="shared" si="3"/>
        <v>24.83146099873337</v>
      </c>
      <c r="AE26">
        <f t="shared" si="13"/>
        <v>3.6787349627753141</v>
      </c>
      <c r="AF26">
        <f t="shared" si="14"/>
        <v>73.574699255506289</v>
      </c>
      <c r="AG26">
        <f t="shared" si="15"/>
        <v>37.838416759974663</v>
      </c>
      <c r="AH26">
        <f t="shared" si="16"/>
        <v>8.7127933328889018</v>
      </c>
      <c r="AI26">
        <f t="shared" si="17"/>
        <v>8.7127933328889018</v>
      </c>
      <c r="AJ26">
        <f t="shared" si="18"/>
        <v>8.7127933328889018</v>
      </c>
      <c r="AK26">
        <f t="shared" si="19"/>
        <v>8.2771536662444571</v>
      </c>
      <c r="AL26">
        <f t="shared" si="20"/>
        <v>0</v>
      </c>
    </row>
    <row r="27" spans="1:38" x14ac:dyDescent="0.2">
      <c r="A27">
        <v>2044</v>
      </c>
      <c r="B27">
        <v>19</v>
      </c>
      <c r="C27">
        <f t="shared" si="21"/>
        <v>187.00130850577557</v>
      </c>
      <c r="D27">
        <f t="shared" si="23"/>
        <v>26.350933189583927</v>
      </c>
      <c r="E27">
        <f t="shared" si="4"/>
        <v>26.350933189583927</v>
      </c>
      <c r="F27">
        <f t="shared" si="5"/>
        <v>8.8758324015625902</v>
      </c>
      <c r="G27" s="9">
        <f t="shared" si="6"/>
        <v>0.14091309520847589</v>
      </c>
      <c r="H27" s="9">
        <f t="shared" si="6"/>
        <v>0.14091309520847589</v>
      </c>
      <c r="I27" s="9">
        <f t="shared" si="6"/>
        <v>4.7464012270740118E-2</v>
      </c>
      <c r="J27" s="9">
        <f t="shared" si="7"/>
        <v>1.8318702377101866E-2</v>
      </c>
      <c r="K27" s="9">
        <f t="shared" si="8"/>
        <v>2.8182619041695181E-2</v>
      </c>
      <c r="L27" s="9">
        <f t="shared" si="9"/>
        <v>1.8985604908296049E-2</v>
      </c>
      <c r="M27">
        <f t="shared" si="0"/>
        <v>175.01497282034109</v>
      </c>
      <c r="N27">
        <f t="shared" si="10"/>
        <v>140.5020979743901</v>
      </c>
      <c r="O27">
        <f t="shared" si="24"/>
        <v>34.512874845950989</v>
      </c>
      <c r="P27">
        <f t="shared" si="22"/>
        <v>170.09513112914246</v>
      </c>
      <c r="Q27" s="9">
        <f t="shared" si="1"/>
        <v>0.97188902405367905</v>
      </c>
      <c r="R27">
        <f>VLOOKUP($B$1,dictionary!$A$3:$K$51,3,FALSE)*Q27</f>
        <v>0.14578335360805186</v>
      </c>
      <c r="S27">
        <f>VLOOKUP($B$1,dictionary!$A$3:$K$51,4,FALSE)*Q27</f>
        <v>4.8594451202683957E-2</v>
      </c>
      <c r="T27">
        <f>VLOOKUP($B$1,dictionary!$A$3:$K$51,5,FALSE)*Q27</f>
        <v>0.38875560962147165</v>
      </c>
      <c r="U27">
        <f>VLOOKUP($B$1,dictionary!$A$3:$K$51,6,FALSE)*Q27</f>
        <v>0.19437780481073583</v>
      </c>
      <c r="V27">
        <f>VLOOKUP($B$1,dictionary!$A$3:$K$51,7,FALSE)*Q27</f>
        <v>4.8594451202683957E-2</v>
      </c>
      <c r="W27">
        <f>VLOOKUP($B$1,dictionary!$A$3:$K$51,8,FALSE)*Q27</f>
        <v>4.8594451202683957E-2</v>
      </c>
      <c r="X27">
        <f>VLOOKUP($B$1,dictionary!$A$3:$K$51,9,FALSE)*Q27</f>
        <v>4.8594451202683957E-2</v>
      </c>
      <c r="Y27">
        <f>VLOOKUP($B$1,dictionary!$A$3:$K$51,10,FALSE)*Q27</f>
        <v>4.8594451202683957E-2</v>
      </c>
      <c r="Z27">
        <f>VLOOKUP($B$1,dictionary!$A$3:$K$51,11,FALSE)*Q27</f>
        <v>0</v>
      </c>
      <c r="AA27">
        <f t="shared" si="2"/>
        <v>4.9198416911986271</v>
      </c>
      <c r="AB27">
        <f t="shared" si="11"/>
        <v>0.97019059463291446</v>
      </c>
      <c r="AC27">
        <f t="shared" si="12"/>
        <v>3.949651096565713</v>
      </c>
      <c r="AD27">
        <f t="shared" si="3"/>
        <v>25.514269669371373</v>
      </c>
      <c r="AE27">
        <f t="shared" si="13"/>
        <v>3.7798918028698334</v>
      </c>
      <c r="AF27">
        <f t="shared" si="14"/>
        <v>75.597836057396663</v>
      </c>
      <c r="AG27">
        <f t="shared" si="15"/>
        <v>38.878887115232573</v>
      </c>
      <c r="AH27">
        <f t="shared" si="16"/>
        <v>8.9523753225864464</v>
      </c>
      <c r="AI27">
        <f t="shared" si="17"/>
        <v>8.9523753225864464</v>
      </c>
      <c r="AJ27">
        <f t="shared" si="18"/>
        <v>8.9523753225864464</v>
      </c>
      <c r="AK27">
        <f t="shared" si="19"/>
        <v>8.5047565564571244</v>
      </c>
      <c r="AL27">
        <f t="shared" si="20"/>
        <v>0</v>
      </c>
    </row>
    <row r="28" spans="1:38" x14ac:dyDescent="0.2">
      <c r="A28">
        <v>2045</v>
      </c>
      <c r="B28">
        <v>20</v>
      </c>
      <c r="C28">
        <f t="shared" si="21"/>
        <v>190.92833598439685</v>
      </c>
      <c r="D28">
        <f t="shared" si="23"/>
        <v>28.270582920148769</v>
      </c>
      <c r="E28">
        <f t="shared" si="4"/>
        <v>28.270582920148769</v>
      </c>
      <c r="F28">
        <f t="shared" si="5"/>
        <v>9.5384693991925928</v>
      </c>
      <c r="G28" s="9">
        <f t="shared" si="6"/>
        <v>0.14806907929297153</v>
      </c>
      <c r="H28" s="9">
        <f t="shared" si="6"/>
        <v>0.14806907929297153</v>
      </c>
      <c r="I28" s="9">
        <f t="shared" si="6"/>
        <v>4.9958374957880011E-2</v>
      </c>
      <c r="J28" s="9">
        <f t="shared" si="7"/>
        <v>1.9248980308086298E-2</v>
      </c>
      <c r="K28" s="9">
        <f t="shared" si="8"/>
        <v>2.9613815858594308E-2</v>
      </c>
      <c r="L28" s="9">
        <f t="shared" si="9"/>
        <v>1.9983349983152005E-2</v>
      </c>
      <c r="M28">
        <f t="shared" si="0"/>
        <v>178.07674744679943</v>
      </c>
      <c r="N28">
        <f t="shared" si="10"/>
        <v>143.63448450804421</v>
      </c>
      <c r="O28">
        <f t="shared" si="24"/>
        <v>34.442262938755221</v>
      </c>
      <c r="P28">
        <f t="shared" si="22"/>
        <v>174.1637094307182</v>
      </c>
      <c r="Q28" s="9">
        <f t="shared" si="1"/>
        <v>0.97802611473881362</v>
      </c>
      <c r="R28">
        <f>VLOOKUP($B$1,dictionary!$A$3:$K$51,3,FALSE)*Q28</f>
        <v>0.14670391721082204</v>
      </c>
      <c r="S28">
        <f>VLOOKUP($B$1,dictionary!$A$3:$K$51,4,FALSE)*Q28</f>
        <v>4.8901305736940681E-2</v>
      </c>
      <c r="T28">
        <f>VLOOKUP($B$1,dictionary!$A$3:$K$51,5,FALSE)*Q28</f>
        <v>0.39121044589552545</v>
      </c>
      <c r="U28">
        <f>VLOOKUP($B$1,dictionary!$A$3:$K$51,6,FALSE)*Q28</f>
        <v>0.19560522294776272</v>
      </c>
      <c r="V28">
        <f>VLOOKUP($B$1,dictionary!$A$3:$K$51,7,FALSE)*Q28</f>
        <v>4.8901305736940681E-2</v>
      </c>
      <c r="W28">
        <f>VLOOKUP($B$1,dictionary!$A$3:$K$51,8,FALSE)*Q28</f>
        <v>4.8901305736940681E-2</v>
      </c>
      <c r="X28">
        <f>VLOOKUP($B$1,dictionary!$A$3:$K$51,9,FALSE)*Q28</f>
        <v>4.8901305736940681E-2</v>
      </c>
      <c r="Y28">
        <f>VLOOKUP($B$1,dictionary!$A$3:$K$51,10,FALSE)*Q28</f>
        <v>4.8901305736940681E-2</v>
      </c>
      <c r="Z28">
        <f>VLOOKUP($B$1,dictionary!$A$3:$K$51,11,FALSE)*Q28</f>
        <v>0</v>
      </c>
      <c r="AA28">
        <f t="shared" si="2"/>
        <v>3.9130380160812308</v>
      </c>
      <c r="AB28">
        <f t="shared" si="11"/>
        <v>0.75683033395181831</v>
      </c>
      <c r="AC28">
        <f t="shared" si="12"/>
        <v>3.1562076821294127</v>
      </c>
      <c r="AD28">
        <f t="shared" si="3"/>
        <v>26.124556414607731</v>
      </c>
      <c r="AE28">
        <f t="shared" si="13"/>
        <v>3.8703046540159605</v>
      </c>
      <c r="AF28">
        <f t="shared" si="14"/>
        <v>77.406093080319209</v>
      </c>
      <c r="AG28">
        <f t="shared" si="15"/>
        <v>39.808847869878456</v>
      </c>
      <c r="AH28">
        <f t="shared" si="16"/>
        <v>9.1665110226693791</v>
      </c>
      <c r="AI28">
        <f t="shared" si="17"/>
        <v>9.1665110226693791</v>
      </c>
      <c r="AJ28">
        <f t="shared" si="18"/>
        <v>9.1665110226693791</v>
      </c>
      <c r="AK28">
        <f t="shared" si="19"/>
        <v>8.7081854715359093</v>
      </c>
      <c r="AL28">
        <f t="shared" si="20"/>
        <v>0</v>
      </c>
    </row>
    <row r="29" spans="1:38" x14ac:dyDescent="0.2">
      <c r="A29">
        <v>2046</v>
      </c>
      <c r="B29">
        <v>21</v>
      </c>
      <c r="C29">
        <f t="shared" si="21"/>
        <v>194.93783104006917</v>
      </c>
      <c r="D29">
        <f t="shared" si="23"/>
        <v>30.250008184570831</v>
      </c>
      <c r="E29">
        <f t="shared" si="4"/>
        <v>30.250008184570831</v>
      </c>
      <c r="F29">
        <f t="shared" si="5"/>
        <v>10.224780050895589</v>
      </c>
      <c r="G29" s="9">
        <f t="shared" si="6"/>
        <v>0.15517772011299844</v>
      </c>
      <c r="H29" s="9">
        <f t="shared" si="6"/>
        <v>0.15517772011299844</v>
      </c>
      <c r="I29" s="9">
        <f t="shared" si="6"/>
        <v>5.2451491823533737E-2</v>
      </c>
      <c r="J29" s="9">
        <f t="shared" si="7"/>
        <v>2.0173103614689797E-2</v>
      </c>
      <c r="K29" s="9">
        <f t="shared" si="8"/>
        <v>3.1035544022599688E-2</v>
      </c>
      <c r="L29" s="9">
        <f t="shared" si="9"/>
        <v>2.0980596729413496E-2</v>
      </c>
      <c r="M29">
        <f t="shared" si="0"/>
        <v>181.19434186682037</v>
      </c>
      <c r="N29">
        <f t="shared" si="10"/>
        <v>146.66085743297975</v>
      </c>
      <c r="O29">
        <f t="shared" si="24"/>
        <v>34.533484433840613</v>
      </c>
      <c r="P29">
        <f t="shared" si="22"/>
        <v>177.92912383222927</v>
      </c>
      <c r="Q29" s="9">
        <f t="shared" si="1"/>
        <v>0.98197947021441168</v>
      </c>
      <c r="R29">
        <f>VLOOKUP($B$1,dictionary!$A$3:$K$51,3,FALSE)*Q29</f>
        <v>0.14729692053216176</v>
      </c>
      <c r="S29">
        <f>VLOOKUP($B$1,dictionary!$A$3:$K$51,4,FALSE)*Q29</f>
        <v>4.9098973510720588E-2</v>
      </c>
      <c r="T29">
        <f>VLOOKUP($B$1,dictionary!$A$3:$K$51,5,FALSE)*Q29</f>
        <v>0.3927917880857647</v>
      </c>
      <c r="U29">
        <f>VLOOKUP($B$1,dictionary!$A$3:$K$51,6,FALSE)*Q29</f>
        <v>0.19639589404288235</v>
      </c>
      <c r="V29">
        <f>VLOOKUP($B$1,dictionary!$A$3:$K$51,7,FALSE)*Q29</f>
        <v>4.9098973510720588E-2</v>
      </c>
      <c r="W29">
        <f>VLOOKUP($B$1,dictionary!$A$3:$K$51,8,FALSE)*Q29</f>
        <v>4.9098973510720588E-2</v>
      </c>
      <c r="X29">
        <f>VLOOKUP($B$1,dictionary!$A$3:$K$51,9,FALSE)*Q29</f>
        <v>4.9098973510720588E-2</v>
      </c>
      <c r="Y29">
        <f>VLOOKUP($B$1,dictionary!$A$3:$K$51,10,FALSE)*Q29</f>
        <v>4.9098973510720588E-2</v>
      </c>
      <c r="Z29">
        <f>VLOOKUP($B$1,dictionary!$A$3:$K$51,11,FALSE)*Q29</f>
        <v>0</v>
      </c>
      <c r="AA29">
        <f t="shared" si="2"/>
        <v>3.2652180345911006</v>
      </c>
      <c r="AB29">
        <f t="shared" si="11"/>
        <v>0.62231168484017374</v>
      </c>
      <c r="AC29">
        <f t="shared" si="12"/>
        <v>2.6429063497509269</v>
      </c>
      <c r="AD29">
        <f t="shared" si="3"/>
        <v>26.68936857483439</v>
      </c>
      <c r="AE29">
        <f t="shared" si="13"/>
        <v>3.9539805296050949</v>
      </c>
      <c r="AF29">
        <f t="shared" si="14"/>
        <v>79.079610592101901</v>
      </c>
      <c r="AG29">
        <f t="shared" si="15"/>
        <v>40.669514018795269</v>
      </c>
      <c r="AH29">
        <f t="shared" si="16"/>
        <v>9.3646907280120661</v>
      </c>
      <c r="AI29">
        <f t="shared" si="17"/>
        <v>9.3646907280120661</v>
      </c>
      <c r="AJ29">
        <f t="shared" si="18"/>
        <v>9.3646907280120661</v>
      </c>
      <c r="AK29">
        <f t="shared" si="19"/>
        <v>8.8964561916114633</v>
      </c>
      <c r="AL29">
        <f t="shared" si="20"/>
        <v>0</v>
      </c>
    </row>
    <row r="30" spans="1:38" x14ac:dyDescent="0.2">
      <c r="A30">
        <v>2047</v>
      </c>
      <c r="B30">
        <v>22</v>
      </c>
      <c r="C30">
        <f t="shared" si="21"/>
        <v>199.0315254919106</v>
      </c>
      <c r="D30">
        <f t="shared" si="23"/>
        <v>32.290142222411433</v>
      </c>
      <c r="E30">
        <f t="shared" si="4"/>
        <v>32.290142222411433</v>
      </c>
      <c r="F30">
        <f t="shared" si="5"/>
        <v>10.935436722103162</v>
      </c>
      <c r="G30" s="9">
        <f t="shared" si="6"/>
        <v>0.16223631981217884</v>
      </c>
      <c r="H30" s="9">
        <f t="shared" si="6"/>
        <v>0.16223631981217884</v>
      </c>
      <c r="I30" s="9">
        <f t="shared" si="6"/>
        <v>5.4943239243511806E-2</v>
      </c>
      <c r="J30" s="9">
        <f t="shared" si="7"/>
        <v>2.1090721575583251E-2</v>
      </c>
      <c r="K30" s="9">
        <f t="shared" si="8"/>
        <v>3.2447263962435767E-2</v>
      </c>
      <c r="L30" s="9">
        <f t="shared" si="9"/>
        <v>2.1977295697404725E-2</v>
      </c>
      <c r="M30">
        <f t="shared" si="0"/>
        <v>184.3689994446263</v>
      </c>
      <c r="N30">
        <f t="shared" si="10"/>
        <v>149.61814860945009</v>
      </c>
      <c r="O30">
        <f t="shared" si="24"/>
        <v>34.750850835176209</v>
      </c>
      <c r="P30">
        <f t="shared" si="22"/>
        <v>181.51437444095586</v>
      </c>
      <c r="Q30" s="9">
        <f t="shared" si="1"/>
        <v>0.98451678420846556</v>
      </c>
      <c r="R30">
        <f>VLOOKUP($B$1,dictionary!$A$3:$K$51,3,FALSE)*Q30</f>
        <v>0.14767751763126982</v>
      </c>
      <c r="S30">
        <f>VLOOKUP($B$1,dictionary!$A$3:$K$51,4,FALSE)*Q30</f>
        <v>4.9225839210423283E-2</v>
      </c>
      <c r="T30">
        <f>VLOOKUP($B$1,dictionary!$A$3:$K$51,5,FALSE)*Q30</f>
        <v>0.39380671368338627</v>
      </c>
      <c r="U30">
        <f>VLOOKUP($B$1,dictionary!$A$3:$K$51,6,FALSE)*Q30</f>
        <v>0.19690335684169313</v>
      </c>
      <c r="V30">
        <f>VLOOKUP($B$1,dictionary!$A$3:$K$51,7,FALSE)*Q30</f>
        <v>4.9225839210423283E-2</v>
      </c>
      <c r="W30">
        <f>VLOOKUP($B$1,dictionary!$A$3:$K$51,8,FALSE)*Q30</f>
        <v>4.9225839210423283E-2</v>
      </c>
      <c r="X30">
        <f>VLOOKUP($B$1,dictionary!$A$3:$K$51,9,FALSE)*Q30</f>
        <v>4.9225839210423283E-2</v>
      </c>
      <c r="Y30">
        <f>VLOOKUP($B$1,dictionary!$A$3:$K$51,10,FALSE)*Q30</f>
        <v>4.9225839210423283E-2</v>
      </c>
      <c r="Z30">
        <f>VLOOKUP($B$1,dictionary!$A$3:$K$51,11,FALSE)*Q30</f>
        <v>0</v>
      </c>
      <c r="AA30">
        <f t="shared" si="2"/>
        <v>2.854625003670435</v>
      </c>
      <c r="AB30">
        <f t="shared" si="11"/>
        <v>0.53805492242045672</v>
      </c>
      <c r="AC30">
        <f t="shared" si="12"/>
        <v>2.3165700812499783</v>
      </c>
      <c r="AD30">
        <f t="shared" si="3"/>
        <v>27.227156166143377</v>
      </c>
      <c r="AE30">
        <f t="shared" si="13"/>
        <v>4.0336527653545753</v>
      </c>
      <c r="AF30">
        <f t="shared" si="14"/>
        <v>80.673055307091502</v>
      </c>
      <c r="AG30">
        <f t="shared" si="15"/>
        <v>41.488999872218493</v>
      </c>
      <c r="AH30">
        <f t="shared" si="16"/>
        <v>9.5533881284713615</v>
      </c>
      <c r="AI30">
        <f t="shared" si="17"/>
        <v>9.5533881284713615</v>
      </c>
      <c r="AJ30">
        <f t="shared" si="18"/>
        <v>9.5533881284713615</v>
      </c>
      <c r="AK30">
        <f t="shared" si="19"/>
        <v>9.0757187220477942</v>
      </c>
      <c r="AL30">
        <f t="shared" si="20"/>
        <v>0</v>
      </c>
    </row>
    <row r="31" spans="1:38" x14ac:dyDescent="0.2">
      <c r="A31">
        <v>2048</v>
      </c>
      <c r="B31">
        <v>23</v>
      </c>
      <c r="C31">
        <f t="shared" si="21"/>
        <v>203.2111875272407</v>
      </c>
      <c r="D31">
        <f t="shared" si="23"/>
        <v>34.391921260254236</v>
      </c>
      <c r="E31">
        <f t="shared" si="4"/>
        <v>34.391921260254236</v>
      </c>
      <c r="F31">
        <f t="shared" si="5"/>
        <v>11.671128492400939</v>
      </c>
      <c r="G31" s="9">
        <f t="shared" si="6"/>
        <v>0.16924226307985116</v>
      </c>
      <c r="H31" s="9">
        <f t="shared" si="6"/>
        <v>0.16924226307985116</v>
      </c>
      <c r="I31" s="9">
        <f t="shared" si="6"/>
        <v>5.7433493866258768E-2</v>
      </c>
      <c r="J31" s="9">
        <f t="shared" si="7"/>
        <v>2.2001494200380649E-2</v>
      </c>
      <c r="K31" s="9">
        <f t="shared" si="8"/>
        <v>3.3848452615970234E-2</v>
      </c>
      <c r="L31" s="9">
        <f t="shared" si="9"/>
        <v>2.2973397546503509E-2</v>
      </c>
      <c r="M31">
        <f t="shared" si="0"/>
        <v>187.60199293491772</v>
      </c>
      <c r="N31">
        <f t="shared" si="10"/>
        <v>152.53509130087662</v>
      </c>
      <c r="O31">
        <f t="shared" si="24"/>
        <v>35.066901634041102</v>
      </c>
      <c r="P31">
        <f t="shared" si="22"/>
        <v>185.00209724857743</v>
      </c>
      <c r="Q31" s="9">
        <f t="shared" si="1"/>
        <v>0.98614142821370643</v>
      </c>
      <c r="R31">
        <f>VLOOKUP($B$1,dictionary!$A$3:$K$51,3,FALSE)*Q31</f>
        <v>0.14792121423205595</v>
      </c>
      <c r="S31">
        <f>VLOOKUP($B$1,dictionary!$A$3:$K$51,4,FALSE)*Q31</f>
        <v>4.9307071410685327E-2</v>
      </c>
      <c r="T31">
        <f>VLOOKUP($B$1,dictionary!$A$3:$K$51,5,FALSE)*Q31</f>
        <v>0.39445657128548262</v>
      </c>
      <c r="U31">
        <f>VLOOKUP($B$1,dictionary!$A$3:$K$51,6,FALSE)*Q31</f>
        <v>0.19722828564274131</v>
      </c>
      <c r="V31">
        <f>VLOOKUP($B$1,dictionary!$A$3:$K$51,7,FALSE)*Q31</f>
        <v>4.9307071410685327E-2</v>
      </c>
      <c r="W31">
        <f>VLOOKUP($B$1,dictionary!$A$3:$K$51,8,FALSE)*Q31</f>
        <v>4.9307071410685327E-2</v>
      </c>
      <c r="X31">
        <f>VLOOKUP($B$1,dictionary!$A$3:$K$51,9,FALSE)*Q31</f>
        <v>4.9307071410685327E-2</v>
      </c>
      <c r="Y31">
        <f>VLOOKUP($B$1,dictionary!$A$3:$K$51,10,FALSE)*Q31</f>
        <v>4.9307071410685327E-2</v>
      </c>
      <c r="Z31">
        <f>VLOOKUP($B$1,dictionary!$A$3:$K$51,11,FALSE)*Q31</f>
        <v>0</v>
      </c>
      <c r="AA31">
        <f t="shared" si="2"/>
        <v>2.5998956863402896</v>
      </c>
      <c r="AB31">
        <f t="shared" si="11"/>
        <v>0.4859771736182526</v>
      </c>
      <c r="AC31">
        <f t="shared" si="12"/>
        <v>2.1139185127220368</v>
      </c>
      <c r="AD31">
        <f t="shared" si="3"/>
        <v>27.75031458728661</v>
      </c>
      <c r="AE31">
        <f t="shared" si="13"/>
        <v>4.1111577166350539</v>
      </c>
      <c r="AF31">
        <f t="shared" si="14"/>
        <v>82.223154332701085</v>
      </c>
      <c r="AG31">
        <f t="shared" si="15"/>
        <v>42.286193656817701</v>
      </c>
      <c r="AH31">
        <f t="shared" si="16"/>
        <v>9.7369524867672332</v>
      </c>
      <c r="AI31">
        <f t="shared" si="17"/>
        <v>9.7369524867672332</v>
      </c>
      <c r="AJ31">
        <f t="shared" si="18"/>
        <v>9.7369524867672332</v>
      </c>
      <c r="AK31">
        <f t="shared" si="19"/>
        <v>9.2501048624288718</v>
      </c>
      <c r="AL31">
        <f t="shared" si="20"/>
        <v>0</v>
      </c>
    </row>
    <row r="32" spans="1:38" x14ac:dyDescent="0.2">
      <c r="A32">
        <v>2049</v>
      </c>
      <c r="B32">
        <v>24</v>
      </c>
      <c r="C32">
        <f t="shared" si="21"/>
        <v>207.47862246531272</v>
      </c>
      <c r="D32">
        <f t="shared" si="23"/>
        <v>36.556285179805471</v>
      </c>
      <c r="E32">
        <f t="shared" si="4"/>
        <v>36.556285179805471</v>
      </c>
      <c r="F32">
        <f t="shared" si="5"/>
        <v>12.432561534740557</v>
      </c>
      <c r="G32" s="9">
        <f t="shared" si="6"/>
        <v>0.17619302049259136</v>
      </c>
      <c r="H32" s="9">
        <f t="shared" si="6"/>
        <v>0.17619302049259136</v>
      </c>
      <c r="I32" s="9">
        <f t="shared" si="6"/>
        <v>5.9922132637154429E-2</v>
      </c>
      <c r="J32" s="9">
        <f t="shared" si="7"/>
        <v>2.2905092664036879E-2</v>
      </c>
      <c r="K32" s="9">
        <f t="shared" si="8"/>
        <v>3.5238604098518277E-2</v>
      </c>
      <c r="L32" s="9">
        <f t="shared" si="9"/>
        <v>2.3968853054861773E-2</v>
      </c>
      <c r="M32">
        <f t="shared" si="0"/>
        <v>190.8946248526693</v>
      </c>
      <c r="N32">
        <f t="shared" si="10"/>
        <v>155.43397613219861</v>
      </c>
      <c r="O32">
        <f t="shared" si="24"/>
        <v>35.460648720470687</v>
      </c>
      <c r="P32">
        <f t="shared" si="22"/>
        <v>188.44737836911941</v>
      </c>
      <c r="Q32" s="9">
        <f t="shared" si="1"/>
        <v>0.987180118426914</v>
      </c>
      <c r="R32">
        <f>VLOOKUP($B$1,dictionary!$A$3:$K$51,3,FALSE)*Q32</f>
        <v>0.14807701776403709</v>
      </c>
      <c r="S32">
        <f>VLOOKUP($B$1,dictionary!$A$3:$K$51,4,FALSE)*Q32</f>
        <v>4.9359005921345706E-2</v>
      </c>
      <c r="T32">
        <f>VLOOKUP($B$1,dictionary!$A$3:$K$51,5,FALSE)*Q32</f>
        <v>0.39487204737076564</v>
      </c>
      <c r="U32">
        <f>VLOOKUP($B$1,dictionary!$A$3:$K$51,6,FALSE)*Q32</f>
        <v>0.19743602368538282</v>
      </c>
      <c r="V32">
        <f>VLOOKUP($B$1,dictionary!$A$3:$K$51,7,FALSE)*Q32</f>
        <v>4.9359005921345706E-2</v>
      </c>
      <c r="W32">
        <f>VLOOKUP($B$1,dictionary!$A$3:$K$51,8,FALSE)*Q32</f>
        <v>4.9359005921345706E-2</v>
      </c>
      <c r="X32">
        <f>VLOOKUP($B$1,dictionary!$A$3:$K$51,9,FALSE)*Q32</f>
        <v>4.9359005921345706E-2</v>
      </c>
      <c r="Y32">
        <f>VLOOKUP($B$1,dictionary!$A$3:$K$51,10,FALSE)*Q32</f>
        <v>4.9359005921345706E-2</v>
      </c>
      <c r="Z32">
        <f>VLOOKUP($B$1,dictionary!$A$3:$K$51,11,FALSE)*Q32</f>
        <v>0</v>
      </c>
      <c r="AA32">
        <f t="shared" si="2"/>
        <v>2.4472464835498897</v>
      </c>
      <c r="AB32">
        <f t="shared" si="11"/>
        <v>0.45460131710123591</v>
      </c>
      <c r="AC32">
        <f t="shared" si="12"/>
        <v>1.9926451664486537</v>
      </c>
      <c r="AD32">
        <f t="shared" si="3"/>
        <v>28.267106755367905</v>
      </c>
      <c r="AE32">
        <f t="shared" si="13"/>
        <v>4.1877195193137648</v>
      </c>
      <c r="AF32">
        <f t="shared" si="14"/>
        <v>83.754390386275304</v>
      </c>
      <c r="AG32">
        <f t="shared" si="15"/>
        <v>43.073686484370157</v>
      </c>
      <c r="AH32">
        <f t="shared" si="16"/>
        <v>9.9182830720589159</v>
      </c>
      <c r="AI32">
        <f t="shared" si="17"/>
        <v>9.9182830720589159</v>
      </c>
      <c r="AJ32">
        <f t="shared" si="18"/>
        <v>9.9182830720589159</v>
      </c>
      <c r="AK32">
        <f t="shared" si="19"/>
        <v>9.4223689184559714</v>
      </c>
      <c r="AL32">
        <f t="shared" si="20"/>
        <v>0</v>
      </c>
    </row>
    <row r="33" spans="1:38" x14ac:dyDescent="0.2">
      <c r="A33">
        <v>2050</v>
      </c>
      <c r="B33">
        <v>25</v>
      </c>
      <c r="C33">
        <f t="shared" si="21"/>
        <v>211.83567353708426</v>
      </c>
      <c r="D33">
        <f t="shared" si="23"/>
        <v>38.784178233047257</v>
      </c>
      <c r="E33">
        <f t="shared" si="4"/>
        <v>38.784178233047257</v>
      </c>
      <c r="F33">
        <f t="shared" si="5"/>
        <v>13.220459502792437</v>
      </c>
      <c r="G33" s="9">
        <f t="shared" si="6"/>
        <v>0.18308615156954497</v>
      </c>
      <c r="H33" s="9">
        <f t="shared" si="6"/>
        <v>0.18308615156954497</v>
      </c>
      <c r="I33" s="9">
        <f t="shared" si="6"/>
        <v>6.2409032822689538E-2</v>
      </c>
      <c r="J33" s="9">
        <f t="shared" si="7"/>
        <v>2.3801199704040849E-2</v>
      </c>
      <c r="K33" s="9">
        <f t="shared" si="8"/>
        <v>3.6617230313908997E-2</v>
      </c>
      <c r="L33" s="9">
        <f t="shared" si="9"/>
        <v>2.4963613129075815E-2</v>
      </c>
      <c r="M33">
        <f t="shared" si="0"/>
        <v>194.24822784422716</v>
      </c>
      <c r="N33">
        <f t="shared" si="10"/>
        <v>158.33209046498467</v>
      </c>
      <c r="O33">
        <f t="shared" si="24"/>
        <v>35.916137379242485</v>
      </c>
      <c r="P33">
        <f t="shared" si="22"/>
        <v>191.88685841237557</v>
      </c>
      <c r="Q33" s="9">
        <f t="shared" si="1"/>
        <v>0.98784354710435129</v>
      </c>
      <c r="R33">
        <f>VLOOKUP($B$1,dictionary!$A$3:$K$51,3,FALSE)*Q33</f>
        <v>0.14817653206565268</v>
      </c>
      <c r="S33">
        <f>VLOOKUP($B$1,dictionary!$A$3:$K$51,4,FALSE)*Q33</f>
        <v>4.9392177355217566E-2</v>
      </c>
      <c r="T33">
        <f>VLOOKUP($B$1,dictionary!$A$3:$K$51,5,FALSE)*Q33</f>
        <v>0.39513741884174053</v>
      </c>
      <c r="U33">
        <f>VLOOKUP($B$1,dictionary!$A$3:$K$51,6,FALSE)*Q33</f>
        <v>0.19756870942087026</v>
      </c>
      <c r="V33">
        <f>VLOOKUP($B$1,dictionary!$A$3:$K$51,7,FALSE)*Q33</f>
        <v>4.9392177355217566E-2</v>
      </c>
      <c r="W33">
        <f>VLOOKUP($B$1,dictionary!$A$3:$K$51,8,FALSE)*Q33</f>
        <v>4.9392177355217566E-2</v>
      </c>
      <c r="X33">
        <f>VLOOKUP($B$1,dictionary!$A$3:$K$51,9,FALSE)*Q33</f>
        <v>4.9392177355217566E-2</v>
      </c>
      <c r="Y33">
        <f>VLOOKUP($B$1,dictionary!$A$3:$K$51,10,FALSE)*Q33</f>
        <v>4.9392177355217566E-2</v>
      </c>
      <c r="Z33">
        <f>VLOOKUP($B$1,dictionary!$A$3:$K$51,11,FALSE)*Q33</f>
        <v>0</v>
      </c>
      <c r="AA33">
        <f t="shared" si="2"/>
        <v>2.3613694318515854</v>
      </c>
      <c r="AB33">
        <f t="shared" si="11"/>
        <v>0.43661283224440917</v>
      </c>
      <c r="AC33">
        <f t="shared" si="12"/>
        <v>1.9247565996071765</v>
      </c>
      <c r="AD33">
        <f t="shared" si="3"/>
        <v>28.783028761856336</v>
      </c>
      <c r="AE33">
        <f t="shared" si="13"/>
        <v>4.264152409163902</v>
      </c>
      <c r="AF33">
        <f t="shared" si="14"/>
        <v>85.283048183278041</v>
      </c>
      <c r="AG33">
        <f t="shared" si="15"/>
        <v>43.85985335140014</v>
      </c>
      <c r="AH33">
        <f t="shared" si="16"/>
        <v>10.099308337493451</v>
      </c>
      <c r="AI33">
        <f t="shared" si="17"/>
        <v>10.099308337493451</v>
      </c>
      <c r="AJ33">
        <f t="shared" si="18"/>
        <v>10.099308337493451</v>
      </c>
      <c r="AK33">
        <f t="shared" si="19"/>
        <v>9.5943429206187787</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2B91-9DFE-BA41-AE66-2E7A64F2778C}">
  <sheetPr>
    <tabColor theme="4" tint="0.79998168889431442"/>
  </sheetPr>
  <dimension ref="A1:AY37"/>
  <sheetViews>
    <sheetView topLeftCell="L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emissions!N24</f>
        <v>125.995648383874</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125.995648383874</v>
      </c>
      <c r="N8">
        <f>IF($N$7="LFO",M8/(1+EXP(-$I$4*(B8-$J$4)))-M8/(1+EXP($I$4*$J$4)),IF($N$7="MGO",M8/(1+EXP(-$I$5*(B8-$J$5)))-M8/(1+EXP($I$5*$J$5)),0))</f>
        <v>0</v>
      </c>
      <c r="O8">
        <f>M8-N8</f>
        <v>125.995648383874</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125.995648383874</v>
      </c>
      <c r="AB8">
        <f>O8/M8*AA8</f>
        <v>125.995648383874</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128.64155699993535</v>
      </c>
      <c r="D9">
        <f>IF($E$2=0,0,C9/(1+EXP(-$E$2*(B9-$G$2)))-C9/(1+EXP($E$2*$G$2)))</f>
        <v>0.96041131026554893</v>
      </c>
      <c r="E9">
        <f t="shared" ref="E9:E33" si="4">IF($E$3=0,0,C9/(1+EXP(-$E$3*(B9-$G$3)))-C9/(1+EXP($E$3*$G$3)))</f>
        <v>0.96041131026554893</v>
      </c>
      <c r="F9">
        <f t="shared" ref="F9:F33" si="5">IF($E$4=0,0,C9/(1+EXP(-$E$4*(B9-$G$4)))-C9/(1+EXP($E$4*$G$4)))</f>
        <v>0.32087869979622496</v>
      </c>
      <c r="G9" s="9">
        <f t="shared" ref="G9:I33" si="6">D9/$C9</f>
        <v>7.4657935791777744E-3</v>
      </c>
      <c r="H9" s="9">
        <f t="shared" si="6"/>
        <v>7.4657935791777744E-3</v>
      </c>
      <c r="I9" s="9">
        <f t="shared" si="6"/>
        <v>2.4943626871399439E-3</v>
      </c>
      <c r="J9" s="9">
        <f t="shared" ref="J9:J33" si="7">G9*$F$2</f>
        <v>9.7055316529311066E-4</v>
      </c>
      <c r="K9" s="9">
        <f t="shared" ref="K9:K33" si="8">H9*$F$3</f>
        <v>1.493158715835555E-3</v>
      </c>
      <c r="L9" s="9">
        <f t="shared" ref="L9:L33" si="9">I9*$F$4</f>
        <v>9.9774507485597751E-4</v>
      </c>
      <c r="M9">
        <f t="shared" si="0"/>
        <v>128.19677224873703</v>
      </c>
      <c r="N9">
        <f t="shared" ref="N9:N33" si="10">IF($N$7="LFO",M9/(1+EXP(-$I$4*(B9-$J$4)))-M9/(1+EXP($I$4*$J$4)),IF($N$7="MGO",M9/(1+EXP(-$I$5*(B9-$J$5)))-M9/(1+EXP($I$5*$J$5)),0))</f>
        <v>6.2880122832435141</v>
      </c>
      <c r="O9">
        <f>M9-N9</f>
        <v>121.90875996549352</v>
      </c>
      <c r="P9">
        <f>IF($I$3=0,0,M9/(1+EXP(-$I$3*(B9-$J$3)))-M9/(1+EXP($I$3*$J$3)))</f>
        <v>0.78675521683204042</v>
      </c>
      <c r="Q9" s="9">
        <f t="shared" si="1"/>
        <v>6.137090685134558E-3</v>
      </c>
      <c r="R9">
        <f>VLOOKUP($B$1,dictionary!$A$3:$K$51,3,FALSE)*Q9</f>
        <v>9.205636027701837E-4</v>
      </c>
      <c r="S9">
        <f>VLOOKUP($B$1,dictionary!$A$3:$K$51,4,FALSE)*Q9</f>
        <v>3.068545342567279E-4</v>
      </c>
      <c r="T9">
        <f>VLOOKUP($B$1,dictionary!$A$3:$K$51,5,FALSE)*Q9</f>
        <v>2.4548362740538232E-3</v>
      </c>
      <c r="U9">
        <f>VLOOKUP($B$1,dictionary!$A$3:$K$51,6,FALSE)*Q9</f>
        <v>1.2274181370269116E-3</v>
      </c>
      <c r="V9">
        <f>VLOOKUP($B$1,dictionary!$A$3:$K$51,7,FALSE)*Q9</f>
        <v>3.068545342567279E-4</v>
      </c>
      <c r="W9">
        <f>VLOOKUP($B$1,dictionary!$A$3:$K$51,8,FALSE)*Q9</f>
        <v>3.068545342567279E-4</v>
      </c>
      <c r="X9">
        <f>VLOOKUP($B$1,dictionary!$A$3:$K$51,9,FALSE)*Q9</f>
        <v>3.068545342567279E-4</v>
      </c>
      <c r="Y9">
        <f>VLOOKUP($B$1,dictionary!$A$3:$K$51,10,FALSE)*Q9</f>
        <v>3.068545342567279E-4</v>
      </c>
      <c r="Z9">
        <f>VLOOKUP($B$1,dictionary!$A$3:$K$51,11,FALSE)*Q9</f>
        <v>0</v>
      </c>
      <c r="AA9">
        <f t="shared" si="2"/>
        <v>127.410017031905</v>
      </c>
      <c r="AB9">
        <f t="shared" ref="AB9:AB33" si="11">O9/M9*AA9</f>
        <v>121.16059485027299</v>
      </c>
      <c r="AC9">
        <f t="shared" ref="AC9:AC33" si="12">N9/M9*AA9</f>
        <v>6.249422181632009</v>
      </c>
      <c r="AD9">
        <f t="shared" si="3"/>
        <v>0.11801328252480606</v>
      </c>
      <c r="AE9">
        <f t="shared" ref="AE9:AE33" si="13">S9*$O9*$AE$2+S9*$N9*$AE$3</f>
        <v>1.7483449262934235E-2</v>
      </c>
      <c r="AF9">
        <f t="shared" ref="AF9:AF33" si="14">T9*$O9*$AF$2+T9*$N9*$AF$3</f>
        <v>0.34966898525868467</v>
      </c>
      <c r="AG9">
        <f t="shared" ref="AG9:AG33" si="15">U9*$O9*$AG$2+U9*$N9*$AG$3</f>
        <v>0.17982976384732358</v>
      </c>
      <c r="AH9">
        <f t="shared" ref="AH9:AH33" si="16">V9*$O9*$AH$2+V9*$N9*$AH$3</f>
        <v>4.1408169306949495E-2</v>
      </c>
      <c r="AI9">
        <f t="shared" ref="AI9:AI33" si="17">W9*$O9*$AI$2+W9*$N9*$AI$3</f>
        <v>4.1408169306949495E-2</v>
      </c>
      <c r="AJ9">
        <f t="shared" ref="AJ9:AJ33" si="18">X9*$O9*$AJ$2+X9*$N9*$AJ$3</f>
        <v>4.1408169306949495E-2</v>
      </c>
      <c r="AK9">
        <f t="shared" ref="AK9:AK33" si="19">Y9*$O9*$AK$2+Y9*$N9*$AK$3</f>
        <v>3.9337760841602024E-2</v>
      </c>
      <c r="AL9">
        <f t="shared" ref="AL9:AL33" si="20">Z9*$O9*$AL$2+Z9*$N9*$AL$3</f>
        <v>0</v>
      </c>
    </row>
    <row r="10" spans="1:51" x14ac:dyDescent="0.2">
      <c r="A10">
        <v>2027</v>
      </c>
      <c r="B10">
        <v>2</v>
      </c>
      <c r="C10">
        <f t="shared" ref="C10:C33" si="21">C9*(1+$I$2)</f>
        <v>131.34302969693397</v>
      </c>
      <c r="D10">
        <f>IF($E$2=0,0,C10/(1+EXP(-$E$2*(B10-$G$2)))-C10/(1+EXP($E$2*$G$2)))</f>
        <v>1.9629242781759828</v>
      </c>
      <c r="E10">
        <f t="shared" si="4"/>
        <v>1.9629242781759828</v>
      </c>
      <c r="F10">
        <f t="shared" si="5"/>
        <v>0.65538166517500684</v>
      </c>
      <c r="G10" s="9">
        <f t="shared" si="6"/>
        <v>1.4945020551949432E-2</v>
      </c>
      <c r="H10" s="9">
        <f t="shared" si="6"/>
        <v>1.4945020551949432E-2</v>
      </c>
      <c r="I10" s="9">
        <f t="shared" si="6"/>
        <v>4.9898473233582329E-3</v>
      </c>
      <c r="J10" s="9">
        <f t="shared" si="7"/>
        <v>1.9428526717534262E-3</v>
      </c>
      <c r="K10" s="9">
        <f t="shared" si="8"/>
        <v>2.9890041103898864E-3</v>
      </c>
      <c r="L10" s="9">
        <f t="shared" si="9"/>
        <v>1.9959389293432933E-3</v>
      </c>
      <c r="M10">
        <f t="shared" si="0"/>
        <v>130.43516613063412</v>
      </c>
      <c r="N10">
        <f t="shared" si="10"/>
        <v>13.907646141099992</v>
      </c>
      <c r="O10">
        <f>M10-N10</f>
        <v>116.52751998953413</v>
      </c>
      <c r="P10">
        <f t="shared" ref="P10:P33" si="22">IF($I$3=0,0,M10/(1+EXP(-$I$3*(B10-$J$3)))-M10/(1+EXP($I$3*$J$3)))</f>
        <v>2.0360995884847384</v>
      </c>
      <c r="Q10" s="9">
        <f t="shared" si="1"/>
        <v>1.5610050946272673E-2</v>
      </c>
      <c r="R10">
        <f>VLOOKUP($B$1,dictionary!$A$3:$K$51,3,FALSE)*Q10</f>
        <v>2.3415076419409011E-3</v>
      </c>
      <c r="S10">
        <f>VLOOKUP($B$1,dictionary!$A$3:$K$51,4,FALSE)*Q10</f>
        <v>7.8050254731363373E-4</v>
      </c>
      <c r="T10">
        <f>VLOOKUP($B$1,dictionary!$A$3:$K$51,5,FALSE)*Q10</f>
        <v>6.2440203785090699E-3</v>
      </c>
      <c r="U10">
        <f>VLOOKUP($B$1,dictionary!$A$3:$K$51,6,FALSE)*Q10</f>
        <v>3.1220101892545349E-3</v>
      </c>
      <c r="V10">
        <f>VLOOKUP($B$1,dictionary!$A$3:$K$51,7,FALSE)*Q10</f>
        <v>7.8050254731363373E-4</v>
      </c>
      <c r="W10">
        <f>VLOOKUP($B$1,dictionary!$A$3:$K$51,8,FALSE)*Q10</f>
        <v>7.8050254731363373E-4</v>
      </c>
      <c r="X10">
        <f>VLOOKUP($B$1,dictionary!$A$3:$K$51,9,FALSE)*Q10</f>
        <v>7.8050254731363373E-4</v>
      </c>
      <c r="Y10">
        <f>VLOOKUP($B$1,dictionary!$A$3:$K$51,10,FALSE)*Q10</f>
        <v>7.8050254731363373E-4</v>
      </c>
      <c r="Z10">
        <f>VLOOKUP($B$1,dictionary!$A$3:$K$51,11,FALSE)*Q10</f>
        <v>0</v>
      </c>
      <c r="AA10">
        <f t="shared" si="2"/>
        <v>128.39906654214937</v>
      </c>
      <c r="AB10">
        <f t="shared" si="11"/>
        <v>114.70851946585469</v>
      </c>
      <c r="AC10">
        <f t="shared" si="12"/>
        <v>13.690547076294687</v>
      </c>
      <c r="AD10">
        <f t="shared" si="3"/>
        <v>0.30541493827271082</v>
      </c>
      <c r="AE10">
        <f t="shared" si="13"/>
        <v>4.5246657521883088E-2</v>
      </c>
      <c r="AF10">
        <f t="shared" si="14"/>
        <v>0.90493315043766165</v>
      </c>
      <c r="AG10">
        <f t="shared" si="15"/>
        <v>0.46539419165365459</v>
      </c>
      <c r="AH10">
        <f t="shared" si="16"/>
        <v>0.10716313623603888</v>
      </c>
      <c r="AI10">
        <f t="shared" si="17"/>
        <v>0.10716313623603888</v>
      </c>
      <c r="AJ10">
        <f t="shared" si="18"/>
        <v>0.10716313623603888</v>
      </c>
      <c r="AK10">
        <f t="shared" si="19"/>
        <v>0.10180497942423693</v>
      </c>
      <c r="AL10">
        <f t="shared" si="20"/>
        <v>0</v>
      </c>
    </row>
    <row r="11" spans="1:51" x14ac:dyDescent="0.2">
      <c r="A11">
        <v>2028</v>
      </c>
      <c r="B11">
        <v>3</v>
      </c>
      <c r="C11">
        <f t="shared" si="21"/>
        <v>134.10123332056958</v>
      </c>
      <c r="D11">
        <f t="shared" ref="D11:D33" si="23">IF($E$2=0,0,C11/(1+EXP(-$E$2*(B11-$G$2)))-C11/(1+EXP($E$2*$G$2)))</f>
        <v>3.008473162171498</v>
      </c>
      <c r="E11">
        <f t="shared" si="4"/>
        <v>3.008473162171498</v>
      </c>
      <c r="F11">
        <f t="shared" si="5"/>
        <v>1.0039260609075313</v>
      </c>
      <c r="G11" s="9">
        <f t="shared" si="6"/>
        <v>2.2434343724339431E-2</v>
      </c>
      <c r="H11" s="9">
        <f t="shared" si="6"/>
        <v>2.2434343724339431E-2</v>
      </c>
      <c r="I11" s="9">
        <f t="shared" si="6"/>
        <v>7.4863298125502076E-3</v>
      </c>
      <c r="J11" s="9">
        <f t="shared" si="7"/>
        <v>2.9164646841641261E-3</v>
      </c>
      <c r="K11" s="9">
        <f t="shared" si="8"/>
        <v>4.4868687448678867E-3</v>
      </c>
      <c r="L11" s="9">
        <f t="shared" si="9"/>
        <v>2.994531925020083E-3</v>
      </c>
      <c r="M11">
        <f t="shared" si="0"/>
        <v>132.71158927871497</v>
      </c>
      <c r="N11">
        <f t="shared" si="10"/>
        <v>22.815533562321374</v>
      </c>
      <c r="O11">
        <f t="shared" ref="O11:O33" si="24">M11-N11</f>
        <v>109.89605571639359</v>
      </c>
      <c r="P11">
        <f t="shared" si="22"/>
        <v>3.9951942176574402</v>
      </c>
      <c r="Q11" s="9">
        <f t="shared" si="1"/>
        <v>3.0104335569871833E-2</v>
      </c>
      <c r="R11">
        <f>VLOOKUP($B$1,dictionary!$A$3:$K$51,3,FALSE)*Q11</f>
        <v>4.5156503354807746E-3</v>
      </c>
      <c r="S11">
        <f>VLOOKUP($B$1,dictionary!$A$3:$K$51,4,FALSE)*Q11</f>
        <v>1.5052167784935918E-3</v>
      </c>
      <c r="T11">
        <f>VLOOKUP($B$1,dictionary!$A$3:$K$51,5,FALSE)*Q11</f>
        <v>1.2041734227948735E-2</v>
      </c>
      <c r="U11">
        <f>VLOOKUP($B$1,dictionary!$A$3:$K$51,6,FALSE)*Q11</f>
        <v>6.0208671139743673E-3</v>
      </c>
      <c r="V11">
        <f>VLOOKUP($B$1,dictionary!$A$3:$K$51,7,FALSE)*Q11</f>
        <v>1.5052167784935918E-3</v>
      </c>
      <c r="W11">
        <f>VLOOKUP($B$1,dictionary!$A$3:$K$51,8,FALSE)*Q11</f>
        <v>1.5052167784935918E-3</v>
      </c>
      <c r="X11">
        <f>VLOOKUP($B$1,dictionary!$A$3:$K$51,9,FALSE)*Q11</f>
        <v>1.5052167784935918E-3</v>
      </c>
      <c r="Y11">
        <f>VLOOKUP($B$1,dictionary!$A$3:$K$51,10,FALSE)*Q11</f>
        <v>1.5052167784935918E-3</v>
      </c>
      <c r="Z11">
        <f>VLOOKUP($B$1,dictionary!$A$3:$K$51,11,FALSE)*Q11</f>
        <v>0</v>
      </c>
      <c r="AA11">
        <f t="shared" si="2"/>
        <v>128.71639506105754</v>
      </c>
      <c r="AB11">
        <f t="shared" si="11"/>
        <v>106.58770797730196</v>
      </c>
      <c r="AC11">
        <f t="shared" si="12"/>
        <v>22.12868708375558</v>
      </c>
      <c r="AD11">
        <f t="shared" si="3"/>
        <v>0.59927913264861599</v>
      </c>
      <c r="AE11">
        <f t="shared" si="13"/>
        <v>8.8782093725720906E-2</v>
      </c>
      <c r="AF11">
        <f t="shared" si="14"/>
        <v>1.7756418745144182</v>
      </c>
      <c r="AG11">
        <f t="shared" si="15"/>
        <v>0.91318724975027243</v>
      </c>
      <c r="AH11">
        <f t="shared" si="16"/>
        <v>0.21027337987670741</v>
      </c>
      <c r="AI11">
        <f t="shared" si="17"/>
        <v>0.21027337987670741</v>
      </c>
      <c r="AJ11">
        <f t="shared" si="18"/>
        <v>0.21027337987670741</v>
      </c>
      <c r="AK11">
        <f t="shared" si="19"/>
        <v>0.19975971088287203</v>
      </c>
      <c r="AL11">
        <f t="shared" si="20"/>
        <v>0</v>
      </c>
    </row>
    <row r="12" spans="1:51" x14ac:dyDescent="0.2">
      <c r="A12">
        <v>2029</v>
      </c>
      <c r="B12">
        <v>4</v>
      </c>
      <c r="C12">
        <f t="shared" si="21"/>
        <v>136.91735922030153</v>
      </c>
      <c r="D12">
        <f t="shared" si="23"/>
        <v>4.0979923954219828</v>
      </c>
      <c r="E12">
        <f t="shared" si="4"/>
        <v>4.0979923954219828</v>
      </c>
      <c r="F12">
        <f t="shared" si="5"/>
        <v>1.3669399031719109</v>
      </c>
      <c r="G12" s="9">
        <f t="shared" si="6"/>
        <v>2.9930407793129197E-2</v>
      </c>
      <c r="H12" s="9">
        <f t="shared" si="6"/>
        <v>2.9930407793129197E-2</v>
      </c>
      <c r="I12" s="9">
        <f t="shared" si="6"/>
        <v>9.9836858595299793E-3</v>
      </c>
      <c r="J12" s="9">
        <f t="shared" si="7"/>
        <v>3.8909530131067955E-3</v>
      </c>
      <c r="K12" s="9">
        <f t="shared" si="8"/>
        <v>5.9860815586258399E-3</v>
      </c>
      <c r="L12" s="9">
        <f t="shared" si="9"/>
        <v>3.9934743438119922E-3</v>
      </c>
      <c r="M12">
        <f t="shared" si="0"/>
        <v>135.02682257752147</v>
      </c>
      <c r="N12">
        <f t="shared" si="10"/>
        <v>32.829335942396398</v>
      </c>
      <c r="O12">
        <f t="shared" si="24"/>
        <v>102.19748663512507</v>
      </c>
      <c r="P12">
        <f t="shared" si="22"/>
        <v>7.0195602221686375</v>
      </c>
      <c r="Q12" s="9">
        <f t="shared" si="1"/>
        <v>5.198641342640329E-2</v>
      </c>
      <c r="R12">
        <f>VLOOKUP($B$1,dictionary!$A$3:$K$51,3,FALSE)*Q12</f>
        <v>7.7979620139604928E-3</v>
      </c>
      <c r="S12">
        <f>VLOOKUP($B$1,dictionary!$A$3:$K$51,4,FALSE)*Q12</f>
        <v>2.5993206713201648E-3</v>
      </c>
      <c r="T12">
        <f>VLOOKUP($B$1,dictionary!$A$3:$K$51,5,FALSE)*Q12</f>
        <v>2.0794565370561319E-2</v>
      </c>
      <c r="U12">
        <f>VLOOKUP($B$1,dictionary!$A$3:$K$51,6,FALSE)*Q12</f>
        <v>1.0397282685280659E-2</v>
      </c>
      <c r="V12">
        <f>VLOOKUP($B$1,dictionary!$A$3:$K$51,7,FALSE)*Q12</f>
        <v>2.5993206713201648E-3</v>
      </c>
      <c r="W12">
        <f>VLOOKUP($B$1,dictionary!$A$3:$K$51,8,FALSE)*Q12</f>
        <v>2.5993206713201648E-3</v>
      </c>
      <c r="X12">
        <f>VLOOKUP($B$1,dictionary!$A$3:$K$51,9,FALSE)*Q12</f>
        <v>2.5993206713201648E-3</v>
      </c>
      <c r="Y12">
        <f>VLOOKUP($B$1,dictionary!$A$3:$K$51,10,FALSE)*Q12</f>
        <v>2.5993206713201648E-3</v>
      </c>
      <c r="Z12">
        <f>VLOOKUP($B$1,dictionary!$A$3:$K$51,11,FALSE)*Q12</f>
        <v>0</v>
      </c>
      <c r="AA12">
        <f t="shared" si="2"/>
        <v>128.00726235535282</v>
      </c>
      <c r="AB12">
        <f t="shared" si="11"/>
        <v>96.884605843772135</v>
      </c>
      <c r="AC12">
        <f t="shared" si="12"/>
        <v>31.122656511580693</v>
      </c>
      <c r="AD12">
        <f t="shared" si="3"/>
        <v>1.0529340333252954</v>
      </c>
      <c r="AE12">
        <f t="shared" si="13"/>
        <v>0.15599022715930308</v>
      </c>
      <c r="AF12">
        <f t="shared" si="14"/>
        <v>3.1198045431860617</v>
      </c>
      <c r="AG12">
        <f t="shared" si="15"/>
        <v>1.6044709079242603</v>
      </c>
      <c r="AH12">
        <f t="shared" si="16"/>
        <v>0.36945053800887562</v>
      </c>
      <c r="AI12">
        <f t="shared" si="17"/>
        <v>0.36945053800887562</v>
      </c>
      <c r="AJ12">
        <f t="shared" si="18"/>
        <v>0.36945053800887562</v>
      </c>
      <c r="AK12">
        <f t="shared" si="19"/>
        <v>0.35097801110843191</v>
      </c>
      <c r="AL12">
        <f t="shared" si="20"/>
        <v>0</v>
      </c>
    </row>
    <row r="13" spans="1:51" x14ac:dyDescent="0.2">
      <c r="A13">
        <v>2030</v>
      </c>
      <c r="B13">
        <v>5</v>
      </c>
      <c r="C13">
        <f t="shared" si="21"/>
        <v>139.79262376392785</v>
      </c>
      <c r="D13">
        <f t="shared" si="23"/>
        <v>5.2324162876807918</v>
      </c>
      <c r="E13">
        <f t="shared" si="4"/>
        <v>5.2324162876807918</v>
      </c>
      <c r="F13">
        <f t="shared" si="5"/>
        <v>1.7448623124262213</v>
      </c>
      <c r="G13" s="9">
        <f t="shared" si="6"/>
        <v>3.7429845343749581E-2</v>
      </c>
      <c r="H13" s="9">
        <f t="shared" si="6"/>
        <v>3.7429845343749581E-2</v>
      </c>
      <c r="I13" s="9">
        <f t="shared" si="6"/>
        <v>1.2481790994729625E-2</v>
      </c>
      <c r="J13" s="9">
        <f t="shared" si="7"/>
        <v>4.8658798946874457E-3</v>
      </c>
      <c r="K13" s="9">
        <f t="shared" si="8"/>
        <v>7.4859690687499167E-3</v>
      </c>
      <c r="L13" s="9">
        <f t="shared" si="9"/>
        <v>4.99271639789185E-3</v>
      </c>
      <c r="M13">
        <f t="shared" si="0"/>
        <v>137.38166901294304</v>
      </c>
      <c r="N13">
        <f t="shared" si="10"/>
        <v>43.628911575393914</v>
      </c>
      <c r="O13">
        <f t="shared" si="24"/>
        <v>93.752757437549121</v>
      </c>
      <c r="P13">
        <f t="shared" si="22"/>
        <v>11.589864111390343</v>
      </c>
      <c r="Q13" s="9">
        <f t="shared" si="1"/>
        <v>8.4362522268516302E-2</v>
      </c>
      <c r="R13">
        <f>VLOOKUP($B$1,dictionary!$A$3:$K$51,3,FALSE)*Q13</f>
        <v>1.2654378340277444E-2</v>
      </c>
      <c r="S13">
        <f>VLOOKUP($B$1,dictionary!$A$3:$K$51,4,FALSE)*Q13</f>
        <v>4.2181261134258156E-3</v>
      </c>
      <c r="T13">
        <f>VLOOKUP($B$1,dictionary!$A$3:$K$51,5,FALSE)*Q13</f>
        <v>3.3745008907406525E-2</v>
      </c>
      <c r="U13">
        <f>VLOOKUP($B$1,dictionary!$A$3:$K$51,6,FALSE)*Q13</f>
        <v>1.6872504453703262E-2</v>
      </c>
      <c r="V13">
        <f>VLOOKUP($B$1,dictionary!$A$3:$K$51,7,FALSE)*Q13</f>
        <v>4.2181261134258156E-3</v>
      </c>
      <c r="W13">
        <f>VLOOKUP($B$1,dictionary!$A$3:$K$51,8,FALSE)*Q13</f>
        <v>4.2181261134258156E-3</v>
      </c>
      <c r="X13">
        <f>VLOOKUP($B$1,dictionary!$A$3:$K$51,9,FALSE)*Q13</f>
        <v>4.2181261134258156E-3</v>
      </c>
      <c r="Y13">
        <f>VLOOKUP($B$1,dictionary!$A$3:$K$51,10,FALSE)*Q13</f>
        <v>4.2181261134258156E-3</v>
      </c>
      <c r="Z13">
        <f>VLOOKUP($B$1,dictionary!$A$3:$K$51,11,FALSE)*Q13</f>
        <v>0</v>
      </c>
      <c r="AA13">
        <f t="shared" si="2"/>
        <v>125.79180490155269</v>
      </c>
      <c r="AB13">
        <f t="shared" si="11"/>
        <v>85.843538350489084</v>
      </c>
      <c r="AC13">
        <f t="shared" si="12"/>
        <v>39.948266551063618</v>
      </c>
      <c r="AD13">
        <f t="shared" si="3"/>
        <v>1.7384796167085512</v>
      </c>
      <c r="AE13">
        <f t="shared" si="13"/>
        <v>0.25755253580867432</v>
      </c>
      <c r="AF13">
        <f t="shared" si="14"/>
        <v>5.1510507161734864</v>
      </c>
      <c r="AG13">
        <f t="shared" si="15"/>
        <v>2.6491117968892222</v>
      </c>
      <c r="AH13">
        <f t="shared" si="16"/>
        <v>0.60999284796791287</v>
      </c>
      <c r="AI13">
        <f t="shared" si="17"/>
        <v>0.60999284796791287</v>
      </c>
      <c r="AJ13">
        <f t="shared" si="18"/>
        <v>0.60999284796791287</v>
      </c>
      <c r="AK13">
        <f t="shared" si="19"/>
        <v>0.57949320556951722</v>
      </c>
      <c r="AL13">
        <f t="shared" si="20"/>
        <v>0</v>
      </c>
    </row>
    <row r="14" spans="1:51" x14ac:dyDescent="0.2">
      <c r="A14">
        <v>2031</v>
      </c>
      <c r="B14">
        <v>6</v>
      </c>
      <c r="C14">
        <f t="shared" si="21"/>
        <v>142.72826886297031</v>
      </c>
      <c r="D14">
        <f t="shared" si="23"/>
        <v>6.4126787687680746</v>
      </c>
      <c r="E14">
        <f t="shared" si="4"/>
        <v>6.4126787687680746</v>
      </c>
      <c r="F14">
        <f t="shared" si="5"/>
        <v>2.1381437717577114</v>
      </c>
      <c r="G14" s="9">
        <f t="shared" si="6"/>
        <v>4.4929282894369864E-2</v>
      </c>
      <c r="H14" s="9">
        <f t="shared" si="6"/>
        <v>4.4929282894369864E-2</v>
      </c>
      <c r="I14" s="9">
        <f t="shared" si="6"/>
        <v>1.4980520598974598E-2</v>
      </c>
      <c r="J14" s="9">
        <f t="shared" si="7"/>
        <v>5.8408067762680824E-3</v>
      </c>
      <c r="K14" s="9">
        <f t="shared" si="8"/>
        <v>8.9858565788739735E-3</v>
      </c>
      <c r="L14" s="9">
        <f t="shared" si="9"/>
        <v>5.9922082395898399E-3</v>
      </c>
      <c r="M14">
        <f t="shared" si="0"/>
        <v>139.77695413136587</v>
      </c>
      <c r="N14">
        <f t="shared" si="10"/>
        <v>54.794941250018162</v>
      </c>
      <c r="O14">
        <f t="shared" si="24"/>
        <v>84.982012881347714</v>
      </c>
      <c r="P14">
        <f t="shared" si="22"/>
        <v>18.291788415960511</v>
      </c>
      <c r="Q14" s="9">
        <f t="shared" si="1"/>
        <v>0.13086412226989458</v>
      </c>
      <c r="R14">
        <f>VLOOKUP($B$1,dictionary!$A$3:$K$51,3,FALSE)*Q14</f>
        <v>1.9629618340484187E-2</v>
      </c>
      <c r="S14">
        <f>VLOOKUP($B$1,dictionary!$A$3:$K$51,4,FALSE)*Q14</f>
        <v>6.5432061134947294E-3</v>
      </c>
      <c r="T14">
        <f>VLOOKUP($B$1,dictionary!$A$3:$K$51,5,FALSE)*Q14</f>
        <v>5.2345648907957835E-2</v>
      </c>
      <c r="U14">
        <f>VLOOKUP($B$1,dictionary!$A$3:$K$51,6,FALSE)*Q14</f>
        <v>2.6172824453978918E-2</v>
      </c>
      <c r="V14">
        <f>VLOOKUP($B$1,dictionary!$A$3:$K$51,7,FALSE)*Q14</f>
        <v>6.5432061134947294E-3</v>
      </c>
      <c r="W14">
        <f>VLOOKUP($B$1,dictionary!$A$3:$K$51,8,FALSE)*Q14</f>
        <v>6.5432061134947294E-3</v>
      </c>
      <c r="X14">
        <f>VLOOKUP($B$1,dictionary!$A$3:$K$51,9,FALSE)*Q14</f>
        <v>6.5432061134947294E-3</v>
      </c>
      <c r="Y14">
        <f>VLOOKUP($B$1,dictionary!$A$3:$K$51,10,FALSE)*Q14</f>
        <v>6.5432061134947294E-3</v>
      </c>
      <c r="Z14">
        <f>VLOOKUP($B$1,dictionary!$A$3:$K$51,11,FALSE)*Q14</f>
        <v>0</v>
      </c>
      <c r="AA14">
        <f t="shared" si="2"/>
        <v>121.48516571540536</v>
      </c>
      <c r="AB14">
        <f t="shared" si="11"/>
        <v>73.860916356901271</v>
      </c>
      <c r="AC14">
        <f t="shared" si="12"/>
        <v>47.624249358504095</v>
      </c>
      <c r="AD14">
        <f t="shared" si="3"/>
        <v>2.7437682623940765</v>
      </c>
      <c r="AE14">
        <f t="shared" si="13"/>
        <v>0.4064841870213447</v>
      </c>
      <c r="AF14">
        <f t="shared" si="14"/>
        <v>8.1296837404268949</v>
      </c>
      <c r="AG14">
        <f t="shared" si="15"/>
        <v>4.1809802093624029</v>
      </c>
      <c r="AH14">
        <f t="shared" si="16"/>
        <v>0.96272570610318464</v>
      </c>
      <c r="AI14">
        <f t="shared" si="17"/>
        <v>0.96272570610318464</v>
      </c>
      <c r="AJ14">
        <f t="shared" si="18"/>
        <v>0.96272570610318464</v>
      </c>
      <c r="AK14">
        <f t="shared" si="19"/>
        <v>0.91458942079802552</v>
      </c>
      <c r="AL14">
        <f t="shared" si="20"/>
        <v>0</v>
      </c>
    </row>
    <row r="15" spans="1:51" x14ac:dyDescent="0.2">
      <c r="A15">
        <v>2032</v>
      </c>
      <c r="B15">
        <v>7</v>
      </c>
      <c r="C15">
        <f t="shared" si="21"/>
        <v>145.72556250909267</v>
      </c>
      <c r="D15">
        <f t="shared" si="23"/>
        <v>7.6397131759407841</v>
      </c>
      <c r="E15">
        <f t="shared" si="4"/>
        <v>7.6397131759407841</v>
      </c>
      <c r="F15">
        <f t="shared" si="5"/>
        <v>2.5472463908226501</v>
      </c>
      <c r="G15" s="9">
        <f t="shared" si="6"/>
        <v>5.2425346963159591E-2</v>
      </c>
      <c r="H15" s="9">
        <f t="shared" si="6"/>
        <v>5.2425346963159591E-2</v>
      </c>
      <c r="I15" s="9">
        <f t="shared" si="6"/>
        <v>1.7479749928319629E-2</v>
      </c>
      <c r="J15" s="9">
        <f t="shared" si="7"/>
        <v>6.8152951052107471E-3</v>
      </c>
      <c r="K15" s="9">
        <f t="shared" si="8"/>
        <v>1.048506939263192E-2</v>
      </c>
      <c r="L15" s="9">
        <f t="shared" si="9"/>
        <v>6.9918999713278517E-3</v>
      </c>
      <c r="M15">
        <f t="shared" si="0"/>
        <v>142.21352649176552</v>
      </c>
      <c r="N15">
        <f t="shared" si="10"/>
        <v>65.877683147408177</v>
      </c>
      <c r="O15">
        <f t="shared" si="24"/>
        <v>76.335843344357343</v>
      </c>
      <c r="P15">
        <f>IF($I$3=0,0,M15/(1+EXP(-$I$3*(B15-$J$3)))-M15/(1+EXP($I$3*$J$3)))</f>
        <v>27.715059717124269</v>
      </c>
      <c r="Q15" s="9">
        <f t="shared" si="1"/>
        <v>0.19488342917035414</v>
      </c>
      <c r="R15">
        <f>VLOOKUP($B$1,dictionary!$A$3:$K$51,3,FALSE)*Q15</f>
        <v>2.9232514375553121E-2</v>
      </c>
      <c r="S15">
        <f>VLOOKUP($B$1,dictionary!$A$3:$K$51,4,FALSE)*Q15</f>
        <v>9.7441714585177076E-3</v>
      </c>
      <c r="T15">
        <f>VLOOKUP($B$1,dictionary!$A$3:$K$51,5,FALSE)*Q15</f>
        <v>7.7953371668141661E-2</v>
      </c>
      <c r="U15">
        <f>VLOOKUP($B$1,dictionary!$A$3:$K$51,6,FALSE)*Q15</f>
        <v>3.897668583407083E-2</v>
      </c>
      <c r="V15">
        <f>VLOOKUP($B$1,dictionary!$A$3:$K$51,7,FALSE)*Q15</f>
        <v>9.7441714585177076E-3</v>
      </c>
      <c r="W15">
        <f>VLOOKUP($B$1,dictionary!$A$3:$K$51,8,FALSE)*Q15</f>
        <v>9.7441714585177076E-3</v>
      </c>
      <c r="X15">
        <f>VLOOKUP($B$1,dictionary!$A$3:$K$51,9,FALSE)*Q15</f>
        <v>9.7441714585177076E-3</v>
      </c>
      <c r="Y15">
        <f>VLOOKUP($B$1,dictionary!$A$3:$K$51,10,FALSE)*Q15</f>
        <v>9.7441714585177076E-3</v>
      </c>
      <c r="Z15">
        <f>VLOOKUP($B$1,dictionary!$A$3:$K$51,11,FALSE)*Q15</f>
        <v>0</v>
      </c>
      <c r="AA15">
        <f t="shared" si="2"/>
        <v>114.49846677464126</v>
      </c>
      <c r="AB15">
        <f t="shared" si="11"/>
        <v>61.459252424798031</v>
      </c>
      <c r="AC15">
        <f t="shared" si="12"/>
        <v>53.039214349843228</v>
      </c>
      <c r="AD15">
        <f t="shared" si="3"/>
        <v>4.1572589575686401</v>
      </c>
      <c r="AE15">
        <f t="shared" si="13"/>
        <v>0.61589021593609494</v>
      </c>
      <c r="AF15">
        <f t="shared" si="14"/>
        <v>12.317804318721898</v>
      </c>
      <c r="AG15">
        <f t="shared" si="15"/>
        <v>6.3348707924855479</v>
      </c>
      <c r="AH15">
        <f t="shared" si="16"/>
        <v>1.4586873535328562</v>
      </c>
      <c r="AI15">
        <f t="shared" si="17"/>
        <v>1.4586873535328562</v>
      </c>
      <c r="AJ15">
        <f t="shared" si="18"/>
        <v>1.4586873535328562</v>
      </c>
      <c r="AK15">
        <f t="shared" si="19"/>
        <v>1.3857529858562134</v>
      </c>
      <c r="AL15">
        <f t="shared" si="20"/>
        <v>0</v>
      </c>
    </row>
    <row r="16" spans="1:51" x14ac:dyDescent="0.2">
      <c r="A16">
        <v>2033</v>
      </c>
      <c r="B16">
        <v>8</v>
      </c>
      <c r="C16">
        <f t="shared" si="21"/>
        <v>148.7857993217836</v>
      </c>
      <c r="D16">
        <f t="shared" si="23"/>
        <v>8.9144520872187485</v>
      </c>
      <c r="E16">
        <f t="shared" si="4"/>
        <v>8.9144520872187485</v>
      </c>
      <c r="F16">
        <f t="shared" si="5"/>
        <v>2.9726441754952191</v>
      </c>
      <c r="G16" s="9">
        <f t="shared" si="6"/>
        <v>5.991467013554963E-2</v>
      </c>
      <c r="H16" s="9">
        <f t="shared" si="6"/>
        <v>5.991467013554963E-2</v>
      </c>
      <c r="I16" s="9">
        <f t="shared" si="6"/>
        <v>1.9979354138940308E-2</v>
      </c>
      <c r="J16" s="9">
        <f t="shared" si="7"/>
        <v>7.7889071176214519E-3</v>
      </c>
      <c r="K16" s="9">
        <f t="shared" si="8"/>
        <v>1.1982934027109926E-2</v>
      </c>
      <c r="L16" s="9">
        <f t="shared" si="9"/>
        <v>7.991741655576123E-3</v>
      </c>
      <c r="M16">
        <f t="shared" si="0"/>
        <v>144.6922581105716</v>
      </c>
      <c r="N16">
        <f t="shared" si="10"/>
        <v>76.473327960854022</v>
      </c>
      <c r="O16">
        <f t="shared" si="24"/>
        <v>68.218930149717579</v>
      </c>
      <c r="P16">
        <f t="shared" si="22"/>
        <v>40.233643634220194</v>
      </c>
      <c r="Q16" s="9">
        <f t="shared" si="1"/>
        <v>0.27806355474440286</v>
      </c>
      <c r="R16">
        <f>VLOOKUP($B$1,dictionary!$A$3:$K$51,3,FALSE)*Q16</f>
        <v>4.1709533211660425E-2</v>
      </c>
      <c r="S16">
        <f>VLOOKUP($B$1,dictionary!$A$3:$K$51,4,FALSE)*Q16</f>
        <v>1.3903177737220144E-2</v>
      </c>
      <c r="T16">
        <f>VLOOKUP($B$1,dictionary!$A$3:$K$51,5,FALSE)*Q16</f>
        <v>0.11122542189776115</v>
      </c>
      <c r="U16">
        <f>VLOOKUP($B$1,dictionary!$A$3:$K$51,6,FALSE)*Q16</f>
        <v>5.5612710948880574E-2</v>
      </c>
      <c r="V16">
        <f>VLOOKUP($B$1,dictionary!$A$3:$K$51,7,FALSE)*Q16</f>
        <v>1.3903177737220144E-2</v>
      </c>
      <c r="W16">
        <f>VLOOKUP($B$1,dictionary!$A$3:$K$51,8,FALSE)*Q16</f>
        <v>1.3903177737220144E-2</v>
      </c>
      <c r="X16">
        <f>VLOOKUP($B$1,dictionary!$A$3:$K$51,9,FALSE)*Q16</f>
        <v>1.3903177737220144E-2</v>
      </c>
      <c r="Y16">
        <f>VLOOKUP($B$1,dictionary!$A$3:$K$51,10,FALSE)*Q16</f>
        <v>1.3903177737220144E-2</v>
      </c>
      <c r="Z16">
        <f>VLOOKUP($B$1,dictionary!$A$3:$K$51,11,FALSE)*Q16</f>
        <v>0</v>
      </c>
      <c r="AA16">
        <f t="shared" si="2"/>
        <v>104.45861447635141</v>
      </c>
      <c r="AB16">
        <f t="shared" si="11"/>
        <v>49.249731931426993</v>
      </c>
      <c r="AC16">
        <f t="shared" si="12"/>
        <v>55.208882544924421</v>
      </c>
      <c r="AD16">
        <f t="shared" si="3"/>
        <v>6.035046545133028</v>
      </c>
      <c r="AE16">
        <f t="shared" si="13"/>
        <v>0.8940809696493377</v>
      </c>
      <c r="AF16">
        <f t="shared" si="14"/>
        <v>17.881619392986753</v>
      </c>
      <c r="AG16">
        <f t="shared" si="15"/>
        <v>9.1962614021074742</v>
      </c>
      <c r="AH16">
        <f t="shared" si="16"/>
        <v>2.1175601912747473</v>
      </c>
      <c r="AI16">
        <f t="shared" si="17"/>
        <v>2.1175601912747473</v>
      </c>
      <c r="AJ16">
        <f t="shared" si="18"/>
        <v>2.1175601912747473</v>
      </c>
      <c r="AK16">
        <f t="shared" si="19"/>
        <v>2.0116821817110098</v>
      </c>
      <c r="AL16">
        <f t="shared" si="20"/>
        <v>0</v>
      </c>
    </row>
    <row r="17" spans="1:38" x14ac:dyDescent="0.2">
      <c r="A17">
        <v>2034</v>
      </c>
      <c r="B17">
        <v>9</v>
      </c>
      <c r="C17">
        <f t="shared" si="21"/>
        <v>151.91030110754104</v>
      </c>
      <c r="D17">
        <f t="shared" si="23"/>
        <v>10.237827202535726</v>
      </c>
      <c r="E17">
        <f t="shared" si="4"/>
        <v>10.237827202535726</v>
      </c>
      <c r="F17">
        <f t="shared" si="5"/>
        <v>3.4148233033449458</v>
      </c>
      <c r="G17" s="9">
        <f t="shared" si="6"/>
        <v>6.7393897108321291E-2</v>
      </c>
      <c r="H17" s="9">
        <f t="shared" si="6"/>
        <v>6.7393897108321291E-2</v>
      </c>
      <c r="I17" s="9">
        <f t="shared" si="6"/>
        <v>2.2479208312065079E-2</v>
      </c>
      <c r="J17" s="9">
        <f t="shared" si="7"/>
        <v>8.7612066240817677E-3</v>
      </c>
      <c r="K17" s="9">
        <f t="shared" si="8"/>
        <v>1.3478779421664259E-2</v>
      </c>
      <c r="L17" s="9">
        <f t="shared" si="9"/>
        <v>8.9916833248260327E-3</v>
      </c>
      <c r="M17">
        <f t="shared" si="0"/>
        <v>147.21404489921181</v>
      </c>
      <c r="N17">
        <f t="shared" si="10"/>
        <v>86.282042731790241</v>
      </c>
      <c r="O17">
        <f t="shared" si="24"/>
        <v>60.932002167421572</v>
      </c>
      <c r="P17">
        <f t="shared" si="22"/>
        <v>55.701941029665534</v>
      </c>
      <c r="Q17" s="9">
        <f t="shared" si="1"/>
        <v>0.37837382342018483</v>
      </c>
      <c r="R17">
        <f>VLOOKUP($B$1,dictionary!$A$3:$K$51,3,FALSE)*Q17</f>
        <v>5.6756073513027722E-2</v>
      </c>
      <c r="S17">
        <f>VLOOKUP($B$1,dictionary!$A$3:$K$51,4,FALSE)*Q17</f>
        <v>1.8918691171009243E-2</v>
      </c>
      <c r="T17">
        <f>VLOOKUP($B$1,dictionary!$A$3:$K$51,5,FALSE)*Q17</f>
        <v>0.15134952936807394</v>
      </c>
      <c r="U17">
        <f>VLOOKUP($B$1,dictionary!$A$3:$K$51,6,FALSE)*Q17</f>
        <v>7.5674764684036971E-2</v>
      </c>
      <c r="V17">
        <f>VLOOKUP($B$1,dictionary!$A$3:$K$51,7,FALSE)*Q17</f>
        <v>1.8918691171009243E-2</v>
      </c>
      <c r="W17">
        <f>VLOOKUP($B$1,dictionary!$A$3:$K$51,8,FALSE)*Q17</f>
        <v>1.8918691171009243E-2</v>
      </c>
      <c r="X17">
        <f>VLOOKUP($B$1,dictionary!$A$3:$K$51,9,FALSE)*Q17</f>
        <v>1.8918691171009243E-2</v>
      </c>
      <c r="Y17">
        <f>VLOOKUP($B$1,dictionary!$A$3:$K$51,10,FALSE)*Q17</f>
        <v>1.8918691171009243E-2</v>
      </c>
      <c r="Z17">
        <f>VLOOKUP($B$1,dictionary!$A$3:$K$51,11,FALSE)*Q17</f>
        <v>0</v>
      </c>
      <c r="AA17">
        <f t="shared" si="2"/>
        <v>91.51210386954628</v>
      </c>
      <c r="AB17">
        <f t="shared" si="11"/>
        <v>37.876927538687283</v>
      </c>
      <c r="AC17">
        <f t="shared" si="12"/>
        <v>53.635176330859004</v>
      </c>
      <c r="AD17">
        <f t="shared" si="3"/>
        <v>8.3552911544498301</v>
      </c>
      <c r="AE17">
        <f t="shared" si="13"/>
        <v>1.2378209117703451</v>
      </c>
      <c r="AF17">
        <f t="shared" si="14"/>
        <v>24.756418235406905</v>
      </c>
      <c r="AG17">
        <f t="shared" si="15"/>
        <v>12.731872235352125</v>
      </c>
      <c r="AH17">
        <f t="shared" si="16"/>
        <v>2.9316811068245014</v>
      </c>
      <c r="AI17">
        <f t="shared" si="17"/>
        <v>2.9316811068245014</v>
      </c>
      <c r="AJ17">
        <f t="shared" si="18"/>
        <v>2.9316811068245014</v>
      </c>
      <c r="AK17">
        <f t="shared" si="19"/>
        <v>2.7850970514832767</v>
      </c>
      <c r="AL17">
        <f t="shared" si="20"/>
        <v>0</v>
      </c>
    </row>
    <row r="18" spans="1:38" x14ac:dyDescent="0.2">
      <c r="A18">
        <v>2035</v>
      </c>
      <c r="B18">
        <v>10</v>
      </c>
      <c r="C18">
        <f t="shared" si="21"/>
        <v>155.10041743079938</v>
      </c>
      <c r="D18">
        <f t="shared" si="23"/>
        <v>11.610769274371634</v>
      </c>
      <c r="E18">
        <f t="shared" si="4"/>
        <v>11.610769274371634</v>
      </c>
      <c r="F18">
        <f t="shared" si="5"/>
        <v>3.8742824050657987</v>
      </c>
      <c r="G18" s="9">
        <f t="shared" si="6"/>
        <v>7.4859690687499092E-2</v>
      </c>
      <c r="H18" s="9">
        <f t="shared" si="6"/>
        <v>7.4859690687499092E-2</v>
      </c>
      <c r="I18" s="9">
        <f t="shared" si="6"/>
        <v>2.4979187478940047E-2</v>
      </c>
      <c r="J18" s="9">
        <f t="shared" si="7"/>
        <v>9.7317597893748827E-3</v>
      </c>
      <c r="K18" s="9">
        <f t="shared" si="8"/>
        <v>1.4971938137499819E-2</v>
      </c>
      <c r="L18" s="9">
        <f t="shared" si="9"/>
        <v>9.9916749915760199E-3</v>
      </c>
      <c r="M18">
        <f t="shared" si="0"/>
        <v>149.77980709432609</v>
      </c>
      <c r="N18">
        <f t="shared" si="10"/>
        <v>95.132487564731193</v>
      </c>
      <c r="O18">
        <f t="shared" si="24"/>
        <v>54.647319529594895</v>
      </c>
      <c r="P18">
        <f t="shared" si="22"/>
        <v>73.244281399396371</v>
      </c>
      <c r="Q18" s="9">
        <f t="shared" si="1"/>
        <v>0.48901305736940681</v>
      </c>
      <c r="R18">
        <f>VLOOKUP($B$1,dictionary!$A$3:$K$51,3,FALSE)*Q18</f>
        <v>7.3351958605411022E-2</v>
      </c>
      <c r="S18">
        <f>VLOOKUP($B$1,dictionary!$A$3:$K$51,4,FALSE)*Q18</f>
        <v>2.4450652868470341E-2</v>
      </c>
      <c r="T18">
        <f>VLOOKUP($B$1,dictionary!$A$3:$K$51,5,FALSE)*Q18</f>
        <v>0.19560522294776272</v>
      </c>
      <c r="U18">
        <f>VLOOKUP($B$1,dictionary!$A$3:$K$51,6,FALSE)*Q18</f>
        <v>9.7802611473881362E-2</v>
      </c>
      <c r="V18">
        <f>VLOOKUP($B$1,dictionary!$A$3:$K$51,7,FALSE)*Q18</f>
        <v>2.4450652868470341E-2</v>
      </c>
      <c r="W18">
        <f>VLOOKUP($B$1,dictionary!$A$3:$K$51,8,FALSE)*Q18</f>
        <v>2.4450652868470341E-2</v>
      </c>
      <c r="X18">
        <f>VLOOKUP($B$1,dictionary!$A$3:$K$51,9,FALSE)*Q18</f>
        <v>2.4450652868470341E-2</v>
      </c>
      <c r="Y18">
        <f>VLOOKUP($B$1,dictionary!$A$3:$K$51,10,FALSE)*Q18</f>
        <v>2.4450652868470341E-2</v>
      </c>
      <c r="Z18">
        <f>VLOOKUP($B$1,dictionary!$A$3:$K$51,11,FALSE)*Q18</f>
        <v>0</v>
      </c>
      <c r="AA18">
        <f t="shared" si="2"/>
        <v>76.535525694929717</v>
      </c>
      <c r="AB18">
        <f t="shared" si="11"/>
        <v>27.924066729384801</v>
      </c>
      <c r="AC18">
        <f t="shared" si="12"/>
        <v>48.611458965544919</v>
      </c>
      <c r="AD18">
        <f t="shared" si="3"/>
        <v>10.986642209909455</v>
      </c>
      <c r="AE18">
        <f t="shared" si="13"/>
        <v>1.6276506977643637</v>
      </c>
      <c r="AF18">
        <f t="shared" si="14"/>
        <v>32.55301395528727</v>
      </c>
      <c r="AG18">
        <f t="shared" si="15"/>
        <v>16.741550034147743</v>
      </c>
      <c r="AH18">
        <f t="shared" si="16"/>
        <v>3.8549621789155974</v>
      </c>
      <c r="AI18">
        <f t="shared" si="17"/>
        <v>3.8549621789155974</v>
      </c>
      <c r="AJ18">
        <f t="shared" si="18"/>
        <v>3.8549621789155974</v>
      </c>
      <c r="AK18">
        <f t="shared" si="19"/>
        <v>3.662214069969818</v>
      </c>
      <c r="AL18">
        <f t="shared" si="20"/>
        <v>0</v>
      </c>
    </row>
    <row r="19" spans="1:38" x14ac:dyDescent="0.2">
      <c r="A19">
        <v>2036</v>
      </c>
      <c r="B19">
        <v>11</v>
      </c>
      <c r="C19">
        <f t="shared" si="21"/>
        <v>158.35752619684615</v>
      </c>
      <c r="D19">
        <f t="shared" si="23"/>
        <v>13.034208089301359</v>
      </c>
      <c r="E19">
        <f t="shared" si="4"/>
        <v>13.034208089301359</v>
      </c>
      <c r="F19">
        <f t="shared" si="5"/>
        <v>4.3515328519821566</v>
      </c>
      <c r="G19" s="9">
        <f t="shared" si="6"/>
        <v>8.2308737717329591E-2</v>
      </c>
      <c r="H19" s="9">
        <f t="shared" si="6"/>
        <v>8.2308737717329591E-2</v>
      </c>
      <c r="I19" s="9">
        <f t="shared" si="6"/>
        <v>2.7479166645815043E-2</v>
      </c>
      <c r="J19" s="9">
        <f t="shared" si="7"/>
        <v>1.0700135903252847E-2</v>
      </c>
      <c r="K19" s="9">
        <f t="shared" si="8"/>
        <v>1.646174754346592E-2</v>
      </c>
      <c r="L19" s="9">
        <f t="shared" si="9"/>
        <v>1.0991666658326018E-2</v>
      </c>
      <c r="M19">
        <f t="shared" si="0"/>
        <v>152.39048968072032</v>
      </c>
      <c r="N19">
        <f t="shared" si="10"/>
        <v>102.9738215356908</v>
      </c>
      <c r="O19">
        <f t="shared" si="24"/>
        <v>49.416668145029519</v>
      </c>
      <c r="P19">
        <f t="shared" si="22"/>
        <v>91.381306312211805</v>
      </c>
      <c r="Q19" s="9">
        <f t="shared" si="1"/>
        <v>0.59965229131862885</v>
      </c>
      <c r="R19">
        <f>VLOOKUP($B$1,dictionary!$A$3:$K$51,3,FALSE)*Q19</f>
        <v>8.9947843697794322E-2</v>
      </c>
      <c r="S19">
        <f>VLOOKUP($B$1,dictionary!$A$3:$K$51,4,FALSE)*Q19</f>
        <v>2.9982614565931445E-2</v>
      </c>
      <c r="T19">
        <f>VLOOKUP($B$1,dictionary!$A$3:$K$51,5,FALSE)*Q19</f>
        <v>0.23986091652745156</v>
      </c>
      <c r="U19">
        <f>VLOOKUP($B$1,dictionary!$A$3:$K$51,6,FALSE)*Q19</f>
        <v>0.11993045826372578</v>
      </c>
      <c r="V19">
        <f>VLOOKUP($B$1,dictionary!$A$3:$K$51,7,FALSE)*Q19</f>
        <v>2.9982614565931445E-2</v>
      </c>
      <c r="W19">
        <f>VLOOKUP($B$1,dictionary!$A$3:$K$51,8,FALSE)*Q19</f>
        <v>2.9982614565931445E-2</v>
      </c>
      <c r="X19">
        <f>VLOOKUP($B$1,dictionary!$A$3:$K$51,9,FALSE)*Q19</f>
        <v>2.9982614565931445E-2</v>
      </c>
      <c r="Y19">
        <f>VLOOKUP($B$1,dictionary!$A$3:$K$51,10,FALSE)*Q19</f>
        <v>2.9982614565931445E-2</v>
      </c>
      <c r="Z19">
        <f>VLOOKUP($B$1,dictionary!$A$3:$K$51,11,FALSE)*Q19</f>
        <v>0</v>
      </c>
      <c r="AA19">
        <f t="shared" si="2"/>
        <v>61.009183368508516</v>
      </c>
      <c r="AB19">
        <f t="shared" si="11"/>
        <v>19.783849862530271</v>
      </c>
      <c r="AC19">
        <f t="shared" si="12"/>
        <v>41.225333505978242</v>
      </c>
      <c r="AD19">
        <f t="shared" si="3"/>
        <v>13.707195946831771</v>
      </c>
      <c r="AE19">
        <f t="shared" si="13"/>
        <v>2.0306956958269291</v>
      </c>
      <c r="AF19">
        <f t="shared" si="14"/>
        <v>40.613913916538586</v>
      </c>
      <c r="AG19">
        <f t="shared" si="15"/>
        <v>20.887155728505562</v>
      </c>
      <c r="AH19">
        <f t="shared" si="16"/>
        <v>4.8095424374848319</v>
      </c>
      <c r="AI19">
        <f t="shared" si="17"/>
        <v>4.8095424374848319</v>
      </c>
      <c r="AJ19">
        <f t="shared" si="18"/>
        <v>4.8095424374848319</v>
      </c>
      <c r="AK19">
        <f t="shared" si="19"/>
        <v>4.5690653156105903</v>
      </c>
      <c r="AL19">
        <f t="shared" si="20"/>
        <v>0</v>
      </c>
    </row>
    <row r="20" spans="1:38" x14ac:dyDescent="0.2">
      <c r="A20">
        <v>2037</v>
      </c>
      <c r="B20">
        <v>12</v>
      </c>
      <c r="C20">
        <f t="shared" si="21"/>
        <v>161.6830342469799</v>
      </c>
      <c r="D20">
        <f t="shared" si="23"/>
        <v>14.509072501666182</v>
      </c>
      <c r="E20">
        <f t="shared" si="4"/>
        <v>14.509072501666182</v>
      </c>
      <c r="F20">
        <f t="shared" si="5"/>
        <v>4.8470990497595494</v>
      </c>
      <c r="G20" s="9">
        <f t="shared" si="6"/>
        <v>8.9737754918074827E-2</v>
      </c>
      <c r="H20" s="9">
        <f t="shared" si="6"/>
        <v>8.9737754918074827E-2</v>
      </c>
      <c r="I20" s="9">
        <f t="shared" si="6"/>
        <v>2.9979020818939689E-2</v>
      </c>
      <c r="J20" s="9">
        <f t="shared" si="7"/>
        <v>1.1665908139349729E-2</v>
      </c>
      <c r="K20" s="9">
        <f t="shared" si="8"/>
        <v>1.7947550983614967E-2</v>
      </c>
      <c r="L20" s="9">
        <f t="shared" si="9"/>
        <v>1.1991608327575877E-2</v>
      </c>
      <c r="M20">
        <f t="shared" si="0"/>
        <v>155.04706280721521</v>
      </c>
      <c r="N20">
        <f t="shared" si="10"/>
        <v>109.84737947198823</v>
      </c>
      <c r="O20">
        <f t="shared" si="24"/>
        <v>45.199683335226979</v>
      </c>
      <c r="P20">
        <f>IF($I$3=0,0,M20/(1+EXP(-$I$3*(B20-$J$3)))-M20/(1+EXP($I$3*$J$3)))</f>
        <v>108.52713900215254</v>
      </c>
      <c r="Q20" s="9">
        <f t="shared" si="1"/>
        <v>0.6999625599944107</v>
      </c>
      <c r="R20">
        <f>VLOOKUP($B$1,dictionary!$A$3:$K$51,3,FALSE)*Q20</f>
        <v>0.1049943839991616</v>
      </c>
      <c r="S20">
        <f>VLOOKUP($B$1,dictionary!$A$3:$K$51,4,FALSE)*Q20</f>
        <v>3.4998127999720539E-2</v>
      </c>
      <c r="T20">
        <f>VLOOKUP($B$1,dictionary!$A$3:$K$51,5,FALSE)*Q20</f>
        <v>0.27998502399776432</v>
      </c>
      <c r="U20">
        <f>VLOOKUP($B$1,dictionary!$A$3:$K$51,6,FALSE)*Q20</f>
        <v>0.13999251199888216</v>
      </c>
      <c r="V20">
        <f>VLOOKUP($B$1,dictionary!$A$3:$K$51,7,FALSE)*Q20</f>
        <v>3.4998127999720539E-2</v>
      </c>
      <c r="W20">
        <f>VLOOKUP($B$1,dictionary!$A$3:$K$51,8,FALSE)*Q20</f>
        <v>3.4998127999720539E-2</v>
      </c>
      <c r="X20">
        <f>VLOOKUP($B$1,dictionary!$A$3:$K$51,9,FALSE)*Q20</f>
        <v>3.4998127999720539E-2</v>
      </c>
      <c r="Y20">
        <f>VLOOKUP($B$1,dictionary!$A$3:$K$51,10,FALSE)*Q20</f>
        <v>3.4998127999720539E-2</v>
      </c>
      <c r="Z20">
        <f>VLOOKUP($B$1,dictionary!$A$3:$K$51,11,FALSE)*Q20</f>
        <v>0</v>
      </c>
      <c r="AA20">
        <f t="shared" si="2"/>
        <v>46.519923805062675</v>
      </c>
      <c r="AB20">
        <f t="shared" si="11"/>
        <v>13.561597276964802</v>
      </c>
      <c r="AC20">
        <f t="shared" si="12"/>
        <v>32.958326528097878</v>
      </c>
      <c r="AD20">
        <f t="shared" si="3"/>
        <v>16.279070850322881</v>
      </c>
      <c r="AE20">
        <f t="shared" si="13"/>
        <v>2.4117142000478347</v>
      </c>
      <c r="AF20">
        <f t="shared" si="14"/>
        <v>48.234284000956691</v>
      </c>
      <c r="AG20">
        <f t="shared" si="15"/>
        <v>24.806203200492018</v>
      </c>
      <c r="AH20">
        <f t="shared" si="16"/>
        <v>5.7119546843238185</v>
      </c>
      <c r="AI20">
        <f t="shared" si="17"/>
        <v>5.7119546843238185</v>
      </c>
      <c r="AJ20">
        <f t="shared" si="18"/>
        <v>5.7119546843238185</v>
      </c>
      <c r="AK20">
        <f t="shared" si="19"/>
        <v>5.4263569501076274</v>
      </c>
      <c r="AL20">
        <f t="shared" si="20"/>
        <v>0</v>
      </c>
    </row>
    <row r="21" spans="1:38" x14ac:dyDescent="0.2">
      <c r="A21">
        <v>2038</v>
      </c>
      <c r="B21">
        <v>13</v>
      </c>
      <c r="C21">
        <f t="shared" si="21"/>
        <v>165.07837796616647</v>
      </c>
      <c r="D21">
        <f t="shared" si="23"/>
        <v>16.036290520339421</v>
      </c>
      <c r="E21">
        <f t="shared" si="4"/>
        <v>16.036290520339421</v>
      </c>
      <c r="F21">
        <f t="shared" si="5"/>
        <v>5.3615187384511671</v>
      </c>
      <c r="G21" s="9">
        <f t="shared" si="6"/>
        <v>9.7143494610942488E-2</v>
      </c>
      <c r="H21" s="9">
        <f t="shared" si="6"/>
        <v>9.7143494610942488E-2</v>
      </c>
      <c r="I21" s="9">
        <f t="shared" si="6"/>
        <v>3.2478625029560407E-2</v>
      </c>
      <c r="J21" s="9">
        <f t="shared" si="7"/>
        <v>1.2628654299422525E-2</v>
      </c>
      <c r="K21" s="9">
        <f t="shared" si="8"/>
        <v>1.94286989221885E-2</v>
      </c>
      <c r="L21" s="9">
        <f t="shared" si="9"/>
        <v>1.2991450011824163E-2</v>
      </c>
      <c r="M21">
        <f t="shared" si="0"/>
        <v>157.75052219562363</v>
      </c>
      <c r="N21">
        <f t="shared" si="10"/>
        <v>115.85226424902638</v>
      </c>
      <c r="O21">
        <f t="shared" si="24"/>
        <v>41.898257946597255</v>
      </c>
      <c r="P21">
        <f t="shared" si="22"/>
        <v>123.54116760210758</v>
      </c>
      <c r="Q21" s="9">
        <f t="shared" si="1"/>
        <v>0.78314268556845956</v>
      </c>
      <c r="R21">
        <f>VLOOKUP($B$1,dictionary!$A$3:$K$51,3,FALSE)*Q21</f>
        <v>0.11747140283526893</v>
      </c>
      <c r="S21">
        <f>VLOOKUP($B$1,dictionary!$A$3:$K$51,4,FALSE)*Q21</f>
        <v>3.9157134278422982E-2</v>
      </c>
      <c r="T21">
        <f>VLOOKUP($B$1,dictionary!$A$3:$K$51,5,FALSE)*Q21</f>
        <v>0.31325707422738386</v>
      </c>
      <c r="U21">
        <f>VLOOKUP($B$1,dictionary!$A$3:$K$51,6,FALSE)*Q21</f>
        <v>0.15662853711369193</v>
      </c>
      <c r="V21">
        <f>VLOOKUP($B$1,dictionary!$A$3:$K$51,7,FALSE)*Q21</f>
        <v>3.9157134278422982E-2</v>
      </c>
      <c r="W21">
        <f>VLOOKUP($B$1,dictionary!$A$3:$K$51,8,FALSE)*Q21</f>
        <v>3.9157134278422982E-2</v>
      </c>
      <c r="X21">
        <f>VLOOKUP($B$1,dictionary!$A$3:$K$51,9,FALSE)*Q21</f>
        <v>3.9157134278422982E-2</v>
      </c>
      <c r="Y21">
        <f>VLOOKUP($B$1,dictionary!$A$3:$K$51,10,FALSE)*Q21</f>
        <v>3.9157134278422982E-2</v>
      </c>
      <c r="Z21">
        <f>VLOOKUP($B$1,dictionary!$A$3:$K$51,11,FALSE)*Q21</f>
        <v>0</v>
      </c>
      <c r="AA21">
        <f t="shared" si="2"/>
        <v>34.209354593516053</v>
      </c>
      <c r="AB21">
        <f t="shared" si="11"/>
        <v>9.0859436976590295</v>
      </c>
      <c r="AC21">
        <f t="shared" si="12"/>
        <v>25.123410895857027</v>
      </c>
      <c r="AD21">
        <f t="shared" si="3"/>
        <v>18.531175140316137</v>
      </c>
      <c r="AE21">
        <f t="shared" si="13"/>
        <v>2.7453592800468352</v>
      </c>
      <c r="AF21">
        <f t="shared" si="14"/>
        <v>54.907185600936707</v>
      </c>
      <c r="AG21">
        <f t="shared" si="15"/>
        <v>28.237981166196025</v>
      </c>
      <c r="AH21">
        <f t="shared" si="16"/>
        <v>6.5021667159003993</v>
      </c>
      <c r="AI21">
        <f t="shared" si="17"/>
        <v>6.5021667159003993</v>
      </c>
      <c r="AJ21">
        <f t="shared" si="18"/>
        <v>6.5021667159003993</v>
      </c>
      <c r="AK21">
        <f t="shared" si="19"/>
        <v>6.1770583801053798</v>
      </c>
      <c r="AL21">
        <f t="shared" si="20"/>
        <v>0</v>
      </c>
    </row>
    <row r="22" spans="1:38" x14ac:dyDescent="0.2">
      <c r="A22">
        <v>2039</v>
      </c>
      <c r="B22">
        <v>14</v>
      </c>
      <c r="C22">
        <f t="shared" si="21"/>
        <v>168.54502390345596</v>
      </c>
      <c r="D22">
        <f t="shared" si="23"/>
        <v>17.616789449319725</v>
      </c>
      <c r="E22">
        <f t="shared" si="4"/>
        <v>17.616789449319725</v>
      </c>
      <c r="F22">
        <f t="shared" si="5"/>
        <v>5.8953432990133336</v>
      </c>
      <c r="G22" s="9">
        <f t="shared" si="6"/>
        <v>0.10452275030920387</v>
      </c>
      <c r="H22" s="9">
        <f t="shared" si="6"/>
        <v>0.10452275030920387</v>
      </c>
      <c r="I22" s="9">
        <f t="shared" si="6"/>
        <v>3.4977854358905533E-2</v>
      </c>
      <c r="J22" s="9">
        <f t="shared" si="7"/>
        <v>1.3587957540196503E-2</v>
      </c>
      <c r="K22" s="9">
        <f t="shared" si="8"/>
        <v>2.0904550061840776E-2</v>
      </c>
      <c r="L22" s="9">
        <f t="shared" si="9"/>
        <v>1.3991141743562214E-2</v>
      </c>
      <c r="M22">
        <f t="shared" si="0"/>
        <v>160.5018895431721</v>
      </c>
      <c r="N22">
        <f t="shared" si="10"/>
        <v>121.11490563332609</v>
      </c>
      <c r="O22">
        <f t="shared" si="24"/>
        <v>39.386983909846009</v>
      </c>
      <c r="P22">
        <f t="shared" si="22"/>
        <v>135.97110054042003</v>
      </c>
      <c r="Q22" s="9">
        <f t="shared" si="1"/>
        <v>0.84716199246891899</v>
      </c>
      <c r="R22">
        <f>VLOOKUP($B$1,dictionary!$A$3:$K$51,3,FALSE)*Q22</f>
        <v>0.12707429887033783</v>
      </c>
      <c r="S22">
        <f>VLOOKUP($B$1,dictionary!$A$3:$K$51,4,FALSE)*Q22</f>
        <v>4.2358099623445951E-2</v>
      </c>
      <c r="T22">
        <f>VLOOKUP($B$1,dictionary!$A$3:$K$51,5,FALSE)*Q22</f>
        <v>0.33886479698756761</v>
      </c>
      <c r="U22">
        <f>VLOOKUP($B$1,dictionary!$A$3:$K$51,6,FALSE)*Q22</f>
        <v>0.1694323984937838</v>
      </c>
      <c r="V22">
        <f>VLOOKUP($B$1,dictionary!$A$3:$K$51,7,FALSE)*Q22</f>
        <v>4.2358099623445951E-2</v>
      </c>
      <c r="W22">
        <f>VLOOKUP($B$1,dictionary!$A$3:$K$51,8,FALSE)*Q22</f>
        <v>4.2358099623445951E-2</v>
      </c>
      <c r="X22">
        <f>VLOOKUP($B$1,dictionary!$A$3:$K$51,9,FALSE)*Q22</f>
        <v>4.2358099623445951E-2</v>
      </c>
      <c r="Y22">
        <f>VLOOKUP($B$1,dictionary!$A$3:$K$51,10,FALSE)*Q22</f>
        <v>4.2358099623445951E-2</v>
      </c>
      <c r="Z22">
        <f>VLOOKUP($B$1,dictionary!$A$3:$K$51,11,FALSE)*Q22</f>
        <v>0</v>
      </c>
      <c r="AA22">
        <f t="shared" si="2"/>
        <v>24.530789002752073</v>
      </c>
      <c r="AB22">
        <f t="shared" si="11"/>
        <v>6.0198281434396117</v>
      </c>
      <c r="AC22">
        <f t="shared" si="12"/>
        <v>18.510960859312462</v>
      </c>
      <c r="AD22">
        <f t="shared" si="3"/>
        <v>20.395665081063001</v>
      </c>
      <c r="AE22">
        <f t="shared" si="13"/>
        <v>3.0215800120093341</v>
      </c>
      <c r="AF22">
        <f t="shared" si="14"/>
        <v>60.431600240186683</v>
      </c>
      <c r="AG22">
        <f t="shared" si="15"/>
        <v>31.079108694953153</v>
      </c>
      <c r="AH22">
        <f t="shared" si="16"/>
        <v>7.1563737126536848</v>
      </c>
      <c r="AI22">
        <f t="shared" si="17"/>
        <v>7.1563737126536848</v>
      </c>
      <c r="AJ22">
        <f t="shared" si="18"/>
        <v>7.1563737126536848</v>
      </c>
      <c r="AK22">
        <f t="shared" si="19"/>
        <v>6.7985550270210009</v>
      </c>
      <c r="AL22">
        <f t="shared" si="20"/>
        <v>0</v>
      </c>
    </row>
    <row r="23" spans="1:38" x14ac:dyDescent="0.2">
      <c r="A23">
        <v>2040</v>
      </c>
      <c r="B23">
        <v>15</v>
      </c>
      <c r="C23">
        <f t="shared" si="21"/>
        <v>172.08446940542851</v>
      </c>
      <c r="D23">
        <f t="shared" si="23"/>
        <v>19.251496082645417</v>
      </c>
      <c r="E23">
        <f t="shared" si="4"/>
        <v>19.251496082645417</v>
      </c>
      <c r="F23">
        <f t="shared" si="5"/>
        <v>6.4491380664267126</v>
      </c>
      <c r="G23" s="9">
        <f t="shared" si="6"/>
        <v>0.11187236215540854</v>
      </c>
      <c r="H23" s="9">
        <f t="shared" si="6"/>
        <v>0.11187236215540854</v>
      </c>
      <c r="I23" s="9">
        <f t="shared" si="6"/>
        <v>3.747658396315031E-2</v>
      </c>
      <c r="J23" s="9">
        <f t="shared" si="7"/>
        <v>1.4543407080203111E-2</v>
      </c>
      <c r="K23" s="9">
        <f t="shared" si="8"/>
        <v>2.2374472431081708E-2</v>
      </c>
      <c r="L23" s="9">
        <f t="shared" si="9"/>
        <v>1.4990633585260125E-2</v>
      </c>
      <c r="M23">
        <f t="shared" si="0"/>
        <v>163.30221291875947</v>
      </c>
      <c r="N23">
        <f t="shared" si="10"/>
        <v>125.76697114881657</v>
      </c>
      <c r="O23">
        <f t="shared" si="24"/>
        <v>37.5352417699429</v>
      </c>
      <c r="P23">
        <f t="shared" si="22"/>
        <v>145.93724225532802</v>
      </c>
      <c r="Q23" s="9">
        <f t="shared" si="1"/>
        <v>0.89366359247029759</v>
      </c>
      <c r="R23">
        <f>VLOOKUP($B$1,dictionary!$A$3:$K$51,3,FALSE)*Q23</f>
        <v>0.13404953887054463</v>
      </c>
      <c r="S23">
        <f>VLOOKUP($B$1,dictionary!$A$3:$K$51,4,FALSE)*Q23</f>
        <v>4.4683179623514882E-2</v>
      </c>
      <c r="T23">
        <f>VLOOKUP($B$1,dictionary!$A$3:$K$51,5,FALSE)*Q23</f>
        <v>0.35746543698811906</v>
      </c>
      <c r="U23">
        <f>VLOOKUP($B$1,dictionary!$A$3:$K$51,6,FALSE)*Q23</f>
        <v>0.17873271849405953</v>
      </c>
      <c r="V23">
        <f>VLOOKUP($B$1,dictionary!$A$3:$K$51,7,FALSE)*Q23</f>
        <v>4.4683179623514882E-2</v>
      </c>
      <c r="W23">
        <f>VLOOKUP($B$1,dictionary!$A$3:$K$51,8,FALSE)*Q23</f>
        <v>4.4683179623514882E-2</v>
      </c>
      <c r="X23">
        <f>VLOOKUP($B$1,dictionary!$A$3:$K$51,9,FALSE)*Q23</f>
        <v>4.4683179623514882E-2</v>
      </c>
      <c r="Y23">
        <f>VLOOKUP($B$1,dictionary!$A$3:$K$51,10,FALSE)*Q23</f>
        <v>4.4683179623514882E-2</v>
      </c>
      <c r="Z23">
        <f>VLOOKUP($B$1,dictionary!$A$3:$K$51,11,FALSE)*Q23</f>
        <v>0</v>
      </c>
      <c r="AA23">
        <f t="shared" si="2"/>
        <v>17.36497066343145</v>
      </c>
      <c r="AB23">
        <f t="shared" si="11"/>
        <v>3.9913627655745585</v>
      </c>
      <c r="AC23">
        <f t="shared" si="12"/>
        <v>13.373607897856891</v>
      </c>
      <c r="AD23">
        <f t="shared" si="3"/>
        <v>21.890586338299201</v>
      </c>
      <c r="AE23">
        <f t="shared" si="13"/>
        <v>3.2430498278961792</v>
      </c>
      <c r="AF23">
        <f t="shared" si="14"/>
        <v>64.860996557923571</v>
      </c>
      <c r="AG23">
        <f t="shared" si="15"/>
        <v>33.357083944074986</v>
      </c>
      <c r="AH23">
        <f t="shared" si="16"/>
        <v>7.6809074871225285</v>
      </c>
      <c r="AI23">
        <f t="shared" si="17"/>
        <v>7.6809074871225285</v>
      </c>
      <c r="AJ23">
        <f t="shared" si="18"/>
        <v>7.6809074871225285</v>
      </c>
      <c r="AK23">
        <f t="shared" si="19"/>
        <v>7.2968621127664015</v>
      </c>
      <c r="AL23">
        <f t="shared" si="20"/>
        <v>0</v>
      </c>
    </row>
    <row r="24" spans="1:38" x14ac:dyDescent="0.2">
      <c r="A24">
        <v>2041</v>
      </c>
      <c r="B24">
        <v>16</v>
      </c>
      <c r="C24">
        <f t="shared" si="21"/>
        <v>175.6982432629425</v>
      </c>
      <c r="D24">
        <f t="shared" si="23"/>
        <v>20.941336953883962</v>
      </c>
      <c r="E24">
        <f t="shared" si="4"/>
        <v>20.941336953883962</v>
      </c>
      <c r="F24">
        <f t="shared" si="5"/>
        <v>7.0234826495624105</v>
      </c>
      <c r="G24" s="9">
        <f t="shared" si="6"/>
        <v>0.11918922218558582</v>
      </c>
      <c r="H24" s="9">
        <f t="shared" si="6"/>
        <v>0.11918922218558582</v>
      </c>
      <c r="I24" s="9">
        <f t="shared" si="6"/>
        <v>3.9974689098350093E-2</v>
      </c>
      <c r="J24" s="9">
        <f t="shared" si="7"/>
        <v>1.5494598884126158E-2</v>
      </c>
      <c r="K24" s="9">
        <f t="shared" si="8"/>
        <v>2.3837844437117166E-2</v>
      </c>
      <c r="L24" s="9">
        <f t="shared" si="9"/>
        <v>1.5989875639340036E-2</v>
      </c>
      <c r="M24">
        <f t="shared" si="0"/>
        <v>166.15256715352189</v>
      </c>
      <c r="N24">
        <f t="shared" si="10"/>
        <v>129.93185364441754</v>
      </c>
      <c r="O24">
        <f t="shared" si="24"/>
        <v>36.220713509104343</v>
      </c>
      <c r="P24">
        <f t="shared" si="22"/>
        <v>153.86387365913762</v>
      </c>
      <c r="Q24" s="9">
        <f t="shared" si="1"/>
        <v>0.92603970131241042</v>
      </c>
      <c r="R24">
        <f>VLOOKUP($B$1,dictionary!$A$3:$K$51,3,FALSE)*Q24</f>
        <v>0.13890595519686155</v>
      </c>
      <c r="S24">
        <f>VLOOKUP($B$1,dictionary!$A$3:$K$51,4,FALSE)*Q24</f>
        <v>4.6301985065620527E-2</v>
      </c>
      <c r="T24">
        <f>VLOOKUP($B$1,dictionary!$A$3:$K$51,5,FALSE)*Q24</f>
        <v>0.37041588052496421</v>
      </c>
      <c r="U24">
        <f>VLOOKUP($B$1,dictionary!$A$3:$K$51,6,FALSE)*Q24</f>
        <v>0.18520794026248211</v>
      </c>
      <c r="V24">
        <f>VLOOKUP($B$1,dictionary!$A$3:$K$51,7,FALSE)*Q24</f>
        <v>4.6301985065620527E-2</v>
      </c>
      <c r="W24">
        <f>VLOOKUP($B$1,dictionary!$A$3:$K$51,8,FALSE)*Q24</f>
        <v>4.6301985065620527E-2</v>
      </c>
      <c r="X24">
        <f>VLOOKUP($B$1,dictionary!$A$3:$K$51,9,FALSE)*Q24</f>
        <v>4.6301985065620527E-2</v>
      </c>
      <c r="Y24">
        <f>VLOOKUP($B$1,dictionary!$A$3:$K$51,10,FALSE)*Q24</f>
        <v>4.6301985065620527E-2</v>
      </c>
      <c r="Z24">
        <f>VLOOKUP($B$1,dictionary!$A$3:$K$51,11,FALSE)*Q24</f>
        <v>0</v>
      </c>
      <c r="AA24">
        <f t="shared" si="2"/>
        <v>12.288693494384262</v>
      </c>
      <c r="AB24">
        <f t="shared" si="11"/>
        <v>2.6788947898109674</v>
      </c>
      <c r="AC24">
        <f t="shared" si="12"/>
        <v>9.6097987045732935</v>
      </c>
      <c r="AD24">
        <f t="shared" si="3"/>
        <v>23.07958104887064</v>
      </c>
      <c r="AE24">
        <f t="shared" si="13"/>
        <v>3.4191971924252815</v>
      </c>
      <c r="AF24">
        <f t="shared" si="14"/>
        <v>68.383943848505623</v>
      </c>
      <c r="AG24">
        <f t="shared" si="15"/>
        <v>35.16888540780289</v>
      </c>
      <c r="AH24">
        <f t="shared" si="16"/>
        <v>8.0980986136388218</v>
      </c>
      <c r="AI24">
        <f t="shared" si="17"/>
        <v>8.0980986136388218</v>
      </c>
      <c r="AJ24">
        <f t="shared" si="18"/>
        <v>8.0980986136388218</v>
      </c>
      <c r="AK24">
        <f t="shared" si="19"/>
        <v>7.6931936829568821</v>
      </c>
      <c r="AL24">
        <f t="shared" si="20"/>
        <v>0</v>
      </c>
    </row>
    <row r="25" spans="1:38" x14ac:dyDescent="0.2">
      <c r="A25">
        <v>2042</v>
      </c>
      <c r="B25">
        <v>17</v>
      </c>
      <c r="C25">
        <f t="shared" si="21"/>
        <v>179.38790637146428</v>
      </c>
      <c r="D25">
        <f t="shared" si="23"/>
        <v>22.68723864021328</v>
      </c>
      <c r="E25">
        <f t="shared" si="4"/>
        <v>22.68723864021328</v>
      </c>
      <c r="F25">
        <f t="shared" si="5"/>
        <v>7.6189712579350157</v>
      </c>
      <c r="G25" s="9">
        <f t="shared" si="6"/>
        <v>0.12647027940241462</v>
      </c>
      <c r="H25" s="9">
        <f t="shared" si="6"/>
        <v>0.12647027940241462</v>
      </c>
      <c r="I25" s="9">
        <f t="shared" si="6"/>
        <v>4.2472045145329741E-2</v>
      </c>
      <c r="J25" s="9">
        <f t="shared" si="7"/>
        <v>1.64411363223139E-2</v>
      </c>
      <c r="K25" s="9">
        <f t="shared" si="8"/>
        <v>2.5294055880482925E-2</v>
      </c>
      <c r="L25" s="9">
        <f t="shared" si="9"/>
        <v>1.6988818058131898E-2</v>
      </c>
      <c r="M25">
        <f t="shared" si="0"/>
        <v>169.05405422624568</v>
      </c>
      <c r="N25">
        <f t="shared" si="10"/>
        <v>133.71795023803605</v>
      </c>
      <c r="O25">
        <f t="shared" si="24"/>
        <v>35.336103988209629</v>
      </c>
      <c r="P25">
        <f>IF($I$3=0,0,M25/(1+EXP(-$I$3*(B25-$J$3)))-M25/(1+EXP($I$3*$J$3)))</f>
        <v>160.2500198578656</v>
      </c>
      <c r="Q25" s="9">
        <f t="shared" si="1"/>
        <v>0.94792177916894194</v>
      </c>
      <c r="R25">
        <f>VLOOKUP($B$1,dictionary!$A$3:$K$51,3,FALSE)*Q25</f>
        <v>0.14218826687534128</v>
      </c>
      <c r="S25">
        <f>VLOOKUP($B$1,dictionary!$A$3:$K$51,4,FALSE)*Q25</f>
        <v>4.7396088958447102E-2</v>
      </c>
      <c r="T25">
        <f>VLOOKUP($B$1,dictionary!$A$3:$K$51,5,FALSE)*Q25</f>
        <v>0.37916871166757682</v>
      </c>
      <c r="U25">
        <f>VLOOKUP($B$1,dictionary!$A$3:$K$51,6,FALSE)*Q25</f>
        <v>0.18958435583378841</v>
      </c>
      <c r="V25">
        <f>VLOOKUP($B$1,dictionary!$A$3:$K$51,7,FALSE)*Q25</f>
        <v>4.7396088958447102E-2</v>
      </c>
      <c r="W25">
        <f>VLOOKUP($B$1,dictionary!$A$3:$K$51,8,FALSE)*Q25</f>
        <v>4.7396088958447102E-2</v>
      </c>
      <c r="X25">
        <f>VLOOKUP($B$1,dictionary!$A$3:$K$51,9,FALSE)*Q25</f>
        <v>4.7396088958447102E-2</v>
      </c>
      <c r="Y25">
        <f>VLOOKUP($B$1,dictionary!$A$3:$K$51,10,FALSE)*Q25</f>
        <v>4.7396088958447102E-2</v>
      </c>
      <c r="Z25">
        <f>VLOOKUP($B$1,dictionary!$A$3:$K$51,11,FALSE)*Q25</f>
        <v>0</v>
      </c>
      <c r="AA25">
        <f t="shared" si="2"/>
        <v>8.804034368380087</v>
      </c>
      <c r="AB25">
        <f t="shared" si="11"/>
        <v>1.8402414268072127</v>
      </c>
      <c r="AC25">
        <f t="shared" si="12"/>
        <v>6.9637929415728745</v>
      </c>
      <c r="AD25">
        <f t="shared" si="3"/>
        <v>24.037502978679839</v>
      </c>
      <c r="AE25">
        <f t="shared" si="13"/>
        <v>3.5611115523970138</v>
      </c>
      <c r="AF25">
        <f t="shared" si="14"/>
        <v>71.222231047940269</v>
      </c>
      <c r="AG25">
        <f t="shared" si="15"/>
        <v>36.628575967512148</v>
      </c>
      <c r="AH25">
        <f t="shared" si="16"/>
        <v>8.4342115714666104</v>
      </c>
      <c r="AI25">
        <f t="shared" si="17"/>
        <v>8.4342115714666104</v>
      </c>
      <c r="AJ25">
        <f t="shared" si="18"/>
        <v>8.4342115714666104</v>
      </c>
      <c r="AK25">
        <f t="shared" si="19"/>
        <v>8.0125009928932798</v>
      </c>
      <c r="AL25">
        <f t="shared" si="20"/>
        <v>0</v>
      </c>
    </row>
    <row r="26" spans="1:38" x14ac:dyDescent="0.2">
      <c r="A26">
        <v>2043</v>
      </c>
      <c r="B26">
        <v>18</v>
      </c>
      <c r="C26">
        <f t="shared" si="21"/>
        <v>183.15505240526502</v>
      </c>
      <c r="D26">
        <f t="shared" si="23"/>
        <v>24.490128120878964</v>
      </c>
      <c r="E26">
        <f t="shared" si="4"/>
        <v>24.490128120878964</v>
      </c>
      <c r="F26">
        <f t="shared" si="5"/>
        <v>8.2362130354884471</v>
      </c>
      <c r="G26" s="9">
        <f t="shared" si="6"/>
        <v>0.13371254464053739</v>
      </c>
      <c r="H26" s="9">
        <f t="shared" si="6"/>
        <v>0.13371254464053739</v>
      </c>
      <c r="I26" s="9">
        <f t="shared" si="6"/>
        <v>4.496852763452179E-2</v>
      </c>
      <c r="J26" s="9">
        <f t="shared" si="7"/>
        <v>1.738263080326986E-2</v>
      </c>
      <c r="K26" s="9">
        <f t="shared" si="8"/>
        <v>2.6742508928107478E-2</v>
      </c>
      <c r="L26" s="9">
        <f t="shared" si="9"/>
        <v>1.7987411053808716E-2</v>
      </c>
      <c r="M26">
        <f t="shared" si="0"/>
        <v>172.00780364423937</v>
      </c>
      <c r="N26">
        <f t="shared" si="10"/>
        <v>137.21650255270924</v>
      </c>
      <c r="O26">
        <f t="shared" si="24"/>
        <v>34.79130109153013</v>
      </c>
      <c r="P26">
        <f t="shared" si="22"/>
        <v>165.54307332488912</v>
      </c>
      <c r="Q26" s="9">
        <f t="shared" si="1"/>
        <v>0.96241606379254085</v>
      </c>
      <c r="R26">
        <f>VLOOKUP($B$1,dictionary!$A$3:$K$51,3,FALSE)*Q26</f>
        <v>0.14436240956888113</v>
      </c>
      <c r="S26">
        <f>VLOOKUP($B$1,dictionary!$A$3:$K$51,4,FALSE)*Q26</f>
        <v>4.8120803189627047E-2</v>
      </c>
      <c r="T26">
        <f>VLOOKUP($B$1,dictionary!$A$3:$K$51,5,FALSE)*Q26</f>
        <v>0.38496642551701638</v>
      </c>
      <c r="U26">
        <f>VLOOKUP($B$1,dictionary!$A$3:$K$51,6,FALSE)*Q26</f>
        <v>0.19248321275850819</v>
      </c>
      <c r="V26">
        <f>VLOOKUP($B$1,dictionary!$A$3:$K$51,7,FALSE)*Q26</f>
        <v>4.8120803189627047E-2</v>
      </c>
      <c r="W26">
        <f>VLOOKUP($B$1,dictionary!$A$3:$K$51,8,FALSE)*Q26</f>
        <v>4.8120803189627047E-2</v>
      </c>
      <c r="X26">
        <f>VLOOKUP($B$1,dictionary!$A$3:$K$51,9,FALSE)*Q26</f>
        <v>4.8120803189627047E-2</v>
      </c>
      <c r="Y26">
        <f>VLOOKUP($B$1,dictionary!$A$3:$K$51,10,FALSE)*Q26</f>
        <v>4.8120803189627047E-2</v>
      </c>
      <c r="Z26">
        <f>VLOOKUP($B$1,dictionary!$A$3:$K$51,11,FALSE)*Q26</f>
        <v>0</v>
      </c>
      <c r="AA26">
        <f t="shared" si="2"/>
        <v>6.4647303193502523</v>
      </c>
      <c r="AB26">
        <f t="shared" si="11"/>
        <v>1.3075940407985724</v>
      </c>
      <c r="AC26">
        <f t="shared" si="12"/>
        <v>5.1571362785516799</v>
      </c>
      <c r="AD26">
        <f t="shared" si="3"/>
        <v>24.83146099873337</v>
      </c>
      <c r="AE26">
        <f t="shared" si="13"/>
        <v>3.6787349627753141</v>
      </c>
      <c r="AF26">
        <f t="shared" si="14"/>
        <v>73.574699255506289</v>
      </c>
      <c r="AG26">
        <f t="shared" si="15"/>
        <v>37.838416759974663</v>
      </c>
      <c r="AH26">
        <f t="shared" si="16"/>
        <v>8.7127933328889018</v>
      </c>
      <c r="AI26">
        <f t="shared" si="17"/>
        <v>8.7127933328889018</v>
      </c>
      <c r="AJ26">
        <f t="shared" si="18"/>
        <v>8.7127933328889018</v>
      </c>
      <c r="AK26">
        <f t="shared" si="19"/>
        <v>8.2771536662444571</v>
      </c>
      <c r="AL26">
        <f t="shared" si="20"/>
        <v>0</v>
      </c>
    </row>
    <row r="27" spans="1:38" x14ac:dyDescent="0.2">
      <c r="A27">
        <v>2044</v>
      </c>
      <c r="B27">
        <v>19</v>
      </c>
      <c r="C27">
        <f t="shared" si="21"/>
        <v>187.00130850577557</v>
      </c>
      <c r="D27">
        <f t="shared" si="23"/>
        <v>26.350933189583927</v>
      </c>
      <c r="E27">
        <f t="shared" si="4"/>
        <v>26.350933189583927</v>
      </c>
      <c r="F27">
        <f t="shared" si="5"/>
        <v>8.8758324015625902</v>
      </c>
      <c r="G27" s="9">
        <f t="shared" si="6"/>
        <v>0.14091309520847589</v>
      </c>
      <c r="H27" s="9">
        <f t="shared" si="6"/>
        <v>0.14091309520847589</v>
      </c>
      <c r="I27" s="9">
        <f t="shared" si="6"/>
        <v>4.7464012270740118E-2</v>
      </c>
      <c r="J27" s="9">
        <f t="shared" si="7"/>
        <v>1.8318702377101866E-2</v>
      </c>
      <c r="K27" s="9">
        <f t="shared" si="8"/>
        <v>2.8182619041695181E-2</v>
      </c>
      <c r="L27" s="9">
        <f t="shared" si="9"/>
        <v>1.8985604908296049E-2</v>
      </c>
      <c r="M27">
        <f t="shared" si="0"/>
        <v>175.01497282034109</v>
      </c>
      <c r="N27">
        <f t="shared" si="10"/>
        <v>140.5020979743901</v>
      </c>
      <c r="O27">
        <f t="shared" si="24"/>
        <v>34.512874845950989</v>
      </c>
      <c r="P27">
        <f t="shared" si="22"/>
        <v>170.09513112914246</v>
      </c>
      <c r="Q27" s="9">
        <f t="shared" si="1"/>
        <v>0.97188902405367905</v>
      </c>
      <c r="R27">
        <f>VLOOKUP($B$1,dictionary!$A$3:$K$51,3,FALSE)*Q27</f>
        <v>0.14578335360805186</v>
      </c>
      <c r="S27">
        <f>VLOOKUP($B$1,dictionary!$A$3:$K$51,4,FALSE)*Q27</f>
        <v>4.8594451202683957E-2</v>
      </c>
      <c r="T27">
        <f>VLOOKUP($B$1,dictionary!$A$3:$K$51,5,FALSE)*Q27</f>
        <v>0.38875560962147165</v>
      </c>
      <c r="U27">
        <f>VLOOKUP($B$1,dictionary!$A$3:$K$51,6,FALSE)*Q27</f>
        <v>0.19437780481073583</v>
      </c>
      <c r="V27">
        <f>VLOOKUP($B$1,dictionary!$A$3:$K$51,7,FALSE)*Q27</f>
        <v>4.8594451202683957E-2</v>
      </c>
      <c r="W27">
        <f>VLOOKUP($B$1,dictionary!$A$3:$K$51,8,FALSE)*Q27</f>
        <v>4.8594451202683957E-2</v>
      </c>
      <c r="X27">
        <f>VLOOKUP($B$1,dictionary!$A$3:$K$51,9,FALSE)*Q27</f>
        <v>4.8594451202683957E-2</v>
      </c>
      <c r="Y27">
        <f>VLOOKUP($B$1,dictionary!$A$3:$K$51,10,FALSE)*Q27</f>
        <v>4.8594451202683957E-2</v>
      </c>
      <c r="Z27">
        <f>VLOOKUP($B$1,dictionary!$A$3:$K$51,11,FALSE)*Q27</f>
        <v>0</v>
      </c>
      <c r="AA27">
        <f t="shared" si="2"/>
        <v>4.9198416911986271</v>
      </c>
      <c r="AB27">
        <f t="shared" si="11"/>
        <v>0.97019059463291446</v>
      </c>
      <c r="AC27">
        <f t="shared" si="12"/>
        <v>3.949651096565713</v>
      </c>
      <c r="AD27">
        <f t="shared" si="3"/>
        <v>25.514269669371373</v>
      </c>
      <c r="AE27">
        <f t="shared" si="13"/>
        <v>3.7798918028698334</v>
      </c>
      <c r="AF27">
        <f t="shared" si="14"/>
        <v>75.597836057396663</v>
      </c>
      <c r="AG27">
        <f t="shared" si="15"/>
        <v>38.878887115232573</v>
      </c>
      <c r="AH27">
        <f t="shared" si="16"/>
        <v>8.9523753225864464</v>
      </c>
      <c r="AI27">
        <f t="shared" si="17"/>
        <v>8.9523753225864464</v>
      </c>
      <c r="AJ27">
        <f t="shared" si="18"/>
        <v>8.9523753225864464</v>
      </c>
      <c r="AK27">
        <f t="shared" si="19"/>
        <v>8.5047565564571244</v>
      </c>
      <c r="AL27">
        <f t="shared" si="20"/>
        <v>0</v>
      </c>
    </row>
    <row r="28" spans="1:38" x14ac:dyDescent="0.2">
      <c r="A28">
        <v>2045</v>
      </c>
      <c r="B28">
        <v>20</v>
      </c>
      <c r="C28">
        <f t="shared" si="21"/>
        <v>190.92833598439685</v>
      </c>
      <c r="D28">
        <f t="shared" si="23"/>
        <v>28.270582920148769</v>
      </c>
      <c r="E28">
        <f t="shared" si="4"/>
        <v>28.270582920148769</v>
      </c>
      <c r="F28">
        <f t="shared" si="5"/>
        <v>9.5384693991925928</v>
      </c>
      <c r="G28" s="9">
        <f t="shared" si="6"/>
        <v>0.14806907929297153</v>
      </c>
      <c r="H28" s="9">
        <f t="shared" si="6"/>
        <v>0.14806907929297153</v>
      </c>
      <c r="I28" s="9">
        <f t="shared" si="6"/>
        <v>4.9958374957880011E-2</v>
      </c>
      <c r="J28" s="9">
        <f t="shared" si="7"/>
        <v>1.9248980308086298E-2</v>
      </c>
      <c r="K28" s="9">
        <f t="shared" si="8"/>
        <v>2.9613815858594308E-2</v>
      </c>
      <c r="L28" s="9">
        <f t="shared" si="9"/>
        <v>1.9983349983152005E-2</v>
      </c>
      <c r="M28">
        <f t="shared" si="0"/>
        <v>178.07674744679943</v>
      </c>
      <c r="N28">
        <f t="shared" si="10"/>
        <v>143.63448450804421</v>
      </c>
      <c r="O28">
        <f t="shared" si="24"/>
        <v>34.442262938755221</v>
      </c>
      <c r="P28">
        <f t="shared" si="22"/>
        <v>174.1637094307182</v>
      </c>
      <c r="Q28" s="9">
        <f t="shared" si="1"/>
        <v>0.97802611473881362</v>
      </c>
      <c r="R28">
        <f>VLOOKUP($B$1,dictionary!$A$3:$K$51,3,FALSE)*Q28</f>
        <v>0.14670391721082204</v>
      </c>
      <c r="S28">
        <f>VLOOKUP($B$1,dictionary!$A$3:$K$51,4,FALSE)*Q28</f>
        <v>4.8901305736940681E-2</v>
      </c>
      <c r="T28">
        <f>VLOOKUP($B$1,dictionary!$A$3:$K$51,5,FALSE)*Q28</f>
        <v>0.39121044589552545</v>
      </c>
      <c r="U28">
        <f>VLOOKUP($B$1,dictionary!$A$3:$K$51,6,FALSE)*Q28</f>
        <v>0.19560522294776272</v>
      </c>
      <c r="V28">
        <f>VLOOKUP($B$1,dictionary!$A$3:$K$51,7,FALSE)*Q28</f>
        <v>4.8901305736940681E-2</v>
      </c>
      <c r="W28">
        <f>VLOOKUP($B$1,dictionary!$A$3:$K$51,8,FALSE)*Q28</f>
        <v>4.8901305736940681E-2</v>
      </c>
      <c r="X28">
        <f>VLOOKUP($B$1,dictionary!$A$3:$K$51,9,FALSE)*Q28</f>
        <v>4.8901305736940681E-2</v>
      </c>
      <c r="Y28">
        <f>VLOOKUP($B$1,dictionary!$A$3:$K$51,10,FALSE)*Q28</f>
        <v>4.8901305736940681E-2</v>
      </c>
      <c r="Z28">
        <f>VLOOKUP($B$1,dictionary!$A$3:$K$51,11,FALSE)*Q28</f>
        <v>0</v>
      </c>
      <c r="AA28">
        <f t="shared" si="2"/>
        <v>3.9130380160812308</v>
      </c>
      <c r="AB28">
        <f t="shared" si="11"/>
        <v>0.75683033395181831</v>
      </c>
      <c r="AC28">
        <f t="shared" si="12"/>
        <v>3.1562076821294127</v>
      </c>
      <c r="AD28">
        <f t="shared" si="3"/>
        <v>26.124556414607731</v>
      </c>
      <c r="AE28">
        <f t="shared" si="13"/>
        <v>3.8703046540159605</v>
      </c>
      <c r="AF28">
        <f t="shared" si="14"/>
        <v>77.406093080319209</v>
      </c>
      <c r="AG28">
        <f t="shared" si="15"/>
        <v>39.808847869878456</v>
      </c>
      <c r="AH28">
        <f t="shared" si="16"/>
        <v>9.1665110226693791</v>
      </c>
      <c r="AI28">
        <f t="shared" si="17"/>
        <v>9.1665110226693791</v>
      </c>
      <c r="AJ28">
        <f t="shared" si="18"/>
        <v>9.1665110226693791</v>
      </c>
      <c r="AK28">
        <f t="shared" si="19"/>
        <v>8.7081854715359093</v>
      </c>
      <c r="AL28">
        <f t="shared" si="20"/>
        <v>0</v>
      </c>
    </row>
    <row r="29" spans="1:38" x14ac:dyDescent="0.2">
      <c r="A29">
        <v>2046</v>
      </c>
      <c r="B29">
        <v>21</v>
      </c>
      <c r="C29">
        <f t="shared" si="21"/>
        <v>194.93783104006917</v>
      </c>
      <c r="D29">
        <f t="shared" si="23"/>
        <v>30.250008184570831</v>
      </c>
      <c r="E29">
        <f t="shared" si="4"/>
        <v>30.250008184570831</v>
      </c>
      <c r="F29">
        <f t="shared" si="5"/>
        <v>10.224780050895589</v>
      </c>
      <c r="G29" s="9">
        <f t="shared" si="6"/>
        <v>0.15517772011299844</v>
      </c>
      <c r="H29" s="9">
        <f t="shared" si="6"/>
        <v>0.15517772011299844</v>
      </c>
      <c r="I29" s="9">
        <f t="shared" si="6"/>
        <v>5.2451491823533737E-2</v>
      </c>
      <c r="J29" s="9">
        <f t="shared" si="7"/>
        <v>2.0173103614689797E-2</v>
      </c>
      <c r="K29" s="9">
        <f t="shared" si="8"/>
        <v>3.1035544022599688E-2</v>
      </c>
      <c r="L29" s="9">
        <f t="shared" si="9"/>
        <v>2.0980596729413496E-2</v>
      </c>
      <c r="M29">
        <f t="shared" si="0"/>
        <v>181.19434186682037</v>
      </c>
      <c r="N29">
        <f t="shared" si="10"/>
        <v>146.66085743297975</v>
      </c>
      <c r="O29">
        <f t="shared" si="24"/>
        <v>34.533484433840613</v>
      </c>
      <c r="P29">
        <f t="shared" si="22"/>
        <v>177.92912383222927</v>
      </c>
      <c r="Q29" s="9">
        <f t="shared" si="1"/>
        <v>0.98197947021441168</v>
      </c>
      <c r="R29">
        <f>VLOOKUP($B$1,dictionary!$A$3:$K$51,3,FALSE)*Q29</f>
        <v>0.14729692053216176</v>
      </c>
      <c r="S29">
        <f>VLOOKUP($B$1,dictionary!$A$3:$K$51,4,FALSE)*Q29</f>
        <v>4.9098973510720588E-2</v>
      </c>
      <c r="T29">
        <f>VLOOKUP($B$1,dictionary!$A$3:$K$51,5,FALSE)*Q29</f>
        <v>0.3927917880857647</v>
      </c>
      <c r="U29">
        <f>VLOOKUP($B$1,dictionary!$A$3:$K$51,6,FALSE)*Q29</f>
        <v>0.19639589404288235</v>
      </c>
      <c r="V29">
        <f>VLOOKUP($B$1,dictionary!$A$3:$K$51,7,FALSE)*Q29</f>
        <v>4.9098973510720588E-2</v>
      </c>
      <c r="W29">
        <f>VLOOKUP($B$1,dictionary!$A$3:$K$51,8,FALSE)*Q29</f>
        <v>4.9098973510720588E-2</v>
      </c>
      <c r="X29">
        <f>VLOOKUP($B$1,dictionary!$A$3:$K$51,9,FALSE)*Q29</f>
        <v>4.9098973510720588E-2</v>
      </c>
      <c r="Y29">
        <f>VLOOKUP($B$1,dictionary!$A$3:$K$51,10,FALSE)*Q29</f>
        <v>4.9098973510720588E-2</v>
      </c>
      <c r="Z29">
        <f>VLOOKUP($B$1,dictionary!$A$3:$K$51,11,FALSE)*Q29</f>
        <v>0</v>
      </c>
      <c r="AA29">
        <f t="shared" si="2"/>
        <v>3.2652180345911006</v>
      </c>
      <c r="AB29">
        <f t="shared" si="11"/>
        <v>0.62231168484017374</v>
      </c>
      <c r="AC29">
        <f t="shared" si="12"/>
        <v>2.6429063497509269</v>
      </c>
      <c r="AD29">
        <f t="shared" si="3"/>
        <v>26.68936857483439</v>
      </c>
      <c r="AE29">
        <f t="shared" si="13"/>
        <v>3.9539805296050949</v>
      </c>
      <c r="AF29">
        <f t="shared" si="14"/>
        <v>79.079610592101901</v>
      </c>
      <c r="AG29">
        <f t="shared" si="15"/>
        <v>40.669514018795269</v>
      </c>
      <c r="AH29">
        <f t="shared" si="16"/>
        <v>9.3646907280120661</v>
      </c>
      <c r="AI29">
        <f t="shared" si="17"/>
        <v>9.3646907280120661</v>
      </c>
      <c r="AJ29">
        <f t="shared" si="18"/>
        <v>9.3646907280120661</v>
      </c>
      <c r="AK29">
        <f t="shared" si="19"/>
        <v>8.8964561916114633</v>
      </c>
      <c r="AL29">
        <f t="shared" si="20"/>
        <v>0</v>
      </c>
    </row>
    <row r="30" spans="1:38" x14ac:dyDescent="0.2">
      <c r="A30">
        <v>2047</v>
      </c>
      <c r="B30">
        <v>22</v>
      </c>
      <c r="C30">
        <f t="shared" si="21"/>
        <v>199.0315254919106</v>
      </c>
      <c r="D30">
        <f t="shared" si="23"/>
        <v>32.290142222411433</v>
      </c>
      <c r="E30">
        <f t="shared" si="4"/>
        <v>32.290142222411433</v>
      </c>
      <c r="F30">
        <f t="shared" si="5"/>
        <v>10.935436722103162</v>
      </c>
      <c r="G30" s="9">
        <f t="shared" si="6"/>
        <v>0.16223631981217884</v>
      </c>
      <c r="H30" s="9">
        <f t="shared" si="6"/>
        <v>0.16223631981217884</v>
      </c>
      <c r="I30" s="9">
        <f t="shared" si="6"/>
        <v>5.4943239243511806E-2</v>
      </c>
      <c r="J30" s="9">
        <f t="shared" si="7"/>
        <v>2.1090721575583251E-2</v>
      </c>
      <c r="K30" s="9">
        <f t="shared" si="8"/>
        <v>3.2447263962435767E-2</v>
      </c>
      <c r="L30" s="9">
        <f t="shared" si="9"/>
        <v>2.1977295697404725E-2</v>
      </c>
      <c r="M30">
        <f t="shared" si="0"/>
        <v>184.3689994446263</v>
      </c>
      <c r="N30">
        <f t="shared" si="10"/>
        <v>149.61814860945009</v>
      </c>
      <c r="O30">
        <f t="shared" si="24"/>
        <v>34.750850835176209</v>
      </c>
      <c r="P30">
        <f t="shared" si="22"/>
        <v>181.51437444095586</v>
      </c>
      <c r="Q30" s="9">
        <f t="shared" si="1"/>
        <v>0.98451678420846556</v>
      </c>
      <c r="R30">
        <f>VLOOKUP($B$1,dictionary!$A$3:$K$51,3,FALSE)*Q30</f>
        <v>0.14767751763126982</v>
      </c>
      <c r="S30">
        <f>VLOOKUP($B$1,dictionary!$A$3:$K$51,4,FALSE)*Q30</f>
        <v>4.9225839210423283E-2</v>
      </c>
      <c r="T30">
        <f>VLOOKUP($B$1,dictionary!$A$3:$K$51,5,FALSE)*Q30</f>
        <v>0.39380671368338627</v>
      </c>
      <c r="U30">
        <f>VLOOKUP($B$1,dictionary!$A$3:$K$51,6,FALSE)*Q30</f>
        <v>0.19690335684169313</v>
      </c>
      <c r="V30">
        <f>VLOOKUP($B$1,dictionary!$A$3:$K$51,7,FALSE)*Q30</f>
        <v>4.9225839210423283E-2</v>
      </c>
      <c r="W30">
        <f>VLOOKUP($B$1,dictionary!$A$3:$K$51,8,FALSE)*Q30</f>
        <v>4.9225839210423283E-2</v>
      </c>
      <c r="X30">
        <f>VLOOKUP($B$1,dictionary!$A$3:$K$51,9,FALSE)*Q30</f>
        <v>4.9225839210423283E-2</v>
      </c>
      <c r="Y30">
        <f>VLOOKUP($B$1,dictionary!$A$3:$K$51,10,FALSE)*Q30</f>
        <v>4.9225839210423283E-2</v>
      </c>
      <c r="Z30">
        <f>VLOOKUP($B$1,dictionary!$A$3:$K$51,11,FALSE)*Q30</f>
        <v>0</v>
      </c>
      <c r="AA30">
        <f t="shared" si="2"/>
        <v>2.854625003670435</v>
      </c>
      <c r="AB30">
        <f t="shared" si="11"/>
        <v>0.53805492242045672</v>
      </c>
      <c r="AC30">
        <f t="shared" si="12"/>
        <v>2.3165700812499783</v>
      </c>
      <c r="AD30">
        <f t="shared" si="3"/>
        <v>27.227156166143377</v>
      </c>
      <c r="AE30">
        <f t="shared" si="13"/>
        <v>4.0336527653545753</v>
      </c>
      <c r="AF30">
        <f t="shared" si="14"/>
        <v>80.673055307091502</v>
      </c>
      <c r="AG30">
        <f t="shared" si="15"/>
        <v>41.488999872218493</v>
      </c>
      <c r="AH30">
        <f t="shared" si="16"/>
        <v>9.5533881284713615</v>
      </c>
      <c r="AI30">
        <f t="shared" si="17"/>
        <v>9.5533881284713615</v>
      </c>
      <c r="AJ30">
        <f t="shared" si="18"/>
        <v>9.5533881284713615</v>
      </c>
      <c r="AK30">
        <f t="shared" si="19"/>
        <v>9.0757187220477942</v>
      </c>
      <c r="AL30">
        <f t="shared" si="20"/>
        <v>0</v>
      </c>
    </row>
    <row r="31" spans="1:38" x14ac:dyDescent="0.2">
      <c r="A31">
        <v>2048</v>
      </c>
      <c r="B31">
        <v>23</v>
      </c>
      <c r="C31">
        <f t="shared" si="21"/>
        <v>203.2111875272407</v>
      </c>
      <c r="D31">
        <f t="shared" si="23"/>
        <v>34.391921260254236</v>
      </c>
      <c r="E31">
        <f t="shared" si="4"/>
        <v>34.391921260254236</v>
      </c>
      <c r="F31">
        <f t="shared" si="5"/>
        <v>11.671128492400939</v>
      </c>
      <c r="G31" s="9">
        <f t="shared" si="6"/>
        <v>0.16924226307985116</v>
      </c>
      <c r="H31" s="9">
        <f t="shared" si="6"/>
        <v>0.16924226307985116</v>
      </c>
      <c r="I31" s="9">
        <f t="shared" si="6"/>
        <v>5.7433493866258768E-2</v>
      </c>
      <c r="J31" s="9">
        <f t="shared" si="7"/>
        <v>2.2001494200380649E-2</v>
      </c>
      <c r="K31" s="9">
        <f t="shared" si="8"/>
        <v>3.3848452615970234E-2</v>
      </c>
      <c r="L31" s="9">
        <f t="shared" si="9"/>
        <v>2.2973397546503509E-2</v>
      </c>
      <c r="M31">
        <f t="shared" si="0"/>
        <v>187.60199293491772</v>
      </c>
      <c r="N31">
        <f t="shared" si="10"/>
        <v>152.53509130087662</v>
      </c>
      <c r="O31">
        <f t="shared" si="24"/>
        <v>35.066901634041102</v>
      </c>
      <c r="P31">
        <f t="shared" si="22"/>
        <v>185.00209724857743</v>
      </c>
      <c r="Q31" s="9">
        <f t="shared" si="1"/>
        <v>0.98614142821370643</v>
      </c>
      <c r="R31">
        <f>VLOOKUP($B$1,dictionary!$A$3:$K$51,3,FALSE)*Q31</f>
        <v>0.14792121423205595</v>
      </c>
      <c r="S31">
        <f>VLOOKUP($B$1,dictionary!$A$3:$K$51,4,FALSE)*Q31</f>
        <v>4.9307071410685327E-2</v>
      </c>
      <c r="T31">
        <f>VLOOKUP($B$1,dictionary!$A$3:$K$51,5,FALSE)*Q31</f>
        <v>0.39445657128548262</v>
      </c>
      <c r="U31">
        <f>VLOOKUP($B$1,dictionary!$A$3:$K$51,6,FALSE)*Q31</f>
        <v>0.19722828564274131</v>
      </c>
      <c r="V31">
        <f>VLOOKUP($B$1,dictionary!$A$3:$K$51,7,FALSE)*Q31</f>
        <v>4.9307071410685327E-2</v>
      </c>
      <c r="W31">
        <f>VLOOKUP($B$1,dictionary!$A$3:$K$51,8,FALSE)*Q31</f>
        <v>4.9307071410685327E-2</v>
      </c>
      <c r="X31">
        <f>VLOOKUP($B$1,dictionary!$A$3:$K$51,9,FALSE)*Q31</f>
        <v>4.9307071410685327E-2</v>
      </c>
      <c r="Y31">
        <f>VLOOKUP($B$1,dictionary!$A$3:$K$51,10,FALSE)*Q31</f>
        <v>4.9307071410685327E-2</v>
      </c>
      <c r="Z31">
        <f>VLOOKUP($B$1,dictionary!$A$3:$K$51,11,FALSE)*Q31</f>
        <v>0</v>
      </c>
      <c r="AA31">
        <f t="shared" si="2"/>
        <v>2.5998956863402896</v>
      </c>
      <c r="AB31">
        <f t="shared" si="11"/>
        <v>0.4859771736182526</v>
      </c>
      <c r="AC31">
        <f t="shared" si="12"/>
        <v>2.1139185127220368</v>
      </c>
      <c r="AD31">
        <f t="shared" si="3"/>
        <v>27.75031458728661</v>
      </c>
      <c r="AE31">
        <f t="shared" si="13"/>
        <v>4.1111577166350539</v>
      </c>
      <c r="AF31">
        <f t="shared" si="14"/>
        <v>82.223154332701085</v>
      </c>
      <c r="AG31">
        <f t="shared" si="15"/>
        <v>42.286193656817701</v>
      </c>
      <c r="AH31">
        <f t="shared" si="16"/>
        <v>9.7369524867672332</v>
      </c>
      <c r="AI31">
        <f t="shared" si="17"/>
        <v>9.7369524867672332</v>
      </c>
      <c r="AJ31">
        <f t="shared" si="18"/>
        <v>9.7369524867672332</v>
      </c>
      <c r="AK31">
        <f t="shared" si="19"/>
        <v>9.2501048624288718</v>
      </c>
      <c r="AL31">
        <f t="shared" si="20"/>
        <v>0</v>
      </c>
    </row>
    <row r="32" spans="1:38" x14ac:dyDescent="0.2">
      <c r="A32">
        <v>2049</v>
      </c>
      <c r="B32">
        <v>24</v>
      </c>
      <c r="C32">
        <f t="shared" si="21"/>
        <v>207.47862246531272</v>
      </c>
      <c r="D32">
        <f t="shared" si="23"/>
        <v>36.556285179805471</v>
      </c>
      <c r="E32">
        <f t="shared" si="4"/>
        <v>36.556285179805471</v>
      </c>
      <c r="F32">
        <f t="shared" si="5"/>
        <v>12.432561534740557</v>
      </c>
      <c r="G32" s="9">
        <f t="shared" si="6"/>
        <v>0.17619302049259136</v>
      </c>
      <c r="H32" s="9">
        <f t="shared" si="6"/>
        <v>0.17619302049259136</v>
      </c>
      <c r="I32" s="9">
        <f t="shared" si="6"/>
        <v>5.9922132637154429E-2</v>
      </c>
      <c r="J32" s="9">
        <f t="shared" si="7"/>
        <v>2.2905092664036879E-2</v>
      </c>
      <c r="K32" s="9">
        <f t="shared" si="8"/>
        <v>3.5238604098518277E-2</v>
      </c>
      <c r="L32" s="9">
        <f t="shared" si="9"/>
        <v>2.3968853054861773E-2</v>
      </c>
      <c r="M32">
        <f t="shared" si="0"/>
        <v>190.8946248526693</v>
      </c>
      <c r="N32">
        <f t="shared" si="10"/>
        <v>155.43397613219861</v>
      </c>
      <c r="O32">
        <f t="shared" si="24"/>
        <v>35.460648720470687</v>
      </c>
      <c r="P32">
        <f t="shared" si="22"/>
        <v>188.44737836911941</v>
      </c>
      <c r="Q32" s="9">
        <f t="shared" si="1"/>
        <v>0.987180118426914</v>
      </c>
      <c r="R32">
        <f>VLOOKUP($B$1,dictionary!$A$3:$K$51,3,FALSE)*Q32</f>
        <v>0.14807701776403709</v>
      </c>
      <c r="S32">
        <f>VLOOKUP($B$1,dictionary!$A$3:$K$51,4,FALSE)*Q32</f>
        <v>4.9359005921345706E-2</v>
      </c>
      <c r="T32">
        <f>VLOOKUP($B$1,dictionary!$A$3:$K$51,5,FALSE)*Q32</f>
        <v>0.39487204737076564</v>
      </c>
      <c r="U32">
        <f>VLOOKUP($B$1,dictionary!$A$3:$K$51,6,FALSE)*Q32</f>
        <v>0.19743602368538282</v>
      </c>
      <c r="V32">
        <f>VLOOKUP($B$1,dictionary!$A$3:$K$51,7,FALSE)*Q32</f>
        <v>4.9359005921345706E-2</v>
      </c>
      <c r="W32">
        <f>VLOOKUP($B$1,dictionary!$A$3:$K$51,8,FALSE)*Q32</f>
        <v>4.9359005921345706E-2</v>
      </c>
      <c r="X32">
        <f>VLOOKUP($B$1,dictionary!$A$3:$K$51,9,FALSE)*Q32</f>
        <v>4.9359005921345706E-2</v>
      </c>
      <c r="Y32">
        <f>VLOOKUP($B$1,dictionary!$A$3:$K$51,10,FALSE)*Q32</f>
        <v>4.9359005921345706E-2</v>
      </c>
      <c r="Z32">
        <f>VLOOKUP($B$1,dictionary!$A$3:$K$51,11,FALSE)*Q32</f>
        <v>0</v>
      </c>
      <c r="AA32">
        <f t="shared" si="2"/>
        <v>2.4472464835498897</v>
      </c>
      <c r="AB32">
        <f t="shared" si="11"/>
        <v>0.45460131710123591</v>
      </c>
      <c r="AC32">
        <f t="shared" si="12"/>
        <v>1.9926451664486537</v>
      </c>
      <c r="AD32">
        <f t="shared" si="3"/>
        <v>28.267106755367905</v>
      </c>
      <c r="AE32">
        <f t="shared" si="13"/>
        <v>4.1877195193137648</v>
      </c>
      <c r="AF32">
        <f t="shared" si="14"/>
        <v>83.754390386275304</v>
      </c>
      <c r="AG32">
        <f t="shared" si="15"/>
        <v>43.073686484370157</v>
      </c>
      <c r="AH32">
        <f t="shared" si="16"/>
        <v>9.9182830720589159</v>
      </c>
      <c r="AI32">
        <f t="shared" si="17"/>
        <v>9.9182830720589159</v>
      </c>
      <c r="AJ32">
        <f t="shared" si="18"/>
        <v>9.9182830720589159</v>
      </c>
      <c r="AK32">
        <f t="shared" si="19"/>
        <v>9.4223689184559714</v>
      </c>
      <c r="AL32">
        <f t="shared" si="20"/>
        <v>0</v>
      </c>
    </row>
    <row r="33" spans="1:38" x14ac:dyDescent="0.2">
      <c r="A33">
        <v>2050</v>
      </c>
      <c r="B33">
        <v>25</v>
      </c>
      <c r="C33">
        <f t="shared" si="21"/>
        <v>211.83567353708426</v>
      </c>
      <c r="D33">
        <f t="shared" si="23"/>
        <v>38.784178233047257</v>
      </c>
      <c r="E33">
        <f t="shared" si="4"/>
        <v>38.784178233047257</v>
      </c>
      <c r="F33">
        <f t="shared" si="5"/>
        <v>13.220459502792437</v>
      </c>
      <c r="G33" s="9">
        <f t="shared" si="6"/>
        <v>0.18308615156954497</v>
      </c>
      <c r="H33" s="9">
        <f t="shared" si="6"/>
        <v>0.18308615156954497</v>
      </c>
      <c r="I33" s="9">
        <f t="shared" si="6"/>
        <v>6.2409032822689538E-2</v>
      </c>
      <c r="J33" s="9">
        <f t="shared" si="7"/>
        <v>2.3801199704040849E-2</v>
      </c>
      <c r="K33" s="9">
        <f t="shared" si="8"/>
        <v>3.6617230313908997E-2</v>
      </c>
      <c r="L33" s="9">
        <f t="shared" si="9"/>
        <v>2.4963613129075815E-2</v>
      </c>
      <c r="M33">
        <f t="shared" si="0"/>
        <v>194.24822784422716</v>
      </c>
      <c r="N33">
        <f t="shared" si="10"/>
        <v>158.33209046498467</v>
      </c>
      <c r="O33">
        <f t="shared" si="24"/>
        <v>35.916137379242485</v>
      </c>
      <c r="P33">
        <f t="shared" si="22"/>
        <v>191.88685841237557</v>
      </c>
      <c r="Q33" s="9">
        <f t="shared" si="1"/>
        <v>0.98784354710435129</v>
      </c>
      <c r="R33">
        <f>VLOOKUP($B$1,dictionary!$A$3:$K$51,3,FALSE)*Q33</f>
        <v>0.14817653206565268</v>
      </c>
      <c r="S33">
        <f>VLOOKUP($B$1,dictionary!$A$3:$K$51,4,FALSE)*Q33</f>
        <v>4.9392177355217566E-2</v>
      </c>
      <c r="T33">
        <f>VLOOKUP($B$1,dictionary!$A$3:$K$51,5,FALSE)*Q33</f>
        <v>0.39513741884174053</v>
      </c>
      <c r="U33">
        <f>VLOOKUP($B$1,dictionary!$A$3:$K$51,6,FALSE)*Q33</f>
        <v>0.19756870942087026</v>
      </c>
      <c r="V33">
        <f>VLOOKUP($B$1,dictionary!$A$3:$K$51,7,FALSE)*Q33</f>
        <v>4.9392177355217566E-2</v>
      </c>
      <c r="W33">
        <f>VLOOKUP($B$1,dictionary!$A$3:$K$51,8,FALSE)*Q33</f>
        <v>4.9392177355217566E-2</v>
      </c>
      <c r="X33">
        <f>VLOOKUP($B$1,dictionary!$A$3:$K$51,9,FALSE)*Q33</f>
        <v>4.9392177355217566E-2</v>
      </c>
      <c r="Y33">
        <f>VLOOKUP($B$1,dictionary!$A$3:$K$51,10,FALSE)*Q33</f>
        <v>4.9392177355217566E-2</v>
      </c>
      <c r="Z33">
        <f>VLOOKUP($B$1,dictionary!$A$3:$K$51,11,FALSE)*Q33</f>
        <v>0</v>
      </c>
      <c r="AA33">
        <f t="shared" si="2"/>
        <v>2.3613694318515854</v>
      </c>
      <c r="AB33">
        <f t="shared" si="11"/>
        <v>0.43661283224440917</v>
      </c>
      <c r="AC33">
        <f t="shared" si="12"/>
        <v>1.9247565996071765</v>
      </c>
      <c r="AD33">
        <f t="shared" si="3"/>
        <v>28.783028761856336</v>
      </c>
      <c r="AE33">
        <f t="shared" si="13"/>
        <v>4.264152409163902</v>
      </c>
      <c r="AF33">
        <f t="shared" si="14"/>
        <v>85.283048183278041</v>
      </c>
      <c r="AG33">
        <f t="shared" si="15"/>
        <v>43.85985335140014</v>
      </c>
      <c r="AH33">
        <f t="shared" si="16"/>
        <v>10.099308337493451</v>
      </c>
      <c r="AI33">
        <f t="shared" si="17"/>
        <v>10.099308337493451</v>
      </c>
      <c r="AJ33">
        <f t="shared" si="18"/>
        <v>10.099308337493451</v>
      </c>
      <c r="AK33">
        <f t="shared" si="19"/>
        <v>9.5943429206187787</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AD44-E2C5-8D4E-98B0-D090AB2E34F4}">
  <sheetPr>
    <tabColor theme="4" tint="0.79998168889431442"/>
  </sheetPr>
  <dimension ref="A1:AY37"/>
  <sheetViews>
    <sheetView zoomScale="93" zoomScaleNormal="125" workbookViewId="0">
      <selection activeCell="J37" sqref="J37"/>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10</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110.7481850914975</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110.7481850914975</v>
      </c>
      <c r="N8">
        <f>IF($N$7="LFO",M8/(1+EXP(-$I$4*(B8-$J$4)))-M8/(1+EXP($I$4*$J$4)),IF($N$7="MGO",M8/(1+EXP(-$I$5*(B8-$J$5)))-M8/(1+EXP($I$5*$J$5)),0))</f>
        <v>0</v>
      </c>
      <c r="O8">
        <f>M8-N8</f>
        <v>110.7481850914975</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110.7481850914975</v>
      </c>
      <c r="AB8">
        <f>O8/M8*AA8</f>
        <v>110.7481850914975</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113.07389697841894</v>
      </c>
      <c r="D9">
        <f>IF($E$2=0,0,C9/(1+EXP(-$E$2*(B9-$G$2)))-C9/(1+EXP($E$2*$G$2)))</f>
        <v>0.84418637403408781</v>
      </c>
      <c r="E9">
        <f t="shared" ref="E9:E33" si="4">IF($E$3=0,0,C9/(1+EXP(-$E$3*(B9-$G$3)))-C9/(1+EXP($E$3*$G$3)))</f>
        <v>0.84418637403408781</v>
      </c>
      <c r="F9">
        <f t="shared" ref="F9:F33" si="5">IF($E$4=0,0,C9/(1+EXP(-$E$4*(B9-$G$4)))-C9/(1+EXP($E$4*$G$4)))</f>
        <v>0.28204730951247114</v>
      </c>
      <c r="G9" s="9">
        <f t="shared" ref="G9:I33" si="6">D9/$C9</f>
        <v>7.4657935791777614E-3</v>
      </c>
      <c r="H9" s="9">
        <f t="shared" si="6"/>
        <v>7.4657935791777614E-3</v>
      </c>
      <c r="I9" s="9">
        <f t="shared" si="6"/>
        <v>2.4943626871399165E-3</v>
      </c>
      <c r="J9" s="9">
        <f t="shared" ref="J9:J33" si="7">G9*$F$2</f>
        <v>9.7055316529310904E-4</v>
      </c>
      <c r="K9" s="9">
        <f t="shared" ref="K9:K33" si="8">H9*$F$3</f>
        <v>1.4931587158355524E-3</v>
      </c>
      <c r="L9" s="9">
        <f t="shared" ref="L9:L33" si="9">I9*$F$4</f>
        <v>9.9774507485596666E-4</v>
      </c>
      <c r="M9">
        <f t="shared" si="0"/>
        <v>112.68293820656113</v>
      </c>
      <c r="N9">
        <f t="shared" ref="N9:N33" si="10">IF($N$7="LFO",M9/(1+EXP(-$I$4*(B9-$J$4)))-M9/(1+EXP($I$4*$J$4)),IF($N$7="MGO",M9/(1+EXP(-$I$5*(B9-$J$5)))-M9/(1+EXP($I$5*$J$5)),0))</f>
        <v>5.5270634909593568</v>
      </c>
      <c r="O9">
        <f>M9-N9</f>
        <v>107.15587471560178</v>
      </c>
      <c r="P9">
        <f>IF($I$3=0,0,M9/(1+EXP(-$I$3*(B9-$J$3)))-M9/(1+EXP($I$3*$J$3)))</f>
        <v>0.6915454104410792</v>
      </c>
      <c r="Q9" s="9">
        <f t="shared" si="1"/>
        <v>6.1370906851345572E-3</v>
      </c>
      <c r="R9">
        <f>VLOOKUP($B$1,dictionary!$A$3:$K$51,3,FALSE)*Q9</f>
        <v>1.2274181370269116E-3</v>
      </c>
      <c r="S9">
        <f>VLOOKUP($B$1,dictionary!$A$3:$K$51,4,FALSE)*Q9</f>
        <v>0</v>
      </c>
      <c r="T9">
        <f>VLOOKUP($B$1,dictionary!$A$3:$K$51,5,FALSE)*Q9</f>
        <v>1.841127205540367E-3</v>
      </c>
      <c r="U9">
        <f>VLOOKUP($B$1,dictionary!$A$3:$K$51,6,FALSE)*Q9</f>
        <v>1.841127205540367E-3</v>
      </c>
      <c r="V9">
        <f>VLOOKUP($B$1,dictionary!$A$3:$K$51,7,FALSE)*Q9</f>
        <v>0</v>
      </c>
      <c r="W9">
        <f>VLOOKUP($B$1,dictionary!$A$3:$K$51,8,FALSE)*Q9</f>
        <v>3.068545342567279E-4</v>
      </c>
      <c r="X9">
        <f>VLOOKUP($B$1,dictionary!$A$3:$K$51,9,FALSE)*Q9</f>
        <v>3.068545342567279E-4</v>
      </c>
      <c r="Y9">
        <f>VLOOKUP($B$1,dictionary!$A$3:$K$51,10,FALSE)*Q9</f>
        <v>6.137090685134558E-4</v>
      </c>
      <c r="Z9">
        <f>VLOOKUP($B$1,dictionary!$A$3:$K$51,11,FALSE)*Q9</f>
        <v>0</v>
      </c>
      <c r="AA9">
        <f t="shared" si="2"/>
        <v>111.99139279612005</v>
      </c>
      <c r="AB9">
        <f t="shared" ref="AB9:AB33" si="11">O9/M9*AA9</f>
        <v>106.49824939502722</v>
      </c>
      <c r="AC9">
        <f t="shared" ref="AC9:AC33" si="12">N9/M9*AA9</f>
        <v>5.4931434010928433</v>
      </c>
      <c r="AD9">
        <f t="shared" si="3"/>
        <v>0.13830908208821588</v>
      </c>
      <c r="AE9">
        <f t="shared" ref="AE9:AE33" si="13">S9*$O9*$AE$2+S9*$N9*$AE$3</f>
        <v>0</v>
      </c>
      <c r="AF9">
        <f t="shared" ref="AF9:AF33" si="14">T9*$O9*$AF$2+T9*$N9*$AF$3</f>
        <v>0.23051513681369307</v>
      </c>
      <c r="AG9">
        <f t="shared" ref="AG9:AG33" si="15">U9*$O9*$AG$2+U9*$N9*$AG$3</f>
        <v>0.23710128357979862</v>
      </c>
      <c r="AH9">
        <f t="shared" ref="AH9:AH33" si="16">V9*$O9*$AH$2+V9*$N9*$AH$3</f>
        <v>0</v>
      </c>
      <c r="AI9">
        <f t="shared" ref="AI9:AI33" si="17">W9*$O9*$AI$2+W9*$N9*$AI$3</f>
        <v>3.6397126865319963E-2</v>
      </c>
      <c r="AJ9">
        <f t="shared" ref="AJ9:AJ33" si="18">X9*$O9*$AJ$2+X9*$N9*$AJ$3</f>
        <v>3.6397126865319963E-2</v>
      </c>
      <c r="AK9">
        <f t="shared" ref="AK9:AK33" si="19">Y9*$O9*$AK$2+Y9*$N9*$AK$3</f>
        <v>6.9154541044107939E-2</v>
      </c>
      <c r="AL9">
        <f t="shared" ref="AL9:AL33" si="20">Z9*$O9*$AL$2+Z9*$N9*$AL$3</f>
        <v>0</v>
      </c>
    </row>
    <row r="10" spans="1:51" x14ac:dyDescent="0.2">
      <c r="A10">
        <v>2027</v>
      </c>
      <c r="B10">
        <v>2</v>
      </c>
      <c r="C10">
        <f t="shared" ref="C10:C33" si="21">C9*(1+$I$2)</f>
        <v>115.44844881496573</v>
      </c>
      <c r="D10">
        <f>IF($E$2=0,0,C10/(1+EXP(-$E$2*(B10-$G$2)))-C10/(1+EXP($E$2*$G$2)))</f>
        <v>1.7253794402303484</v>
      </c>
      <c r="E10">
        <f t="shared" si="4"/>
        <v>1.7253794402303484</v>
      </c>
      <c r="F10">
        <f t="shared" si="5"/>
        <v>0.57607013330521539</v>
      </c>
      <c r="G10" s="9">
        <f t="shared" si="6"/>
        <v>1.4945020551949462E-2</v>
      </c>
      <c r="H10" s="9">
        <f t="shared" si="6"/>
        <v>1.4945020551949462E-2</v>
      </c>
      <c r="I10" s="9">
        <f t="shared" si="6"/>
        <v>4.9898473233582217E-3</v>
      </c>
      <c r="J10" s="9">
        <f t="shared" si="7"/>
        <v>1.9428526717534301E-3</v>
      </c>
      <c r="K10" s="9">
        <f t="shared" si="8"/>
        <v>2.9890041103898925E-3</v>
      </c>
      <c r="L10" s="9">
        <f t="shared" si="9"/>
        <v>1.9959389293432886E-3</v>
      </c>
      <c r="M10">
        <f t="shared" si="0"/>
        <v>114.6504510779957</v>
      </c>
      <c r="N10">
        <f t="shared" si="10"/>
        <v>12.224601315823914</v>
      </c>
      <c r="O10">
        <f>M10-N10</f>
        <v>102.42584976217178</v>
      </c>
      <c r="P10">
        <f t="shared" ref="P10:P33" si="22">IF($I$3=0,0,M10/(1+EXP(-$I$3*(B10-$J$3)))-M10/(1+EXP($I$3*$J$3)))</f>
        <v>1.7896993823406557</v>
      </c>
      <c r="Q10" s="9">
        <f t="shared" si="1"/>
        <v>1.5610050946272675E-2</v>
      </c>
      <c r="R10">
        <f>VLOOKUP($B$1,dictionary!$A$3:$K$51,3,FALSE)*Q10</f>
        <v>3.1220101892545354E-3</v>
      </c>
      <c r="S10">
        <f>VLOOKUP($B$1,dictionary!$A$3:$K$51,4,FALSE)*Q10</f>
        <v>0</v>
      </c>
      <c r="T10">
        <f>VLOOKUP($B$1,dictionary!$A$3:$K$51,5,FALSE)*Q10</f>
        <v>4.6830152838818022E-3</v>
      </c>
      <c r="U10">
        <f>VLOOKUP($B$1,dictionary!$A$3:$K$51,6,FALSE)*Q10</f>
        <v>4.6830152838818022E-3</v>
      </c>
      <c r="V10">
        <f>VLOOKUP($B$1,dictionary!$A$3:$K$51,7,FALSE)*Q10</f>
        <v>0</v>
      </c>
      <c r="W10">
        <f>VLOOKUP($B$1,dictionary!$A$3:$K$51,8,FALSE)*Q10</f>
        <v>7.8050254731363384E-4</v>
      </c>
      <c r="X10">
        <f>VLOOKUP($B$1,dictionary!$A$3:$K$51,9,FALSE)*Q10</f>
        <v>7.8050254731363384E-4</v>
      </c>
      <c r="Y10">
        <f>VLOOKUP($B$1,dictionary!$A$3:$K$51,10,FALSE)*Q10</f>
        <v>1.5610050946272677E-3</v>
      </c>
      <c r="Z10">
        <f>VLOOKUP($B$1,dictionary!$A$3:$K$51,11,FALSE)*Q10</f>
        <v>0</v>
      </c>
      <c r="AA10">
        <f t="shared" si="2"/>
        <v>112.86075169565504</v>
      </c>
      <c r="AB10">
        <f t="shared" si="11"/>
        <v>100.826977029169</v>
      </c>
      <c r="AC10">
        <f t="shared" si="12"/>
        <v>12.03377466648603</v>
      </c>
      <c r="AD10">
        <f t="shared" si="3"/>
        <v>0.35793987646813119</v>
      </c>
      <c r="AE10">
        <f t="shared" si="13"/>
        <v>0</v>
      </c>
      <c r="AF10">
        <f t="shared" si="14"/>
        <v>0.59656646078021858</v>
      </c>
      <c r="AG10">
        <f t="shared" si="15"/>
        <v>0.61361121680251052</v>
      </c>
      <c r="AH10">
        <f t="shared" si="16"/>
        <v>0</v>
      </c>
      <c r="AI10">
        <f t="shared" si="17"/>
        <v>9.4194704333718737E-2</v>
      </c>
      <c r="AJ10">
        <f t="shared" si="18"/>
        <v>9.4194704333718737E-2</v>
      </c>
      <c r="AK10">
        <f t="shared" si="19"/>
        <v>0.1789699382340656</v>
      </c>
      <c r="AL10">
        <f t="shared" si="20"/>
        <v>0</v>
      </c>
    </row>
    <row r="11" spans="1:51" x14ac:dyDescent="0.2">
      <c r="A11">
        <v>2028</v>
      </c>
      <c r="B11">
        <v>3</v>
      </c>
      <c r="C11">
        <f t="shared" si="21"/>
        <v>117.87286624008</v>
      </c>
      <c r="D11">
        <f t="shared" ref="D11:D33" si="23">IF($E$2=0,0,C11/(1+EXP(-$E$2*(B11-$G$2)))-C11/(1+EXP($E$2*$G$2)))</f>
        <v>2.6444003970030394</v>
      </c>
      <c r="E11">
        <f t="shared" si="4"/>
        <v>2.6444003970030394</v>
      </c>
      <c r="F11">
        <f t="shared" si="5"/>
        <v>0.88243515262385586</v>
      </c>
      <c r="G11" s="9">
        <f t="shared" si="6"/>
        <v>2.2434343724339428E-2</v>
      </c>
      <c r="H11" s="9">
        <f t="shared" si="6"/>
        <v>2.2434343724339428E-2</v>
      </c>
      <c r="I11" s="9">
        <f t="shared" si="6"/>
        <v>7.4863298125502249E-3</v>
      </c>
      <c r="J11" s="9">
        <f t="shared" si="7"/>
        <v>2.9164646841641256E-3</v>
      </c>
      <c r="K11" s="9">
        <f t="shared" si="8"/>
        <v>4.4868687448678859E-3</v>
      </c>
      <c r="L11" s="9">
        <f t="shared" si="9"/>
        <v>2.99453192502009E-3</v>
      </c>
      <c r="M11">
        <f t="shared" si="0"/>
        <v>116.65139107381299</v>
      </c>
      <c r="N11">
        <f t="shared" si="10"/>
        <v>20.054493677613713</v>
      </c>
      <c r="O11">
        <f t="shared" ref="O11:O33" si="24">M11-N11</f>
        <v>96.596897396199267</v>
      </c>
      <c r="P11">
        <f t="shared" si="22"/>
        <v>3.5117126215784182</v>
      </c>
      <c r="Q11" s="9">
        <f t="shared" si="1"/>
        <v>3.0104335569871837E-2</v>
      </c>
      <c r="R11">
        <f>VLOOKUP($B$1,dictionary!$A$3:$K$51,3,FALSE)*Q11</f>
        <v>6.0208671139743673E-3</v>
      </c>
      <c r="S11">
        <f>VLOOKUP($B$1,dictionary!$A$3:$K$51,4,FALSE)*Q11</f>
        <v>0</v>
      </c>
      <c r="T11">
        <f>VLOOKUP($B$1,dictionary!$A$3:$K$51,5,FALSE)*Q11</f>
        <v>9.031300670961551E-3</v>
      </c>
      <c r="U11">
        <f>VLOOKUP($B$1,dictionary!$A$3:$K$51,6,FALSE)*Q11</f>
        <v>9.031300670961551E-3</v>
      </c>
      <c r="V11">
        <f>VLOOKUP($B$1,dictionary!$A$3:$K$51,7,FALSE)*Q11</f>
        <v>0</v>
      </c>
      <c r="W11">
        <f>VLOOKUP($B$1,dictionary!$A$3:$K$51,8,FALSE)*Q11</f>
        <v>1.5052167784935918E-3</v>
      </c>
      <c r="X11">
        <f>VLOOKUP($B$1,dictionary!$A$3:$K$51,9,FALSE)*Q11</f>
        <v>1.5052167784935918E-3</v>
      </c>
      <c r="Y11">
        <f>VLOOKUP($B$1,dictionary!$A$3:$K$51,10,FALSE)*Q11</f>
        <v>3.0104335569871837E-3</v>
      </c>
      <c r="Z11">
        <f>VLOOKUP($B$1,dictionary!$A$3:$K$51,11,FALSE)*Q11</f>
        <v>0</v>
      </c>
      <c r="AA11">
        <f t="shared" si="2"/>
        <v>113.13967845223456</v>
      </c>
      <c r="AB11">
        <f t="shared" si="11"/>
        <v>93.688911981975608</v>
      </c>
      <c r="AC11">
        <f t="shared" si="12"/>
        <v>19.450766470258959</v>
      </c>
      <c r="AD11">
        <f t="shared" si="3"/>
        <v>0.70234252431568356</v>
      </c>
      <c r="AE11">
        <f t="shared" si="13"/>
        <v>0</v>
      </c>
      <c r="AF11">
        <f t="shared" si="14"/>
        <v>1.1705708738594727</v>
      </c>
      <c r="AG11">
        <f t="shared" si="15"/>
        <v>1.2040157559697433</v>
      </c>
      <c r="AH11">
        <f t="shared" si="16"/>
        <v>0</v>
      </c>
      <c r="AI11">
        <f t="shared" si="17"/>
        <v>0.1848269800830746</v>
      </c>
      <c r="AJ11">
        <f t="shared" si="18"/>
        <v>0.1848269800830746</v>
      </c>
      <c r="AK11">
        <f t="shared" si="19"/>
        <v>0.35117126215784178</v>
      </c>
      <c r="AL11">
        <f t="shared" si="20"/>
        <v>0</v>
      </c>
    </row>
    <row r="12" spans="1:51" x14ac:dyDescent="0.2">
      <c r="A12">
        <v>2029</v>
      </c>
      <c r="B12">
        <v>4</v>
      </c>
      <c r="C12">
        <f t="shared" si="21"/>
        <v>120.34819643112166</v>
      </c>
      <c r="D12">
        <f t="shared" si="23"/>
        <v>3.6020705963510906</v>
      </c>
      <c r="E12">
        <f t="shared" si="4"/>
        <v>3.6020705963510906</v>
      </c>
      <c r="F12">
        <f t="shared" si="5"/>
        <v>1.2015185869293248</v>
      </c>
      <c r="G12" s="9">
        <f t="shared" si="6"/>
        <v>2.9930407793129225E-2</v>
      </c>
      <c r="H12" s="9">
        <f t="shared" si="6"/>
        <v>2.9930407793129225E-2</v>
      </c>
      <c r="I12" s="9">
        <f t="shared" si="6"/>
        <v>9.9836858595299723E-3</v>
      </c>
      <c r="J12" s="9">
        <f t="shared" si="7"/>
        <v>3.8909530131067994E-3</v>
      </c>
      <c r="K12" s="9">
        <f t="shared" si="8"/>
        <v>5.9860815586258451E-3</v>
      </c>
      <c r="L12" s="9">
        <f t="shared" si="9"/>
        <v>3.9934743438119888E-3</v>
      </c>
      <c r="M12">
        <f t="shared" si="0"/>
        <v>118.68644457919289</v>
      </c>
      <c r="N12">
        <f t="shared" si="10"/>
        <v>28.856467822620502</v>
      </c>
      <c r="O12">
        <f t="shared" si="24"/>
        <v>89.829976756572393</v>
      </c>
      <c r="P12">
        <f t="shared" si="22"/>
        <v>6.1700825760038249</v>
      </c>
      <c r="Q12" s="9">
        <f t="shared" si="1"/>
        <v>5.1986413426403304E-2</v>
      </c>
      <c r="R12">
        <f>VLOOKUP($B$1,dictionary!$A$3:$K$51,3,FALSE)*Q12</f>
        <v>1.0397282685280661E-2</v>
      </c>
      <c r="S12">
        <f>VLOOKUP($B$1,dictionary!$A$3:$K$51,4,FALSE)*Q12</f>
        <v>0</v>
      </c>
      <c r="T12">
        <f>VLOOKUP($B$1,dictionary!$A$3:$K$51,5,FALSE)*Q12</f>
        <v>1.5595924027920991E-2</v>
      </c>
      <c r="U12">
        <f>VLOOKUP($B$1,dictionary!$A$3:$K$51,6,FALSE)*Q12</f>
        <v>1.5595924027920991E-2</v>
      </c>
      <c r="V12">
        <f>VLOOKUP($B$1,dictionary!$A$3:$K$51,7,FALSE)*Q12</f>
        <v>0</v>
      </c>
      <c r="W12">
        <f>VLOOKUP($B$1,dictionary!$A$3:$K$51,8,FALSE)*Q12</f>
        <v>2.5993206713201653E-3</v>
      </c>
      <c r="X12">
        <f>VLOOKUP($B$1,dictionary!$A$3:$K$51,9,FALSE)*Q12</f>
        <v>2.5993206713201653E-3</v>
      </c>
      <c r="Y12">
        <f>VLOOKUP($B$1,dictionary!$A$3:$K$51,10,FALSE)*Q12</f>
        <v>5.1986413426403305E-3</v>
      </c>
      <c r="Z12">
        <f>VLOOKUP($B$1,dictionary!$A$3:$K$51,11,FALSE)*Q12</f>
        <v>0</v>
      </c>
      <c r="AA12">
        <f t="shared" si="2"/>
        <v>112.51636200318907</v>
      </c>
      <c r="AB12">
        <f t="shared" si="11"/>
        <v>85.160038446821034</v>
      </c>
      <c r="AC12">
        <f t="shared" si="12"/>
        <v>27.35632355636805</v>
      </c>
      <c r="AD12">
        <f t="shared" si="3"/>
        <v>1.2340165152007652</v>
      </c>
      <c r="AE12">
        <f t="shared" si="13"/>
        <v>0</v>
      </c>
      <c r="AF12">
        <f t="shared" si="14"/>
        <v>2.0566941920012751</v>
      </c>
      <c r="AG12">
        <f t="shared" si="15"/>
        <v>2.1154568832013116</v>
      </c>
      <c r="AH12">
        <f t="shared" si="16"/>
        <v>0</v>
      </c>
      <c r="AI12">
        <f t="shared" si="17"/>
        <v>0.32474118821072762</v>
      </c>
      <c r="AJ12">
        <f t="shared" si="18"/>
        <v>0.32474118821072762</v>
      </c>
      <c r="AK12">
        <f t="shared" si="19"/>
        <v>0.61700825760038258</v>
      </c>
      <c r="AL12">
        <f t="shared" si="20"/>
        <v>0</v>
      </c>
    </row>
    <row r="13" spans="1:51" x14ac:dyDescent="0.2">
      <c r="A13">
        <v>2030</v>
      </c>
      <c r="B13">
        <v>5</v>
      </c>
      <c r="C13">
        <f t="shared" si="21"/>
        <v>122.87550855617521</v>
      </c>
      <c r="D13">
        <f t="shared" si="23"/>
        <v>4.5992112817922077</v>
      </c>
      <c r="E13">
        <f t="shared" si="4"/>
        <v>4.5992112817922077</v>
      </c>
      <c r="F13">
        <f t="shared" si="5"/>
        <v>1.5337064161692808</v>
      </c>
      <c r="G13" s="9">
        <f t="shared" si="6"/>
        <v>3.7429845343749511E-2</v>
      </c>
      <c r="H13" s="9">
        <f t="shared" si="6"/>
        <v>3.7429845343749511E-2</v>
      </c>
      <c r="I13" s="9">
        <f t="shared" si="6"/>
        <v>1.2481790994729545E-2</v>
      </c>
      <c r="J13" s="9">
        <f t="shared" si="7"/>
        <v>4.865879894687437E-3</v>
      </c>
      <c r="K13" s="9">
        <f t="shared" si="8"/>
        <v>7.4859690687499028E-3</v>
      </c>
      <c r="L13" s="9">
        <f t="shared" si="9"/>
        <v>4.9927163978918179E-3</v>
      </c>
      <c r="M13">
        <f t="shared" si="0"/>
        <v>120.75631740605083</v>
      </c>
      <c r="N13">
        <f t="shared" si="10"/>
        <v>38.349124247299969</v>
      </c>
      <c r="O13">
        <f t="shared" si="24"/>
        <v>82.407193158750857</v>
      </c>
      <c r="P13">
        <f t="shared" si="22"/>
        <v>10.187307516231986</v>
      </c>
      <c r="Q13" s="9">
        <f t="shared" si="1"/>
        <v>8.4362522268516302E-2</v>
      </c>
      <c r="R13">
        <f>VLOOKUP($B$1,dictionary!$A$3:$K$51,3,FALSE)*Q13</f>
        <v>1.6872504453703262E-2</v>
      </c>
      <c r="S13">
        <f>VLOOKUP($B$1,dictionary!$A$3:$K$51,4,FALSE)*Q13</f>
        <v>0</v>
      </c>
      <c r="T13">
        <f>VLOOKUP($B$1,dictionary!$A$3:$K$51,5,FALSE)*Q13</f>
        <v>2.5308756680554888E-2</v>
      </c>
      <c r="U13">
        <f>VLOOKUP($B$1,dictionary!$A$3:$K$51,6,FALSE)*Q13</f>
        <v>2.5308756680554888E-2</v>
      </c>
      <c r="V13">
        <f>VLOOKUP($B$1,dictionary!$A$3:$K$51,7,FALSE)*Q13</f>
        <v>0</v>
      </c>
      <c r="W13">
        <f>VLOOKUP($B$1,dictionary!$A$3:$K$51,8,FALSE)*Q13</f>
        <v>4.2181261134258156E-3</v>
      </c>
      <c r="X13">
        <f>VLOOKUP($B$1,dictionary!$A$3:$K$51,9,FALSE)*Q13</f>
        <v>4.2181261134258156E-3</v>
      </c>
      <c r="Y13">
        <f>VLOOKUP($B$1,dictionary!$A$3:$K$51,10,FALSE)*Q13</f>
        <v>8.4362522268516312E-3</v>
      </c>
      <c r="Z13">
        <f>VLOOKUP($B$1,dictionary!$A$3:$K$51,11,FALSE)*Q13</f>
        <v>0</v>
      </c>
      <c r="AA13">
        <f t="shared" si="2"/>
        <v>110.56900988981884</v>
      </c>
      <c r="AB13">
        <f t="shared" si="11"/>
        <v>75.455114490809819</v>
      </c>
      <c r="AC13">
        <f t="shared" si="12"/>
        <v>35.113895399009031</v>
      </c>
      <c r="AD13">
        <f t="shared" si="3"/>
        <v>2.0374615032463974</v>
      </c>
      <c r="AE13">
        <f t="shared" si="13"/>
        <v>0</v>
      </c>
      <c r="AF13">
        <f t="shared" si="14"/>
        <v>3.3957691720773284</v>
      </c>
      <c r="AG13">
        <f t="shared" si="15"/>
        <v>3.4927911484223948</v>
      </c>
      <c r="AH13">
        <f t="shared" si="16"/>
        <v>0</v>
      </c>
      <c r="AI13">
        <f t="shared" si="17"/>
        <v>0.53617407980168341</v>
      </c>
      <c r="AJ13">
        <f t="shared" si="18"/>
        <v>0.53617407980168341</v>
      </c>
      <c r="AK13">
        <f t="shared" si="19"/>
        <v>1.0187307516231987</v>
      </c>
      <c r="AL13">
        <f t="shared" si="20"/>
        <v>0</v>
      </c>
    </row>
    <row r="14" spans="1:51" x14ac:dyDescent="0.2">
      <c r="A14">
        <v>2031</v>
      </c>
      <c r="B14">
        <v>6</v>
      </c>
      <c r="C14">
        <f t="shared" si="21"/>
        <v>125.45589423585487</v>
      </c>
      <c r="D14">
        <f t="shared" si="23"/>
        <v>5.6366433628888757</v>
      </c>
      <c r="E14">
        <f t="shared" si="4"/>
        <v>5.6366433628888757</v>
      </c>
      <c r="F14">
        <f t="shared" si="5"/>
        <v>1.8793946078630057</v>
      </c>
      <c r="G14" s="9">
        <f t="shared" si="6"/>
        <v>4.4929282894369919E-2</v>
      </c>
      <c r="H14" s="9">
        <f t="shared" si="6"/>
        <v>4.4929282894369919E-2</v>
      </c>
      <c r="I14" s="9">
        <f t="shared" si="6"/>
        <v>1.4980520598974624E-2</v>
      </c>
      <c r="J14" s="9">
        <f t="shared" si="7"/>
        <v>5.8408067762680893E-3</v>
      </c>
      <c r="K14" s="9">
        <f t="shared" si="8"/>
        <v>8.9858565788739839E-3</v>
      </c>
      <c r="L14" s="9">
        <f t="shared" si="9"/>
        <v>5.9922082395898503E-3</v>
      </c>
      <c r="M14">
        <f t="shared" si="0"/>
        <v>122.86173519662232</v>
      </c>
      <c r="N14">
        <f t="shared" si="10"/>
        <v>48.163887987193633</v>
      </c>
      <c r="O14">
        <f t="shared" si="24"/>
        <v>74.697847209428687</v>
      </c>
      <c r="P14">
        <f t="shared" si="22"/>
        <v>16.078193137062197</v>
      </c>
      <c r="Q14" s="9">
        <f t="shared" si="1"/>
        <v>0.13086412226989461</v>
      </c>
      <c r="R14">
        <f>VLOOKUP($B$1,dictionary!$A$3:$K$51,3,FALSE)*Q14</f>
        <v>2.6172824453978921E-2</v>
      </c>
      <c r="S14">
        <f>VLOOKUP($B$1,dictionary!$A$3:$K$51,4,FALSE)*Q14</f>
        <v>0</v>
      </c>
      <c r="T14">
        <f>VLOOKUP($B$1,dictionary!$A$3:$K$51,5,FALSE)*Q14</f>
        <v>3.9259236680968382E-2</v>
      </c>
      <c r="U14">
        <f>VLOOKUP($B$1,dictionary!$A$3:$K$51,6,FALSE)*Q14</f>
        <v>3.9259236680968382E-2</v>
      </c>
      <c r="V14">
        <f>VLOOKUP($B$1,dictionary!$A$3:$K$51,7,FALSE)*Q14</f>
        <v>0</v>
      </c>
      <c r="W14">
        <f>VLOOKUP($B$1,dictionary!$A$3:$K$51,8,FALSE)*Q14</f>
        <v>6.5432061134947303E-3</v>
      </c>
      <c r="X14">
        <f>VLOOKUP($B$1,dictionary!$A$3:$K$51,9,FALSE)*Q14</f>
        <v>6.5432061134947303E-3</v>
      </c>
      <c r="Y14">
        <f>VLOOKUP($B$1,dictionary!$A$3:$K$51,10,FALSE)*Q14</f>
        <v>1.3086412226989461E-2</v>
      </c>
      <c r="Z14">
        <f>VLOOKUP($B$1,dictionary!$A$3:$K$51,11,FALSE)*Q14</f>
        <v>0</v>
      </c>
      <c r="AA14">
        <f t="shared" si="2"/>
        <v>106.78354205956012</v>
      </c>
      <c r="AB14">
        <f t="shared" si="11"/>
        <v>64.922578998916109</v>
      </c>
      <c r="AC14">
        <f t="shared" si="12"/>
        <v>41.860963060644018</v>
      </c>
      <c r="AD14">
        <f t="shared" si="3"/>
        <v>3.2156386274124396</v>
      </c>
      <c r="AE14">
        <f t="shared" si="13"/>
        <v>0</v>
      </c>
      <c r="AF14">
        <f t="shared" si="14"/>
        <v>5.359397712354065</v>
      </c>
      <c r="AG14">
        <f t="shared" si="15"/>
        <v>5.5125233612784683</v>
      </c>
      <c r="AH14">
        <f t="shared" si="16"/>
        <v>0</v>
      </c>
      <c r="AI14">
        <f t="shared" si="17"/>
        <v>0.84622069142432599</v>
      </c>
      <c r="AJ14">
        <f t="shared" si="18"/>
        <v>0.84622069142432599</v>
      </c>
      <c r="AK14">
        <f t="shared" si="19"/>
        <v>1.6078193137062198</v>
      </c>
      <c r="AL14">
        <f t="shared" si="20"/>
        <v>0</v>
      </c>
    </row>
    <row r="15" spans="1:51" x14ac:dyDescent="0.2">
      <c r="A15">
        <v>2032</v>
      </c>
      <c r="B15">
        <v>7</v>
      </c>
      <c r="C15">
        <f t="shared" si="21"/>
        <v>128.09046801480781</v>
      </c>
      <c r="D15">
        <f t="shared" si="23"/>
        <v>6.7151872283497909</v>
      </c>
      <c r="E15">
        <f t="shared" si="4"/>
        <v>6.7151872283497909</v>
      </c>
      <c r="F15">
        <f t="shared" si="5"/>
        <v>2.2389893491002724</v>
      </c>
      <c r="G15" s="9">
        <f t="shared" si="6"/>
        <v>5.2425346963159557E-2</v>
      </c>
      <c r="H15" s="9">
        <f t="shared" si="6"/>
        <v>5.2425346963159557E-2</v>
      </c>
      <c r="I15" s="9">
        <f t="shared" si="6"/>
        <v>1.7479749928319691E-2</v>
      </c>
      <c r="J15" s="9">
        <f t="shared" si="7"/>
        <v>6.8152951052107428E-3</v>
      </c>
      <c r="K15" s="9">
        <f t="shared" si="8"/>
        <v>1.0485069392631913E-2</v>
      </c>
      <c r="L15" s="9">
        <f t="shared" si="9"/>
        <v>6.9918999713278768E-3</v>
      </c>
      <c r="M15">
        <f t="shared" si="0"/>
        <v>125.0034438208458</v>
      </c>
      <c r="N15">
        <f t="shared" si="10"/>
        <v>57.905443086254792</v>
      </c>
      <c r="O15">
        <f t="shared" si="24"/>
        <v>67.098000734591011</v>
      </c>
      <c r="P15">
        <f>IF($I$3=0,0,M15/(1+EXP(-$I$3*(B15-$J$3)))-M15/(1+EXP($I$3*$J$3)))</f>
        <v>24.361099789910146</v>
      </c>
      <c r="Q15" s="9">
        <f t="shared" si="1"/>
        <v>0.19488342917035414</v>
      </c>
      <c r="R15">
        <f>VLOOKUP($B$1,dictionary!$A$3:$K$51,3,FALSE)*Q15</f>
        <v>3.897668583407083E-2</v>
      </c>
      <c r="S15">
        <f>VLOOKUP($B$1,dictionary!$A$3:$K$51,4,FALSE)*Q15</f>
        <v>0</v>
      </c>
      <c r="T15">
        <f>VLOOKUP($B$1,dictionary!$A$3:$K$51,5,FALSE)*Q15</f>
        <v>5.8465028751106242E-2</v>
      </c>
      <c r="U15">
        <f>VLOOKUP($B$1,dictionary!$A$3:$K$51,6,FALSE)*Q15</f>
        <v>5.8465028751106242E-2</v>
      </c>
      <c r="V15">
        <f>VLOOKUP($B$1,dictionary!$A$3:$K$51,7,FALSE)*Q15</f>
        <v>0</v>
      </c>
      <c r="W15">
        <f>VLOOKUP($B$1,dictionary!$A$3:$K$51,8,FALSE)*Q15</f>
        <v>9.7441714585177076E-3</v>
      </c>
      <c r="X15">
        <f>VLOOKUP($B$1,dictionary!$A$3:$K$51,9,FALSE)*Q15</f>
        <v>9.7441714585177076E-3</v>
      </c>
      <c r="Y15">
        <f>VLOOKUP($B$1,dictionary!$A$3:$K$51,10,FALSE)*Q15</f>
        <v>1.9488342917035415E-2</v>
      </c>
      <c r="Z15">
        <f>VLOOKUP($B$1,dictionary!$A$3:$K$51,11,FALSE)*Q15</f>
        <v>0</v>
      </c>
      <c r="AA15">
        <f t="shared" si="2"/>
        <v>100.64234403093566</v>
      </c>
      <c r="AB15">
        <f t="shared" si="11"/>
        <v>54.021712260958971</v>
      </c>
      <c r="AC15">
        <f t="shared" si="12"/>
        <v>46.62063176997669</v>
      </c>
      <c r="AD15">
        <f t="shared" si="3"/>
        <v>4.8722199579820291</v>
      </c>
      <c r="AE15">
        <f t="shared" si="13"/>
        <v>0</v>
      </c>
      <c r="AF15">
        <f t="shared" si="14"/>
        <v>8.1203665966367158</v>
      </c>
      <c r="AG15">
        <f t="shared" si="15"/>
        <v>8.3523770708263356</v>
      </c>
      <c r="AH15">
        <f t="shared" si="16"/>
        <v>0</v>
      </c>
      <c r="AI15">
        <f t="shared" si="17"/>
        <v>1.2821631468373762</v>
      </c>
      <c r="AJ15">
        <f t="shared" si="18"/>
        <v>1.2821631468373762</v>
      </c>
      <c r="AK15">
        <f t="shared" si="19"/>
        <v>2.4361099789910146</v>
      </c>
      <c r="AL15">
        <f t="shared" si="20"/>
        <v>0</v>
      </c>
    </row>
    <row r="16" spans="1:51" x14ac:dyDescent="0.2">
      <c r="A16">
        <v>2033</v>
      </c>
      <c r="B16">
        <v>8</v>
      </c>
      <c r="C16">
        <f t="shared" si="21"/>
        <v>130.78036784311877</v>
      </c>
      <c r="D16">
        <f t="shared" si="23"/>
        <v>7.8356625995263158</v>
      </c>
      <c r="E16">
        <f t="shared" si="4"/>
        <v>7.8356625995263158</v>
      </c>
      <c r="F16">
        <f t="shared" si="5"/>
        <v>2.612907283558549</v>
      </c>
      <c r="G16" s="9">
        <f t="shared" si="6"/>
        <v>5.9914670135549727E-2</v>
      </c>
      <c r="H16" s="9">
        <f t="shared" si="6"/>
        <v>5.9914670135549727E-2</v>
      </c>
      <c r="I16" s="9">
        <f t="shared" si="6"/>
        <v>1.9979354138940295E-2</v>
      </c>
      <c r="J16" s="9">
        <f t="shared" si="7"/>
        <v>7.7889071176214649E-3</v>
      </c>
      <c r="K16" s="9">
        <f t="shared" si="8"/>
        <v>1.1982934027109947E-2</v>
      </c>
      <c r="L16" s="9">
        <f t="shared" si="9"/>
        <v>7.9917416555761178E-3</v>
      </c>
      <c r="M16">
        <f t="shared" si="0"/>
        <v>127.18220976739109</v>
      </c>
      <c r="N16">
        <f t="shared" si="10"/>
        <v>67.218847541209385</v>
      </c>
      <c r="O16">
        <f t="shared" si="24"/>
        <v>59.963362226181701</v>
      </c>
      <c r="P16">
        <f t="shared" si="22"/>
        <v>35.364737348169079</v>
      </c>
      <c r="Q16" s="9">
        <f t="shared" si="1"/>
        <v>0.27806355474440286</v>
      </c>
      <c r="R16">
        <f>VLOOKUP($B$1,dictionary!$A$3:$K$51,3,FALSE)*Q16</f>
        <v>5.5612710948880574E-2</v>
      </c>
      <c r="S16">
        <f>VLOOKUP($B$1,dictionary!$A$3:$K$51,4,FALSE)*Q16</f>
        <v>0</v>
      </c>
      <c r="T16">
        <f>VLOOKUP($B$1,dictionary!$A$3:$K$51,5,FALSE)*Q16</f>
        <v>8.3419066423320851E-2</v>
      </c>
      <c r="U16">
        <f>VLOOKUP($B$1,dictionary!$A$3:$K$51,6,FALSE)*Q16</f>
        <v>8.3419066423320851E-2</v>
      </c>
      <c r="V16">
        <f>VLOOKUP($B$1,dictionary!$A$3:$K$51,7,FALSE)*Q16</f>
        <v>0</v>
      </c>
      <c r="W16">
        <f>VLOOKUP($B$1,dictionary!$A$3:$K$51,8,FALSE)*Q16</f>
        <v>1.3903177737220144E-2</v>
      </c>
      <c r="X16">
        <f>VLOOKUP($B$1,dictionary!$A$3:$K$51,9,FALSE)*Q16</f>
        <v>1.3903177737220144E-2</v>
      </c>
      <c r="Y16">
        <f>VLOOKUP($B$1,dictionary!$A$3:$K$51,10,FALSE)*Q16</f>
        <v>2.7806355474440287E-2</v>
      </c>
      <c r="Z16">
        <f>VLOOKUP($B$1,dictionary!$A$3:$K$51,11,FALSE)*Q16</f>
        <v>0</v>
      </c>
      <c r="AA16">
        <f t="shared" si="2"/>
        <v>91.817472419222014</v>
      </c>
      <c r="AB16">
        <f t="shared" si="11"/>
        <v>43.289736571143365</v>
      </c>
      <c r="AC16">
        <f t="shared" si="12"/>
        <v>48.527735848078642</v>
      </c>
      <c r="AD16">
        <f t="shared" si="3"/>
        <v>7.0729474696338164</v>
      </c>
      <c r="AE16">
        <f t="shared" si="13"/>
        <v>0</v>
      </c>
      <c r="AF16">
        <f t="shared" si="14"/>
        <v>11.788245782723026</v>
      </c>
      <c r="AG16">
        <f t="shared" si="15"/>
        <v>12.125052805086542</v>
      </c>
      <c r="AH16">
        <f t="shared" si="16"/>
        <v>0</v>
      </c>
      <c r="AI16">
        <f t="shared" si="17"/>
        <v>1.8613019656931096</v>
      </c>
      <c r="AJ16">
        <f t="shared" si="18"/>
        <v>1.8613019656931096</v>
      </c>
      <c r="AK16">
        <f t="shared" si="19"/>
        <v>3.5364737348169082</v>
      </c>
      <c r="AL16">
        <f t="shared" si="20"/>
        <v>0</v>
      </c>
    </row>
    <row r="17" spans="1:38" x14ac:dyDescent="0.2">
      <c r="A17">
        <v>2034</v>
      </c>
      <c r="B17">
        <v>9</v>
      </c>
      <c r="C17">
        <f t="shared" si="21"/>
        <v>133.52675556782424</v>
      </c>
      <c r="D17">
        <f t="shared" si="23"/>
        <v>8.9988884259459141</v>
      </c>
      <c r="E17">
        <f t="shared" si="4"/>
        <v>8.9988884259459141</v>
      </c>
      <c r="F17">
        <f t="shared" si="5"/>
        <v>3.0015757536433085</v>
      </c>
      <c r="G17" s="9">
        <f t="shared" si="6"/>
        <v>6.7393897108321291E-2</v>
      </c>
      <c r="H17" s="9">
        <f t="shared" si="6"/>
        <v>6.7393897108321291E-2</v>
      </c>
      <c r="I17" s="9">
        <f t="shared" si="6"/>
        <v>2.2479208312065017E-2</v>
      </c>
      <c r="J17" s="9">
        <f t="shared" si="7"/>
        <v>8.7612066240817677E-3</v>
      </c>
      <c r="K17" s="9">
        <f t="shared" si="8"/>
        <v>1.3478779421664259E-2</v>
      </c>
      <c r="L17" s="9">
        <f t="shared" si="9"/>
        <v>8.9916833248260067E-3</v>
      </c>
      <c r="M17">
        <f t="shared" si="0"/>
        <v>129.39882052825425</v>
      </c>
      <c r="N17">
        <f t="shared" si="10"/>
        <v>75.840552916713349</v>
      </c>
      <c r="O17">
        <f t="shared" si="24"/>
        <v>53.558267611540899</v>
      </c>
      <c r="P17">
        <f t="shared" si="22"/>
        <v>48.961126469337863</v>
      </c>
      <c r="Q17" s="9">
        <f t="shared" si="1"/>
        <v>0.37837382342018483</v>
      </c>
      <c r="R17">
        <f>VLOOKUP($B$1,dictionary!$A$3:$K$51,3,FALSE)*Q17</f>
        <v>7.5674764684036971E-2</v>
      </c>
      <c r="S17">
        <f>VLOOKUP($B$1,dictionary!$A$3:$K$51,4,FALSE)*Q17</f>
        <v>0</v>
      </c>
      <c r="T17">
        <f>VLOOKUP($B$1,dictionary!$A$3:$K$51,5,FALSE)*Q17</f>
        <v>0.11351214702605544</v>
      </c>
      <c r="U17">
        <f>VLOOKUP($B$1,dictionary!$A$3:$K$51,6,FALSE)*Q17</f>
        <v>0.11351214702605544</v>
      </c>
      <c r="V17">
        <f>VLOOKUP($B$1,dictionary!$A$3:$K$51,7,FALSE)*Q17</f>
        <v>0</v>
      </c>
      <c r="W17">
        <f>VLOOKUP($B$1,dictionary!$A$3:$K$51,8,FALSE)*Q17</f>
        <v>1.8918691171009243E-2</v>
      </c>
      <c r="X17">
        <f>VLOOKUP($B$1,dictionary!$A$3:$K$51,9,FALSE)*Q17</f>
        <v>1.8918691171009243E-2</v>
      </c>
      <c r="Y17">
        <f>VLOOKUP($B$1,dictionary!$A$3:$K$51,10,FALSE)*Q17</f>
        <v>3.7837382342018486E-2</v>
      </c>
      <c r="Z17">
        <f>VLOOKUP($B$1,dictionary!$A$3:$K$51,11,FALSE)*Q17</f>
        <v>0</v>
      </c>
      <c r="AA17">
        <f t="shared" si="2"/>
        <v>80.437694058916378</v>
      </c>
      <c r="AB17">
        <f t="shared" si="11"/>
        <v>33.293221119600716</v>
      </c>
      <c r="AC17">
        <f t="shared" si="12"/>
        <v>47.144472939315662</v>
      </c>
      <c r="AD17">
        <f t="shared" si="3"/>
        <v>9.792225293867574</v>
      </c>
      <c r="AE17">
        <f t="shared" si="13"/>
        <v>0</v>
      </c>
      <c r="AF17">
        <f t="shared" si="14"/>
        <v>16.320375489779288</v>
      </c>
      <c r="AG17">
        <f t="shared" si="15"/>
        <v>16.786671932344412</v>
      </c>
      <c r="AH17">
        <f t="shared" si="16"/>
        <v>0</v>
      </c>
      <c r="AI17">
        <f t="shared" si="17"/>
        <v>2.5769013931230456</v>
      </c>
      <c r="AJ17">
        <f t="shared" si="18"/>
        <v>2.5769013931230456</v>
      </c>
      <c r="AK17">
        <f t="shared" si="19"/>
        <v>4.896112646933787</v>
      </c>
      <c r="AL17">
        <f t="shared" si="20"/>
        <v>0</v>
      </c>
    </row>
    <row r="18" spans="1:38" x14ac:dyDescent="0.2">
      <c r="A18">
        <v>2035</v>
      </c>
      <c r="B18">
        <v>10</v>
      </c>
      <c r="C18">
        <f t="shared" si="21"/>
        <v>136.33081743474852</v>
      </c>
      <c r="D18">
        <f t="shared" si="23"/>
        <v>10.205682824339185</v>
      </c>
      <c r="E18">
        <f t="shared" si="4"/>
        <v>10.205682824339185</v>
      </c>
      <c r="F18">
        <f t="shared" si="5"/>
        <v>3.4054330478597308</v>
      </c>
      <c r="G18" s="9">
        <f t="shared" si="6"/>
        <v>7.4859690687499106E-2</v>
      </c>
      <c r="H18" s="9">
        <f t="shared" si="6"/>
        <v>7.4859690687499106E-2</v>
      </c>
      <c r="I18" s="9">
        <f t="shared" si="6"/>
        <v>2.497918747894004E-2</v>
      </c>
      <c r="J18" s="9">
        <f t="shared" si="7"/>
        <v>9.7317597893748845E-3</v>
      </c>
      <c r="K18" s="9">
        <f t="shared" si="8"/>
        <v>1.4971938137499821E-2</v>
      </c>
      <c r="L18" s="9">
        <f t="shared" si="9"/>
        <v>9.9916749915760165E-3</v>
      </c>
      <c r="M18">
        <f t="shared" si="0"/>
        <v>131.65408497690836</v>
      </c>
      <c r="N18">
        <f t="shared" si="10"/>
        <v>83.619954150590246</v>
      </c>
      <c r="O18">
        <f t="shared" si="24"/>
        <v>48.034130826318119</v>
      </c>
      <c r="P18">
        <f t="shared" si="22"/>
        <v>64.380566609729655</v>
      </c>
      <c r="Q18" s="9">
        <f t="shared" si="1"/>
        <v>0.48901305736940687</v>
      </c>
      <c r="R18">
        <f>VLOOKUP($B$1,dictionary!$A$3:$K$51,3,FALSE)*Q18</f>
        <v>9.7802611473881376E-2</v>
      </c>
      <c r="S18">
        <f>VLOOKUP($B$1,dictionary!$A$3:$K$51,4,FALSE)*Q18</f>
        <v>0</v>
      </c>
      <c r="T18">
        <f>VLOOKUP($B$1,dictionary!$A$3:$K$51,5,FALSE)*Q18</f>
        <v>0.14670391721082204</v>
      </c>
      <c r="U18">
        <f>VLOOKUP($B$1,dictionary!$A$3:$K$51,6,FALSE)*Q18</f>
        <v>0.14670391721082204</v>
      </c>
      <c r="V18">
        <f>VLOOKUP($B$1,dictionary!$A$3:$K$51,7,FALSE)*Q18</f>
        <v>0</v>
      </c>
      <c r="W18">
        <f>VLOOKUP($B$1,dictionary!$A$3:$K$51,8,FALSE)*Q18</f>
        <v>2.4450652868470344E-2</v>
      </c>
      <c r="X18">
        <f>VLOOKUP($B$1,dictionary!$A$3:$K$51,9,FALSE)*Q18</f>
        <v>2.4450652868470344E-2</v>
      </c>
      <c r="Y18">
        <f>VLOOKUP($B$1,dictionary!$A$3:$K$51,10,FALSE)*Q18</f>
        <v>4.8901305736940688E-2</v>
      </c>
      <c r="Z18">
        <f>VLOOKUP($B$1,dictionary!$A$3:$K$51,11,FALSE)*Q18</f>
        <v>0</v>
      </c>
      <c r="AA18">
        <f t="shared" si="2"/>
        <v>67.27351836717871</v>
      </c>
      <c r="AB18">
        <f t="shared" si="11"/>
        <v>24.54481365285822</v>
      </c>
      <c r="AC18">
        <f t="shared" si="12"/>
        <v>42.728704714320486</v>
      </c>
      <c r="AD18">
        <f t="shared" si="3"/>
        <v>12.876113321945933</v>
      </c>
      <c r="AE18">
        <f t="shared" si="13"/>
        <v>0</v>
      </c>
      <c r="AF18">
        <f t="shared" si="14"/>
        <v>21.460188869909885</v>
      </c>
      <c r="AG18">
        <f t="shared" si="15"/>
        <v>22.073337123335882</v>
      </c>
      <c r="AH18">
        <f t="shared" si="16"/>
        <v>0</v>
      </c>
      <c r="AI18">
        <f t="shared" si="17"/>
        <v>3.3884508741962978</v>
      </c>
      <c r="AJ18">
        <f t="shared" si="18"/>
        <v>3.3884508741962978</v>
      </c>
      <c r="AK18">
        <f t="shared" si="19"/>
        <v>6.4380566609729666</v>
      </c>
      <c r="AL18">
        <f t="shared" si="20"/>
        <v>0</v>
      </c>
    </row>
    <row r="19" spans="1:38" x14ac:dyDescent="0.2">
      <c r="A19">
        <v>2036</v>
      </c>
      <c r="B19">
        <v>11</v>
      </c>
      <c r="C19">
        <f t="shared" si="21"/>
        <v>139.19376460087824</v>
      </c>
      <c r="D19">
        <f t="shared" si="23"/>
        <v>11.456863062421405</v>
      </c>
      <c r="E19">
        <f t="shared" si="4"/>
        <v>11.456863062421405</v>
      </c>
      <c r="F19">
        <f t="shared" si="5"/>
        <v>3.8249286535258733</v>
      </c>
      <c r="G19" s="9">
        <f t="shared" si="6"/>
        <v>8.2308737717329605E-2</v>
      </c>
      <c r="H19" s="9">
        <f t="shared" si="6"/>
        <v>8.2308737717329605E-2</v>
      </c>
      <c r="I19" s="9">
        <f t="shared" si="6"/>
        <v>2.7479166645814967E-2</v>
      </c>
      <c r="J19" s="9">
        <f t="shared" si="7"/>
        <v>1.0700135903252849E-2</v>
      </c>
      <c r="K19" s="9">
        <f t="shared" si="8"/>
        <v>1.646174754346592E-2</v>
      </c>
      <c r="L19" s="9">
        <f t="shared" si="9"/>
        <v>1.0991666658325988E-2</v>
      </c>
      <c r="M19">
        <f t="shared" si="0"/>
        <v>133.94883374007392</v>
      </c>
      <c r="N19">
        <f t="shared" si="10"/>
        <v>90.512362873582532</v>
      </c>
      <c r="O19">
        <f t="shared" si="24"/>
        <v>43.436470866491391</v>
      </c>
      <c r="P19">
        <f t="shared" si="22"/>
        <v>80.322725071693384</v>
      </c>
      <c r="Q19" s="9">
        <f t="shared" si="1"/>
        <v>0.59965229131862885</v>
      </c>
      <c r="R19">
        <f>VLOOKUP($B$1,dictionary!$A$3:$K$51,3,FALSE)*Q19</f>
        <v>0.11993045826372578</v>
      </c>
      <c r="S19">
        <f>VLOOKUP($B$1,dictionary!$A$3:$K$51,4,FALSE)*Q19</f>
        <v>0</v>
      </c>
      <c r="T19">
        <f>VLOOKUP($B$1,dictionary!$A$3:$K$51,5,FALSE)*Q19</f>
        <v>0.17989568739558864</v>
      </c>
      <c r="U19">
        <f>VLOOKUP($B$1,dictionary!$A$3:$K$51,6,FALSE)*Q19</f>
        <v>0.17989568739558864</v>
      </c>
      <c r="V19">
        <f>VLOOKUP($B$1,dictionary!$A$3:$K$51,7,FALSE)*Q19</f>
        <v>0</v>
      </c>
      <c r="W19">
        <f>VLOOKUP($B$1,dictionary!$A$3:$K$51,8,FALSE)*Q19</f>
        <v>2.9982614565931445E-2</v>
      </c>
      <c r="X19">
        <f>VLOOKUP($B$1,dictionary!$A$3:$K$51,9,FALSE)*Q19</f>
        <v>2.9982614565931445E-2</v>
      </c>
      <c r="Y19">
        <f>VLOOKUP($B$1,dictionary!$A$3:$K$51,10,FALSE)*Q19</f>
        <v>5.996522913186289E-2</v>
      </c>
      <c r="Z19">
        <f>VLOOKUP($B$1,dictionary!$A$3:$K$51,11,FALSE)*Q19</f>
        <v>0</v>
      </c>
      <c r="AA19">
        <f t="shared" si="2"/>
        <v>53.626108668380539</v>
      </c>
      <c r="AB19">
        <f t="shared" si="11"/>
        <v>17.389691584604961</v>
      </c>
      <c r="AC19">
        <f t="shared" si="12"/>
        <v>36.236417083775578</v>
      </c>
      <c r="AD19">
        <f t="shared" si="3"/>
        <v>16.06454501433868</v>
      </c>
      <c r="AE19">
        <f t="shared" si="13"/>
        <v>0</v>
      </c>
      <c r="AF19">
        <f t="shared" si="14"/>
        <v>26.774241690564462</v>
      </c>
      <c r="AG19">
        <f t="shared" si="15"/>
        <v>27.53922002458059</v>
      </c>
      <c r="AH19">
        <f t="shared" si="16"/>
        <v>0</v>
      </c>
      <c r="AI19">
        <f t="shared" si="17"/>
        <v>4.2275118458785998</v>
      </c>
      <c r="AJ19">
        <f t="shared" si="18"/>
        <v>4.2275118458785998</v>
      </c>
      <c r="AK19">
        <f t="shared" si="19"/>
        <v>8.0322725071693402</v>
      </c>
      <c r="AL19">
        <f t="shared" si="20"/>
        <v>0</v>
      </c>
    </row>
    <row r="20" spans="1:38" x14ac:dyDescent="0.2">
      <c r="A20">
        <v>2037</v>
      </c>
      <c r="B20">
        <v>12</v>
      </c>
      <c r="C20">
        <f t="shared" si="21"/>
        <v>142.11683365749667</v>
      </c>
      <c r="D20">
        <f t="shared" si="23"/>
        <v>12.753245588489236</v>
      </c>
      <c r="E20">
        <f t="shared" si="4"/>
        <v>12.753245588489236</v>
      </c>
      <c r="F20">
        <f t="shared" si="5"/>
        <v>4.2605235149398908</v>
      </c>
      <c r="G20" s="9">
        <f t="shared" si="6"/>
        <v>8.9737754918074772E-2</v>
      </c>
      <c r="H20" s="9">
        <f t="shared" si="6"/>
        <v>8.9737754918074772E-2</v>
      </c>
      <c r="I20" s="9">
        <f t="shared" si="6"/>
        <v>2.9979020818939755E-2</v>
      </c>
      <c r="J20" s="9">
        <f t="shared" si="7"/>
        <v>1.166590813934972E-2</v>
      </c>
      <c r="K20" s="9">
        <f t="shared" si="8"/>
        <v>1.7947550983614956E-2</v>
      </c>
      <c r="L20" s="9">
        <f t="shared" si="9"/>
        <v>1.1991608327575903E-2</v>
      </c>
      <c r="M20">
        <f t="shared" si="0"/>
        <v>136.28391956324279</v>
      </c>
      <c r="N20">
        <f t="shared" si="10"/>
        <v>96.554111746106514</v>
      </c>
      <c r="O20">
        <f t="shared" si="24"/>
        <v>39.729807817136276</v>
      </c>
      <c r="P20">
        <f>IF($I$3=0,0,M20/(1+EXP(-$I$3*(B20-$J$3)))-M20/(1+EXP($I$3*$J$3)))</f>
        <v>95.393641223559783</v>
      </c>
      <c r="Q20" s="9">
        <f t="shared" si="1"/>
        <v>0.69996255999441082</v>
      </c>
      <c r="R20">
        <f>VLOOKUP($B$1,dictionary!$A$3:$K$51,3,FALSE)*Q20</f>
        <v>0.13999251199888216</v>
      </c>
      <c r="S20">
        <f>VLOOKUP($B$1,dictionary!$A$3:$K$51,4,FALSE)*Q20</f>
        <v>0</v>
      </c>
      <c r="T20">
        <f>VLOOKUP($B$1,dictionary!$A$3:$K$51,5,FALSE)*Q20</f>
        <v>0.20998876799832325</v>
      </c>
      <c r="U20">
        <f>VLOOKUP($B$1,dictionary!$A$3:$K$51,6,FALSE)*Q20</f>
        <v>0.20998876799832325</v>
      </c>
      <c r="V20">
        <f>VLOOKUP($B$1,dictionary!$A$3:$K$51,7,FALSE)*Q20</f>
        <v>0</v>
      </c>
      <c r="W20">
        <f>VLOOKUP($B$1,dictionary!$A$3:$K$51,8,FALSE)*Q20</f>
        <v>3.4998127999720539E-2</v>
      </c>
      <c r="X20">
        <f>VLOOKUP($B$1,dictionary!$A$3:$K$51,9,FALSE)*Q20</f>
        <v>3.4998127999720539E-2</v>
      </c>
      <c r="Y20">
        <f>VLOOKUP($B$1,dictionary!$A$3:$K$51,10,FALSE)*Q20</f>
        <v>6.9996255999441079E-2</v>
      </c>
      <c r="Z20">
        <f>VLOOKUP($B$1,dictionary!$A$3:$K$51,11,FALSE)*Q20</f>
        <v>0</v>
      </c>
      <c r="AA20">
        <f t="shared" si="2"/>
        <v>40.890278339683007</v>
      </c>
      <c r="AB20">
        <f t="shared" si="11"/>
        <v>11.920429829367617</v>
      </c>
      <c r="AC20">
        <f t="shared" si="12"/>
        <v>28.969848510315391</v>
      </c>
      <c r="AD20">
        <f t="shared" si="3"/>
        <v>19.078728244711957</v>
      </c>
      <c r="AE20">
        <f t="shared" si="13"/>
        <v>0</v>
      </c>
      <c r="AF20">
        <f t="shared" si="14"/>
        <v>31.797880407853263</v>
      </c>
      <c r="AG20">
        <f t="shared" si="15"/>
        <v>32.706391276649079</v>
      </c>
      <c r="AH20">
        <f t="shared" si="16"/>
        <v>0</v>
      </c>
      <c r="AI20">
        <f t="shared" si="17"/>
        <v>5.0207179591347249</v>
      </c>
      <c r="AJ20">
        <f t="shared" si="18"/>
        <v>5.0207179591347249</v>
      </c>
      <c r="AK20">
        <f t="shared" si="19"/>
        <v>9.5393641223559786</v>
      </c>
      <c r="AL20">
        <f t="shared" si="20"/>
        <v>0</v>
      </c>
    </row>
    <row r="21" spans="1:38" x14ac:dyDescent="0.2">
      <c r="A21">
        <v>2038</v>
      </c>
      <c r="B21">
        <v>13</v>
      </c>
      <c r="C21">
        <f t="shared" si="21"/>
        <v>145.1012871643041</v>
      </c>
      <c r="D21">
        <f t="shared" si="23"/>
        <v>14.095646107686406</v>
      </c>
      <c r="E21">
        <f t="shared" si="4"/>
        <v>14.095646107686406</v>
      </c>
      <c r="F21">
        <f t="shared" si="5"/>
        <v>4.7126902971159979</v>
      </c>
      <c r="G21" s="9">
        <f t="shared" si="6"/>
        <v>9.7143494610942571E-2</v>
      </c>
      <c r="H21" s="9">
        <f t="shared" si="6"/>
        <v>9.7143494610942571E-2</v>
      </c>
      <c r="I21" s="9">
        <f t="shared" si="6"/>
        <v>3.24786250295604E-2</v>
      </c>
      <c r="J21" s="9">
        <f t="shared" si="7"/>
        <v>1.2628654299422535E-2</v>
      </c>
      <c r="K21" s="9">
        <f t="shared" si="8"/>
        <v>1.9428698922188514E-2</v>
      </c>
      <c r="L21" s="9">
        <f t="shared" si="9"/>
        <v>1.2991450011824161E-2</v>
      </c>
      <c r="M21">
        <f t="shared" si="0"/>
        <v>138.66021767016318</v>
      </c>
      <c r="N21">
        <f t="shared" si="10"/>
        <v>101.83231063051858</v>
      </c>
      <c r="O21">
        <f t="shared" si="24"/>
        <v>36.8279070396446</v>
      </c>
      <c r="P21">
        <f t="shared" si="22"/>
        <v>108.59073524771875</v>
      </c>
      <c r="Q21" s="9">
        <f t="shared" si="1"/>
        <v>0.78314268556845956</v>
      </c>
      <c r="R21">
        <f>VLOOKUP($B$1,dictionary!$A$3:$K$51,3,FALSE)*Q21</f>
        <v>0.15662853711369193</v>
      </c>
      <c r="S21">
        <f>VLOOKUP($B$1,dictionary!$A$3:$K$51,4,FALSE)*Q21</f>
        <v>0</v>
      </c>
      <c r="T21">
        <f>VLOOKUP($B$1,dictionary!$A$3:$K$51,5,FALSE)*Q21</f>
        <v>0.23494280567053785</v>
      </c>
      <c r="U21">
        <f>VLOOKUP($B$1,dictionary!$A$3:$K$51,6,FALSE)*Q21</f>
        <v>0.23494280567053785</v>
      </c>
      <c r="V21">
        <f>VLOOKUP($B$1,dictionary!$A$3:$K$51,7,FALSE)*Q21</f>
        <v>0</v>
      </c>
      <c r="W21">
        <f>VLOOKUP($B$1,dictionary!$A$3:$K$51,8,FALSE)*Q21</f>
        <v>3.9157134278422982E-2</v>
      </c>
      <c r="X21">
        <f>VLOOKUP($B$1,dictionary!$A$3:$K$51,9,FALSE)*Q21</f>
        <v>3.9157134278422982E-2</v>
      </c>
      <c r="Y21">
        <f>VLOOKUP($B$1,dictionary!$A$3:$K$51,10,FALSE)*Q21</f>
        <v>7.8314268556845965E-2</v>
      </c>
      <c r="Z21">
        <f>VLOOKUP($B$1,dictionary!$A$3:$K$51,11,FALSE)*Q21</f>
        <v>0</v>
      </c>
      <c r="AA21">
        <f t="shared" si="2"/>
        <v>30.069482422444423</v>
      </c>
      <c r="AB21">
        <f t="shared" si="11"/>
        <v>7.9864010167517536</v>
      </c>
      <c r="AC21">
        <f t="shared" si="12"/>
        <v>22.083081405692671</v>
      </c>
      <c r="AD21">
        <f t="shared" si="3"/>
        <v>21.718147049543752</v>
      </c>
      <c r="AE21">
        <f t="shared" si="13"/>
        <v>0</v>
      </c>
      <c r="AF21">
        <f t="shared" si="14"/>
        <v>36.19691174923959</v>
      </c>
      <c r="AG21">
        <f t="shared" si="15"/>
        <v>37.23110922778929</v>
      </c>
      <c r="AH21">
        <f t="shared" si="16"/>
        <v>0</v>
      </c>
      <c r="AI21">
        <f t="shared" si="17"/>
        <v>5.7153018551430925</v>
      </c>
      <c r="AJ21">
        <f t="shared" si="18"/>
        <v>5.7153018551430925</v>
      </c>
      <c r="AK21">
        <f t="shared" si="19"/>
        <v>10.859073524771876</v>
      </c>
      <c r="AL21">
        <f t="shared" si="20"/>
        <v>0</v>
      </c>
    </row>
    <row r="22" spans="1:38" x14ac:dyDescent="0.2">
      <c r="A22">
        <v>2039</v>
      </c>
      <c r="B22">
        <v>14</v>
      </c>
      <c r="C22">
        <f t="shared" si="21"/>
        <v>148.14841419475448</v>
      </c>
      <c r="D22">
        <f t="shared" si="23"/>
        <v>15.484879705582827</v>
      </c>
      <c r="E22">
        <f t="shared" si="4"/>
        <v>15.484879705582827</v>
      </c>
      <c r="F22">
        <f t="shared" si="5"/>
        <v>5.1819136552069267</v>
      </c>
      <c r="G22" s="9">
        <f t="shared" si="6"/>
        <v>0.1045227503092038</v>
      </c>
      <c r="H22" s="9">
        <f t="shared" si="6"/>
        <v>0.1045227503092038</v>
      </c>
      <c r="I22" s="9">
        <f t="shared" si="6"/>
        <v>3.4977854358905477E-2</v>
      </c>
      <c r="J22" s="9">
        <f t="shared" si="7"/>
        <v>1.3587957540196495E-2</v>
      </c>
      <c r="K22" s="9">
        <f t="shared" si="8"/>
        <v>2.0904550061840763E-2</v>
      </c>
      <c r="L22" s="9">
        <f t="shared" si="9"/>
        <v>1.3991141743562191E-2</v>
      </c>
      <c r="M22">
        <f t="shared" si="0"/>
        <v>141.07862611656154</v>
      </c>
      <c r="N22">
        <f t="shared" si="10"/>
        <v>106.4580892948966</v>
      </c>
      <c r="O22">
        <f t="shared" si="24"/>
        <v>34.620536821664942</v>
      </c>
      <c r="P22">
        <f t="shared" si="22"/>
        <v>119.51644999568396</v>
      </c>
      <c r="Q22" s="9">
        <f t="shared" si="1"/>
        <v>0.8471619924689191</v>
      </c>
      <c r="R22">
        <f>VLOOKUP($B$1,dictionary!$A$3:$K$51,3,FALSE)*Q22</f>
        <v>0.16943239849378383</v>
      </c>
      <c r="S22">
        <f>VLOOKUP($B$1,dictionary!$A$3:$K$51,4,FALSE)*Q22</f>
        <v>0</v>
      </c>
      <c r="T22">
        <f>VLOOKUP($B$1,dictionary!$A$3:$K$51,5,FALSE)*Q22</f>
        <v>0.25414859774067572</v>
      </c>
      <c r="U22">
        <f>VLOOKUP($B$1,dictionary!$A$3:$K$51,6,FALSE)*Q22</f>
        <v>0.25414859774067572</v>
      </c>
      <c r="V22">
        <f>VLOOKUP($B$1,dictionary!$A$3:$K$51,7,FALSE)*Q22</f>
        <v>0</v>
      </c>
      <c r="W22">
        <f>VLOOKUP($B$1,dictionary!$A$3:$K$51,8,FALSE)*Q22</f>
        <v>4.2358099623445958E-2</v>
      </c>
      <c r="X22">
        <f>VLOOKUP($B$1,dictionary!$A$3:$K$51,9,FALSE)*Q22</f>
        <v>4.2358099623445958E-2</v>
      </c>
      <c r="Y22">
        <f>VLOOKUP($B$1,dictionary!$A$3:$K$51,10,FALSE)*Q22</f>
        <v>8.4716199246891916E-2</v>
      </c>
      <c r="Z22">
        <f>VLOOKUP($B$1,dictionary!$A$3:$K$51,11,FALSE)*Q22</f>
        <v>0</v>
      </c>
      <c r="AA22">
        <f t="shared" si="2"/>
        <v>21.562176120877581</v>
      </c>
      <c r="AB22">
        <f t="shared" si="11"/>
        <v>5.2913338674796906</v>
      </c>
      <c r="AC22">
        <f t="shared" si="12"/>
        <v>16.270842253397891</v>
      </c>
      <c r="AD22">
        <f t="shared" si="3"/>
        <v>23.903289999136796</v>
      </c>
      <c r="AE22">
        <f t="shared" si="13"/>
        <v>0</v>
      </c>
      <c r="AF22">
        <f t="shared" si="14"/>
        <v>39.838816665227988</v>
      </c>
      <c r="AG22">
        <f t="shared" si="15"/>
        <v>40.977068569948791</v>
      </c>
      <c r="AH22">
        <f t="shared" si="16"/>
        <v>0</v>
      </c>
      <c r="AI22">
        <f t="shared" si="17"/>
        <v>6.2903394734570508</v>
      </c>
      <c r="AJ22">
        <f t="shared" si="18"/>
        <v>6.2903394734570508</v>
      </c>
      <c r="AK22">
        <f t="shared" si="19"/>
        <v>11.951644999568398</v>
      </c>
      <c r="AL22">
        <f t="shared" si="20"/>
        <v>0</v>
      </c>
    </row>
    <row r="23" spans="1:38" x14ac:dyDescent="0.2">
      <c r="A23">
        <v>2040</v>
      </c>
      <c r="B23">
        <v>15</v>
      </c>
      <c r="C23">
        <f t="shared" si="21"/>
        <v>151.25953089284431</v>
      </c>
      <c r="D23">
        <f t="shared" si="23"/>
        <v>16.921761019501488</v>
      </c>
      <c r="E23">
        <f t="shared" si="4"/>
        <v>16.921761019501488</v>
      </c>
      <c r="F23">
        <f t="shared" si="5"/>
        <v>5.6686905097324143</v>
      </c>
      <c r="G23" s="9">
        <f t="shared" si="6"/>
        <v>0.11187236215540856</v>
      </c>
      <c r="H23" s="9">
        <f t="shared" si="6"/>
        <v>0.11187236215540856</v>
      </c>
      <c r="I23" s="9">
        <f t="shared" si="6"/>
        <v>3.7476583963150352E-2</v>
      </c>
      <c r="J23" s="9">
        <f t="shared" si="7"/>
        <v>1.4543407080203114E-2</v>
      </c>
      <c r="K23" s="9">
        <f t="shared" si="8"/>
        <v>2.2374472431081715E-2</v>
      </c>
      <c r="L23" s="9">
        <f t="shared" si="9"/>
        <v>1.4990633585260142E-2</v>
      </c>
      <c r="M23">
        <f t="shared" si="0"/>
        <v>143.540066138448</v>
      </c>
      <c r="N23">
        <f t="shared" si="10"/>
        <v>110.54718141336102</v>
      </c>
      <c r="O23">
        <f t="shared" si="24"/>
        <v>32.992884725086981</v>
      </c>
      <c r="P23">
        <f t="shared" si="22"/>
        <v>128.27653116870951</v>
      </c>
      <c r="Q23" s="9">
        <f t="shared" si="1"/>
        <v>0.89366359247029725</v>
      </c>
      <c r="R23">
        <f>VLOOKUP($B$1,dictionary!$A$3:$K$51,3,FALSE)*Q23</f>
        <v>0.17873271849405947</v>
      </c>
      <c r="S23">
        <f>VLOOKUP($B$1,dictionary!$A$3:$K$51,4,FALSE)*Q23</f>
        <v>0</v>
      </c>
      <c r="T23">
        <f>VLOOKUP($B$1,dictionary!$A$3:$K$51,5,FALSE)*Q23</f>
        <v>0.26809907774108915</v>
      </c>
      <c r="U23">
        <f>VLOOKUP($B$1,dictionary!$A$3:$K$51,6,FALSE)*Q23</f>
        <v>0.26809907774108915</v>
      </c>
      <c r="V23">
        <f>VLOOKUP($B$1,dictionary!$A$3:$K$51,7,FALSE)*Q23</f>
        <v>0</v>
      </c>
      <c r="W23">
        <f>VLOOKUP($B$1,dictionary!$A$3:$K$51,8,FALSE)*Q23</f>
        <v>4.4683179623514868E-2</v>
      </c>
      <c r="X23">
        <f>VLOOKUP($B$1,dictionary!$A$3:$K$51,9,FALSE)*Q23</f>
        <v>4.4683179623514868E-2</v>
      </c>
      <c r="Y23">
        <f>VLOOKUP($B$1,dictionary!$A$3:$K$51,10,FALSE)*Q23</f>
        <v>8.9366359247029736E-2</v>
      </c>
      <c r="Z23">
        <f>VLOOKUP($B$1,dictionary!$A$3:$K$51,11,FALSE)*Q23</f>
        <v>0</v>
      </c>
      <c r="AA23">
        <f t="shared" si="2"/>
        <v>15.263534969738487</v>
      </c>
      <c r="AB23">
        <f t="shared" si="11"/>
        <v>3.5083448357073528</v>
      </c>
      <c r="AC23">
        <f t="shared" si="12"/>
        <v>11.755190134031134</v>
      </c>
      <c r="AD23">
        <f t="shared" si="3"/>
        <v>25.655306233741904</v>
      </c>
      <c r="AE23">
        <f t="shared" si="13"/>
        <v>0</v>
      </c>
      <c r="AF23">
        <f t="shared" si="14"/>
        <v>42.758843722903173</v>
      </c>
      <c r="AG23">
        <f t="shared" si="15"/>
        <v>43.980524972128975</v>
      </c>
      <c r="AH23">
        <f t="shared" si="16"/>
        <v>0</v>
      </c>
      <c r="AI23">
        <f t="shared" si="17"/>
        <v>6.7513963773004999</v>
      </c>
      <c r="AJ23">
        <f t="shared" si="18"/>
        <v>6.7513963773004999</v>
      </c>
      <c r="AK23">
        <f t="shared" si="19"/>
        <v>12.827653116870952</v>
      </c>
      <c r="AL23">
        <f t="shared" si="20"/>
        <v>0</v>
      </c>
    </row>
    <row r="24" spans="1:38" x14ac:dyDescent="0.2">
      <c r="A24">
        <v>2041</v>
      </c>
      <c r="B24">
        <v>16</v>
      </c>
      <c r="C24">
        <f t="shared" si="21"/>
        <v>154.43598104159403</v>
      </c>
      <c r="D24">
        <f t="shared" si="23"/>
        <v>18.407104457815478</v>
      </c>
      <c r="E24">
        <f t="shared" si="4"/>
        <v>18.407104457815478</v>
      </c>
      <c r="F24">
        <f t="shared" si="5"/>
        <v>6.1735303277364011</v>
      </c>
      <c r="G24" s="9">
        <f t="shared" si="6"/>
        <v>0.11918922218558586</v>
      </c>
      <c r="H24" s="9">
        <f t="shared" si="6"/>
        <v>0.11918922218558586</v>
      </c>
      <c r="I24" s="9">
        <f t="shared" si="6"/>
        <v>3.997468909835003E-2</v>
      </c>
      <c r="J24" s="9">
        <f t="shared" si="7"/>
        <v>1.5494598884126163E-2</v>
      </c>
      <c r="K24" s="9">
        <f t="shared" si="8"/>
        <v>2.3837844437117173E-2</v>
      </c>
      <c r="L24" s="9">
        <f t="shared" si="9"/>
        <v>1.5989875639340012E-2</v>
      </c>
      <c r="M24">
        <f t="shared" si="0"/>
        <v>146.04548249541642</v>
      </c>
      <c r="N24">
        <f t="shared" si="10"/>
        <v>114.20804735138012</v>
      </c>
      <c r="O24">
        <f t="shared" si="24"/>
        <v>31.837435144036306</v>
      </c>
      <c r="P24">
        <f t="shared" si="22"/>
        <v>135.24391498808228</v>
      </c>
      <c r="Q24" s="9">
        <f t="shared" si="1"/>
        <v>0.92603970131241042</v>
      </c>
      <c r="R24">
        <f>VLOOKUP($B$1,dictionary!$A$3:$K$51,3,FALSE)*Q24</f>
        <v>0.18520794026248211</v>
      </c>
      <c r="S24">
        <f>VLOOKUP($B$1,dictionary!$A$3:$K$51,4,FALSE)*Q24</f>
        <v>0</v>
      </c>
      <c r="T24">
        <f>VLOOKUP($B$1,dictionary!$A$3:$K$51,5,FALSE)*Q24</f>
        <v>0.2778119103937231</v>
      </c>
      <c r="U24">
        <f>VLOOKUP($B$1,dictionary!$A$3:$K$51,6,FALSE)*Q24</f>
        <v>0.2778119103937231</v>
      </c>
      <c r="V24">
        <f>VLOOKUP($B$1,dictionary!$A$3:$K$51,7,FALSE)*Q24</f>
        <v>0</v>
      </c>
      <c r="W24">
        <f>VLOOKUP($B$1,dictionary!$A$3:$K$51,8,FALSE)*Q24</f>
        <v>4.6301985065620527E-2</v>
      </c>
      <c r="X24">
        <f>VLOOKUP($B$1,dictionary!$A$3:$K$51,9,FALSE)*Q24</f>
        <v>4.6301985065620527E-2</v>
      </c>
      <c r="Y24">
        <f>VLOOKUP($B$1,dictionary!$A$3:$K$51,10,FALSE)*Q24</f>
        <v>9.2603970131241053E-2</v>
      </c>
      <c r="Z24">
        <f>VLOOKUP($B$1,dictionary!$A$3:$K$51,11,FALSE)*Q24</f>
        <v>0</v>
      </c>
      <c r="AA24">
        <f t="shared" si="2"/>
        <v>10.801567507334141</v>
      </c>
      <c r="AB24">
        <f t="shared" si="11"/>
        <v>2.3547062126996883</v>
      </c>
      <c r="AC24">
        <f t="shared" si="12"/>
        <v>8.4468612946344521</v>
      </c>
      <c r="AD24">
        <f t="shared" si="3"/>
        <v>27.04878299761646</v>
      </c>
      <c r="AE24">
        <f t="shared" si="13"/>
        <v>0</v>
      </c>
      <c r="AF24">
        <f t="shared" si="14"/>
        <v>45.081304996027427</v>
      </c>
      <c r="AG24">
        <f t="shared" si="15"/>
        <v>46.369342281628221</v>
      </c>
      <c r="AH24">
        <f t="shared" si="16"/>
        <v>0</v>
      </c>
      <c r="AI24">
        <f t="shared" si="17"/>
        <v>7.1181007888464372</v>
      </c>
      <c r="AJ24">
        <f t="shared" si="18"/>
        <v>7.1181007888464372</v>
      </c>
      <c r="AK24">
        <f t="shared" si="19"/>
        <v>13.52439149880823</v>
      </c>
      <c r="AL24">
        <f t="shared" si="20"/>
        <v>0</v>
      </c>
    </row>
    <row r="25" spans="1:38" x14ac:dyDescent="0.2">
      <c r="A25">
        <v>2042</v>
      </c>
      <c r="B25">
        <v>17</v>
      </c>
      <c r="C25">
        <f t="shared" si="21"/>
        <v>157.6791366434675</v>
      </c>
      <c r="D25">
        <f t="shared" si="23"/>
        <v>19.941724467230856</v>
      </c>
      <c r="E25">
        <f t="shared" si="4"/>
        <v>19.941724467230856</v>
      </c>
      <c r="F25">
        <f t="shared" si="5"/>
        <v>6.6969554099979689</v>
      </c>
      <c r="G25" s="9">
        <f t="shared" si="6"/>
        <v>0.12647027940241468</v>
      </c>
      <c r="H25" s="9">
        <f t="shared" si="6"/>
        <v>0.12647027940241468</v>
      </c>
      <c r="I25" s="9">
        <f t="shared" si="6"/>
        <v>4.2472045145329741E-2</v>
      </c>
      <c r="J25" s="9">
        <f t="shared" si="7"/>
        <v>1.6441136322313907E-2</v>
      </c>
      <c r="K25" s="9">
        <f t="shared" si="8"/>
        <v>2.5294055880482936E-2</v>
      </c>
      <c r="L25" s="9">
        <f t="shared" si="9"/>
        <v>1.6988818058131898E-2</v>
      </c>
      <c r="M25">
        <f t="shared" si="0"/>
        <v>148.59584380941661</v>
      </c>
      <c r="N25">
        <f t="shared" si="10"/>
        <v>117.53596646368823</v>
      </c>
      <c r="O25">
        <f t="shared" si="24"/>
        <v>31.059877345728381</v>
      </c>
      <c r="P25">
        <f>IF($I$3=0,0,M25/(1+EXP(-$I$3*(B25-$J$3)))-M25/(1+EXP($I$3*$J$3)))</f>
        <v>140.85723664093237</v>
      </c>
      <c r="Q25" s="9">
        <f t="shared" si="1"/>
        <v>0.94792177916894171</v>
      </c>
      <c r="R25">
        <f>VLOOKUP($B$1,dictionary!$A$3:$K$51,3,FALSE)*Q25</f>
        <v>0.18958435583378835</v>
      </c>
      <c r="S25">
        <f>VLOOKUP($B$1,dictionary!$A$3:$K$51,4,FALSE)*Q25</f>
        <v>0</v>
      </c>
      <c r="T25">
        <f>VLOOKUP($B$1,dictionary!$A$3:$K$51,5,FALSE)*Q25</f>
        <v>0.2843765337506825</v>
      </c>
      <c r="U25">
        <f>VLOOKUP($B$1,dictionary!$A$3:$K$51,6,FALSE)*Q25</f>
        <v>0.2843765337506825</v>
      </c>
      <c r="V25">
        <f>VLOOKUP($B$1,dictionary!$A$3:$K$51,7,FALSE)*Q25</f>
        <v>0</v>
      </c>
      <c r="W25">
        <f>VLOOKUP($B$1,dictionary!$A$3:$K$51,8,FALSE)*Q25</f>
        <v>4.7396088958447088E-2</v>
      </c>
      <c r="X25">
        <f>VLOOKUP($B$1,dictionary!$A$3:$K$51,9,FALSE)*Q25</f>
        <v>4.7396088958447088E-2</v>
      </c>
      <c r="Y25">
        <f>VLOOKUP($B$1,dictionary!$A$3:$K$51,10,FALSE)*Q25</f>
        <v>9.4792177916894177E-2</v>
      </c>
      <c r="Z25">
        <f>VLOOKUP($B$1,dictionary!$A$3:$K$51,11,FALSE)*Q25</f>
        <v>0</v>
      </c>
      <c r="AA25">
        <f t="shared" si="2"/>
        <v>7.7386071684842364</v>
      </c>
      <c r="AB25">
        <f t="shared" si="11"/>
        <v>1.6175431513964258</v>
      </c>
      <c r="AC25">
        <f t="shared" si="12"/>
        <v>6.1210640170878108</v>
      </c>
      <c r="AD25">
        <f t="shared" si="3"/>
        <v>28.171447328186474</v>
      </c>
      <c r="AE25">
        <f t="shared" si="13"/>
        <v>0</v>
      </c>
      <c r="AF25">
        <f t="shared" si="14"/>
        <v>46.952412213644124</v>
      </c>
      <c r="AG25">
        <f t="shared" si="15"/>
        <v>48.293909705462525</v>
      </c>
      <c r="AH25">
        <f t="shared" si="16"/>
        <v>0</v>
      </c>
      <c r="AI25">
        <f t="shared" si="17"/>
        <v>7.4135387705753875</v>
      </c>
      <c r="AJ25">
        <f t="shared" si="18"/>
        <v>7.4135387705753875</v>
      </c>
      <c r="AK25">
        <f t="shared" si="19"/>
        <v>14.085723664093237</v>
      </c>
      <c r="AL25">
        <f t="shared" si="20"/>
        <v>0</v>
      </c>
    </row>
    <row r="26" spans="1:38" x14ac:dyDescent="0.2">
      <c r="A26">
        <v>2043</v>
      </c>
      <c r="B26">
        <v>18</v>
      </c>
      <c r="C26">
        <f t="shared" si="21"/>
        <v>160.99039851298031</v>
      </c>
      <c r="D26">
        <f t="shared" si="23"/>
        <v>21.526435847864789</v>
      </c>
      <c r="E26">
        <f t="shared" si="4"/>
        <v>21.526435847864789</v>
      </c>
      <c r="F26">
        <f t="shared" si="5"/>
        <v>7.2395011844236308</v>
      </c>
      <c r="G26" s="9">
        <f t="shared" si="6"/>
        <v>0.13371254464053742</v>
      </c>
      <c r="H26" s="9">
        <f t="shared" si="6"/>
        <v>0.13371254464053742</v>
      </c>
      <c r="I26" s="9">
        <f t="shared" si="6"/>
        <v>4.496852763452179E-2</v>
      </c>
      <c r="J26" s="9">
        <f t="shared" si="7"/>
        <v>1.7382630803269863E-2</v>
      </c>
      <c r="K26" s="9">
        <f t="shared" si="8"/>
        <v>2.6742508928107485E-2</v>
      </c>
      <c r="L26" s="9">
        <f t="shared" si="9"/>
        <v>1.7987411053808716E-2</v>
      </c>
      <c r="M26">
        <f t="shared" si="0"/>
        <v>151.1921428995345</v>
      </c>
      <c r="N26">
        <f t="shared" si="10"/>
        <v>120.61113869596434</v>
      </c>
      <c r="O26">
        <f t="shared" si="24"/>
        <v>30.58100420357016</v>
      </c>
      <c r="P26">
        <f t="shared" si="22"/>
        <v>145.50974704572937</v>
      </c>
      <c r="Q26" s="9">
        <f t="shared" si="1"/>
        <v>0.96241606379254097</v>
      </c>
      <c r="R26">
        <f>VLOOKUP($B$1,dictionary!$A$3:$K$51,3,FALSE)*Q26</f>
        <v>0.19248321275850822</v>
      </c>
      <c r="S26">
        <f>VLOOKUP($B$1,dictionary!$A$3:$K$51,4,FALSE)*Q26</f>
        <v>0</v>
      </c>
      <c r="T26">
        <f>VLOOKUP($B$1,dictionary!$A$3:$K$51,5,FALSE)*Q26</f>
        <v>0.28872481913776227</v>
      </c>
      <c r="U26">
        <f>VLOOKUP($B$1,dictionary!$A$3:$K$51,6,FALSE)*Q26</f>
        <v>0.28872481913776227</v>
      </c>
      <c r="V26">
        <f>VLOOKUP($B$1,dictionary!$A$3:$K$51,7,FALSE)*Q26</f>
        <v>0</v>
      </c>
      <c r="W26">
        <f>VLOOKUP($B$1,dictionary!$A$3:$K$51,8,FALSE)*Q26</f>
        <v>4.8120803189627054E-2</v>
      </c>
      <c r="X26">
        <f>VLOOKUP($B$1,dictionary!$A$3:$K$51,9,FALSE)*Q26</f>
        <v>4.8120803189627054E-2</v>
      </c>
      <c r="Y26">
        <f>VLOOKUP($B$1,dictionary!$A$3:$K$51,10,FALSE)*Q26</f>
        <v>9.6241606379254108E-2</v>
      </c>
      <c r="Z26">
        <f>VLOOKUP($B$1,dictionary!$A$3:$K$51,11,FALSE)*Q26</f>
        <v>0</v>
      </c>
      <c r="AA26">
        <f t="shared" si="2"/>
        <v>5.6823958538051329</v>
      </c>
      <c r="AB26">
        <f t="shared" si="11"/>
        <v>1.1493545111470171</v>
      </c>
      <c r="AC26">
        <f t="shared" si="12"/>
        <v>4.533041342658116</v>
      </c>
      <c r="AD26">
        <f t="shared" si="3"/>
        <v>29.101949409145877</v>
      </c>
      <c r="AE26">
        <f t="shared" si="13"/>
        <v>0</v>
      </c>
      <c r="AF26">
        <f t="shared" si="14"/>
        <v>48.503249015243121</v>
      </c>
      <c r="AG26">
        <f t="shared" si="15"/>
        <v>49.889056129964359</v>
      </c>
      <c r="AH26">
        <f t="shared" si="16"/>
        <v>0</v>
      </c>
      <c r="AI26">
        <f t="shared" si="17"/>
        <v>7.6584077392489149</v>
      </c>
      <c r="AJ26">
        <f t="shared" si="18"/>
        <v>7.6584077392489149</v>
      </c>
      <c r="AK26">
        <f t="shared" si="19"/>
        <v>14.550974704572939</v>
      </c>
      <c r="AL26">
        <f t="shared" si="20"/>
        <v>0</v>
      </c>
    </row>
    <row r="27" spans="1:38" x14ac:dyDescent="0.2">
      <c r="A27">
        <v>2044</v>
      </c>
      <c r="B27">
        <v>19</v>
      </c>
      <c r="C27">
        <f t="shared" si="21"/>
        <v>164.37119688175287</v>
      </c>
      <c r="D27">
        <f t="shared" si="23"/>
        <v>23.162054115729561</v>
      </c>
      <c r="E27">
        <f t="shared" si="4"/>
        <v>23.162054115729561</v>
      </c>
      <c r="F27">
        <f t="shared" si="5"/>
        <v>7.8017165057517701</v>
      </c>
      <c r="G27" s="9">
        <f t="shared" si="6"/>
        <v>0.14091309520847578</v>
      </c>
      <c r="H27" s="9">
        <f t="shared" si="6"/>
        <v>0.14091309520847578</v>
      </c>
      <c r="I27" s="9">
        <f t="shared" si="6"/>
        <v>4.7464012270740194E-2</v>
      </c>
      <c r="J27" s="9">
        <f t="shared" si="7"/>
        <v>1.8318702377101852E-2</v>
      </c>
      <c r="K27" s="9">
        <f t="shared" si="8"/>
        <v>2.8182619041695157E-2</v>
      </c>
      <c r="L27" s="9">
        <f t="shared" si="9"/>
        <v>1.898560490829608E-2</v>
      </c>
      <c r="M27">
        <f t="shared" si="0"/>
        <v>153.83539711337593</v>
      </c>
      <c r="N27">
        <f t="shared" si="10"/>
        <v>123.49912518250923</v>
      </c>
      <c r="O27">
        <f t="shared" si="24"/>
        <v>30.336271930866701</v>
      </c>
      <c r="P27">
        <f t="shared" si="22"/>
        <v>149.5109339654291</v>
      </c>
      <c r="Q27" s="9">
        <f t="shared" si="1"/>
        <v>0.97188902405367916</v>
      </c>
      <c r="R27">
        <f>VLOOKUP($B$1,dictionary!$A$3:$K$51,3,FALSE)*Q27</f>
        <v>0.19437780481073585</v>
      </c>
      <c r="S27">
        <f>VLOOKUP($B$1,dictionary!$A$3:$K$51,4,FALSE)*Q27</f>
        <v>0</v>
      </c>
      <c r="T27">
        <f>VLOOKUP($B$1,dictionary!$A$3:$K$51,5,FALSE)*Q27</f>
        <v>0.29156670721610373</v>
      </c>
      <c r="U27">
        <f>VLOOKUP($B$1,dictionary!$A$3:$K$51,6,FALSE)*Q27</f>
        <v>0.29156670721610373</v>
      </c>
      <c r="V27">
        <f>VLOOKUP($B$1,dictionary!$A$3:$K$51,7,FALSE)*Q27</f>
        <v>0</v>
      </c>
      <c r="W27">
        <f>VLOOKUP($B$1,dictionary!$A$3:$K$51,8,FALSE)*Q27</f>
        <v>4.8594451202683964E-2</v>
      </c>
      <c r="X27">
        <f>VLOOKUP($B$1,dictionary!$A$3:$K$51,9,FALSE)*Q27</f>
        <v>4.8594451202683964E-2</v>
      </c>
      <c r="Y27">
        <f>VLOOKUP($B$1,dictionary!$A$3:$K$51,10,FALSE)*Q27</f>
        <v>9.7188902405367927E-2</v>
      </c>
      <c r="Z27">
        <f>VLOOKUP($B$1,dictionary!$A$3:$K$51,11,FALSE)*Q27</f>
        <v>0</v>
      </c>
      <c r="AA27">
        <f t="shared" si="2"/>
        <v>4.3244631479468296</v>
      </c>
      <c r="AB27">
        <f t="shared" si="11"/>
        <v>0.85278221054964276</v>
      </c>
      <c r="AC27">
        <f t="shared" si="12"/>
        <v>3.4716809373971866</v>
      </c>
      <c r="AD27">
        <f t="shared" si="3"/>
        <v>29.902186793085825</v>
      </c>
      <c r="AE27">
        <f t="shared" si="13"/>
        <v>0</v>
      </c>
      <c r="AF27">
        <f t="shared" si="14"/>
        <v>49.836977988476363</v>
      </c>
      <c r="AG27">
        <f t="shared" si="15"/>
        <v>51.260891645289981</v>
      </c>
      <c r="AH27">
        <f t="shared" si="16"/>
        <v>0</v>
      </c>
      <c r="AI27">
        <f t="shared" si="17"/>
        <v>7.8689965244962696</v>
      </c>
      <c r="AJ27">
        <f t="shared" si="18"/>
        <v>7.8689965244962696</v>
      </c>
      <c r="AK27">
        <f t="shared" si="19"/>
        <v>14.951093396542912</v>
      </c>
      <c r="AL27">
        <f t="shared" si="20"/>
        <v>0</v>
      </c>
    </row>
    <row r="28" spans="1:38" x14ac:dyDescent="0.2">
      <c r="A28">
        <v>2045</v>
      </c>
      <c r="B28">
        <v>20</v>
      </c>
      <c r="C28">
        <f t="shared" si="21"/>
        <v>167.82299201626967</v>
      </c>
      <c r="D28">
        <f t="shared" si="23"/>
        <v>24.849395912040762</v>
      </c>
      <c r="E28">
        <f t="shared" si="4"/>
        <v>24.849395912040762</v>
      </c>
      <c r="F28">
        <f t="shared" si="5"/>
        <v>8.3841639617021144</v>
      </c>
      <c r="G28" s="9">
        <f t="shared" si="6"/>
        <v>0.14806907929297153</v>
      </c>
      <c r="H28" s="9">
        <f t="shared" si="6"/>
        <v>0.14806907929297153</v>
      </c>
      <c r="I28" s="9">
        <f t="shared" si="6"/>
        <v>4.9958374957880074E-2</v>
      </c>
      <c r="J28" s="9">
        <f t="shared" si="7"/>
        <v>1.9248980308086298E-2</v>
      </c>
      <c r="K28" s="9">
        <f t="shared" si="8"/>
        <v>2.9613815858594308E-2</v>
      </c>
      <c r="L28" s="9">
        <f t="shared" si="9"/>
        <v>1.9983349983152029E-2</v>
      </c>
      <c r="M28">
        <f t="shared" si="0"/>
        <v>156.5266486557019</v>
      </c>
      <c r="N28">
        <f t="shared" si="10"/>
        <v>126.25244347609276</v>
      </c>
      <c r="O28">
        <f t="shared" si="24"/>
        <v>30.27420517960914</v>
      </c>
      <c r="P28">
        <f t="shared" si="22"/>
        <v>153.08715003782348</v>
      </c>
      <c r="Q28" s="9">
        <f t="shared" si="1"/>
        <v>0.97802611473881362</v>
      </c>
      <c r="R28">
        <f>VLOOKUP($B$1,dictionary!$A$3:$K$51,3,FALSE)*Q28</f>
        <v>0.19560522294776272</v>
      </c>
      <c r="S28">
        <f>VLOOKUP($B$1,dictionary!$A$3:$K$51,4,FALSE)*Q28</f>
        <v>0</v>
      </c>
      <c r="T28">
        <f>VLOOKUP($B$1,dictionary!$A$3:$K$51,5,FALSE)*Q28</f>
        <v>0.29340783442164409</v>
      </c>
      <c r="U28">
        <f>VLOOKUP($B$1,dictionary!$A$3:$K$51,6,FALSE)*Q28</f>
        <v>0.29340783442164409</v>
      </c>
      <c r="V28">
        <f>VLOOKUP($B$1,dictionary!$A$3:$K$51,7,FALSE)*Q28</f>
        <v>0</v>
      </c>
      <c r="W28">
        <f>VLOOKUP($B$1,dictionary!$A$3:$K$51,8,FALSE)*Q28</f>
        <v>4.8901305736940681E-2</v>
      </c>
      <c r="X28">
        <f>VLOOKUP($B$1,dictionary!$A$3:$K$51,9,FALSE)*Q28</f>
        <v>4.8901305736940681E-2</v>
      </c>
      <c r="Y28">
        <f>VLOOKUP($B$1,dictionary!$A$3:$K$51,10,FALSE)*Q28</f>
        <v>9.7802611473881362E-2</v>
      </c>
      <c r="Z28">
        <f>VLOOKUP($B$1,dictionary!$A$3:$K$51,11,FALSE)*Q28</f>
        <v>0</v>
      </c>
      <c r="AA28">
        <f t="shared" si="2"/>
        <v>3.4394986178784279</v>
      </c>
      <c r="AB28">
        <f t="shared" si="11"/>
        <v>0.66524191099034591</v>
      </c>
      <c r="AC28">
        <f t="shared" si="12"/>
        <v>2.7742567068880821</v>
      </c>
      <c r="AD28">
        <f t="shared" si="3"/>
        <v>30.617430007564696</v>
      </c>
      <c r="AE28">
        <f t="shared" si="13"/>
        <v>0</v>
      </c>
      <c r="AF28">
        <f t="shared" si="14"/>
        <v>51.029050012607833</v>
      </c>
      <c r="AG28">
        <f t="shared" si="15"/>
        <v>52.48702287011092</v>
      </c>
      <c r="AH28">
        <f t="shared" si="16"/>
        <v>0</v>
      </c>
      <c r="AI28">
        <f t="shared" si="17"/>
        <v>8.0572184230433397</v>
      </c>
      <c r="AJ28">
        <f t="shared" si="18"/>
        <v>8.0572184230433397</v>
      </c>
      <c r="AK28">
        <f t="shared" si="19"/>
        <v>15.308715003782348</v>
      </c>
      <c r="AL28">
        <f t="shared" si="20"/>
        <v>0</v>
      </c>
    </row>
    <row r="29" spans="1:38" x14ac:dyDescent="0.2">
      <c r="A29">
        <v>2046</v>
      </c>
      <c r="B29">
        <v>21</v>
      </c>
      <c r="C29">
        <f t="shared" si="21"/>
        <v>171.34727484861131</v>
      </c>
      <c r="D29">
        <f t="shared" si="23"/>
        <v>26.589279458582837</v>
      </c>
      <c r="E29">
        <f t="shared" si="4"/>
        <v>26.589279458582837</v>
      </c>
      <c r="F29">
        <f t="shared" si="5"/>
        <v>8.9874201857067249</v>
      </c>
      <c r="G29" s="9">
        <f t="shared" si="6"/>
        <v>0.15517772011299852</v>
      </c>
      <c r="H29" s="9">
        <f t="shared" si="6"/>
        <v>0.15517772011299852</v>
      </c>
      <c r="I29" s="9">
        <f t="shared" si="6"/>
        <v>5.2451491823533744E-2</v>
      </c>
      <c r="J29" s="9">
        <f t="shared" si="7"/>
        <v>2.0173103614689807E-2</v>
      </c>
      <c r="K29" s="9">
        <f t="shared" si="8"/>
        <v>3.1035544022599705E-2</v>
      </c>
      <c r="L29" s="9">
        <f t="shared" si="9"/>
        <v>2.0980596729413499E-2</v>
      </c>
      <c r="M29">
        <f t="shared" si="0"/>
        <v>159.26696491501241</v>
      </c>
      <c r="N29">
        <f t="shared" si="10"/>
        <v>128.9125774818761</v>
      </c>
      <c r="O29">
        <f t="shared" si="24"/>
        <v>30.35438743313631</v>
      </c>
      <c r="P29">
        <f t="shared" si="22"/>
        <v>156.39688982990117</v>
      </c>
      <c r="Q29" s="9">
        <f t="shared" si="1"/>
        <v>0.98197947021441168</v>
      </c>
      <c r="R29">
        <f>VLOOKUP($B$1,dictionary!$A$3:$K$51,3,FALSE)*Q29</f>
        <v>0.19639589404288235</v>
      </c>
      <c r="S29">
        <f>VLOOKUP($B$1,dictionary!$A$3:$K$51,4,FALSE)*Q29</f>
        <v>0</v>
      </c>
      <c r="T29">
        <f>VLOOKUP($B$1,dictionary!$A$3:$K$51,5,FALSE)*Q29</f>
        <v>0.29459384106432351</v>
      </c>
      <c r="U29">
        <f>VLOOKUP($B$1,dictionary!$A$3:$K$51,6,FALSE)*Q29</f>
        <v>0.29459384106432351</v>
      </c>
      <c r="V29">
        <f>VLOOKUP($B$1,dictionary!$A$3:$K$51,7,FALSE)*Q29</f>
        <v>0</v>
      </c>
      <c r="W29">
        <f>VLOOKUP($B$1,dictionary!$A$3:$K$51,8,FALSE)*Q29</f>
        <v>4.9098973510720588E-2</v>
      </c>
      <c r="X29">
        <f>VLOOKUP($B$1,dictionary!$A$3:$K$51,9,FALSE)*Q29</f>
        <v>4.9098973510720588E-2</v>
      </c>
      <c r="Y29">
        <f>VLOOKUP($B$1,dictionary!$A$3:$K$51,10,FALSE)*Q29</f>
        <v>9.8197947021441176E-2</v>
      </c>
      <c r="Z29">
        <f>VLOOKUP($B$1,dictionary!$A$3:$K$51,11,FALSE)*Q29</f>
        <v>0</v>
      </c>
      <c r="AA29">
        <f t="shared" si="2"/>
        <v>2.8700750851112389</v>
      </c>
      <c r="AB29">
        <f t="shared" si="11"/>
        <v>0.54700214286212223</v>
      </c>
      <c r="AC29">
        <f t="shared" si="12"/>
        <v>2.3230729422491168</v>
      </c>
      <c r="AD29">
        <f t="shared" si="3"/>
        <v>31.279377965980238</v>
      </c>
      <c r="AE29">
        <f t="shared" si="13"/>
        <v>0</v>
      </c>
      <c r="AF29">
        <f t="shared" si="14"/>
        <v>52.132296609967057</v>
      </c>
      <c r="AG29">
        <f t="shared" si="15"/>
        <v>53.621790798823262</v>
      </c>
      <c r="AH29">
        <f t="shared" si="16"/>
        <v>0</v>
      </c>
      <c r="AI29">
        <f t="shared" si="17"/>
        <v>8.2314152542053254</v>
      </c>
      <c r="AJ29">
        <f t="shared" si="18"/>
        <v>8.2314152542053254</v>
      </c>
      <c r="AK29">
        <f t="shared" si="19"/>
        <v>15.639688982990119</v>
      </c>
      <c r="AL29">
        <f t="shared" si="20"/>
        <v>0</v>
      </c>
    </row>
    <row r="30" spans="1:38" x14ac:dyDescent="0.2">
      <c r="A30">
        <v>2047</v>
      </c>
      <c r="B30">
        <v>22</v>
      </c>
      <c r="C30">
        <f t="shared" si="21"/>
        <v>174.94556762043212</v>
      </c>
      <c r="D30">
        <f t="shared" si="23"/>
        <v>28.382525058191575</v>
      </c>
      <c r="E30">
        <f t="shared" si="4"/>
        <v>28.382525058191575</v>
      </c>
      <c r="F30">
        <f t="shared" si="5"/>
        <v>9.61207617636137</v>
      </c>
      <c r="G30" s="9">
        <f t="shared" si="6"/>
        <v>0.16223631981217879</v>
      </c>
      <c r="H30" s="9">
        <f t="shared" si="6"/>
        <v>0.16223631981217879</v>
      </c>
      <c r="I30" s="9">
        <f t="shared" si="6"/>
        <v>5.4943239243511785E-2</v>
      </c>
      <c r="J30" s="9">
        <f t="shared" si="7"/>
        <v>2.1090721575583244E-2</v>
      </c>
      <c r="K30" s="9">
        <f t="shared" si="8"/>
        <v>3.244726396243576E-2</v>
      </c>
      <c r="L30" s="9">
        <f t="shared" si="9"/>
        <v>2.1977295697404715E-2</v>
      </c>
      <c r="M30">
        <f t="shared" si="0"/>
        <v>162.05743878882259</v>
      </c>
      <c r="N30">
        <f t="shared" si="10"/>
        <v>131.51198972176027</v>
      </c>
      <c r="O30">
        <f t="shared" si="24"/>
        <v>30.545449067062322</v>
      </c>
      <c r="P30">
        <f t="shared" si="22"/>
        <v>159.54826849343189</v>
      </c>
      <c r="Q30" s="9">
        <f t="shared" si="1"/>
        <v>0.98451678420846567</v>
      </c>
      <c r="R30">
        <f>VLOOKUP($B$1,dictionary!$A$3:$K$51,3,FALSE)*Q30</f>
        <v>0.19690335684169313</v>
      </c>
      <c r="S30">
        <f>VLOOKUP($B$1,dictionary!$A$3:$K$51,4,FALSE)*Q30</f>
        <v>0</v>
      </c>
      <c r="T30">
        <f>VLOOKUP($B$1,dictionary!$A$3:$K$51,5,FALSE)*Q30</f>
        <v>0.2953550352625397</v>
      </c>
      <c r="U30">
        <f>VLOOKUP($B$1,dictionary!$A$3:$K$51,6,FALSE)*Q30</f>
        <v>0.2953550352625397</v>
      </c>
      <c r="V30">
        <f>VLOOKUP($B$1,dictionary!$A$3:$K$51,7,FALSE)*Q30</f>
        <v>0</v>
      </c>
      <c r="W30">
        <f>VLOOKUP($B$1,dictionary!$A$3:$K$51,8,FALSE)*Q30</f>
        <v>4.9225839210423283E-2</v>
      </c>
      <c r="X30">
        <f>VLOOKUP($B$1,dictionary!$A$3:$K$51,9,FALSE)*Q30</f>
        <v>4.9225839210423283E-2</v>
      </c>
      <c r="Y30">
        <f>VLOOKUP($B$1,dictionary!$A$3:$K$51,10,FALSE)*Q30</f>
        <v>9.8451678420846567E-2</v>
      </c>
      <c r="Z30">
        <f>VLOOKUP($B$1,dictionary!$A$3:$K$51,11,FALSE)*Q30</f>
        <v>0</v>
      </c>
      <c r="AA30">
        <f t="shared" si="2"/>
        <v>2.5091702953907031</v>
      </c>
      <c r="AB30">
        <f t="shared" si="11"/>
        <v>0.47294177935464637</v>
      </c>
      <c r="AC30">
        <f t="shared" si="12"/>
        <v>2.0362285160360569</v>
      </c>
      <c r="AD30">
        <f t="shared" si="3"/>
        <v>31.909653698686377</v>
      </c>
      <c r="AE30">
        <f t="shared" si="13"/>
        <v>0</v>
      </c>
      <c r="AF30">
        <f t="shared" si="14"/>
        <v>53.182756164477297</v>
      </c>
      <c r="AG30">
        <f t="shared" si="15"/>
        <v>54.702263483462367</v>
      </c>
      <c r="AH30">
        <f t="shared" si="16"/>
        <v>0</v>
      </c>
      <c r="AI30">
        <f t="shared" si="17"/>
        <v>8.3972772891279934</v>
      </c>
      <c r="AJ30">
        <f t="shared" si="18"/>
        <v>8.3972772891279934</v>
      </c>
      <c r="AK30">
        <f t="shared" si="19"/>
        <v>15.954826849343188</v>
      </c>
      <c r="AL30">
        <f t="shared" si="20"/>
        <v>0</v>
      </c>
    </row>
    <row r="31" spans="1:38" x14ac:dyDescent="0.2">
      <c r="A31">
        <v>2048</v>
      </c>
      <c r="B31">
        <v>23</v>
      </c>
      <c r="C31">
        <f t="shared" si="21"/>
        <v>178.61942454046118</v>
      </c>
      <c r="D31">
        <f t="shared" si="23"/>
        <v>30.229955639248359</v>
      </c>
      <c r="E31">
        <f t="shared" si="4"/>
        <v>30.229955639248359</v>
      </c>
      <c r="F31">
        <f t="shared" si="5"/>
        <v>10.25873762373925</v>
      </c>
      <c r="G31" s="9">
        <f t="shared" si="6"/>
        <v>0.16924226307985119</v>
      </c>
      <c r="H31" s="9">
        <f t="shared" si="6"/>
        <v>0.16924226307985119</v>
      </c>
      <c r="I31" s="9">
        <f t="shared" si="6"/>
        <v>5.7433493866258782E-2</v>
      </c>
      <c r="J31" s="9">
        <f t="shared" si="7"/>
        <v>2.2001494200380656E-2</v>
      </c>
      <c r="K31" s="9">
        <f t="shared" si="8"/>
        <v>3.3848452615970241E-2</v>
      </c>
      <c r="L31" s="9">
        <f t="shared" si="9"/>
        <v>2.2973397546503516E-2</v>
      </c>
      <c r="M31">
        <f t="shared" si="0"/>
        <v>164.89918900841374</v>
      </c>
      <c r="N31">
        <f t="shared" si="10"/>
        <v>134.075936280511</v>
      </c>
      <c r="O31">
        <f t="shared" si="24"/>
        <v>30.823252727902741</v>
      </c>
      <c r="P31">
        <f t="shared" si="22"/>
        <v>162.61392176003906</v>
      </c>
      <c r="Q31" s="9">
        <f t="shared" si="1"/>
        <v>0.98614142821370654</v>
      </c>
      <c r="R31">
        <f>VLOOKUP($B$1,dictionary!$A$3:$K$51,3,FALSE)*Q31</f>
        <v>0.19722828564274131</v>
      </c>
      <c r="S31">
        <f>VLOOKUP($B$1,dictionary!$A$3:$K$51,4,FALSE)*Q31</f>
        <v>0</v>
      </c>
      <c r="T31">
        <f>VLOOKUP($B$1,dictionary!$A$3:$K$51,5,FALSE)*Q31</f>
        <v>0.29584242846411196</v>
      </c>
      <c r="U31">
        <f>VLOOKUP($B$1,dictionary!$A$3:$K$51,6,FALSE)*Q31</f>
        <v>0.29584242846411196</v>
      </c>
      <c r="V31">
        <f>VLOOKUP($B$1,dictionary!$A$3:$K$51,7,FALSE)*Q31</f>
        <v>0</v>
      </c>
      <c r="W31">
        <f>VLOOKUP($B$1,dictionary!$A$3:$K$51,8,FALSE)*Q31</f>
        <v>4.9307071410685327E-2</v>
      </c>
      <c r="X31">
        <f>VLOOKUP($B$1,dictionary!$A$3:$K$51,9,FALSE)*Q31</f>
        <v>4.9307071410685327E-2</v>
      </c>
      <c r="Y31">
        <f>VLOOKUP($B$1,dictionary!$A$3:$K$51,10,FALSE)*Q31</f>
        <v>9.8614142821370654E-2</v>
      </c>
      <c r="Z31">
        <f>VLOOKUP($B$1,dictionary!$A$3:$K$51,11,FALSE)*Q31</f>
        <v>0</v>
      </c>
      <c r="AA31">
        <f t="shared" si="2"/>
        <v>2.2852672483746801</v>
      </c>
      <c r="AB31">
        <f t="shared" si="11"/>
        <v>0.42716626061670676</v>
      </c>
      <c r="AC31">
        <f t="shared" si="12"/>
        <v>1.8581009877579733</v>
      </c>
      <c r="AD31">
        <f t="shared" si="3"/>
        <v>32.522784352007811</v>
      </c>
      <c r="AE31">
        <f t="shared" si="13"/>
        <v>0</v>
      </c>
      <c r="AF31">
        <f t="shared" si="14"/>
        <v>54.204640586679695</v>
      </c>
      <c r="AG31">
        <f t="shared" si="15"/>
        <v>55.753344603441974</v>
      </c>
      <c r="AH31">
        <f t="shared" si="16"/>
        <v>0</v>
      </c>
      <c r="AI31">
        <f t="shared" si="17"/>
        <v>8.5586274610546873</v>
      </c>
      <c r="AJ31">
        <f t="shared" si="18"/>
        <v>8.5586274610546873</v>
      </c>
      <c r="AK31">
        <f t="shared" si="19"/>
        <v>16.261392176003906</v>
      </c>
      <c r="AL31">
        <f t="shared" si="20"/>
        <v>0</v>
      </c>
    </row>
    <row r="32" spans="1:38" x14ac:dyDescent="0.2">
      <c r="A32">
        <v>2049</v>
      </c>
      <c r="B32">
        <v>24</v>
      </c>
      <c r="C32">
        <f t="shared" si="21"/>
        <v>182.37043245581086</v>
      </c>
      <c r="D32">
        <f t="shared" si="23"/>
        <v>32.132397342929451</v>
      </c>
      <c r="E32">
        <f t="shared" si="4"/>
        <v>32.132397342929451</v>
      </c>
      <c r="F32">
        <f t="shared" si="5"/>
        <v>10.928025242712309</v>
      </c>
      <c r="G32" s="9">
        <f t="shared" si="6"/>
        <v>0.17619302049259147</v>
      </c>
      <c r="H32" s="9">
        <f t="shared" si="6"/>
        <v>0.17619302049259147</v>
      </c>
      <c r="I32" s="9">
        <f t="shared" si="6"/>
        <v>5.9922132637154416E-2</v>
      </c>
      <c r="J32" s="9">
        <f t="shared" si="7"/>
        <v>2.2905092664036893E-2</v>
      </c>
      <c r="K32" s="9">
        <f t="shared" si="8"/>
        <v>3.5238604098518297E-2</v>
      </c>
      <c r="L32" s="9">
        <f t="shared" si="9"/>
        <v>2.3968853054861766E-2</v>
      </c>
      <c r="M32">
        <f t="shared" si="0"/>
        <v>167.793360463878</v>
      </c>
      <c r="N32">
        <f t="shared" si="10"/>
        <v>136.62401026541593</v>
      </c>
      <c r="O32">
        <f t="shared" si="24"/>
        <v>31.16935019846207</v>
      </c>
      <c r="P32">
        <f t="shared" si="22"/>
        <v>165.64226945398096</v>
      </c>
      <c r="Q32" s="9">
        <f t="shared" si="1"/>
        <v>0.987180118426914</v>
      </c>
      <c r="R32">
        <f>VLOOKUP($B$1,dictionary!$A$3:$K$51,3,FALSE)*Q32</f>
        <v>0.19743602368538282</v>
      </c>
      <c r="S32">
        <f>VLOOKUP($B$1,dictionary!$A$3:$K$51,4,FALSE)*Q32</f>
        <v>0</v>
      </c>
      <c r="T32">
        <f>VLOOKUP($B$1,dictionary!$A$3:$K$51,5,FALSE)*Q32</f>
        <v>0.29615403552807418</v>
      </c>
      <c r="U32">
        <f>VLOOKUP($B$1,dictionary!$A$3:$K$51,6,FALSE)*Q32</f>
        <v>0.29615403552807418</v>
      </c>
      <c r="V32">
        <f>VLOOKUP($B$1,dictionary!$A$3:$K$51,7,FALSE)*Q32</f>
        <v>0</v>
      </c>
      <c r="W32">
        <f>VLOOKUP($B$1,dictionary!$A$3:$K$51,8,FALSE)*Q32</f>
        <v>4.9359005921345706E-2</v>
      </c>
      <c r="X32">
        <f>VLOOKUP($B$1,dictionary!$A$3:$K$51,9,FALSE)*Q32</f>
        <v>4.9359005921345706E-2</v>
      </c>
      <c r="Y32">
        <f>VLOOKUP($B$1,dictionary!$A$3:$K$51,10,FALSE)*Q32</f>
        <v>9.8718011842691411E-2</v>
      </c>
      <c r="Z32">
        <f>VLOOKUP($B$1,dictionary!$A$3:$K$51,11,FALSE)*Q32</f>
        <v>0</v>
      </c>
      <c r="AA32">
        <f t="shared" si="2"/>
        <v>2.1510910098970442</v>
      </c>
      <c r="AB32">
        <f t="shared" si="11"/>
        <v>0.39958737825432794</v>
      </c>
      <c r="AC32">
        <f t="shared" si="12"/>
        <v>1.7515036316427164</v>
      </c>
      <c r="AD32">
        <f t="shared" si="3"/>
        <v>33.128453890796195</v>
      </c>
      <c r="AE32">
        <f t="shared" si="13"/>
        <v>0</v>
      </c>
      <c r="AF32">
        <f t="shared" si="14"/>
        <v>55.214089817993646</v>
      </c>
      <c r="AG32">
        <f t="shared" si="15"/>
        <v>56.791635241364901</v>
      </c>
      <c r="AH32">
        <f t="shared" si="16"/>
        <v>0</v>
      </c>
      <c r="AI32">
        <f t="shared" si="17"/>
        <v>8.7180141817884724</v>
      </c>
      <c r="AJ32">
        <f t="shared" si="18"/>
        <v>8.7180141817884724</v>
      </c>
      <c r="AK32">
        <f t="shared" si="19"/>
        <v>16.564226945398097</v>
      </c>
      <c r="AL32">
        <f t="shared" si="20"/>
        <v>0</v>
      </c>
    </row>
    <row r="33" spans="1:38" x14ac:dyDescent="0.2">
      <c r="A33">
        <v>2050</v>
      </c>
      <c r="B33">
        <v>25</v>
      </c>
      <c r="C33">
        <f t="shared" si="21"/>
        <v>186.20021153738287</v>
      </c>
      <c r="D33">
        <f t="shared" si="23"/>
        <v>34.090680151814624</v>
      </c>
      <c r="E33">
        <f t="shared" si="4"/>
        <v>34.090680151814624</v>
      </c>
      <c r="F33">
        <f t="shared" si="5"/>
        <v>11.620575113428274</v>
      </c>
      <c r="G33" s="9">
        <f t="shared" si="6"/>
        <v>0.18308615156954502</v>
      </c>
      <c r="H33" s="9">
        <f t="shared" si="6"/>
        <v>0.18308615156954502</v>
      </c>
      <c r="I33" s="9">
        <f t="shared" si="6"/>
        <v>6.2409032822689593E-2</v>
      </c>
      <c r="J33" s="9">
        <f t="shared" si="7"/>
        <v>2.3801199704040855E-2</v>
      </c>
      <c r="K33" s="9">
        <f t="shared" si="8"/>
        <v>3.6617230313909004E-2</v>
      </c>
      <c r="L33" s="9">
        <f t="shared" si="9"/>
        <v>2.4963613129075839E-2</v>
      </c>
      <c r="M33">
        <f t="shared" si="0"/>
        <v>170.74112453030739</v>
      </c>
      <c r="N33">
        <f t="shared" si="10"/>
        <v>139.17140699427625</v>
      </c>
      <c r="O33">
        <f t="shared" si="24"/>
        <v>31.569717536031135</v>
      </c>
      <c r="P33">
        <f t="shared" si="22"/>
        <v>168.6655180926046</v>
      </c>
      <c r="Q33" s="9">
        <f t="shared" si="1"/>
        <v>0.98784354710435118</v>
      </c>
      <c r="R33">
        <f>VLOOKUP($B$1,dictionary!$A$3:$K$51,3,FALSE)*Q33</f>
        <v>0.19756870942087024</v>
      </c>
      <c r="S33">
        <f>VLOOKUP($B$1,dictionary!$A$3:$K$51,4,FALSE)*Q33</f>
        <v>0</v>
      </c>
      <c r="T33">
        <f>VLOOKUP($B$1,dictionary!$A$3:$K$51,5,FALSE)*Q33</f>
        <v>0.29635306413130535</v>
      </c>
      <c r="U33">
        <f>VLOOKUP($B$1,dictionary!$A$3:$K$51,6,FALSE)*Q33</f>
        <v>0.29635306413130535</v>
      </c>
      <c r="V33">
        <f>VLOOKUP($B$1,dictionary!$A$3:$K$51,7,FALSE)*Q33</f>
        <v>0</v>
      </c>
      <c r="W33">
        <f>VLOOKUP($B$1,dictionary!$A$3:$K$51,8,FALSE)*Q33</f>
        <v>4.9392177355217559E-2</v>
      </c>
      <c r="X33">
        <f>VLOOKUP($B$1,dictionary!$A$3:$K$51,9,FALSE)*Q33</f>
        <v>4.9392177355217559E-2</v>
      </c>
      <c r="Y33">
        <f>VLOOKUP($B$1,dictionary!$A$3:$K$51,10,FALSE)*Q33</f>
        <v>9.8784354710435118E-2</v>
      </c>
      <c r="Z33">
        <f>VLOOKUP($B$1,dictionary!$A$3:$K$51,11,FALSE)*Q33</f>
        <v>0</v>
      </c>
      <c r="AA33">
        <f t="shared" si="2"/>
        <v>2.0756064377027883</v>
      </c>
      <c r="AB33">
        <f t="shared" si="11"/>
        <v>0.38377578415570052</v>
      </c>
      <c r="AC33">
        <f t="shared" si="12"/>
        <v>1.6918306535470877</v>
      </c>
      <c r="AD33">
        <f t="shared" si="3"/>
        <v>33.733103618520921</v>
      </c>
      <c r="AE33">
        <f t="shared" si="13"/>
        <v>0</v>
      </c>
      <c r="AF33">
        <f t="shared" si="14"/>
        <v>56.221839364201529</v>
      </c>
      <c r="AG33">
        <f t="shared" si="15"/>
        <v>57.828177631750151</v>
      </c>
      <c r="AH33">
        <f t="shared" si="16"/>
        <v>0</v>
      </c>
      <c r="AI33">
        <f t="shared" si="17"/>
        <v>8.8771325311897158</v>
      </c>
      <c r="AJ33">
        <f t="shared" si="18"/>
        <v>8.8771325311897158</v>
      </c>
      <c r="AK33">
        <f t="shared" si="19"/>
        <v>16.866551809260461</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B226-7207-0C4C-8F1A-8B8DFDA75D0C}">
  <sheetPr>
    <tabColor theme="4" tint="0.79998168889431442"/>
  </sheetPr>
  <dimension ref="A1:AY37"/>
  <sheetViews>
    <sheetView topLeftCell="C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10</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emissions!N25</f>
        <v>110.7481850914975</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110.7481850914975</v>
      </c>
      <c r="N8">
        <f>IF($N$7="LFO",M8/(1+EXP(-$I$4*(B8-$J$4)))-M8/(1+EXP($I$4*$J$4)),IF($N$7="MGO",M8/(1+EXP(-$I$5*(B8-$J$5)))-M8/(1+EXP($I$5*$J$5)),0))</f>
        <v>0</v>
      </c>
      <c r="O8">
        <f>M8-N8</f>
        <v>110.7481850914975</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110.7481850914975</v>
      </c>
      <c r="AB8">
        <f>O8/M8*AA8</f>
        <v>110.7481850914975</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113.07389697841894</v>
      </c>
      <c r="D9">
        <f>IF($E$2=0,0,C9/(1+EXP(-$E$2*(B9-$G$2)))-C9/(1+EXP($E$2*$G$2)))</f>
        <v>0.84418637403408781</v>
      </c>
      <c r="E9">
        <f t="shared" ref="E9:E33" si="4">IF($E$3=0,0,C9/(1+EXP(-$E$3*(B9-$G$3)))-C9/(1+EXP($E$3*$G$3)))</f>
        <v>0.84418637403408781</v>
      </c>
      <c r="F9">
        <f t="shared" ref="F9:F33" si="5">IF($E$4=0,0,C9/(1+EXP(-$E$4*(B9-$G$4)))-C9/(1+EXP($E$4*$G$4)))</f>
        <v>0.28204730951247114</v>
      </c>
      <c r="G9" s="9">
        <f t="shared" ref="G9:I33" si="6">D9/$C9</f>
        <v>7.4657935791777614E-3</v>
      </c>
      <c r="H9" s="9">
        <f t="shared" si="6"/>
        <v>7.4657935791777614E-3</v>
      </c>
      <c r="I9" s="9">
        <f t="shared" si="6"/>
        <v>2.4943626871399165E-3</v>
      </c>
      <c r="J9" s="9">
        <f t="shared" ref="J9:J33" si="7">G9*$F$2</f>
        <v>9.7055316529310904E-4</v>
      </c>
      <c r="K9" s="9">
        <f t="shared" ref="K9:K33" si="8">H9*$F$3</f>
        <v>1.4931587158355524E-3</v>
      </c>
      <c r="L9" s="9">
        <f t="shared" ref="L9:L33" si="9">I9*$F$4</f>
        <v>9.9774507485596666E-4</v>
      </c>
      <c r="M9">
        <f t="shared" si="0"/>
        <v>112.68293820656113</v>
      </c>
      <c r="N9">
        <f t="shared" ref="N9:N33" si="10">IF($N$7="LFO",M9/(1+EXP(-$I$4*(B9-$J$4)))-M9/(1+EXP($I$4*$J$4)),IF($N$7="MGO",M9/(1+EXP(-$I$5*(B9-$J$5)))-M9/(1+EXP($I$5*$J$5)),0))</f>
        <v>5.5270634909593568</v>
      </c>
      <c r="O9">
        <f>M9-N9</f>
        <v>107.15587471560178</v>
      </c>
      <c r="P9">
        <f>IF($I$3=0,0,M9/(1+EXP(-$I$3*(B9-$J$3)))-M9/(1+EXP($I$3*$J$3)))</f>
        <v>0.6915454104410792</v>
      </c>
      <c r="Q9" s="9">
        <f t="shared" si="1"/>
        <v>6.1370906851345572E-3</v>
      </c>
      <c r="R9">
        <f>VLOOKUP($B$1,dictionary!$A$3:$K$51,3,FALSE)*Q9</f>
        <v>1.2274181370269116E-3</v>
      </c>
      <c r="S9">
        <f>VLOOKUP($B$1,dictionary!$A$3:$K$51,4,FALSE)*Q9</f>
        <v>0</v>
      </c>
      <c r="T9">
        <f>VLOOKUP($B$1,dictionary!$A$3:$K$51,5,FALSE)*Q9</f>
        <v>1.841127205540367E-3</v>
      </c>
      <c r="U9">
        <f>VLOOKUP($B$1,dictionary!$A$3:$K$51,6,FALSE)*Q9</f>
        <v>1.841127205540367E-3</v>
      </c>
      <c r="V9">
        <f>VLOOKUP($B$1,dictionary!$A$3:$K$51,7,FALSE)*Q9</f>
        <v>0</v>
      </c>
      <c r="W9">
        <f>VLOOKUP($B$1,dictionary!$A$3:$K$51,8,FALSE)*Q9</f>
        <v>3.068545342567279E-4</v>
      </c>
      <c r="X9">
        <f>VLOOKUP($B$1,dictionary!$A$3:$K$51,9,FALSE)*Q9</f>
        <v>3.068545342567279E-4</v>
      </c>
      <c r="Y9">
        <f>VLOOKUP($B$1,dictionary!$A$3:$K$51,10,FALSE)*Q9</f>
        <v>6.137090685134558E-4</v>
      </c>
      <c r="Z9">
        <f>VLOOKUP($B$1,dictionary!$A$3:$K$51,11,FALSE)*Q9</f>
        <v>0</v>
      </c>
      <c r="AA9">
        <f t="shared" si="2"/>
        <v>111.99139279612005</v>
      </c>
      <c r="AB9">
        <f t="shared" ref="AB9:AB33" si="11">O9/M9*AA9</f>
        <v>106.49824939502722</v>
      </c>
      <c r="AC9">
        <f t="shared" ref="AC9:AC33" si="12">N9/M9*AA9</f>
        <v>5.4931434010928433</v>
      </c>
      <c r="AD9">
        <f t="shared" si="3"/>
        <v>0.13830908208821588</v>
      </c>
      <c r="AE9">
        <f t="shared" ref="AE9:AE33" si="13">S9*$O9*$AE$2+S9*$N9*$AE$3</f>
        <v>0</v>
      </c>
      <c r="AF9">
        <f t="shared" ref="AF9:AF33" si="14">T9*$O9*$AF$2+T9*$N9*$AF$3</f>
        <v>0.23051513681369307</v>
      </c>
      <c r="AG9">
        <f t="shared" ref="AG9:AG33" si="15">U9*$O9*$AG$2+U9*$N9*$AG$3</f>
        <v>0.23710128357979862</v>
      </c>
      <c r="AH9">
        <f t="shared" ref="AH9:AH33" si="16">V9*$O9*$AH$2+V9*$N9*$AH$3</f>
        <v>0</v>
      </c>
      <c r="AI9">
        <f t="shared" ref="AI9:AI33" si="17">W9*$O9*$AI$2+W9*$N9*$AI$3</f>
        <v>3.6397126865319963E-2</v>
      </c>
      <c r="AJ9">
        <f t="shared" ref="AJ9:AJ33" si="18">X9*$O9*$AJ$2+X9*$N9*$AJ$3</f>
        <v>3.6397126865319963E-2</v>
      </c>
      <c r="AK9">
        <f t="shared" ref="AK9:AK33" si="19">Y9*$O9*$AK$2+Y9*$N9*$AK$3</f>
        <v>6.9154541044107939E-2</v>
      </c>
      <c r="AL9">
        <f t="shared" ref="AL9:AL33" si="20">Z9*$O9*$AL$2+Z9*$N9*$AL$3</f>
        <v>0</v>
      </c>
    </row>
    <row r="10" spans="1:51" x14ac:dyDescent="0.2">
      <c r="A10">
        <v>2027</v>
      </c>
      <c r="B10">
        <v>2</v>
      </c>
      <c r="C10">
        <f t="shared" ref="C10:C33" si="21">C9*(1+$I$2)</f>
        <v>115.44844881496573</v>
      </c>
      <c r="D10">
        <f>IF($E$2=0,0,C10/(1+EXP(-$E$2*(B10-$G$2)))-C10/(1+EXP($E$2*$G$2)))</f>
        <v>1.7253794402303484</v>
      </c>
      <c r="E10">
        <f t="shared" si="4"/>
        <v>1.7253794402303484</v>
      </c>
      <c r="F10">
        <f t="shared" si="5"/>
        <v>0.57607013330521539</v>
      </c>
      <c r="G10" s="9">
        <f t="shared" si="6"/>
        <v>1.4945020551949462E-2</v>
      </c>
      <c r="H10" s="9">
        <f t="shared" si="6"/>
        <v>1.4945020551949462E-2</v>
      </c>
      <c r="I10" s="9">
        <f t="shared" si="6"/>
        <v>4.9898473233582217E-3</v>
      </c>
      <c r="J10" s="9">
        <f t="shared" si="7"/>
        <v>1.9428526717534301E-3</v>
      </c>
      <c r="K10" s="9">
        <f t="shared" si="8"/>
        <v>2.9890041103898925E-3</v>
      </c>
      <c r="L10" s="9">
        <f t="shared" si="9"/>
        <v>1.9959389293432886E-3</v>
      </c>
      <c r="M10">
        <f t="shared" si="0"/>
        <v>114.6504510779957</v>
      </c>
      <c r="N10">
        <f t="shared" si="10"/>
        <v>12.224601315823914</v>
      </c>
      <c r="O10">
        <f>M10-N10</f>
        <v>102.42584976217178</v>
      </c>
      <c r="P10">
        <f t="shared" ref="P10:P33" si="22">IF($I$3=0,0,M10/(1+EXP(-$I$3*(B10-$J$3)))-M10/(1+EXP($I$3*$J$3)))</f>
        <v>1.7896993823406557</v>
      </c>
      <c r="Q10" s="9">
        <f t="shared" si="1"/>
        <v>1.5610050946272675E-2</v>
      </c>
      <c r="R10">
        <f>VLOOKUP($B$1,dictionary!$A$3:$K$51,3,FALSE)*Q10</f>
        <v>3.1220101892545354E-3</v>
      </c>
      <c r="S10">
        <f>VLOOKUP($B$1,dictionary!$A$3:$K$51,4,FALSE)*Q10</f>
        <v>0</v>
      </c>
      <c r="T10">
        <f>VLOOKUP($B$1,dictionary!$A$3:$K$51,5,FALSE)*Q10</f>
        <v>4.6830152838818022E-3</v>
      </c>
      <c r="U10">
        <f>VLOOKUP($B$1,dictionary!$A$3:$K$51,6,FALSE)*Q10</f>
        <v>4.6830152838818022E-3</v>
      </c>
      <c r="V10">
        <f>VLOOKUP($B$1,dictionary!$A$3:$K$51,7,FALSE)*Q10</f>
        <v>0</v>
      </c>
      <c r="W10">
        <f>VLOOKUP($B$1,dictionary!$A$3:$K$51,8,FALSE)*Q10</f>
        <v>7.8050254731363384E-4</v>
      </c>
      <c r="X10">
        <f>VLOOKUP($B$1,dictionary!$A$3:$K$51,9,FALSE)*Q10</f>
        <v>7.8050254731363384E-4</v>
      </c>
      <c r="Y10">
        <f>VLOOKUP($B$1,dictionary!$A$3:$K$51,10,FALSE)*Q10</f>
        <v>1.5610050946272677E-3</v>
      </c>
      <c r="Z10">
        <f>VLOOKUP($B$1,dictionary!$A$3:$K$51,11,FALSE)*Q10</f>
        <v>0</v>
      </c>
      <c r="AA10">
        <f t="shared" si="2"/>
        <v>112.86075169565504</v>
      </c>
      <c r="AB10">
        <f t="shared" si="11"/>
        <v>100.826977029169</v>
      </c>
      <c r="AC10">
        <f t="shared" si="12"/>
        <v>12.03377466648603</v>
      </c>
      <c r="AD10">
        <f t="shared" si="3"/>
        <v>0.35793987646813119</v>
      </c>
      <c r="AE10">
        <f t="shared" si="13"/>
        <v>0</v>
      </c>
      <c r="AF10">
        <f t="shared" si="14"/>
        <v>0.59656646078021858</v>
      </c>
      <c r="AG10">
        <f t="shared" si="15"/>
        <v>0.61361121680251052</v>
      </c>
      <c r="AH10">
        <f t="shared" si="16"/>
        <v>0</v>
      </c>
      <c r="AI10">
        <f t="shared" si="17"/>
        <v>9.4194704333718737E-2</v>
      </c>
      <c r="AJ10">
        <f t="shared" si="18"/>
        <v>9.4194704333718737E-2</v>
      </c>
      <c r="AK10">
        <f t="shared" si="19"/>
        <v>0.1789699382340656</v>
      </c>
      <c r="AL10">
        <f t="shared" si="20"/>
        <v>0</v>
      </c>
    </row>
    <row r="11" spans="1:51" x14ac:dyDescent="0.2">
      <c r="A11">
        <v>2028</v>
      </c>
      <c r="B11">
        <v>3</v>
      </c>
      <c r="C11">
        <f t="shared" si="21"/>
        <v>117.87286624008</v>
      </c>
      <c r="D11">
        <f t="shared" ref="D11:D33" si="23">IF($E$2=0,0,C11/(1+EXP(-$E$2*(B11-$G$2)))-C11/(1+EXP($E$2*$G$2)))</f>
        <v>2.6444003970030394</v>
      </c>
      <c r="E11">
        <f t="shared" si="4"/>
        <v>2.6444003970030394</v>
      </c>
      <c r="F11">
        <f t="shared" si="5"/>
        <v>0.88243515262385586</v>
      </c>
      <c r="G11" s="9">
        <f t="shared" si="6"/>
        <v>2.2434343724339428E-2</v>
      </c>
      <c r="H11" s="9">
        <f t="shared" si="6"/>
        <v>2.2434343724339428E-2</v>
      </c>
      <c r="I11" s="9">
        <f t="shared" si="6"/>
        <v>7.4863298125502249E-3</v>
      </c>
      <c r="J11" s="9">
        <f t="shared" si="7"/>
        <v>2.9164646841641256E-3</v>
      </c>
      <c r="K11" s="9">
        <f t="shared" si="8"/>
        <v>4.4868687448678859E-3</v>
      </c>
      <c r="L11" s="9">
        <f t="shared" si="9"/>
        <v>2.99453192502009E-3</v>
      </c>
      <c r="M11">
        <f t="shared" si="0"/>
        <v>116.65139107381299</v>
      </c>
      <c r="N11">
        <f t="shared" si="10"/>
        <v>20.054493677613713</v>
      </c>
      <c r="O11">
        <f t="shared" ref="O11:O33" si="24">M11-N11</f>
        <v>96.596897396199267</v>
      </c>
      <c r="P11">
        <f t="shared" si="22"/>
        <v>3.5117126215784182</v>
      </c>
      <c r="Q11" s="9">
        <f t="shared" si="1"/>
        <v>3.0104335569871837E-2</v>
      </c>
      <c r="R11">
        <f>VLOOKUP($B$1,dictionary!$A$3:$K$51,3,FALSE)*Q11</f>
        <v>6.0208671139743673E-3</v>
      </c>
      <c r="S11">
        <f>VLOOKUP($B$1,dictionary!$A$3:$K$51,4,FALSE)*Q11</f>
        <v>0</v>
      </c>
      <c r="T11">
        <f>VLOOKUP($B$1,dictionary!$A$3:$K$51,5,FALSE)*Q11</f>
        <v>9.031300670961551E-3</v>
      </c>
      <c r="U11">
        <f>VLOOKUP($B$1,dictionary!$A$3:$K$51,6,FALSE)*Q11</f>
        <v>9.031300670961551E-3</v>
      </c>
      <c r="V11">
        <f>VLOOKUP($B$1,dictionary!$A$3:$K$51,7,FALSE)*Q11</f>
        <v>0</v>
      </c>
      <c r="W11">
        <f>VLOOKUP($B$1,dictionary!$A$3:$K$51,8,FALSE)*Q11</f>
        <v>1.5052167784935918E-3</v>
      </c>
      <c r="X11">
        <f>VLOOKUP($B$1,dictionary!$A$3:$K$51,9,FALSE)*Q11</f>
        <v>1.5052167784935918E-3</v>
      </c>
      <c r="Y11">
        <f>VLOOKUP($B$1,dictionary!$A$3:$K$51,10,FALSE)*Q11</f>
        <v>3.0104335569871837E-3</v>
      </c>
      <c r="Z11">
        <f>VLOOKUP($B$1,dictionary!$A$3:$K$51,11,FALSE)*Q11</f>
        <v>0</v>
      </c>
      <c r="AA11">
        <f t="shared" si="2"/>
        <v>113.13967845223456</v>
      </c>
      <c r="AB11">
        <f t="shared" si="11"/>
        <v>93.688911981975608</v>
      </c>
      <c r="AC11">
        <f t="shared" si="12"/>
        <v>19.450766470258959</v>
      </c>
      <c r="AD11">
        <f t="shared" si="3"/>
        <v>0.70234252431568356</v>
      </c>
      <c r="AE11">
        <f t="shared" si="13"/>
        <v>0</v>
      </c>
      <c r="AF11">
        <f t="shared" si="14"/>
        <v>1.1705708738594727</v>
      </c>
      <c r="AG11">
        <f t="shared" si="15"/>
        <v>1.2040157559697433</v>
      </c>
      <c r="AH11">
        <f t="shared" si="16"/>
        <v>0</v>
      </c>
      <c r="AI11">
        <f t="shared" si="17"/>
        <v>0.1848269800830746</v>
      </c>
      <c r="AJ11">
        <f t="shared" si="18"/>
        <v>0.1848269800830746</v>
      </c>
      <c r="AK11">
        <f t="shared" si="19"/>
        <v>0.35117126215784178</v>
      </c>
      <c r="AL11">
        <f t="shared" si="20"/>
        <v>0</v>
      </c>
    </row>
    <row r="12" spans="1:51" x14ac:dyDescent="0.2">
      <c r="A12">
        <v>2029</v>
      </c>
      <c r="B12">
        <v>4</v>
      </c>
      <c r="C12">
        <f t="shared" si="21"/>
        <v>120.34819643112166</v>
      </c>
      <c r="D12">
        <f t="shared" si="23"/>
        <v>3.6020705963510906</v>
      </c>
      <c r="E12">
        <f t="shared" si="4"/>
        <v>3.6020705963510906</v>
      </c>
      <c r="F12">
        <f t="shared" si="5"/>
        <v>1.2015185869293248</v>
      </c>
      <c r="G12" s="9">
        <f t="shared" si="6"/>
        <v>2.9930407793129225E-2</v>
      </c>
      <c r="H12" s="9">
        <f t="shared" si="6"/>
        <v>2.9930407793129225E-2</v>
      </c>
      <c r="I12" s="9">
        <f t="shared" si="6"/>
        <v>9.9836858595299723E-3</v>
      </c>
      <c r="J12" s="9">
        <f t="shared" si="7"/>
        <v>3.8909530131067994E-3</v>
      </c>
      <c r="K12" s="9">
        <f t="shared" si="8"/>
        <v>5.9860815586258451E-3</v>
      </c>
      <c r="L12" s="9">
        <f t="shared" si="9"/>
        <v>3.9934743438119888E-3</v>
      </c>
      <c r="M12">
        <f t="shared" si="0"/>
        <v>118.68644457919289</v>
      </c>
      <c r="N12">
        <f t="shared" si="10"/>
        <v>28.856467822620502</v>
      </c>
      <c r="O12">
        <f t="shared" si="24"/>
        <v>89.829976756572393</v>
      </c>
      <c r="P12">
        <f t="shared" si="22"/>
        <v>6.1700825760038249</v>
      </c>
      <c r="Q12" s="9">
        <f t="shared" si="1"/>
        <v>5.1986413426403304E-2</v>
      </c>
      <c r="R12">
        <f>VLOOKUP($B$1,dictionary!$A$3:$K$51,3,FALSE)*Q12</f>
        <v>1.0397282685280661E-2</v>
      </c>
      <c r="S12">
        <f>VLOOKUP($B$1,dictionary!$A$3:$K$51,4,FALSE)*Q12</f>
        <v>0</v>
      </c>
      <c r="T12">
        <f>VLOOKUP($B$1,dictionary!$A$3:$K$51,5,FALSE)*Q12</f>
        <v>1.5595924027920991E-2</v>
      </c>
      <c r="U12">
        <f>VLOOKUP($B$1,dictionary!$A$3:$K$51,6,FALSE)*Q12</f>
        <v>1.5595924027920991E-2</v>
      </c>
      <c r="V12">
        <f>VLOOKUP($B$1,dictionary!$A$3:$K$51,7,FALSE)*Q12</f>
        <v>0</v>
      </c>
      <c r="W12">
        <f>VLOOKUP($B$1,dictionary!$A$3:$K$51,8,FALSE)*Q12</f>
        <v>2.5993206713201653E-3</v>
      </c>
      <c r="X12">
        <f>VLOOKUP($B$1,dictionary!$A$3:$K$51,9,FALSE)*Q12</f>
        <v>2.5993206713201653E-3</v>
      </c>
      <c r="Y12">
        <f>VLOOKUP($B$1,dictionary!$A$3:$K$51,10,FALSE)*Q12</f>
        <v>5.1986413426403305E-3</v>
      </c>
      <c r="Z12">
        <f>VLOOKUP($B$1,dictionary!$A$3:$K$51,11,FALSE)*Q12</f>
        <v>0</v>
      </c>
      <c r="AA12">
        <f t="shared" si="2"/>
        <v>112.51636200318907</v>
      </c>
      <c r="AB12">
        <f t="shared" si="11"/>
        <v>85.160038446821034</v>
      </c>
      <c r="AC12">
        <f t="shared" si="12"/>
        <v>27.35632355636805</v>
      </c>
      <c r="AD12">
        <f t="shared" si="3"/>
        <v>1.2340165152007652</v>
      </c>
      <c r="AE12">
        <f t="shared" si="13"/>
        <v>0</v>
      </c>
      <c r="AF12">
        <f t="shared" si="14"/>
        <v>2.0566941920012751</v>
      </c>
      <c r="AG12">
        <f t="shared" si="15"/>
        <v>2.1154568832013116</v>
      </c>
      <c r="AH12">
        <f t="shared" si="16"/>
        <v>0</v>
      </c>
      <c r="AI12">
        <f t="shared" si="17"/>
        <v>0.32474118821072762</v>
      </c>
      <c r="AJ12">
        <f t="shared" si="18"/>
        <v>0.32474118821072762</v>
      </c>
      <c r="AK12">
        <f t="shared" si="19"/>
        <v>0.61700825760038258</v>
      </c>
      <c r="AL12">
        <f t="shared" si="20"/>
        <v>0</v>
      </c>
    </row>
    <row r="13" spans="1:51" x14ac:dyDescent="0.2">
      <c r="A13">
        <v>2030</v>
      </c>
      <c r="B13">
        <v>5</v>
      </c>
      <c r="C13">
        <f t="shared" si="21"/>
        <v>122.87550855617521</v>
      </c>
      <c r="D13">
        <f t="shared" si="23"/>
        <v>4.5992112817922077</v>
      </c>
      <c r="E13">
        <f t="shared" si="4"/>
        <v>4.5992112817922077</v>
      </c>
      <c r="F13">
        <f t="shared" si="5"/>
        <v>1.5337064161692808</v>
      </c>
      <c r="G13" s="9">
        <f t="shared" si="6"/>
        <v>3.7429845343749511E-2</v>
      </c>
      <c r="H13" s="9">
        <f t="shared" si="6"/>
        <v>3.7429845343749511E-2</v>
      </c>
      <c r="I13" s="9">
        <f t="shared" si="6"/>
        <v>1.2481790994729545E-2</v>
      </c>
      <c r="J13" s="9">
        <f t="shared" si="7"/>
        <v>4.865879894687437E-3</v>
      </c>
      <c r="K13" s="9">
        <f t="shared" si="8"/>
        <v>7.4859690687499028E-3</v>
      </c>
      <c r="L13" s="9">
        <f t="shared" si="9"/>
        <v>4.9927163978918179E-3</v>
      </c>
      <c r="M13">
        <f t="shared" si="0"/>
        <v>120.75631740605083</v>
      </c>
      <c r="N13">
        <f t="shared" si="10"/>
        <v>38.349124247299969</v>
      </c>
      <c r="O13">
        <f t="shared" si="24"/>
        <v>82.407193158750857</v>
      </c>
      <c r="P13">
        <f t="shared" si="22"/>
        <v>10.187307516231986</v>
      </c>
      <c r="Q13" s="9">
        <f t="shared" si="1"/>
        <v>8.4362522268516302E-2</v>
      </c>
      <c r="R13">
        <f>VLOOKUP($B$1,dictionary!$A$3:$K$51,3,FALSE)*Q13</f>
        <v>1.6872504453703262E-2</v>
      </c>
      <c r="S13">
        <f>VLOOKUP($B$1,dictionary!$A$3:$K$51,4,FALSE)*Q13</f>
        <v>0</v>
      </c>
      <c r="T13">
        <f>VLOOKUP($B$1,dictionary!$A$3:$K$51,5,FALSE)*Q13</f>
        <v>2.5308756680554888E-2</v>
      </c>
      <c r="U13">
        <f>VLOOKUP($B$1,dictionary!$A$3:$K$51,6,FALSE)*Q13</f>
        <v>2.5308756680554888E-2</v>
      </c>
      <c r="V13">
        <f>VLOOKUP($B$1,dictionary!$A$3:$K$51,7,FALSE)*Q13</f>
        <v>0</v>
      </c>
      <c r="W13">
        <f>VLOOKUP($B$1,dictionary!$A$3:$K$51,8,FALSE)*Q13</f>
        <v>4.2181261134258156E-3</v>
      </c>
      <c r="X13">
        <f>VLOOKUP($B$1,dictionary!$A$3:$K$51,9,FALSE)*Q13</f>
        <v>4.2181261134258156E-3</v>
      </c>
      <c r="Y13">
        <f>VLOOKUP($B$1,dictionary!$A$3:$K$51,10,FALSE)*Q13</f>
        <v>8.4362522268516312E-3</v>
      </c>
      <c r="Z13">
        <f>VLOOKUP($B$1,dictionary!$A$3:$K$51,11,FALSE)*Q13</f>
        <v>0</v>
      </c>
      <c r="AA13">
        <f t="shared" si="2"/>
        <v>110.56900988981884</v>
      </c>
      <c r="AB13">
        <f t="shared" si="11"/>
        <v>75.455114490809819</v>
      </c>
      <c r="AC13">
        <f t="shared" si="12"/>
        <v>35.113895399009031</v>
      </c>
      <c r="AD13">
        <f t="shared" si="3"/>
        <v>2.0374615032463974</v>
      </c>
      <c r="AE13">
        <f t="shared" si="13"/>
        <v>0</v>
      </c>
      <c r="AF13">
        <f t="shared" si="14"/>
        <v>3.3957691720773284</v>
      </c>
      <c r="AG13">
        <f t="shared" si="15"/>
        <v>3.4927911484223948</v>
      </c>
      <c r="AH13">
        <f t="shared" si="16"/>
        <v>0</v>
      </c>
      <c r="AI13">
        <f t="shared" si="17"/>
        <v>0.53617407980168341</v>
      </c>
      <c r="AJ13">
        <f t="shared" si="18"/>
        <v>0.53617407980168341</v>
      </c>
      <c r="AK13">
        <f t="shared" si="19"/>
        <v>1.0187307516231987</v>
      </c>
      <c r="AL13">
        <f t="shared" si="20"/>
        <v>0</v>
      </c>
    </row>
    <row r="14" spans="1:51" x14ac:dyDescent="0.2">
      <c r="A14">
        <v>2031</v>
      </c>
      <c r="B14">
        <v>6</v>
      </c>
      <c r="C14">
        <f t="shared" si="21"/>
        <v>125.45589423585487</v>
      </c>
      <c r="D14">
        <f t="shared" si="23"/>
        <v>5.6366433628888757</v>
      </c>
      <c r="E14">
        <f t="shared" si="4"/>
        <v>5.6366433628888757</v>
      </c>
      <c r="F14">
        <f t="shared" si="5"/>
        <v>1.8793946078630057</v>
      </c>
      <c r="G14" s="9">
        <f t="shared" si="6"/>
        <v>4.4929282894369919E-2</v>
      </c>
      <c r="H14" s="9">
        <f t="shared" si="6"/>
        <v>4.4929282894369919E-2</v>
      </c>
      <c r="I14" s="9">
        <f t="shared" si="6"/>
        <v>1.4980520598974624E-2</v>
      </c>
      <c r="J14" s="9">
        <f t="shared" si="7"/>
        <v>5.8408067762680893E-3</v>
      </c>
      <c r="K14" s="9">
        <f t="shared" si="8"/>
        <v>8.9858565788739839E-3</v>
      </c>
      <c r="L14" s="9">
        <f t="shared" si="9"/>
        <v>5.9922082395898503E-3</v>
      </c>
      <c r="M14">
        <f t="shared" si="0"/>
        <v>122.86173519662232</v>
      </c>
      <c r="N14">
        <f t="shared" si="10"/>
        <v>48.163887987193633</v>
      </c>
      <c r="O14">
        <f t="shared" si="24"/>
        <v>74.697847209428687</v>
      </c>
      <c r="P14">
        <f t="shared" si="22"/>
        <v>16.078193137062197</v>
      </c>
      <c r="Q14" s="9">
        <f t="shared" si="1"/>
        <v>0.13086412226989461</v>
      </c>
      <c r="R14">
        <f>VLOOKUP($B$1,dictionary!$A$3:$K$51,3,FALSE)*Q14</f>
        <v>2.6172824453978921E-2</v>
      </c>
      <c r="S14">
        <f>VLOOKUP($B$1,dictionary!$A$3:$K$51,4,FALSE)*Q14</f>
        <v>0</v>
      </c>
      <c r="T14">
        <f>VLOOKUP($B$1,dictionary!$A$3:$K$51,5,FALSE)*Q14</f>
        <v>3.9259236680968382E-2</v>
      </c>
      <c r="U14">
        <f>VLOOKUP($B$1,dictionary!$A$3:$K$51,6,FALSE)*Q14</f>
        <v>3.9259236680968382E-2</v>
      </c>
      <c r="V14">
        <f>VLOOKUP($B$1,dictionary!$A$3:$K$51,7,FALSE)*Q14</f>
        <v>0</v>
      </c>
      <c r="W14">
        <f>VLOOKUP($B$1,dictionary!$A$3:$K$51,8,FALSE)*Q14</f>
        <v>6.5432061134947303E-3</v>
      </c>
      <c r="X14">
        <f>VLOOKUP($B$1,dictionary!$A$3:$K$51,9,FALSE)*Q14</f>
        <v>6.5432061134947303E-3</v>
      </c>
      <c r="Y14">
        <f>VLOOKUP($B$1,dictionary!$A$3:$K$51,10,FALSE)*Q14</f>
        <v>1.3086412226989461E-2</v>
      </c>
      <c r="Z14">
        <f>VLOOKUP($B$1,dictionary!$A$3:$K$51,11,FALSE)*Q14</f>
        <v>0</v>
      </c>
      <c r="AA14">
        <f t="shared" si="2"/>
        <v>106.78354205956012</v>
      </c>
      <c r="AB14">
        <f t="shared" si="11"/>
        <v>64.922578998916109</v>
      </c>
      <c r="AC14">
        <f t="shared" si="12"/>
        <v>41.860963060644018</v>
      </c>
      <c r="AD14">
        <f t="shared" si="3"/>
        <v>3.2156386274124396</v>
      </c>
      <c r="AE14">
        <f t="shared" si="13"/>
        <v>0</v>
      </c>
      <c r="AF14">
        <f t="shared" si="14"/>
        <v>5.359397712354065</v>
      </c>
      <c r="AG14">
        <f t="shared" si="15"/>
        <v>5.5125233612784683</v>
      </c>
      <c r="AH14">
        <f t="shared" si="16"/>
        <v>0</v>
      </c>
      <c r="AI14">
        <f t="shared" si="17"/>
        <v>0.84622069142432599</v>
      </c>
      <c r="AJ14">
        <f t="shared" si="18"/>
        <v>0.84622069142432599</v>
      </c>
      <c r="AK14">
        <f t="shared" si="19"/>
        <v>1.6078193137062198</v>
      </c>
      <c r="AL14">
        <f t="shared" si="20"/>
        <v>0</v>
      </c>
    </row>
    <row r="15" spans="1:51" x14ac:dyDescent="0.2">
      <c r="A15">
        <v>2032</v>
      </c>
      <c r="B15">
        <v>7</v>
      </c>
      <c r="C15">
        <f t="shared" si="21"/>
        <v>128.09046801480781</v>
      </c>
      <c r="D15">
        <f t="shared" si="23"/>
        <v>6.7151872283497909</v>
      </c>
      <c r="E15">
        <f t="shared" si="4"/>
        <v>6.7151872283497909</v>
      </c>
      <c r="F15">
        <f t="shared" si="5"/>
        <v>2.2389893491002724</v>
      </c>
      <c r="G15" s="9">
        <f t="shared" si="6"/>
        <v>5.2425346963159557E-2</v>
      </c>
      <c r="H15" s="9">
        <f t="shared" si="6"/>
        <v>5.2425346963159557E-2</v>
      </c>
      <c r="I15" s="9">
        <f t="shared" si="6"/>
        <v>1.7479749928319691E-2</v>
      </c>
      <c r="J15" s="9">
        <f t="shared" si="7"/>
        <v>6.8152951052107428E-3</v>
      </c>
      <c r="K15" s="9">
        <f t="shared" si="8"/>
        <v>1.0485069392631913E-2</v>
      </c>
      <c r="L15" s="9">
        <f t="shared" si="9"/>
        <v>6.9918999713278768E-3</v>
      </c>
      <c r="M15">
        <f t="shared" si="0"/>
        <v>125.0034438208458</v>
      </c>
      <c r="N15">
        <f t="shared" si="10"/>
        <v>57.905443086254792</v>
      </c>
      <c r="O15">
        <f t="shared" si="24"/>
        <v>67.098000734591011</v>
      </c>
      <c r="P15">
        <f>IF($I$3=0,0,M15/(1+EXP(-$I$3*(B15-$J$3)))-M15/(1+EXP($I$3*$J$3)))</f>
        <v>24.361099789910146</v>
      </c>
      <c r="Q15" s="9">
        <f t="shared" si="1"/>
        <v>0.19488342917035414</v>
      </c>
      <c r="R15">
        <f>VLOOKUP($B$1,dictionary!$A$3:$K$51,3,FALSE)*Q15</f>
        <v>3.897668583407083E-2</v>
      </c>
      <c r="S15">
        <f>VLOOKUP($B$1,dictionary!$A$3:$K$51,4,FALSE)*Q15</f>
        <v>0</v>
      </c>
      <c r="T15">
        <f>VLOOKUP($B$1,dictionary!$A$3:$K$51,5,FALSE)*Q15</f>
        <v>5.8465028751106242E-2</v>
      </c>
      <c r="U15">
        <f>VLOOKUP($B$1,dictionary!$A$3:$K$51,6,FALSE)*Q15</f>
        <v>5.8465028751106242E-2</v>
      </c>
      <c r="V15">
        <f>VLOOKUP($B$1,dictionary!$A$3:$K$51,7,FALSE)*Q15</f>
        <v>0</v>
      </c>
      <c r="W15">
        <f>VLOOKUP($B$1,dictionary!$A$3:$K$51,8,FALSE)*Q15</f>
        <v>9.7441714585177076E-3</v>
      </c>
      <c r="X15">
        <f>VLOOKUP($B$1,dictionary!$A$3:$K$51,9,FALSE)*Q15</f>
        <v>9.7441714585177076E-3</v>
      </c>
      <c r="Y15">
        <f>VLOOKUP($B$1,dictionary!$A$3:$K$51,10,FALSE)*Q15</f>
        <v>1.9488342917035415E-2</v>
      </c>
      <c r="Z15">
        <f>VLOOKUP($B$1,dictionary!$A$3:$K$51,11,FALSE)*Q15</f>
        <v>0</v>
      </c>
      <c r="AA15">
        <f t="shared" si="2"/>
        <v>100.64234403093566</v>
      </c>
      <c r="AB15">
        <f t="shared" si="11"/>
        <v>54.021712260958971</v>
      </c>
      <c r="AC15">
        <f t="shared" si="12"/>
        <v>46.62063176997669</v>
      </c>
      <c r="AD15">
        <f t="shared" si="3"/>
        <v>4.8722199579820291</v>
      </c>
      <c r="AE15">
        <f t="shared" si="13"/>
        <v>0</v>
      </c>
      <c r="AF15">
        <f t="shared" si="14"/>
        <v>8.1203665966367158</v>
      </c>
      <c r="AG15">
        <f t="shared" si="15"/>
        <v>8.3523770708263356</v>
      </c>
      <c r="AH15">
        <f t="shared" si="16"/>
        <v>0</v>
      </c>
      <c r="AI15">
        <f t="shared" si="17"/>
        <v>1.2821631468373762</v>
      </c>
      <c r="AJ15">
        <f t="shared" si="18"/>
        <v>1.2821631468373762</v>
      </c>
      <c r="AK15">
        <f t="shared" si="19"/>
        <v>2.4361099789910146</v>
      </c>
      <c r="AL15">
        <f t="shared" si="20"/>
        <v>0</v>
      </c>
    </row>
    <row r="16" spans="1:51" x14ac:dyDescent="0.2">
      <c r="A16">
        <v>2033</v>
      </c>
      <c r="B16">
        <v>8</v>
      </c>
      <c r="C16">
        <f t="shared" si="21"/>
        <v>130.78036784311877</v>
      </c>
      <c r="D16">
        <f t="shared" si="23"/>
        <v>7.8356625995263158</v>
      </c>
      <c r="E16">
        <f t="shared" si="4"/>
        <v>7.8356625995263158</v>
      </c>
      <c r="F16">
        <f t="shared" si="5"/>
        <v>2.612907283558549</v>
      </c>
      <c r="G16" s="9">
        <f t="shared" si="6"/>
        <v>5.9914670135549727E-2</v>
      </c>
      <c r="H16" s="9">
        <f t="shared" si="6"/>
        <v>5.9914670135549727E-2</v>
      </c>
      <c r="I16" s="9">
        <f t="shared" si="6"/>
        <v>1.9979354138940295E-2</v>
      </c>
      <c r="J16" s="9">
        <f t="shared" si="7"/>
        <v>7.7889071176214649E-3</v>
      </c>
      <c r="K16" s="9">
        <f t="shared" si="8"/>
        <v>1.1982934027109947E-2</v>
      </c>
      <c r="L16" s="9">
        <f t="shared" si="9"/>
        <v>7.9917416555761178E-3</v>
      </c>
      <c r="M16">
        <f t="shared" si="0"/>
        <v>127.18220976739109</v>
      </c>
      <c r="N16">
        <f t="shared" si="10"/>
        <v>67.218847541209385</v>
      </c>
      <c r="O16">
        <f t="shared" si="24"/>
        <v>59.963362226181701</v>
      </c>
      <c r="P16">
        <f t="shared" si="22"/>
        <v>35.364737348169079</v>
      </c>
      <c r="Q16" s="9">
        <f t="shared" si="1"/>
        <v>0.27806355474440286</v>
      </c>
      <c r="R16">
        <f>VLOOKUP($B$1,dictionary!$A$3:$K$51,3,FALSE)*Q16</f>
        <v>5.5612710948880574E-2</v>
      </c>
      <c r="S16">
        <f>VLOOKUP($B$1,dictionary!$A$3:$K$51,4,FALSE)*Q16</f>
        <v>0</v>
      </c>
      <c r="T16">
        <f>VLOOKUP($B$1,dictionary!$A$3:$K$51,5,FALSE)*Q16</f>
        <v>8.3419066423320851E-2</v>
      </c>
      <c r="U16">
        <f>VLOOKUP($B$1,dictionary!$A$3:$K$51,6,FALSE)*Q16</f>
        <v>8.3419066423320851E-2</v>
      </c>
      <c r="V16">
        <f>VLOOKUP($B$1,dictionary!$A$3:$K$51,7,FALSE)*Q16</f>
        <v>0</v>
      </c>
      <c r="W16">
        <f>VLOOKUP($B$1,dictionary!$A$3:$K$51,8,FALSE)*Q16</f>
        <v>1.3903177737220144E-2</v>
      </c>
      <c r="X16">
        <f>VLOOKUP($B$1,dictionary!$A$3:$K$51,9,FALSE)*Q16</f>
        <v>1.3903177737220144E-2</v>
      </c>
      <c r="Y16">
        <f>VLOOKUP($B$1,dictionary!$A$3:$K$51,10,FALSE)*Q16</f>
        <v>2.7806355474440287E-2</v>
      </c>
      <c r="Z16">
        <f>VLOOKUP($B$1,dictionary!$A$3:$K$51,11,FALSE)*Q16</f>
        <v>0</v>
      </c>
      <c r="AA16">
        <f t="shared" si="2"/>
        <v>91.817472419222014</v>
      </c>
      <c r="AB16">
        <f t="shared" si="11"/>
        <v>43.289736571143365</v>
      </c>
      <c r="AC16">
        <f t="shared" si="12"/>
        <v>48.527735848078642</v>
      </c>
      <c r="AD16">
        <f t="shared" si="3"/>
        <v>7.0729474696338164</v>
      </c>
      <c r="AE16">
        <f t="shared" si="13"/>
        <v>0</v>
      </c>
      <c r="AF16">
        <f t="shared" si="14"/>
        <v>11.788245782723026</v>
      </c>
      <c r="AG16">
        <f t="shared" si="15"/>
        <v>12.125052805086542</v>
      </c>
      <c r="AH16">
        <f t="shared" si="16"/>
        <v>0</v>
      </c>
      <c r="AI16">
        <f t="shared" si="17"/>
        <v>1.8613019656931096</v>
      </c>
      <c r="AJ16">
        <f t="shared" si="18"/>
        <v>1.8613019656931096</v>
      </c>
      <c r="AK16">
        <f t="shared" si="19"/>
        <v>3.5364737348169082</v>
      </c>
      <c r="AL16">
        <f t="shared" si="20"/>
        <v>0</v>
      </c>
    </row>
    <row r="17" spans="1:38" x14ac:dyDescent="0.2">
      <c r="A17">
        <v>2034</v>
      </c>
      <c r="B17">
        <v>9</v>
      </c>
      <c r="C17">
        <f t="shared" si="21"/>
        <v>133.52675556782424</v>
      </c>
      <c r="D17">
        <f t="shared" si="23"/>
        <v>8.9988884259459141</v>
      </c>
      <c r="E17">
        <f t="shared" si="4"/>
        <v>8.9988884259459141</v>
      </c>
      <c r="F17">
        <f t="shared" si="5"/>
        <v>3.0015757536433085</v>
      </c>
      <c r="G17" s="9">
        <f t="shared" si="6"/>
        <v>6.7393897108321291E-2</v>
      </c>
      <c r="H17" s="9">
        <f t="shared" si="6"/>
        <v>6.7393897108321291E-2</v>
      </c>
      <c r="I17" s="9">
        <f t="shared" si="6"/>
        <v>2.2479208312065017E-2</v>
      </c>
      <c r="J17" s="9">
        <f t="shared" si="7"/>
        <v>8.7612066240817677E-3</v>
      </c>
      <c r="K17" s="9">
        <f t="shared" si="8"/>
        <v>1.3478779421664259E-2</v>
      </c>
      <c r="L17" s="9">
        <f t="shared" si="9"/>
        <v>8.9916833248260067E-3</v>
      </c>
      <c r="M17">
        <f t="shared" si="0"/>
        <v>129.39882052825425</v>
      </c>
      <c r="N17">
        <f t="shared" si="10"/>
        <v>75.840552916713349</v>
      </c>
      <c r="O17">
        <f t="shared" si="24"/>
        <v>53.558267611540899</v>
      </c>
      <c r="P17">
        <f t="shared" si="22"/>
        <v>48.961126469337863</v>
      </c>
      <c r="Q17" s="9">
        <f t="shared" si="1"/>
        <v>0.37837382342018483</v>
      </c>
      <c r="R17">
        <f>VLOOKUP($B$1,dictionary!$A$3:$K$51,3,FALSE)*Q17</f>
        <v>7.5674764684036971E-2</v>
      </c>
      <c r="S17">
        <f>VLOOKUP($B$1,dictionary!$A$3:$K$51,4,FALSE)*Q17</f>
        <v>0</v>
      </c>
      <c r="T17">
        <f>VLOOKUP($B$1,dictionary!$A$3:$K$51,5,FALSE)*Q17</f>
        <v>0.11351214702605544</v>
      </c>
      <c r="U17">
        <f>VLOOKUP($B$1,dictionary!$A$3:$K$51,6,FALSE)*Q17</f>
        <v>0.11351214702605544</v>
      </c>
      <c r="V17">
        <f>VLOOKUP($B$1,dictionary!$A$3:$K$51,7,FALSE)*Q17</f>
        <v>0</v>
      </c>
      <c r="W17">
        <f>VLOOKUP($B$1,dictionary!$A$3:$K$51,8,FALSE)*Q17</f>
        <v>1.8918691171009243E-2</v>
      </c>
      <c r="X17">
        <f>VLOOKUP($B$1,dictionary!$A$3:$K$51,9,FALSE)*Q17</f>
        <v>1.8918691171009243E-2</v>
      </c>
      <c r="Y17">
        <f>VLOOKUP($B$1,dictionary!$A$3:$K$51,10,FALSE)*Q17</f>
        <v>3.7837382342018486E-2</v>
      </c>
      <c r="Z17">
        <f>VLOOKUP($B$1,dictionary!$A$3:$K$51,11,FALSE)*Q17</f>
        <v>0</v>
      </c>
      <c r="AA17">
        <f t="shared" si="2"/>
        <v>80.437694058916378</v>
      </c>
      <c r="AB17">
        <f t="shared" si="11"/>
        <v>33.293221119600716</v>
      </c>
      <c r="AC17">
        <f t="shared" si="12"/>
        <v>47.144472939315662</v>
      </c>
      <c r="AD17">
        <f t="shared" si="3"/>
        <v>9.792225293867574</v>
      </c>
      <c r="AE17">
        <f t="shared" si="13"/>
        <v>0</v>
      </c>
      <c r="AF17">
        <f t="shared" si="14"/>
        <v>16.320375489779288</v>
      </c>
      <c r="AG17">
        <f t="shared" si="15"/>
        <v>16.786671932344412</v>
      </c>
      <c r="AH17">
        <f t="shared" si="16"/>
        <v>0</v>
      </c>
      <c r="AI17">
        <f t="shared" si="17"/>
        <v>2.5769013931230456</v>
      </c>
      <c r="AJ17">
        <f t="shared" si="18"/>
        <v>2.5769013931230456</v>
      </c>
      <c r="AK17">
        <f t="shared" si="19"/>
        <v>4.896112646933787</v>
      </c>
      <c r="AL17">
        <f t="shared" si="20"/>
        <v>0</v>
      </c>
    </row>
    <row r="18" spans="1:38" x14ac:dyDescent="0.2">
      <c r="A18">
        <v>2035</v>
      </c>
      <c r="B18">
        <v>10</v>
      </c>
      <c r="C18">
        <f t="shared" si="21"/>
        <v>136.33081743474852</v>
      </c>
      <c r="D18">
        <f t="shared" si="23"/>
        <v>10.205682824339185</v>
      </c>
      <c r="E18">
        <f t="shared" si="4"/>
        <v>10.205682824339185</v>
      </c>
      <c r="F18">
        <f t="shared" si="5"/>
        <v>3.4054330478597308</v>
      </c>
      <c r="G18" s="9">
        <f t="shared" si="6"/>
        <v>7.4859690687499106E-2</v>
      </c>
      <c r="H18" s="9">
        <f t="shared" si="6"/>
        <v>7.4859690687499106E-2</v>
      </c>
      <c r="I18" s="9">
        <f t="shared" si="6"/>
        <v>2.497918747894004E-2</v>
      </c>
      <c r="J18" s="9">
        <f t="shared" si="7"/>
        <v>9.7317597893748845E-3</v>
      </c>
      <c r="K18" s="9">
        <f t="shared" si="8"/>
        <v>1.4971938137499821E-2</v>
      </c>
      <c r="L18" s="9">
        <f t="shared" si="9"/>
        <v>9.9916749915760165E-3</v>
      </c>
      <c r="M18">
        <f t="shared" si="0"/>
        <v>131.65408497690836</v>
      </c>
      <c r="N18">
        <f t="shared" si="10"/>
        <v>83.619954150590246</v>
      </c>
      <c r="O18">
        <f t="shared" si="24"/>
        <v>48.034130826318119</v>
      </c>
      <c r="P18">
        <f t="shared" si="22"/>
        <v>64.380566609729655</v>
      </c>
      <c r="Q18" s="9">
        <f t="shared" si="1"/>
        <v>0.48901305736940687</v>
      </c>
      <c r="R18">
        <f>VLOOKUP($B$1,dictionary!$A$3:$K$51,3,FALSE)*Q18</f>
        <v>9.7802611473881376E-2</v>
      </c>
      <c r="S18">
        <f>VLOOKUP($B$1,dictionary!$A$3:$K$51,4,FALSE)*Q18</f>
        <v>0</v>
      </c>
      <c r="T18">
        <f>VLOOKUP($B$1,dictionary!$A$3:$K$51,5,FALSE)*Q18</f>
        <v>0.14670391721082204</v>
      </c>
      <c r="U18">
        <f>VLOOKUP($B$1,dictionary!$A$3:$K$51,6,FALSE)*Q18</f>
        <v>0.14670391721082204</v>
      </c>
      <c r="V18">
        <f>VLOOKUP($B$1,dictionary!$A$3:$K$51,7,FALSE)*Q18</f>
        <v>0</v>
      </c>
      <c r="W18">
        <f>VLOOKUP($B$1,dictionary!$A$3:$K$51,8,FALSE)*Q18</f>
        <v>2.4450652868470344E-2</v>
      </c>
      <c r="X18">
        <f>VLOOKUP($B$1,dictionary!$A$3:$K$51,9,FALSE)*Q18</f>
        <v>2.4450652868470344E-2</v>
      </c>
      <c r="Y18">
        <f>VLOOKUP($B$1,dictionary!$A$3:$K$51,10,FALSE)*Q18</f>
        <v>4.8901305736940688E-2</v>
      </c>
      <c r="Z18">
        <f>VLOOKUP($B$1,dictionary!$A$3:$K$51,11,FALSE)*Q18</f>
        <v>0</v>
      </c>
      <c r="AA18">
        <f t="shared" si="2"/>
        <v>67.27351836717871</v>
      </c>
      <c r="AB18">
        <f t="shared" si="11"/>
        <v>24.54481365285822</v>
      </c>
      <c r="AC18">
        <f t="shared" si="12"/>
        <v>42.728704714320486</v>
      </c>
      <c r="AD18">
        <f t="shared" si="3"/>
        <v>12.876113321945933</v>
      </c>
      <c r="AE18">
        <f t="shared" si="13"/>
        <v>0</v>
      </c>
      <c r="AF18">
        <f t="shared" si="14"/>
        <v>21.460188869909885</v>
      </c>
      <c r="AG18">
        <f t="shared" si="15"/>
        <v>22.073337123335882</v>
      </c>
      <c r="AH18">
        <f t="shared" si="16"/>
        <v>0</v>
      </c>
      <c r="AI18">
        <f t="shared" si="17"/>
        <v>3.3884508741962978</v>
      </c>
      <c r="AJ18">
        <f t="shared" si="18"/>
        <v>3.3884508741962978</v>
      </c>
      <c r="AK18">
        <f t="shared" si="19"/>
        <v>6.4380566609729666</v>
      </c>
      <c r="AL18">
        <f t="shared" si="20"/>
        <v>0</v>
      </c>
    </row>
    <row r="19" spans="1:38" x14ac:dyDescent="0.2">
      <c r="A19">
        <v>2036</v>
      </c>
      <c r="B19">
        <v>11</v>
      </c>
      <c r="C19">
        <f t="shared" si="21"/>
        <v>139.19376460087824</v>
      </c>
      <c r="D19">
        <f t="shared" si="23"/>
        <v>11.456863062421405</v>
      </c>
      <c r="E19">
        <f t="shared" si="4"/>
        <v>11.456863062421405</v>
      </c>
      <c r="F19">
        <f t="shared" si="5"/>
        <v>3.8249286535258733</v>
      </c>
      <c r="G19" s="9">
        <f t="shared" si="6"/>
        <v>8.2308737717329605E-2</v>
      </c>
      <c r="H19" s="9">
        <f t="shared" si="6"/>
        <v>8.2308737717329605E-2</v>
      </c>
      <c r="I19" s="9">
        <f t="shared" si="6"/>
        <v>2.7479166645814967E-2</v>
      </c>
      <c r="J19" s="9">
        <f t="shared" si="7"/>
        <v>1.0700135903252849E-2</v>
      </c>
      <c r="K19" s="9">
        <f t="shared" si="8"/>
        <v>1.646174754346592E-2</v>
      </c>
      <c r="L19" s="9">
        <f t="shared" si="9"/>
        <v>1.0991666658325988E-2</v>
      </c>
      <c r="M19">
        <f t="shared" si="0"/>
        <v>133.94883374007392</v>
      </c>
      <c r="N19">
        <f t="shared" si="10"/>
        <v>90.512362873582532</v>
      </c>
      <c r="O19">
        <f t="shared" si="24"/>
        <v>43.436470866491391</v>
      </c>
      <c r="P19">
        <f t="shared" si="22"/>
        <v>80.322725071693384</v>
      </c>
      <c r="Q19" s="9">
        <f t="shared" si="1"/>
        <v>0.59965229131862885</v>
      </c>
      <c r="R19">
        <f>VLOOKUP($B$1,dictionary!$A$3:$K$51,3,FALSE)*Q19</f>
        <v>0.11993045826372578</v>
      </c>
      <c r="S19">
        <f>VLOOKUP($B$1,dictionary!$A$3:$K$51,4,FALSE)*Q19</f>
        <v>0</v>
      </c>
      <c r="T19">
        <f>VLOOKUP($B$1,dictionary!$A$3:$K$51,5,FALSE)*Q19</f>
        <v>0.17989568739558864</v>
      </c>
      <c r="U19">
        <f>VLOOKUP($B$1,dictionary!$A$3:$K$51,6,FALSE)*Q19</f>
        <v>0.17989568739558864</v>
      </c>
      <c r="V19">
        <f>VLOOKUP($B$1,dictionary!$A$3:$K$51,7,FALSE)*Q19</f>
        <v>0</v>
      </c>
      <c r="W19">
        <f>VLOOKUP($B$1,dictionary!$A$3:$K$51,8,FALSE)*Q19</f>
        <v>2.9982614565931445E-2</v>
      </c>
      <c r="X19">
        <f>VLOOKUP($B$1,dictionary!$A$3:$K$51,9,FALSE)*Q19</f>
        <v>2.9982614565931445E-2</v>
      </c>
      <c r="Y19">
        <f>VLOOKUP($B$1,dictionary!$A$3:$K$51,10,FALSE)*Q19</f>
        <v>5.996522913186289E-2</v>
      </c>
      <c r="Z19">
        <f>VLOOKUP($B$1,dictionary!$A$3:$K$51,11,FALSE)*Q19</f>
        <v>0</v>
      </c>
      <c r="AA19">
        <f t="shared" si="2"/>
        <v>53.626108668380539</v>
      </c>
      <c r="AB19">
        <f t="shared" si="11"/>
        <v>17.389691584604961</v>
      </c>
      <c r="AC19">
        <f t="shared" si="12"/>
        <v>36.236417083775578</v>
      </c>
      <c r="AD19">
        <f t="shared" si="3"/>
        <v>16.06454501433868</v>
      </c>
      <c r="AE19">
        <f t="shared" si="13"/>
        <v>0</v>
      </c>
      <c r="AF19">
        <f t="shared" si="14"/>
        <v>26.774241690564462</v>
      </c>
      <c r="AG19">
        <f t="shared" si="15"/>
        <v>27.53922002458059</v>
      </c>
      <c r="AH19">
        <f t="shared" si="16"/>
        <v>0</v>
      </c>
      <c r="AI19">
        <f t="shared" si="17"/>
        <v>4.2275118458785998</v>
      </c>
      <c r="AJ19">
        <f t="shared" si="18"/>
        <v>4.2275118458785998</v>
      </c>
      <c r="AK19">
        <f t="shared" si="19"/>
        <v>8.0322725071693402</v>
      </c>
      <c r="AL19">
        <f t="shared" si="20"/>
        <v>0</v>
      </c>
    </row>
    <row r="20" spans="1:38" x14ac:dyDescent="0.2">
      <c r="A20">
        <v>2037</v>
      </c>
      <c r="B20">
        <v>12</v>
      </c>
      <c r="C20">
        <f t="shared" si="21"/>
        <v>142.11683365749667</v>
      </c>
      <c r="D20">
        <f t="shared" si="23"/>
        <v>12.753245588489236</v>
      </c>
      <c r="E20">
        <f t="shared" si="4"/>
        <v>12.753245588489236</v>
      </c>
      <c r="F20">
        <f t="shared" si="5"/>
        <v>4.2605235149398908</v>
      </c>
      <c r="G20" s="9">
        <f t="shared" si="6"/>
        <v>8.9737754918074772E-2</v>
      </c>
      <c r="H20" s="9">
        <f t="shared" si="6"/>
        <v>8.9737754918074772E-2</v>
      </c>
      <c r="I20" s="9">
        <f t="shared" si="6"/>
        <v>2.9979020818939755E-2</v>
      </c>
      <c r="J20" s="9">
        <f t="shared" si="7"/>
        <v>1.166590813934972E-2</v>
      </c>
      <c r="K20" s="9">
        <f t="shared" si="8"/>
        <v>1.7947550983614956E-2</v>
      </c>
      <c r="L20" s="9">
        <f t="shared" si="9"/>
        <v>1.1991608327575903E-2</v>
      </c>
      <c r="M20">
        <f t="shared" si="0"/>
        <v>136.28391956324279</v>
      </c>
      <c r="N20">
        <f t="shared" si="10"/>
        <v>96.554111746106514</v>
      </c>
      <c r="O20">
        <f t="shared" si="24"/>
        <v>39.729807817136276</v>
      </c>
      <c r="P20">
        <f>IF($I$3=0,0,M20/(1+EXP(-$I$3*(B20-$J$3)))-M20/(1+EXP($I$3*$J$3)))</f>
        <v>95.393641223559783</v>
      </c>
      <c r="Q20" s="9">
        <f t="shared" si="1"/>
        <v>0.69996255999441082</v>
      </c>
      <c r="R20">
        <f>VLOOKUP($B$1,dictionary!$A$3:$K$51,3,FALSE)*Q20</f>
        <v>0.13999251199888216</v>
      </c>
      <c r="S20">
        <f>VLOOKUP($B$1,dictionary!$A$3:$K$51,4,FALSE)*Q20</f>
        <v>0</v>
      </c>
      <c r="T20">
        <f>VLOOKUP($B$1,dictionary!$A$3:$K$51,5,FALSE)*Q20</f>
        <v>0.20998876799832325</v>
      </c>
      <c r="U20">
        <f>VLOOKUP($B$1,dictionary!$A$3:$K$51,6,FALSE)*Q20</f>
        <v>0.20998876799832325</v>
      </c>
      <c r="V20">
        <f>VLOOKUP($B$1,dictionary!$A$3:$K$51,7,FALSE)*Q20</f>
        <v>0</v>
      </c>
      <c r="W20">
        <f>VLOOKUP($B$1,dictionary!$A$3:$K$51,8,FALSE)*Q20</f>
        <v>3.4998127999720539E-2</v>
      </c>
      <c r="X20">
        <f>VLOOKUP($B$1,dictionary!$A$3:$K$51,9,FALSE)*Q20</f>
        <v>3.4998127999720539E-2</v>
      </c>
      <c r="Y20">
        <f>VLOOKUP($B$1,dictionary!$A$3:$K$51,10,FALSE)*Q20</f>
        <v>6.9996255999441079E-2</v>
      </c>
      <c r="Z20">
        <f>VLOOKUP($B$1,dictionary!$A$3:$K$51,11,FALSE)*Q20</f>
        <v>0</v>
      </c>
      <c r="AA20">
        <f t="shared" si="2"/>
        <v>40.890278339683007</v>
      </c>
      <c r="AB20">
        <f t="shared" si="11"/>
        <v>11.920429829367617</v>
      </c>
      <c r="AC20">
        <f t="shared" si="12"/>
        <v>28.969848510315391</v>
      </c>
      <c r="AD20">
        <f t="shared" si="3"/>
        <v>19.078728244711957</v>
      </c>
      <c r="AE20">
        <f t="shared" si="13"/>
        <v>0</v>
      </c>
      <c r="AF20">
        <f t="shared" si="14"/>
        <v>31.797880407853263</v>
      </c>
      <c r="AG20">
        <f t="shared" si="15"/>
        <v>32.706391276649079</v>
      </c>
      <c r="AH20">
        <f t="shared" si="16"/>
        <v>0</v>
      </c>
      <c r="AI20">
        <f t="shared" si="17"/>
        <v>5.0207179591347249</v>
      </c>
      <c r="AJ20">
        <f t="shared" si="18"/>
        <v>5.0207179591347249</v>
      </c>
      <c r="AK20">
        <f t="shared" si="19"/>
        <v>9.5393641223559786</v>
      </c>
      <c r="AL20">
        <f t="shared" si="20"/>
        <v>0</v>
      </c>
    </row>
    <row r="21" spans="1:38" x14ac:dyDescent="0.2">
      <c r="A21">
        <v>2038</v>
      </c>
      <c r="B21">
        <v>13</v>
      </c>
      <c r="C21">
        <f t="shared" si="21"/>
        <v>145.1012871643041</v>
      </c>
      <c r="D21">
        <f t="shared" si="23"/>
        <v>14.095646107686406</v>
      </c>
      <c r="E21">
        <f t="shared" si="4"/>
        <v>14.095646107686406</v>
      </c>
      <c r="F21">
        <f t="shared" si="5"/>
        <v>4.7126902971159979</v>
      </c>
      <c r="G21" s="9">
        <f t="shared" si="6"/>
        <v>9.7143494610942571E-2</v>
      </c>
      <c r="H21" s="9">
        <f t="shared" si="6"/>
        <v>9.7143494610942571E-2</v>
      </c>
      <c r="I21" s="9">
        <f t="shared" si="6"/>
        <v>3.24786250295604E-2</v>
      </c>
      <c r="J21" s="9">
        <f t="shared" si="7"/>
        <v>1.2628654299422535E-2</v>
      </c>
      <c r="K21" s="9">
        <f t="shared" si="8"/>
        <v>1.9428698922188514E-2</v>
      </c>
      <c r="L21" s="9">
        <f t="shared" si="9"/>
        <v>1.2991450011824161E-2</v>
      </c>
      <c r="M21">
        <f t="shared" si="0"/>
        <v>138.66021767016318</v>
      </c>
      <c r="N21">
        <f t="shared" si="10"/>
        <v>101.83231063051858</v>
      </c>
      <c r="O21">
        <f t="shared" si="24"/>
        <v>36.8279070396446</v>
      </c>
      <c r="P21">
        <f t="shared" si="22"/>
        <v>108.59073524771875</v>
      </c>
      <c r="Q21" s="9">
        <f t="shared" si="1"/>
        <v>0.78314268556845956</v>
      </c>
      <c r="R21">
        <f>VLOOKUP($B$1,dictionary!$A$3:$K$51,3,FALSE)*Q21</f>
        <v>0.15662853711369193</v>
      </c>
      <c r="S21">
        <f>VLOOKUP($B$1,dictionary!$A$3:$K$51,4,FALSE)*Q21</f>
        <v>0</v>
      </c>
      <c r="T21">
        <f>VLOOKUP($B$1,dictionary!$A$3:$K$51,5,FALSE)*Q21</f>
        <v>0.23494280567053785</v>
      </c>
      <c r="U21">
        <f>VLOOKUP($B$1,dictionary!$A$3:$K$51,6,FALSE)*Q21</f>
        <v>0.23494280567053785</v>
      </c>
      <c r="V21">
        <f>VLOOKUP($B$1,dictionary!$A$3:$K$51,7,FALSE)*Q21</f>
        <v>0</v>
      </c>
      <c r="W21">
        <f>VLOOKUP($B$1,dictionary!$A$3:$K$51,8,FALSE)*Q21</f>
        <v>3.9157134278422982E-2</v>
      </c>
      <c r="X21">
        <f>VLOOKUP($B$1,dictionary!$A$3:$K$51,9,FALSE)*Q21</f>
        <v>3.9157134278422982E-2</v>
      </c>
      <c r="Y21">
        <f>VLOOKUP($B$1,dictionary!$A$3:$K$51,10,FALSE)*Q21</f>
        <v>7.8314268556845965E-2</v>
      </c>
      <c r="Z21">
        <f>VLOOKUP($B$1,dictionary!$A$3:$K$51,11,FALSE)*Q21</f>
        <v>0</v>
      </c>
      <c r="AA21">
        <f t="shared" si="2"/>
        <v>30.069482422444423</v>
      </c>
      <c r="AB21">
        <f t="shared" si="11"/>
        <v>7.9864010167517536</v>
      </c>
      <c r="AC21">
        <f t="shared" si="12"/>
        <v>22.083081405692671</v>
      </c>
      <c r="AD21">
        <f t="shared" si="3"/>
        <v>21.718147049543752</v>
      </c>
      <c r="AE21">
        <f t="shared" si="13"/>
        <v>0</v>
      </c>
      <c r="AF21">
        <f t="shared" si="14"/>
        <v>36.19691174923959</v>
      </c>
      <c r="AG21">
        <f t="shared" si="15"/>
        <v>37.23110922778929</v>
      </c>
      <c r="AH21">
        <f t="shared" si="16"/>
        <v>0</v>
      </c>
      <c r="AI21">
        <f t="shared" si="17"/>
        <v>5.7153018551430925</v>
      </c>
      <c r="AJ21">
        <f t="shared" si="18"/>
        <v>5.7153018551430925</v>
      </c>
      <c r="AK21">
        <f t="shared" si="19"/>
        <v>10.859073524771876</v>
      </c>
      <c r="AL21">
        <f t="shared" si="20"/>
        <v>0</v>
      </c>
    </row>
    <row r="22" spans="1:38" x14ac:dyDescent="0.2">
      <c r="A22">
        <v>2039</v>
      </c>
      <c r="B22">
        <v>14</v>
      </c>
      <c r="C22">
        <f t="shared" si="21"/>
        <v>148.14841419475448</v>
      </c>
      <c r="D22">
        <f t="shared" si="23"/>
        <v>15.484879705582827</v>
      </c>
      <c r="E22">
        <f t="shared" si="4"/>
        <v>15.484879705582827</v>
      </c>
      <c r="F22">
        <f t="shared" si="5"/>
        <v>5.1819136552069267</v>
      </c>
      <c r="G22" s="9">
        <f t="shared" si="6"/>
        <v>0.1045227503092038</v>
      </c>
      <c r="H22" s="9">
        <f t="shared" si="6"/>
        <v>0.1045227503092038</v>
      </c>
      <c r="I22" s="9">
        <f t="shared" si="6"/>
        <v>3.4977854358905477E-2</v>
      </c>
      <c r="J22" s="9">
        <f t="shared" si="7"/>
        <v>1.3587957540196495E-2</v>
      </c>
      <c r="K22" s="9">
        <f t="shared" si="8"/>
        <v>2.0904550061840763E-2</v>
      </c>
      <c r="L22" s="9">
        <f t="shared" si="9"/>
        <v>1.3991141743562191E-2</v>
      </c>
      <c r="M22">
        <f t="shared" si="0"/>
        <v>141.07862611656154</v>
      </c>
      <c r="N22">
        <f t="shared" si="10"/>
        <v>106.4580892948966</v>
      </c>
      <c r="O22">
        <f t="shared" si="24"/>
        <v>34.620536821664942</v>
      </c>
      <c r="P22">
        <f t="shared" si="22"/>
        <v>119.51644999568396</v>
      </c>
      <c r="Q22" s="9">
        <f t="shared" si="1"/>
        <v>0.8471619924689191</v>
      </c>
      <c r="R22">
        <f>VLOOKUP($B$1,dictionary!$A$3:$K$51,3,FALSE)*Q22</f>
        <v>0.16943239849378383</v>
      </c>
      <c r="S22">
        <f>VLOOKUP($B$1,dictionary!$A$3:$K$51,4,FALSE)*Q22</f>
        <v>0</v>
      </c>
      <c r="T22">
        <f>VLOOKUP($B$1,dictionary!$A$3:$K$51,5,FALSE)*Q22</f>
        <v>0.25414859774067572</v>
      </c>
      <c r="U22">
        <f>VLOOKUP($B$1,dictionary!$A$3:$K$51,6,FALSE)*Q22</f>
        <v>0.25414859774067572</v>
      </c>
      <c r="V22">
        <f>VLOOKUP($B$1,dictionary!$A$3:$K$51,7,FALSE)*Q22</f>
        <v>0</v>
      </c>
      <c r="W22">
        <f>VLOOKUP($B$1,dictionary!$A$3:$K$51,8,FALSE)*Q22</f>
        <v>4.2358099623445958E-2</v>
      </c>
      <c r="X22">
        <f>VLOOKUP($B$1,dictionary!$A$3:$K$51,9,FALSE)*Q22</f>
        <v>4.2358099623445958E-2</v>
      </c>
      <c r="Y22">
        <f>VLOOKUP($B$1,dictionary!$A$3:$K$51,10,FALSE)*Q22</f>
        <v>8.4716199246891916E-2</v>
      </c>
      <c r="Z22">
        <f>VLOOKUP($B$1,dictionary!$A$3:$K$51,11,FALSE)*Q22</f>
        <v>0</v>
      </c>
      <c r="AA22">
        <f t="shared" si="2"/>
        <v>21.562176120877581</v>
      </c>
      <c r="AB22">
        <f t="shared" si="11"/>
        <v>5.2913338674796906</v>
      </c>
      <c r="AC22">
        <f t="shared" si="12"/>
        <v>16.270842253397891</v>
      </c>
      <c r="AD22">
        <f t="shared" si="3"/>
        <v>23.903289999136796</v>
      </c>
      <c r="AE22">
        <f t="shared" si="13"/>
        <v>0</v>
      </c>
      <c r="AF22">
        <f t="shared" si="14"/>
        <v>39.838816665227988</v>
      </c>
      <c r="AG22">
        <f t="shared" si="15"/>
        <v>40.977068569948791</v>
      </c>
      <c r="AH22">
        <f t="shared" si="16"/>
        <v>0</v>
      </c>
      <c r="AI22">
        <f t="shared" si="17"/>
        <v>6.2903394734570508</v>
      </c>
      <c r="AJ22">
        <f t="shared" si="18"/>
        <v>6.2903394734570508</v>
      </c>
      <c r="AK22">
        <f t="shared" si="19"/>
        <v>11.951644999568398</v>
      </c>
      <c r="AL22">
        <f t="shared" si="20"/>
        <v>0</v>
      </c>
    </row>
    <row r="23" spans="1:38" x14ac:dyDescent="0.2">
      <c r="A23">
        <v>2040</v>
      </c>
      <c r="B23">
        <v>15</v>
      </c>
      <c r="C23">
        <f t="shared" si="21"/>
        <v>151.25953089284431</v>
      </c>
      <c r="D23">
        <f t="shared" si="23"/>
        <v>16.921761019501488</v>
      </c>
      <c r="E23">
        <f t="shared" si="4"/>
        <v>16.921761019501488</v>
      </c>
      <c r="F23">
        <f t="shared" si="5"/>
        <v>5.6686905097324143</v>
      </c>
      <c r="G23" s="9">
        <f t="shared" si="6"/>
        <v>0.11187236215540856</v>
      </c>
      <c r="H23" s="9">
        <f t="shared" si="6"/>
        <v>0.11187236215540856</v>
      </c>
      <c r="I23" s="9">
        <f t="shared" si="6"/>
        <v>3.7476583963150352E-2</v>
      </c>
      <c r="J23" s="9">
        <f t="shared" si="7"/>
        <v>1.4543407080203114E-2</v>
      </c>
      <c r="K23" s="9">
        <f t="shared" si="8"/>
        <v>2.2374472431081715E-2</v>
      </c>
      <c r="L23" s="9">
        <f t="shared" si="9"/>
        <v>1.4990633585260142E-2</v>
      </c>
      <c r="M23">
        <f t="shared" si="0"/>
        <v>143.540066138448</v>
      </c>
      <c r="N23">
        <f t="shared" si="10"/>
        <v>110.54718141336102</v>
      </c>
      <c r="O23">
        <f t="shared" si="24"/>
        <v>32.992884725086981</v>
      </c>
      <c r="P23">
        <f t="shared" si="22"/>
        <v>128.27653116870951</v>
      </c>
      <c r="Q23" s="9">
        <f t="shared" si="1"/>
        <v>0.89366359247029725</v>
      </c>
      <c r="R23">
        <f>VLOOKUP($B$1,dictionary!$A$3:$K$51,3,FALSE)*Q23</f>
        <v>0.17873271849405947</v>
      </c>
      <c r="S23">
        <f>VLOOKUP($B$1,dictionary!$A$3:$K$51,4,FALSE)*Q23</f>
        <v>0</v>
      </c>
      <c r="T23">
        <f>VLOOKUP($B$1,dictionary!$A$3:$K$51,5,FALSE)*Q23</f>
        <v>0.26809907774108915</v>
      </c>
      <c r="U23">
        <f>VLOOKUP($B$1,dictionary!$A$3:$K$51,6,FALSE)*Q23</f>
        <v>0.26809907774108915</v>
      </c>
      <c r="V23">
        <f>VLOOKUP($B$1,dictionary!$A$3:$K$51,7,FALSE)*Q23</f>
        <v>0</v>
      </c>
      <c r="W23">
        <f>VLOOKUP($B$1,dictionary!$A$3:$K$51,8,FALSE)*Q23</f>
        <v>4.4683179623514868E-2</v>
      </c>
      <c r="X23">
        <f>VLOOKUP($B$1,dictionary!$A$3:$K$51,9,FALSE)*Q23</f>
        <v>4.4683179623514868E-2</v>
      </c>
      <c r="Y23">
        <f>VLOOKUP($B$1,dictionary!$A$3:$K$51,10,FALSE)*Q23</f>
        <v>8.9366359247029736E-2</v>
      </c>
      <c r="Z23">
        <f>VLOOKUP($B$1,dictionary!$A$3:$K$51,11,FALSE)*Q23</f>
        <v>0</v>
      </c>
      <c r="AA23">
        <f t="shared" si="2"/>
        <v>15.263534969738487</v>
      </c>
      <c r="AB23">
        <f t="shared" si="11"/>
        <v>3.5083448357073528</v>
      </c>
      <c r="AC23">
        <f t="shared" si="12"/>
        <v>11.755190134031134</v>
      </c>
      <c r="AD23">
        <f t="shared" si="3"/>
        <v>25.655306233741904</v>
      </c>
      <c r="AE23">
        <f t="shared" si="13"/>
        <v>0</v>
      </c>
      <c r="AF23">
        <f t="shared" si="14"/>
        <v>42.758843722903173</v>
      </c>
      <c r="AG23">
        <f t="shared" si="15"/>
        <v>43.980524972128975</v>
      </c>
      <c r="AH23">
        <f t="shared" si="16"/>
        <v>0</v>
      </c>
      <c r="AI23">
        <f t="shared" si="17"/>
        <v>6.7513963773004999</v>
      </c>
      <c r="AJ23">
        <f t="shared" si="18"/>
        <v>6.7513963773004999</v>
      </c>
      <c r="AK23">
        <f t="shared" si="19"/>
        <v>12.827653116870952</v>
      </c>
      <c r="AL23">
        <f t="shared" si="20"/>
        <v>0</v>
      </c>
    </row>
    <row r="24" spans="1:38" x14ac:dyDescent="0.2">
      <c r="A24">
        <v>2041</v>
      </c>
      <c r="B24">
        <v>16</v>
      </c>
      <c r="C24">
        <f t="shared" si="21"/>
        <v>154.43598104159403</v>
      </c>
      <c r="D24">
        <f t="shared" si="23"/>
        <v>18.407104457815478</v>
      </c>
      <c r="E24">
        <f t="shared" si="4"/>
        <v>18.407104457815478</v>
      </c>
      <c r="F24">
        <f t="shared" si="5"/>
        <v>6.1735303277364011</v>
      </c>
      <c r="G24" s="9">
        <f t="shared" si="6"/>
        <v>0.11918922218558586</v>
      </c>
      <c r="H24" s="9">
        <f t="shared" si="6"/>
        <v>0.11918922218558586</v>
      </c>
      <c r="I24" s="9">
        <f t="shared" si="6"/>
        <v>3.997468909835003E-2</v>
      </c>
      <c r="J24" s="9">
        <f t="shared" si="7"/>
        <v>1.5494598884126163E-2</v>
      </c>
      <c r="K24" s="9">
        <f t="shared" si="8"/>
        <v>2.3837844437117173E-2</v>
      </c>
      <c r="L24" s="9">
        <f t="shared" si="9"/>
        <v>1.5989875639340012E-2</v>
      </c>
      <c r="M24">
        <f t="shared" si="0"/>
        <v>146.04548249541642</v>
      </c>
      <c r="N24">
        <f t="shared" si="10"/>
        <v>114.20804735138012</v>
      </c>
      <c r="O24">
        <f t="shared" si="24"/>
        <v>31.837435144036306</v>
      </c>
      <c r="P24">
        <f t="shared" si="22"/>
        <v>135.24391498808228</v>
      </c>
      <c r="Q24" s="9">
        <f t="shared" si="1"/>
        <v>0.92603970131241042</v>
      </c>
      <c r="R24">
        <f>VLOOKUP($B$1,dictionary!$A$3:$K$51,3,FALSE)*Q24</f>
        <v>0.18520794026248211</v>
      </c>
      <c r="S24">
        <f>VLOOKUP($B$1,dictionary!$A$3:$K$51,4,FALSE)*Q24</f>
        <v>0</v>
      </c>
      <c r="T24">
        <f>VLOOKUP($B$1,dictionary!$A$3:$K$51,5,FALSE)*Q24</f>
        <v>0.2778119103937231</v>
      </c>
      <c r="U24">
        <f>VLOOKUP($B$1,dictionary!$A$3:$K$51,6,FALSE)*Q24</f>
        <v>0.2778119103937231</v>
      </c>
      <c r="V24">
        <f>VLOOKUP($B$1,dictionary!$A$3:$K$51,7,FALSE)*Q24</f>
        <v>0</v>
      </c>
      <c r="W24">
        <f>VLOOKUP($B$1,dictionary!$A$3:$K$51,8,FALSE)*Q24</f>
        <v>4.6301985065620527E-2</v>
      </c>
      <c r="X24">
        <f>VLOOKUP($B$1,dictionary!$A$3:$K$51,9,FALSE)*Q24</f>
        <v>4.6301985065620527E-2</v>
      </c>
      <c r="Y24">
        <f>VLOOKUP($B$1,dictionary!$A$3:$K$51,10,FALSE)*Q24</f>
        <v>9.2603970131241053E-2</v>
      </c>
      <c r="Z24">
        <f>VLOOKUP($B$1,dictionary!$A$3:$K$51,11,FALSE)*Q24</f>
        <v>0</v>
      </c>
      <c r="AA24">
        <f t="shared" si="2"/>
        <v>10.801567507334141</v>
      </c>
      <c r="AB24">
        <f t="shared" si="11"/>
        <v>2.3547062126996883</v>
      </c>
      <c r="AC24">
        <f t="shared" si="12"/>
        <v>8.4468612946344521</v>
      </c>
      <c r="AD24">
        <f t="shared" si="3"/>
        <v>27.04878299761646</v>
      </c>
      <c r="AE24">
        <f t="shared" si="13"/>
        <v>0</v>
      </c>
      <c r="AF24">
        <f t="shared" si="14"/>
        <v>45.081304996027427</v>
      </c>
      <c r="AG24">
        <f t="shared" si="15"/>
        <v>46.369342281628221</v>
      </c>
      <c r="AH24">
        <f t="shared" si="16"/>
        <v>0</v>
      </c>
      <c r="AI24">
        <f t="shared" si="17"/>
        <v>7.1181007888464372</v>
      </c>
      <c r="AJ24">
        <f t="shared" si="18"/>
        <v>7.1181007888464372</v>
      </c>
      <c r="AK24">
        <f t="shared" si="19"/>
        <v>13.52439149880823</v>
      </c>
      <c r="AL24">
        <f t="shared" si="20"/>
        <v>0</v>
      </c>
    </row>
    <row r="25" spans="1:38" x14ac:dyDescent="0.2">
      <c r="A25">
        <v>2042</v>
      </c>
      <c r="B25">
        <v>17</v>
      </c>
      <c r="C25">
        <f t="shared" si="21"/>
        <v>157.6791366434675</v>
      </c>
      <c r="D25">
        <f t="shared" si="23"/>
        <v>19.941724467230856</v>
      </c>
      <c r="E25">
        <f t="shared" si="4"/>
        <v>19.941724467230856</v>
      </c>
      <c r="F25">
        <f t="shared" si="5"/>
        <v>6.6969554099979689</v>
      </c>
      <c r="G25" s="9">
        <f t="shared" si="6"/>
        <v>0.12647027940241468</v>
      </c>
      <c r="H25" s="9">
        <f t="shared" si="6"/>
        <v>0.12647027940241468</v>
      </c>
      <c r="I25" s="9">
        <f t="shared" si="6"/>
        <v>4.2472045145329741E-2</v>
      </c>
      <c r="J25" s="9">
        <f t="shared" si="7"/>
        <v>1.6441136322313907E-2</v>
      </c>
      <c r="K25" s="9">
        <f t="shared" si="8"/>
        <v>2.5294055880482936E-2</v>
      </c>
      <c r="L25" s="9">
        <f t="shared" si="9"/>
        <v>1.6988818058131898E-2</v>
      </c>
      <c r="M25">
        <f t="shared" si="0"/>
        <v>148.59584380941661</v>
      </c>
      <c r="N25">
        <f t="shared" si="10"/>
        <v>117.53596646368823</v>
      </c>
      <c r="O25">
        <f t="shared" si="24"/>
        <v>31.059877345728381</v>
      </c>
      <c r="P25">
        <f>IF($I$3=0,0,M25/(1+EXP(-$I$3*(B25-$J$3)))-M25/(1+EXP($I$3*$J$3)))</f>
        <v>140.85723664093237</v>
      </c>
      <c r="Q25" s="9">
        <f t="shared" si="1"/>
        <v>0.94792177916894171</v>
      </c>
      <c r="R25">
        <f>VLOOKUP($B$1,dictionary!$A$3:$K$51,3,FALSE)*Q25</f>
        <v>0.18958435583378835</v>
      </c>
      <c r="S25">
        <f>VLOOKUP($B$1,dictionary!$A$3:$K$51,4,FALSE)*Q25</f>
        <v>0</v>
      </c>
      <c r="T25">
        <f>VLOOKUP($B$1,dictionary!$A$3:$K$51,5,FALSE)*Q25</f>
        <v>0.2843765337506825</v>
      </c>
      <c r="U25">
        <f>VLOOKUP($B$1,dictionary!$A$3:$K$51,6,FALSE)*Q25</f>
        <v>0.2843765337506825</v>
      </c>
      <c r="V25">
        <f>VLOOKUP($B$1,dictionary!$A$3:$K$51,7,FALSE)*Q25</f>
        <v>0</v>
      </c>
      <c r="W25">
        <f>VLOOKUP($B$1,dictionary!$A$3:$K$51,8,FALSE)*Q25</f>
        <v>4.7396088958447088E-2</v>
      </c>
      <c r="X25">
        <f>VLOOKUP($B$1,dictionary!$A$3:$K$51,9,FALSE)*Q25</f>
        <v>4.7396088958447088E-2</v>
      </c>
      <c r="Y25">
        <f>VLOOKUP($B$1,dictionary!$A$3:$K$51,10,FALSE)*Q25</f>
        <v>9.4792177916894177E-2</v>
      </c>
      <c r="Z25">
        <f>VLOOKUP($B$1,dictionary!$A$3:$K$51,11,FALSE)*Q25</f>
        <v>0</v>
      </c>
      <c r="AA25">
        <f t="shared" si="2"/>
        <v>7.7386071684842364</v>
      </c>
      <c r="AB25">
        <f t="shared" si="11"/>
        <v>1.6175431513964258</v>
      </c>
      <c r="AC25">
        <f t="shared" si="12"/>
        <v>6.1210640170878108</v>
      </c>
      <c r="AD25">
        <f t="shared" si="3"/>
        <v>28.171447328186474</v>
      </c>
      <c r="AE25">
        <f t="shared" si="13"/>
        <v>0</v>
      </c>
      <c r="AF25">
        <f t="shared" si="14"/>
        <v>46.952412213644124</v>
      </c>
      <c r="AG25">
        <f t="shared" si="15"/>
        <v>48.293909705462525</v>
      </c>
      <c r="AH25">
        <f t="shared" si="16"/>
        <v>0</v>
      </c>
      <c r="AI25">
        <f t="shared" si="17"/>
        <v>7.4135387705753875</v>
      </c>
      <c r="AJ25">
        <f t="shared" si="18"/>
        <v>7.4135387705753875</v>
      </c>
      <c r="AK25">
        <f t="shared" si="19"/>
        <v>14.085723664093237</v>
      </c>
      <c r="AL25">
        <f t="shared" si="20"/>
        <v>0</v>
      </c>
    </row>
    <row r="26" spans="1:38" x14ac:dyDescent="0.2">
      <c r="A26">
        <v>2043</v>
      </c>
      <c r="B26">
        <v>18</v>
      </c>
      <c r="C26">
        <f t="shared" si="21"/>
        <v>160.99039851298031</v>
      </c>
      <c r="D26">
        <f t="shared" si="23"/>
        <v>21.526435847864789</v>
      </c>
      <c r="E26">
        <f t="shared" si="4"/>
        <v>21.526435847864789</v>
      </c>
      <c r="F26">
        <f t="shared" si="5"/>
        <v>7.2395011844236308</v>
      </c>
      <c r="G26" s="9">
        <f t="shared" si="6"/>
        <v>0.13371254464053742</v>
      </c>
      <c r="H26" s="9">
        <f t="shared" si="6"/>
        <v>0.13371254464053742</v>
      </c>
      <c r="I26" s="9">
        <f t="shared" si="6"/>
        <v>4.496852763452179E-2</v>
      </c>
      <c r="J26" s="9">
        <f t="shared" si="7"/>
        <v>1.7382630803269863E-2</v>
      </c>
      <c r="K26" s="9">
        <f t="shared" si="8"/>
        <v>2.6742508928107485E-2</v>
      </c>
      <c r="L26" s="9">
        <f t="shared" si="9"/>
        <v>1.7987411053808716E-2</v>
      </c>
      <c r="M26">
        <f t="shared" si="0"/>
        <v>151.1921428995345</v>
      </c>
      <c r="N26">
        <f t="shared" si="10"/>
        <v>120.61113869596434</v>
      </c>
      <c r="O26">
        <f t="shared" si="24"/>
        <v>30.58100420357016</v>
      </c>
      <c r="P26">
        <f t="shared" si="22"/>
        <v>145.50974704572937</v>
      </c>
      <c r="Q26" s="9">
        <f t="shared" si="1"/>
        <v>0.96241606379254097</v>
      </c>
      <c r="R26">
        <f>VLOOKUP($B$1,dictionary!$A$3:$K$51,3,FALSE)*Q26</f>
        <v>0.19248321275850822</v>
      </c>
      <c r="S26">
        <f>VLOOKUP($B$1,dictionary!$A$3:$K$51,4,FALSE)*Q26</f>
        <v>0</v>
      </c>
      <c r="T26">
        <f>VLOOKUP($B$1,dictionary!$A$3:$K$51,5,FALSE)*Q26</f>
        <v>0.28872481913776227</v>
      </c>
      <c r="U26">
        <f>VLOOKUP($B$1,dictionary!$A$3:$K$51,6,FALSE)*Q26</f>
        <v>0.28872481913776227</v>
      </c>
      <c r="V26">
        <f>VLOOKUP($B$1,dictionary!$A$3:$K$51,7,FALSE)*Q26</f>
        <v>0</v>
      </c>
      <c r="W26">
        <f>VLOOKUP($B$1,dictionary!$A$3:$K$51,8,FALSE)*Q26</f>
        <v>4.8120803189627054E-2</v>
      </c>
      <c r="X26">
        <f>VLOOKUP($B$1,dictionary!$A$3:$K$51,9,FALSE)*Q26</f>
        <v>4.8120803189627054E-2</v>
      </c>
      <c r="Y26">
        <f>VLOOKUP($B$1,dictionary!$A$3:$K$51,10,FALSE)*Q26</f>
        <v>9.6241606379254108E-2</v>
      </c>
      <c r="Z26">
        <f>VLOOKUP($B$1,dictionary!$A$3:$K$51,11,FALSE)*Q26</f>
        <v>0</v>
      </c>
      <c r="AA26">
        <f t="shared" si="2"/>
        <v>5.6823958538051329</v>
      </c>
      <c r="AB26">
        <f t="shared" si="11"/>
        <v>1.1493545111470171</v>
      </c>
      <c r="AC26">
        <f t="shared" si="12"/>
        <v>4.533041342658116</v>
      </c>
      <c r="AD26">
        <f t="shared" si="3"/>
        <v>29.101949409145877</v>
      </c>
      <c r="AE26">
        <f t="shared" si="13"/>
        <v>0</v>
      </c>
      <c r="AF26">
        <f t="shared" si="14"/>
        <v>48.503249015243121</v>
      </c>
      <c r="AG26">
        <f t="shared" si="15"/>
        <v>49.889056129964359</v>
      </c>
      <c r="AH26">
        <f t="shared" si="16"/>
        <v>0</v>
      </c>
      <c r="AI26">
        <f t="shared" si="17"/>
        <v>7.6584077392489149</v>
      </c>
      <c r="AJ26">
        <f t="shared" si="18"/>
        <v>7.6584077392489149</v>
      </c>
      <c r="AK26">
        <f t="shared" si="19"/>
        <v>14.550974704572939</v>
      </c>
      <c r="AL26">
        <f t="shared" si="20"/>
        <v>0</v>
      </c>
    </row>
    <row r="27" spans="1:38" x14ac:dyDescent="0.2">
      <c r="A27">
        <v>2044</v>
      </c>
      <c r="B27">
        <v>19</v>
      </c>
      <c r="C27">
        <f t="shared" si="21"/>
        <v>164.37119688175287</v>
      </c>
      <c r="D27">
        <f t="shared" si="23"/>
        <v>23.162054115729561</v>
      </c>
      <c r="E27">
        <f t="shared" si="4"/>
        <v>23.162054115729561</v>
      </c>
      <c r="F27">
        <f t="shared" si="5"/>
        <v>7.8017165057517701</v>
      </c>
      <c r="G27" s="9">
        <f t="shared" si="6"/>
        <v>0.14091309520847578</v>
      </c>
      <c r="H27" s="9">
        <f t="shared" si="6"/>
        <v>0.14091309520847578</v>
      </c>
      <c r="I27" s="9">
        <f t="shared" si="6"/>
        <v>4.7464012270740194E-2</v>
      </c>
      <c r="J27" s="9">
        <f t="shared" si="7"/>
        <v>1.8318702377101852E-2</v>
      </c>
      <c r="K27" s="9">
        <f t="shared" si="8"/>
        <v>2.8182619041695157E-2</v>
      </c>
      <c r="L27" s="9">
        <f t="shared" si="9"/>
        <v>1.898560490829608E-2</v>
      </c>
      <c r="M27">
        <f t="shared" si="0"/>
        <v>153.83539711337593</v>
      </c>
      <c r="N27">
        <f t="shared" si="10"/>
        <v>123.49912518250923</v>
      </c>
      <c r="O27">
        <f t="shared" si="24"/>
        <v>30.336271930866701</v>
      </c>
      <c r="P27">
        <f t="shared" si="22"/>
        <v>149.5109339654291</v>
      </c>
      <c r="Q27" s="9">
        <f t="shared" si="1"/>
        <v>0.97188902405367916</v>
      </c>
      <c r="R27">
        <f>VLOOKUP($B$1,dictionary!$A$3:$K$51,3,FALSE)*Q27</f>
        <v>0.19437780481073585</v>
      </c>
      <c r="S27">
        <f>VLOOKUP($B$1,dictionary!$A$3:$K$51,4,FALSE)*Q27</f>
        <v>0</v>
      </c>
      <c r="T27">
        <f>VLOOKUP($B$1,dictionary!$A$3:$K$51,5,FALSE)*Q27</f>
        <v>0.29156670721610373</v>
      </c>
      <c r="U27">
        <f>VLOOKUP($B$1,dictionary!$A$3:$K$51,6,FALSE)*Q27</f>
        <v>0.29156670721610373</v>
      </c>
      <c r="V27">
        <f>VLOOKUP($B$1,dictionary!$A$3:$K$51,7,FALSE)*Q27</f>
        <v>0</v>
      </c>
      <c r="W27">
        <f>VLOOKUP($B$1,dictionary!$A$3:$K$51,8,FALSE)*Q27</f>
        <v>4.8594451202683964E-2</v>
      </c>
      <c r="X27">
        <f>VLOOKUP($B$1,dictionary!$A$3:$K$51,9,FALSE)*Q27</f>
        <v>4.8594451202683964E-2</v>
      </c>
      <c r="Y27">
        <f>VLOOKUP($B$1,dictionary!$A$3:$K$51,10,FALSE)*Q27</f>
        <v>9.7188902405367927E-2</v>
      </c>
      <c r="Z27">
        <f>VLOOKUP($B$1,dictionary!$A$3:$K$51,11,FALSE)*Q27</f>
        <v>0</v>
      </c>
      <c r="AA27">
        <f t="shared" si="2"/>
        <v>4.3244631479468296</v>
      </c>
      <c r="AB27">
        <f t="shared" si="11"/>
        <v>0.85278221054964276</v>
      </c>
      <c r="AC27">
        <f t="shared" si="12"/>
        <v>3.4716809373971866</v>
      </c>
      <c r="AD27">
        <f t="shared" si="3"/>
        <v>29.902186793085825</v>
      </c>
      <c r="AE27">
        <f t="shared" si="13"/>
        <v>0</v>
      </c>
      <c r="AF27">
        <f t="shared" si="14"/>
        <v>49.836977988476363</v>
      </c>
      <c r="AG27">
        <f t="shared" si="15"/>
        <v>51.260891645289981</v>
      </c>
      <c r="AH27">
        <f t="shared" si="16"/>
        <v>0</v>
      </c>
      <c r="AI27">
        <f t="shared" si="17"/>
        <v>7.8689965244962696</v>
      </c>
      <c r="AJ27">
        <f t="shared" si="18"/>
        <v>7.8689965244962696</v>
      </c>
      <c r="AK27">
        <f t="shared" si="19"/>
        <v>14.951093396542912</v>
      </c>
      <c r="AL27">
        <f t="shared" si="20"/>
        <v>0</v>
      </c>
    </row>
    <row r="28" spans="1:38" x14ac:dyDescent="0.2">
      <c r="A28">
        <v>2045</v>
      </c>
      <c r="B28">
        <v>20</v>
      </c>
      <c r="C28">
        <f t="shared" si="21"/>
        <v>167.82299201626967</v>
      </c>
      <c r="D28">
        <f t="shared" si="23"/>
        <v>24.849395912040762</v>
      </c>
      <c r="E28">
        <f t="shared" si="4"/>
        <v>24.849395912040762</v>
      </c>
      <c r="F28">
        <f t="shared" si="5"/>
        <v>8.3841639617021144</v>
      </c>
      <c r="G28" s="9">
        <f t="shared" si="6"/>
        <v>0.14806907929297153</v>
      </c>
      <c r="H28" s="9">
        <f t="shared" si="6"/>
        <v>0.14806907929297153</v>
      </c>
      <c r="I28" s="9">
        <f t="shared" si="6"/>
        <v>4.9958374957880074E-2</v>
      </c>
      <c r="J28" s="9">
        <f t="shared" si="7"/>
        <v>1.9248980308086298E-2</v>
      </c>
      <c r="K28" s="9">
        <f t="shared" si="8"/>
        <v>2.9613815858594308E-2</v>
      </c>
      <c r="L28" s="9">
        <f t="shared" si="9"/>
        <v>1.9983349983152029E-2</v>
      </c>
      <c r="M28">
        <f t="shared" si="0"/>
        <v>156.5266486557019</v>
      </c>
      <c r="N28">
        <f t="shared" si="10"/>
        <v>126.25244347609276</v>
      </c>
      <c r="O28">
        <f t="shared" si="24"/>
        <v>30.27420517960914</v>
      </c>
      <c r="P28">
        <f t="shared" si="22"/>
        <v>153.08715003782348</v>
      </c>
      <c r="Q28" s="9">
        <f t="shared" si="1"/>
        <v>0.97802611473881362</v>
      </c>
      <c r="R28">
        <f>VLOOKUP($B$1,dictionary!$A$3:$K$51,3,FALSE)*Q28</f>
        <v>0.19560522294776272</v>
      </c>
      <c r="S28">
        <f>VLOOKUP($B$1,dictionary!$A$3:$K$51,4,FALSE)*Q28</f>
        <v>0</v>
      </c>
      <c r="T28">
        <f>VLOOKUP($B$1,dictionary!$A$3:$K$51,5,FALSE)*Q28</f>
        <v>0.29340783442164409</v>
      </c>
      <c r="U28">
        <f>VLOOKUP($B$1,dictionary!$A$3:$K$51,6,FALSE)*Q28</f>
        <v>0.29340783442164409</v>
      </c>
      <c r="V28">
        <f>VLOOKUP($B$1,dictionary!$A$3:$K$51,7,FALSE)*Q28</f>
        <v>0</v>
      </c>
      <c r="W28">
        <f>VLOOKUP($B$1,dictionary!$A$3:$K$51,8,FALSE)*Q28</f>
        <v>4.8901305736940681E-2</v>
      </c>
      <c r="X28">
        <f>VLOOKUP($B$1,dictionary!$A$3:$K$51,9,FALSE)*Q28</f>
        <v>4.8901305736940681E-2</v>
      </c>
      <c r="Y28">
        <f>VLOOKUP($B$1,dictionary!$A$3:$K$51,10,FALSE)*Q28</f>
        <v>9.7802611473881362E-2</v>
      </c>
      <c r="Z28">
        <f>VLOOKUP($B$1,dictionary!$A$3:$K$51,11,FALSE)*Q28</f>
        <v>0</v>
      </c>
      <c r="AA28">
        <f t="shared" si="2"/>
        <v>3.4394986178784279</v>
      </c>
      <c r="AB28">
        <f t="shared" si="11"/>
        <v>0.66524191099034591</v>
      </c>
      <c r="AC28">
        <f t="shared" si="12"/>
        <v>2.7742567068880821</v>
      </c>
      <c r="AD28">
        <f t="shared" si="3"/>
        <v>30.617430007564696</v>
      </c>
      <c r="AE28">
        <f t="shared" si="13"/>
        <v>0</v>
      </c>
      <c r="AF28">
        <f t="shared" si="14"/>
        <v>51.029050012607833</v>
      </c>
      <c r="AG28">
        <f t="shared" si="15"/>
        <v>52.48702287011092</v>
      </c>
      <c r="AH28">
        <f t="shared" si="16"/>
        <v>0</v>
      </c>
      <c r="AI28">
        <f t="shared" si="17"/>
        <v>8.0572184230433397</v>
      </c>
      <c r="AJ28">
        <f t="shared" si="18"/>
        <v>8.0572184230433397</v>
      </c>
      <c r="AK28">
        <f t="shared" si="19"/>
        <v>15.308715003782348</v>
      </c>
      <c r="AL28">
        <f t="shared" si="20"/>
        <v>0</v>
      </c>
    </row>
    <row r="29" spans="1:38" x14ac:dyDescent="0.2">
      <c r="A29">
        <v>2046</v>
      </c>
      <c r="B29">
        <v>21</v>
      </c>
      <c r="C29">
        <f t="shared" si="21"/>
        <v>171.34727484861131</v>
      </c>
      <c r="D29">
        <f t="shared" si="23"/>
        <v>26.589279458582837</v>
      </c>
      <c r="E29">
        <f t="shared" si="4"/>
        <v>26.589279458582837</v>
      </c>
      <c r="F29">
        <f t="shared" si="5"/>
        <v>8.9874201857067249</v>
      </c>
      <c r="G29" s="9">
        <f t="shared" si="6"/>
        <v>0.15517772011299852</v>
      </c>
      <c r="H29" s="9">
        <f t="shared" si="6"/>
        <v>0.15517772011299852</v>
      </c>
      <c r="I29" s="9">
        <f t="shared" si="6"/>
        <v>5.2451491823533744E-2</v>
      </c>
      <c r="J29" s="9">
        <f t="shared" si="7"/>
        <v>2.0173103614689807E-2</v>
      </c>
      <c r="K29" s="9">
        <f t="shared" si="8"/>
        <v>3.1035544022599705E-2</v>
      </c>
      <c r="L29" s="9">
        <f t="shared" si="9"/>
        <v>2.0980596729413499E-2</v>
      </c>
      <c r="M29">
        <f t="shared" si="0"/>
        <v>159.26696491501241</v>
      </c>
      <c r="N29">
        <f t="shared" si="10"/>
        <v>128.9125774818761</v>
      </c>
      <c r="O29">
        <f t="shared" si="24"/>
        <v>30.35438743313631</v>
      </c>
      <c r="P29">
        <f t="shared" si="22"/>
        <v>156.39688982990117</v>
      </c>
      <c r="Q29" s="9">
        <f t="shared" si="1"/>
        <v>0.98197947021441168</v>
      </c>
      <c r="R29">
        <f>VLOOKUP($B$1,dictionary!$A$3:$K$51,3,FALSE)*Q29</f>
        <v>0.19639589404288235</v>
      </c>
      <c r="S29">
        <f>VLOOKUP($B$1,dictionary!$A$3:$K$51,4,FALSE)*Q29</f>
        <v>0</v>
      </c>
      <c r="T29">
        <f>VLOOKUP($B$1,dictionary!$A$3:$K$51,5,FALSE)*Q29</f>
        <v>0.29459384106432351</v>
      </c>
      <c r="U29">
        <f>VLOOKUP($B$1,dictionary!$A$3:$K$51,6,FALSE)*Q29</f>
        <v>0.29459384106432351</v>
      </c>
      <c r="V29">
        <f>VLOOKUP($B$1,dictionary!$A$3:$K$51,7,FALSE)*Q29</f>
        <v>0</v>
      </c>
      <c r="W29">
        <f>VLOOKUP($B$1,dictionary!$A$3:$K$51,8,FALSE)*Q29</f>
        <v>4.9098973510720588E-2</v>
      </c>
      <c r="X29">
        <f>VLOOKUP($B$1,dictionary!$A$3:$K$51,9,FALSE)*Q29</f>
        <v>4.9098973510720588E-2</v>
      </c>
      <c r="Y29">
        <f>VLOOKUP($B$1,dictionary!$A$3:$K$51,10,FALSE)*Q29</f>
        <v>9.8197947021441176E-2</v>
      </c>
      <c r="Z29">
        <f>VLOOKUP($B$1,dictionary!$A$3:$K$51,11,FALSE)*Q29</f>
        <v>0</v>
      </c>
      <c r="AA29">
        <f t="shared" si="2"/>
        <v>2.8700750851112389</v>
      </c>
      <c r="AB29">
        <f t="shared" si="11"/>
        <v>0.54700214286212223</v>
      </c>
      <c r="AC29">
        <f t="shared" si="12"/>
        <v>2.3230729422491168</v>
      </c>
      <c r="AD29">
        <f t="shared" si="3"/>
        <v>31.279377965980238</v>
      </c>
      <c r="AE29">
        <f t="shared" si="13"/>
        <v>0</v>
      </c>
      <c r="AF29">
        <f t="shared" si="14"/>
        <v>52.132296609967057</v>
      </c>
      <c r="AG29">
        <f t="shared" si="15"/>
        <v>53.621790798823262</v>
      </c>
      <c r="AH29">
        <f t="shared" si="16"/>
        <v>0</v>
      </c>
      <c r="AI29">
        <f t="shared" si="17"/>
        <v>8.2314152542053254</v>
      </c>
      <c r="AJ29">
        <f t="shared" si="18"/>
        <v>8.2314152542053254</v>
      </c>
      <c r="AK29">
        <f t="shared" si="19"/>
        <v>15.639688982990119</v>
      </c>
      <c r="AL29">
        <f t="shared" si="20"/>
        <v>0</v>
      </c>
    </row>
    <row r="30" spans="1:38" x14ac:dyDescent="0.2">
      <c r="A30">
        <v>2047</v>
      </c>
      <c r="B30">
        <v>22</v>
      </c>
      <c r="C30">
        <f t="shared" si="21"/>
        <v>174.94556762043212</v>
      </c>
      <c r="D30">
        <f t="shared" si="23"/>
        <v>28.382525058191575</v>
      </c>
      <c r="E30">
        <f t="shared" si="4"/>
        <v>28.382525058191575</v>
      </c>
      <c r="F30">
        <f t="shared" si="5"/>
        <v>9.61207617636137</v>
      </c>
      <c r="G30" s="9">
        <f t="shared" si="6"/>
        <v>0.16223631981217879</v>
      </c>
      <c r="H30" s="9">
        <f t="shared" si="6"/>
        <v>0.16223631981217879</v>
      </c>
      <c r="I30" s="9">
        <f t="shared" si="6"/>
        <v>5.4943239243511785E-2</v>
      </c>
      <c r="J30" s="9">
        <f t="shared" si="7"/>
        <v>2.1090721575583244E-2</v>
      </c>
      <c r="K30" s="9">
        <f t="shared" si="8"/>
        <v>3.244726396243576E-2</v>
      </c>
      <c r="L30" s="9">
        <f t="shared" si="9"/>
        <v>2.1977295697404715E-2</v>
      </c>
      <c r="M30">
        <f t="shared" si="0"/>
        <v>162.05743878882259</v>
      </c>
      <c r="N30">
        <f t="shared" si="10"/>
        <v>131.51198972176027</v>
      </c>
      <c r="O30">
        <f t="shared" si="24"/>
        <v>30.545449067062322</v>
      </c>
      <c r="P30">
        <f t="shared" si="22"/>
        <v>159.54826849343189</v>
      </c>
      <c r="Q30" s="9">
        <f t="shared" si="1"/>
        <v>0.98451678420846567</v>
      </c>
      <c r="R30">
        <f>VLOOKUP($B$1,dictionary!$A$3:$K$51,3,FALSE)*Q30</f>
        <v>0.19690335684169313</v>
      </c>
      <c r="S30">
        <f>VLOOKUP($B$1,dictionary!$A$3:$K$51,4,FALSE)*Q30</f>
        <v>0</v>
      </c>
      <c r="T30">
        <f>VLOOKUP($B$1,dictionary!$A$3:$K$51,5,FALSE)*Q30</f>
        <v>0.2953550352625397</v>
      </c>
      <c r="U30">
        <f>VLOOKUP($B$1,dictionary!$A$3:$K$51,6,FALSE)*Q30</f>
        <v>0.2953550352625397</v>
      </c>
      <c r="V30">
        <f>VLOOKUP($B$1,dictionary!$A$3:$K$51,7,FALSE)*Q30</f>
        <v>0</v>
      </c>
      <c r="W30">
        <f>VLOOKUP($B$1,dictionary!$A$3:$K$51,8,FALSE)*Q30</f>
        <v>4.9225839210423283E-2</v>
      </c>
      <c r="X30">
        <f>VLOOKUP($B$1,dictionary!$A$3:$K$51,9,FALSE)*Q30</f>
        <v>4.9225839210423283E-2</v>
      </c>
      <c r="Y30">
        <f>VLOOKUP($B$1,dictionary!$A$3:$K$51,10,FALSE)*Q30</f>
        <v>9.8451678420846567E-2</v>
      </c>
      <c r="Z30">
        <f>VLOOKUP($B$1,dictionary!$A$3:$K$51,11,FALSE)*Q30</f>
        <v>0</v>
      </c>
      <c r="AA30">
        <f t="shared" si="2"/>
        <v>2.5091702953907031</v>
      </c>
      <c r="AB30">
        <f t="shared" si="11"/>
        <v>0.47294177935464637</v>
      </c>
      <c r="AC30">
        <f t="shared" si="12"/>
        <v>2.0362285160360569</v>
      </c>
      <c r="AD30">
        <f t="shared" si="3"/>
        <v>31.909653698686377</v>
      </c>
      <c r="AE30">
        <f t="shared" si="13"/>
        <v>0</v>
      </c>
      <c r="AF30">
        <f t="shared" si="14"/>
        <v>53.182756164477297</v>
      </c>
      <c r="AG30">
        <f t="shared" si="15"/>
        <v>54.702263483462367</v>
      </c>
      <c r="AH30">
        <f t="shared" si="16"/>
        <v>0</v>
      </c>
      <c r="AI30">
        <f t="shared" si="17"/>
        <v>8.3972772891279934</v>
      </c>
      <c r="AJ30">
        <f t="shared" si="18"/>
        <v>8.3972772891279934</v>
      </c>
      <c r="AK30">
        <f t="shared" si="19"/>
        <v>15.954826849343188</v>
      </c>
      <c r="AL30">
        <f t="shared" si="20"/>
        <v>0</v>
      </c>
    </row>
    <row r="31" spans="1:38" x14ac:dyDescent="0.2">
      <c r="A31">
        <v>2048</v>
      </c>
      <c r="B31">
        <v>23</v>
      </c>
      <c r="C31">
        <f t="shared" si="21"/>
        <v>178.61942454046118</v>
      </c>
      <c r="D31">
        <f t="shared" si="23"/>
        <v>30.229955639248359</v>
      </c>
      <c r="E31">
        <f t="shared" si="4"/>
        <v>30.229955639248359</v>
      </c>
      <c r="F31">
        <f t="shared" si="5"/>
        <v>10.25873762373925</v>
      </c>
      <c r="G31" s="9">
        <f t="shared" si="6"/>
        <v>0.16924226307985119</v>
      </c>
      <c r="H31" s="9">
        <f t="shared" si="6"/>
        <v>0.16924226307985119</v>
      </c>
      <c r="I31" s="9">
        <f t="shared" si="6"/>
        <v>5.7433493866258782E-2</v>
      </c>
      <c r="J31" s="9">
        <f t="shared" si="7"/>
        <v>2.2001494200380656E-2</v>
      </c>
      <c r="K31" s="9">
        <f t="shared" si="8"/>
        <v>3.3848452615970241E-2</v>
      </c>
      <c r="L31" s="9">
        <f t="shared" si="9"/>
        <v>2.2973397546503516E-2</v>
      </c>
      <c r="M31">
        <f t="shared" si="0"/>
        <v>164.89918900841374</v>
      </c>
      <c r="N31">
        <f t="shared" si="10"/>
        <v>134.075936280511</v>
      </c>
      <c r="O31">
        <f t="shared" si="24"/>
        <v>30.823252727902741</v>
      </c>
      <c r="P31">
        <f t="shared" si="22"/>
        <v>162.61392176003906</v>
      </c>
      <c r="Q31" s="9">
        <f t="shared" si="1"/>
        <v>0.98614142821370654</v>
      </c>
      <c r="R31">
        <f>VLOOKUP($B$1,dictionary!$A$3:$K$51,3,FALSE)*Q31</f>
        <v>0.19722828564274131</v>
      </c>
      <c r="S31">
        <f>VLOOKUP($B$1,dictionary!$A$3:$K$51,4,FALSE)*Q31</f>
        <v>0</v>
      </c>
      <c r="T31">
        <f>VLOOKUP($B$1,dictionary!$A$3:$K$51,5,FALSE)*Q31</f>
        <v>0.29584242846411196</v>
      </c>
      <c r="U31">
        <f>VLOOKUP($B$1,dictionary!$A$3:$K$51,6,FALSE)*Q31</f>
        <v>0.29584242846411196</v>
      </c>
      <c r="V31">
        <f>VLOOKUP($B$1,dictionary!$A$3:$K$51,7,FALSE)*Q31</f>
        <v>0</v>
      </c>
      <c r="W31">
        <f>VLOOKUP($B$1,dictionary!$A$3:$K$51,8,FALSE)*Q31</f>
        <v>4.9307071410685327E-2</v>
      </c>
      <c r="X31">
        <f>VLOOKUP($B$1,dictionary!$A$3:$K$51,9,FALSE)*Q31</f>
        <v>4.9307071410685327E-2</v>
      </c>
      <c r="Y31">
        <f>VLOOKUP($B$1,dictionary!$A$3:$K$51,10,FALSE)*Q31</f>
        <v>9.8614142821370654E-2</v>
      </c>
      <c r="Z31">
        <f>VLOOKUP($B$1,dictionary!$A$3:$K$51,11,FALSE)*Q31</f>
        <v>0</v>
      </c>
      <c r="AA31">
        <f t="shared" si="2"/>
        <v>2.2852672483746801</v>
      </c>
      <c r="AB31">
        <f t="shared" si="11"/>
        <v>0.42716626061670676</v>
      </c>
      <c r="AC31">
        <f t="shared" si="12"/>
        <v>1.8581009877579733</v>
      </c>
      <c r="AD31">
        <f t="shared" si="3"/>
        <v>32.522784352007811</v>
      </c>
      <c r="AE31">
        <f t="shared" si="13"/>
        <v>0</v>
      </c>
      <c r="AF31">
        <f t="shared" si="14"/>
        <v>54.204640586679695</v>
      </c>
      <c r="AG31">
        <f t="shared" si="15"/>
        <v>55.753344603441974</v>
      </c>
      <c r="AH31">
        <f t="shared" si="16"/>
        <v>0</v>
      </c>
      <c r="AI31">
        <f t="shared" si="17"/>
        <v>8.5586274610546873</v>
      </c>
      <c r="AJ31">
        <f t="shared" si="18"/>
        <v>8.5586274610546873</v>
      </c>
      <c r="AK31">
        <f t="shared" si="19"/>
        <v>16.261392176003906</v>
      </c>
      <c r="AL31">
        <f t="shared" si="20"/>
        <v>0</v>
      </c>
    </row>
    <row r="32" spans="1:38" x14ac:dyDescent="0.2">
      <c r="A32">
        <v>2049</v>
      </c>
      <c r="B32">
        <v>24</v>
      </c>
      <c r="C32">
        <f t="shared" si="21"/>
        <v>182.37043245581086</v>
      </c>
      <c r="D32">
        <f t="shared" si="23"/>
        <v>32.132397342929451</v>
      </c>
      <c r="E32">
        <f t="shared" si="4"/>
        <v>32.132397342929451</v>
      </c>
      <c r="F32">
        <f t="shared" si="5"/>
        <v>10.928025242712309</v>
      </c>
      <c r="G32" s="9">
        <f t="shared" si="6"/>
        <v>0.17619302049259147</v>
      </c>
      <c r="H32" s="9">
        <f t="shared" si="6"/>
        <v>0.17619302049259147</v>
      </c>
      <c r="I32" s="9">
        <f t="shared" si="6"/>
        <v>5.9922132637154416E-2</v>
      </c>
      <c r="J32" s="9">
        <f t="shared" si="7"/>
        <v>2.2905092664036893E-2</v>
      </c>
      <c r="K32" s="9">
        <f t="shared" si="8"/>
        <v>3.5238604098518297E-2</v>
      </c>
      <c r="L32" s="9">
        <f t="shared" si="9"/>
        <v>2.3968853054861766E-2</v>
      </c>
      <c r="M32">
        <f t="shared" si="0"/>
        <v>167.793360463878</v>
      </c>
      <c r="N32">
        <f t="shared" si="10"/>
        <v>136.62401026541593</v>
      </c>
      <c r="O32">
        <f t="shared" si="24"/>
        <v>31.16935019846207</v>
      </c>
      <c r="P32">
        <f t="shared" si="22"/>
        <v>165.64226945398096</v>
      </c>
      <c r="Q32" s="9">
        <f t="shared" si="1"/>
        <v>0.987180118426914</v>
      </c>
      <c r="R32">
        <f>VLOOKUP($B$1,dictionary!$A$3:$K$51,3,FALSE)*Q32</f>
        <v>0.19743602368538282</v>
      </c>
      <c r="S32">
        <f>VLOOKUP($B$1,dictionary!$A$3:$K$51,4,FALSE)*Q32</f>
        <v>0</v>
      </c>
      <c r="T32">
        <f>VLOOKUP($B$1,dictionary!$A$3:$K$51,5,FALSE)*Q32</f>
        <v>0.29615403552807418</v>
      </c>
      <c r="U32">
        <f>VLOOKUP($B$1,dictionary!$A$3:$K$51,6,FALSE)*Q32</f>
        <v>0.29615403552807418</v>
      </c>
      <c r="V32">
        <f>VLOOKUP($B$1,dictionary!$A$3:$K$51,7,FALSE)*Q32</f>
        <v>0</v>
      </c>
      <c r="W32">
        <f>VLOOKUP($B$1,dictionary!$A$3:$K$51,8,FALSE)*Q32</f>
        <v>4.9359005921345706E-2</v>
      </c>
      <c r="X32">
        <f>VLOOKUP($B$1,dictionary!$A$3:$K$51,9,FALSE)*Q32</f>
        <v>4.9359005921345706E-2</v>
      </c>
      <c r="Y32">
        <f>VLOOKUP($B$1,dictionary!$A$3:$K$51,10,FALSE)*Q32</f>
        <v>9.8718011842691411E-2</v>
      </c>
      <c r="Z32">
        <f>VLOOKUP($B$1,dictionary!$A$3:$K$51,11,FALSE)*Q32</f>
        <v>0</v>
      </c>
      <c r="AA32">
        <f t="shared" si="2"/>
        <v>2.1510910098970442</v>
      </c>
      <c r="AB32">
        <f t="shared" si="11"/>
        <v>0.39958737825432794</v>
      </c>
      <c r="AC32">
        <f t="shared" si="12"/>
        <v>1.7515036316427164</v>
      </c>
      <c r="AD32">
        <f t="shared" si="3"/>
        <v>33.128453890796195</v>
      </c>
      <c r="AE32">
        <f t="shared" si="13"/>
        <v>0</v>
      </c>
      <c r="AF32">
        <f t="shared" si="14"/>
        <v>55.214089817993646</v>
      </c>
      <c r="AG32">
        <f t="shared" si="15"/>
        <v>56.791635241364901</v>
      </c>
      <c r="AH32">
        <f t="shared" si="16"/>
        <v>0</v>
      </c>
      <c r="AI32">
        <f t="shared" si="17"/>
        <v>8.7180141817884724</v>
      </c>
      <c r="AJ32">
        <f t="shared" si="18"/>
        <v>8.7180141817884724</v>
      </c>
      <c r="AK32">
        <f t="shared" si="19"/>
        <v>16.564226945398097</v>
      </c>
      <c r="AL32">
        <f t="shared" si="20"/>
        <v>0</v>
      </c>
    </row>
    <row r="33" spans="1:38" x14ac:dyDescent="0.2">
      <c r="A33">
        <v>2050</v>
      </c>
      <c r="B33">
        <v>25</v>
      </c>
      <c r="C33">
        <f t="shared" si="21"/>
        <v>186.20021153738287</v>
      </c>
      <c r="D33">
        <f t="shared" si="23"/>
        <v>34.090680151814624</v>
      </c>
      <c r="E33">
        <f t="shared" si="4"/>
        <v>34.090680151814624</v>
      </c>
      <c r="F33">
        <f t="shared" si="5"/>
        <v>11.620575113428274</v>
      </c>
      <c r="G33" s="9">
        <f t="shared" si="6"/>
        <v>0.18308615156954502</v>
      </c>
      <c r="H33" s="9">
        <f t="shared" si="6"/>
        <v>0.18308615156954502</v>
      </c>
      <c r="I33" s="9">
        <f t="shared" si="6"/>
        <v>6.2409032822689593E-2</v>
      </c>
      <c r="J33" s="9">
        <f t="shared" si="7"/>
        <v>2.3801199704040855E-2</v>
      </c>
      <c r="K33" s="9">
        <f t="shared" si="8"/>
        <v>3.6617230313909004E-2</v>
      </c>
      <c r="L33" s="9">
        <f t="shared" si="9"/>
        <v>2.4963613129075839E-2</v>
      </c>
      <c r="M33">
        <f t="shared" si="0"/>
        <v>170.74112453030739</v>
      </c>
      <c r="N33">
        <f t="shared" si="10"/>
        <v>139.17140699427625</v>
      </c>
      <c r="O33">
        <f t="shared" si="24"/>
        <v>31.569717536031135</v>
      </c>
      <c r="P33">
        <f t="shared" si="22"/>
        <v>168.6655180926046</v>
      </c>
      <c r="Q33" s="9">
        <f t="shared" si="1"/>
        <v>0.98784354710435118</v>
      </c>
      <c r="R33">
        <f>VLOOKUP($B$1,dictionary!$A$3:$K$51,3,FALSE)*Q33</f>
        <v>0.19756870942087024</v>
      </c>
      <c r="S33">
        <f>VLOOKUP($B$1,dictionary!$A$3:$K$51,4,FALSE)*Q33</f>
        <v>0</v>
      </c>
      <c r="T33">
        <f>VLOOKUP($B$1,dictionary!$A$3:$K$51,5,FALSE)*Q33</f>
        <v>0.29635306413130535</v>
      </c>
      <c r="U33">
        <f>VLOOKUP($B$1,dictionary!$A$3:$K$51,6,FALSE)*Q33</f>
        <v>0.29635306413130535</v>
      </c>
      <c r="V33">
        <f>VLOOKUP($B$1,dictionary!$A$3:$K$51,7,FALSE)*Q33</f>
        <v>0</v>
      </c>
      <c r="W33">
        <f>VLOOKUP($B$1,dictionary!$A$3:$K$51,8,FALSE)*Q33</f>
        <v>4.9392177355217559E-2</v>
      </c>
      <c r="X33">
        <f>VLOOKUP($B$1,dictionary!$A$3:$K$51,9,FALSE)*Q33</f>
        <v>4.9392177355217559E-2</v>
      </c>
      <c r="Y33">
        <f>VLOOKUP($B$1,dictionary!$A$3:$K$51,10,FALSE)*Q33</f>
        <v>9.8784354710435118E-2</v>
      </c>
      <c r="Z33">
        <f>VLOOKUP($B$1,dictionary!$A$3:$K$51,11,FALSE)*Q33</f>
        <v>0</v>
      </c>
      <c r="AA33">
        <f t="shared" si="2"/>
        <v>2.0756064377027883</v>
      </c>
      <c r="AB33">
        <f t="shared" si="11"/>
        <v>0.38377578415570052</v>
      </c>
      <c r="AC33">
        <f t="shared" si="12"/>
        <v>1.6918306535470877</v>
      </c>
      <c r="AD33">
        <f t="shared" si="3"/>
        <v>33.733103618520921</v>
      </c>
      <c r="AE33">
        <f t="shared" si="13"/>
        <v>0</v>
      </c>
      <c r="AF33">
        <f t="shared" si="14"/>
        <v>56.221839364201529</v>
      </c>
      <c r="AG33">
        <f t="shared" si="15"/>
        <v>57.828177631750151</v>
      </c>
      <c r="AH33">
        <f t="shared" si="16"/>
        <v>0</v>
      </c>
      <c r="AI33">
        <f t="shared" si="17"/>
        <v>8.8771325311897158</v>
      </c>
      <c r="AJ33">
        <f t="shared" si="18"/>
        <v>8.8771325311897158</v>
      </c>
      <c r="AK33">
        <f t="shared" si="19"/>
        <v>16.866551809260461</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FA13F-4CBF-3946-B02C-E0CC192D5BB9}">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LNG</v>
      </c>
      <c r="C2" s="14" t="str">
        <f>VLOOKUP(B1,dictionary!$A$3:$N$51,12,FALSE)</f>
        <v>Yes</v>
      </c>
      <c r="D2" t="s">
        <v>77</v>
      </c>
      <c r="E2" s="5">
        <f>IF(C2="Yes",MAIN!B4,0)</f>
        <v>0.03</v>
      </c>
      <c r="F2" s="5">
        <f>MAIN!C4</f>
        <v>0.13</v>
      </c>
      <c r="G2" s="11">
        <f>MAIN!D4</f>
        <v>5</v>
      </c>
      <c r="H2" t="s">
        <v>73</v>
      </c>
      <c r="I2" s="5">
        <f>MAIN!B1</f>
        <v>2.1000000000000001E-2</v>
      </c>
      <c r="J2" s="4"/>
      <c r="K2" s="4"/>
      <c r="L2" s="13"/>
      <c r="AC2" t="str">
        <f>B2</f>
        <v>LNG</v>
      </c>
      <c r="AD2">
        <f>VLOOKUP(AC2,efficiency!$A$2:$K$6,2,FALSE)</f>
        <v>1.125</v>
      </c>
      <c r="AE2">
        <f>VLOOKUP(AC2,efficiency!$A$2:$K$6,3,FALSE)</f>
        <v>0.5</v>
      </c>
      <c r="AF2">
        <f>VLOOKUP(AC2,efficiency!$A$2:$K$6,4,FALSE)</f>
        <v>1.25</v>
      </c>
      <c r="AG2">
        <f>VLOOKUP(AC2,efficiency!$A$2:$K$6,5,FALSE)</f>
        <v>1.2857142857142858</v>
      </c>
      <c r="AH2">
        <f>VLOOKUP(AC2,efficiency!$A$2:$K$6,6,FALSE)</f>
        <v>1.1842105263157894</v>
      </c>
      <c r="AI2">
        <f>VLOOKUP(AC2,efficiency!$A$2:$K$6,7,FALSE)</f>
        <v>1.1842105263157894</v>
      </c>
      <c r="AJ2">
        <f>VLOOKUP(AC2,efficiency!$A$2:$K$6,8,FALSE)</f>
        <v>1.1842105263157894</v>
      </c>
      <c r="AK2">
        <f>VLOOKUP(AC2,efficiency!$A$2:$K$6,9,FALSE)</f>
        <v>1.125</v>
      </c>
      <c r="AL2">
        <f>VLOOKUP(AC2,efficiency!$A$2:$K$6,10,FALSE)</f>
        <v>0.5</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LNG</v>
      </c>
      <c r="P7" t="s">
        <v>163</v>
      </c>
      <c r="Q7" t="s">
        <v>164</v>
      </c>
      <c r="R7" s="1" t="s">
        <v>53</v>
      </c>
      <c r="S7" s="1" t="s">
        <v>54</v>
      </c>
      <c r="T7" s="1" t="s">
        <v>55</v>
      </c>
      <c r="U7" s="1" t="s">
        <v>56</v>
      </c>
      <c r="V7" s="1" t="s">
        <v>57</v>
      </c>
      <c r="W7" s="1" t="s">
        <v>58</v>
      </c>
      <c r="X7" s="1" t="s">
        <v>59</v>
      </c>
      <c r="Y7" s="1" t="s">
        <v>60</v>
      </c>
      <c r="Z7" s="1" t="s">
        <v>61</v>
      </c>
      <c r="AA7" s="1" t="s">
        <v>186</v>
      </c>
      <c r="AB7" s="1" t="str">
        <f>O7</f>
        <v>LNG</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198.59706183540879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198.59706183540879</v>
      </c>
      <c r="N8">
        <f>IF($N$7="LFO",M8/(1+EXP(-$I$4*(B8-$J$4)))-M8/(1+EXP($I$4*$J$4)),IF($N$7="MGO",M8/(1+EXP(-$I$5*(B8-$J$5)))-M8/(1+EXP($I$5*$J$5)),0))</f>
        <v>0</v>
      </c>
      <c r="O8">
        <f>M8-N8</f>
        <v>198.59706183540879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198.59706183540879</v>
      </c>
      <c r="AB8">
        <f>O8/M8*AA8</f>
        <v>198.59706183540879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202.76760013395236</v>
      </c>
      <c r="D9">
        <f>IF($E$2=0,0,C9/(1+EXP(-$E$2*(B9-$G$2)))-C9/(1+EXP($E$2*$G$2)))</f>
        <v>1.5138210471453561</v>
      </c>
      <c r="E9">
        <f t="shared" ref="E9:E33" si="4">IF($E$3=0,0,C9/(1+EXP(-$E$3*(B9-$G$3)))-C9/(1+EXP($E$3*$G$3)))</f>
        <v>0</v>
      </c>
      <c r="F9">
        <f t="shared" ref="F9:F33" si="5">IF($E$4=0,0,C9/(1+EXP(-$E$4*(B9-$G$4)))-C9/(1+EXP($E$4*$G$4)))</f>
        <v>0</v>
      </c>
      <c r="G9" s="9">
        <f t="shared" ref="G9:I33" si="6">D9/$C9</f>
        <v>7.4657935791778152E-3</v>
      </c>
      <c r="H9" s="9">
        <f t="shared" si="6"/>
        <v>0</v>
      </c>
      <c r="I9" s="9">
        <f t="shared" si="6"/>
        <v>0</v>
      </c>
      <c r="J9" s="9">
        <f t="shared" ref="J9:J33" si="7">G9*$F$2</f>
        <v>9.7055316529311598E-4</v>
      </c>
      <c r="K9" s="9">
        <f t="shared" ref="K9:K33" si="8">H9*$F$3</f>
        <v>0</v>
      </c>
      <c r="L9" s="9">
        <f t="shared" ref="L9:L33" si="9">I9*$F$4</f>
        <v>0</v>
      </c>
      <c r="M9">
        <f t="shared" si="0"/>
        <v>202.57080339782345</v>
      </c>
      <c r="N9">
        <f t="shared" ref="N9:N33" si="10">IF($N$7="LFO",M9/(1+EXP(-$I$4*(B9-$J$4)))-M9/(1+EXP($I$4*$J$4)),IF($N$7="MGO",M9/(1+EXP(-$I$5*(B9-$J$5)))-M9/(1+EXP($I$5*$J$5)),0))</f>
        <v>0</v>
      </c>
      <c r="O9">
        <f>M9-N9</f>
        <v>202.57080339782345</v>
      </c>
      <c r="P9">
        <f>IF($I$3=0,0,M9/(1+EXP(-$I$3*(B9-$J$3)))-M9/(1+EXP($I$3*$J$3)))</f>
        <v>1.243195390613006</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201.32760800721044</v>
      </c>
      <c r="AB9">
        <f t="shared" ref="AB9:AB33" si="11">O9/M9*AA9</f>
        <v>201.32760800721044</v>
      </c>
      <c r="AC9">
        <f t="shared" ref="AC9:AC33" si="12">N9/M9*AA9</f>
        <v>0</v>
      </c>
      <c r="AD9">
        <f t="shared" si="3"/>
        <v>0.27971896288792641</v>
      </c>
      <c r="AE9">
        <f t="shared" ref="AE9:AE33" si="13">S9*$O9*$AE$2+S9*$N9*$AE$3</f>
        <v>0</v>
      </c>
      <c r="AF9">
        <f t="shared" ref="AF9:AF33" si="14">T9*$O9*$AF$2+T9*$N9*$AF$3</f>
        <v>0.31079884765325155</v>
      </c>
      <c r="AG9">
        <f t="shared" ref="AG9:AG33" si="15">U9*$O9*$AG$2+U9*$N9*$AG$3</f>
        <v>0.55943792577585272</v>
      </c>
      <c r="AH9">
        <f t="shared" ref="AH9:AH33" si="16">V9*$O9*$AH$2+V9*$N9*$AH$3</f>
        <v>0</v>
      </c>
      <c r="AI9">
        <f t="shared" ref="AI9:AI33" si="17">W9*$O9*$AI$2+W9*$N9*$AI$3</f>
        <v>7.3610253391559577E-2</v>
      </c>
      <c r="AJ9">
        <f t="shared" ref="AJ9:AJ33" si="18">X9*$O9*$AJ$2+X9*$N9*$AJ$3</f>
        <v>0</v>
      </c>
      <c r="AK9">
        <f t="shared" ref="AK9:AK33" si="19">Y9*$O9*$AK$2+Y9*$N9*$AK$3</f>
        <v>0.27971896288792641</v>
      </c>
      <c r="AL9">
        <f t="shared" ref="AL9:AL33" si="20">Z9*$O9*$AL$2+Z9*$N9*$AL$3</f>
        <v>0</v>
      </c>
    </row>
    <row r="10" spans="1:51" x14ac:dyDescent="0.2">
      <c r="A10">
        <v>2027</v>
      </c>
      <c r="B10">
        <v>2</v>
      </c>
      <c r="C10">
        <f t="shared" ref="C10:C33" si="21">C9*(1+$I$2)</f>
        <v>207.02571973676532</v>
      </c>
      <c r="D10">
        <f>IF($E$2=0,0,C10/(1+EXP(-$E$2*(B10-$G$2)))-C10/(1+EXP($E$2*$G$2)))</f>
        <v>3.0940036362480896</v>
      </c>
      <c r="E10">
        <f t="shared" si="4"/>
        <v>0</v>
      </c>
      <c r="F10">
        <f t="shared" si="5"/>
        <v>0</v>
      </c>
      <c r="G10" s="9">
        <f t="shared" si="6"/>
        <v>1.4945020551949474E-2</v>
      </c>
      <c r="H10" s="9">
        <f t="shared" si="6"/>
        <v>0</v>
      </c>
      <c r="I10" s="9">
        <f t="shared" si="6"/>
        <v>0</v>
      </c>
      <c r="J10" s="9">
        <f t="shared" si="7"/>
        <v>1.9428526717534316E-3</v>
      </c>
      <c r="K10" s="9">
        <f t="shared" si="8"/>
        <v>0</v>
      </c>
      <c r="L10" s="9">
        <f t="shared" si="9"/>
        <v>0</v>
      </c>
      <c r="M10">
        <f t="shared" si="0"/>
        <v>206.62349926405307</v>
      </c>
      <c r="N10">
        <f t="shared" si="10"/>
        <v>0</v>
      </c>
      <c r="O10">
        <f>M10-N10</f>
        <v>206.62349926405307</v>
      </c>
      <c r="P10">
        <f t="shared" ref="P10:P33" si="22">IF($I$3=0,0,M10/(1+EXP(-$I$3*(B10-$J$3)))-M10/(1+EXP($I$3*$J$3)))</f>
        <v>3.2254033502090027</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203.39809591384406</v>
      </c>
      <c r="AB10">
        <f t="shared" si="11"/>
        <v>203.39809591384406</v>
      </c>
      <c r="AC10">
        <f t="shared" si="12"/>
        <v>0</v>
      </c>
      <c r="AD10">
        <f t="shared" si="3"/>
        <v>0.72571575379702569</v>
      </c>
      <c r="AE10">
        <f t="shared" si="13"/>
        <v>0</v>
      </c>
      <c r="AF10">
        <f t="shared" si="14"/>
        <v>0.80635083755225079</v>
      </c>
      <c r="AG10">
        <f t="shared" si="15"/>
        <v>1.4514315075940514</v>
      </c>
      <c r="AH10">
        <f t="shared" si="16"/>
        <v>0</v>
      </c>
      <c r="AI10">
        <f t="shared" si="17"/>
        <v>0.19097782994658569</v>
      </c>
      <c r="AJ10">
        <f t="shared" si="18"/>
        <v>0</v>
      </c>
      <c r="AK10">
        <f t="shared" si="19"/>
        <v>0.72571575379702569</v>
      </c>
      <c r="AL10">
        <f t="shared" si="20"/>
        <v>0</v>
      </c>
    </row>
    <row r="11" spans="1:51" x14ac:dyDescent="0.2">
      <c r="A11">
        <v>2028</v>
      </c>
      <c r="B11">
        <v>3</v>
      </c>
      <c r="C11">
        <f t="shared" si="21"/>
        <v>211.37325985123738</v>
      </c>
      <c r="D11">
        <f t="shared" ref="D11:D33" si="23">IF($E$2=0,0,C11/(1+EXP(-$E$2*(B11-$G$2)))-C11/(1+EXP($E$2*$G$2)))</f>
        <v>4.7420203656367903</v>
      </c>
      <c r="E11">
        <f t="shared" si="4"/>
        <v>0</v>
      </c>
      <c r="F11">
        <f t="shared" si="5"/>
        <v>0</v>
      </c>
      <c r="G11" s="9">
        <f t="shared" si="6"/>
        <v>2.2434343724339504E-2</v>
      </c>
      <c r="H11" s="9">
        <f t="shared" si="6"/>
        <v>0</v>
      </c>
      <c r="I11" s="9">
        <f t="shared" si="6"/>
        <v>0</v>
      </c>
      <c r="J11" s="9">
        <f t="shared" si="7"/>
        <v>2.9164646841641356E-3</v>
      </c>
      <c r="K11" s="9">
        <f t="shared" si="8"/>
        <v>0</v>
      </c>
      <c r="L11" s="9">
        <f t="shared" si="9"/>
        <v>0</v>
      </c>
      <c r="M11">
        <f t="shared" si="0"/>
        <v>210.75679720370459</v>
      </c>
      <c r="N11">
        <f t="shared" si="10"/>
        <v>0</v>
      </c>
      <c r="O11">
        <f t="shared" ref="O11:O33" si="24">M11-N11</f>
        <v>210.75679720370459</v>
      </c>
      <c r="P11">
        <f t="shared" si="22"/>
        <v>6.3446933466517494</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204.41210385705284</v>
      </c>
      <c r="AB11">
        <f t="shared" si="11"/>
        <v>204.41210385705284</v>
      </c>
      <c r="AC11">
        <f t="shared" si="12"/>
        <v>0</v>
      </c>
      <c r="AD11">
        <f t="shared" si="3"/>
        <v>1.4275560029966436</v>
      </c>
      <c r="AE11">
        <f t="shared" si="13"/>
        <v>0</v>
      </c>
      <c r="AF11">
        <f t="shared" si="14"/>
        <v>1.5861733366629374</v>
      </c>
      <c r="AG11">
        <f t="shared" si="15"/>
        <v>2.8551120059932869</v>
      </c>
      <c r="AH11">
        <f t="shared" si="16"/>
        <v>0</v>
      </c>
      <c r="AI11">
        <f t="shared" si="17"/>
        <v>0.37567263236753778</v>
      </c>
      <c r="AJ11">
        <f t="shared" si="18"/>
        <v>0</v>
      </c>
      <c r="AK11">
        <f t="shared" si="19"/>
        <v>1.4275560029966436</v>
      </c>
      <c r="AL11">
        <f t="shared" si="20"/>
        <v>0</v>
      </c>
    </row>
    <row r="12" spans="1:51" x14ac:dyDescent="0.2">
      <c r="A12">
        <v>2029</v>
      </c>
      <c r="B12">
        <v>4</v>
      </c>
      <c r="C12">
        <f t="shared" si="21"/>
        <v>215.81209830811335</v>
      </c>
      <c r="D12">
        <f t="shared" si="23"/>
        <v>6.4593441090527222</v>
      </c>
      <c r="E12">
        <f t="shared" si="4"/>
        <v>0</v>
      </c>
      <c r="F12">
        <f t="shared" si="5"/>
        <v>0</v>
      </c>
      <c r="G12" s="9">
        <f t="shared" si="6"/>
        <v>2.9930407793129207E-2</v>
      </c>
      <c r="H12" s="9">
        <f t="shared" si="6"/>
        <v>0</v>
      </c>
      <c r="I12" s="9">
        <f t="shared" si="6"/>
        <v>0</v>
      </c>
      <c r="J12" s="9">
        <f t="shared" si="7"/>
        <v>3.8909530131067973E-3</v>
      </c>
      <c r="K12" s="9">
        <f t="shared" si="8"/>
        <v>0</v>
      </c>
      <c r="L12" s="9">
        <f t="shared" si="9"/>
        <v>0</v>
      </c>
      <c r="M12">
        <f t="shared" si="0"/>
        <v>214.9723835739365</v>
      </c>
      <c r="N12">
        <f t="shared" si="10"/>
        <v>0</v>
      </c>
      <c r="O12">
        <f t="shared" si="24"/>
        <v>214.9723835739365</v>
      </c>
      <c r="P12">
        <f t="shared" si="22"/>
        <v>11.175643207734012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203.79674036620247</v>
      </c>
      <c r="AB12">
        <f t="shared" si="11"/>
        <v>203.79674036620247</v>
      </c>
      <c r="AC12">
        <f t="shared" si="12"/>
        <v>0</v>
      </c>
      <c r="AD12">
        <f t="shared" si="3"/>
        <v>2.5145197217401525</v>
      </c>
      <c r="AE12">
        <f t="shared" si="13"/>
        <v>0</v>
      </c>
      <c r="AF12">
        <f t="shared" si="14"/>
        <v>2.7939108019335031</v>
      </c>
      <c r="AG12">
        <f t="shared" si="15"/>
        <v>5.0290394434803058</v>
      </c>
      <c r="AH12">
        <f t="shared" si="16"/>
        <v>0</v>
      </c>
      <c r="AI12">
        <f t="shared" si="17"/>
        <v>0.66171571624740855</v>
      </c>
      <c r="AJ12">
        <f t="shared" si="18"/>
        <v>0</v>
      </c>
      <c r="AK12">
        <f t="shared" si="19"/>
        <v>2.5145197217401525</v>
      </c>
      <c r="AL12">
        <f t="shared" si="20"/>
        <v>0</v>
      </c>
    </row>
    <row r="13" spans="1:51" x14ac:dyDescent="0.2">
      <c r="A13">
        <v>2030</v>
      </c>
      <c r="B13">
        <v>5</v>
      </c>
      <c r="C13">
        <f t="shared" si="21"/>
        <v>220.34415237258372</v>
      </c>
      <c r="D13">
        <f t="shared" si="23"/>
        <v>8.2474475457053842</v>
      </c>
      <c r="E13">
        <f t="shared" si="4"/>
        <v>0</v>
      </c>
      <c r="F13">
        <f t="shared" si="5"/>
        <v>0</v>
      </c>
      <c r="G13" s="9">
        <f t="shared" si="6"/>
        <v>3.7429845343749504E-2</v>
      </c>
      <c r="H13" s="9">
        <f t="shared" si="6"/>
        <v>0</v>
      </c>
      <c r="I13" s="9">
        <f t="shared" si="6"/>
        <v>0</v>
      </c>
      <c r="J13" s="9">
        <f t="shared" si="7"/>
        <v>4.8658798946874362E-3</v>
      </c>
      <c r="K13" s="9">
        <f t="shared" si="8"/>
        <v>0</v>
      </c>
      <c r="L13" s="9">
        <f t="shared" si="9"/>
        <v>0</v>
      </c>
      <c r="M13">
        <f t="shared" si="0"/>
        <v>219.27198419164202</v>
      </c>
      <c r="N13">
        <f t="shared" si="10"/>
        <v>0</v>
      </c>
      <c r="O13">
        <f t="shared" si="24"/>
        <v>219.27198419164202</v>
      </c>
      <c r="P13">
        <f t="shared" si="22"/>
        <v>18.498337649229157</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200.77364654241285</v>
      </c>
      <c r="AB13">
        <f t="shared" si="11"/>
        <v>200.77364654241285</v>
      </c>
      <c r="AC13">
        <f t="shared" si="12"/>
        <v>0</v>
      </c>
      <c r="AD13">
        <f t="shared" si="3"/>
        <v>4.1621259710765601</v>
      </c>
      <c r="AE13">
        <f t="shared" si="13"/>
        <v>0</v>
      </c>
      <c r="AF13">
        <f t="shared" si="14"/>
        <v>4.6245844123072892</v>
      </c>
      <c r="AG13">
        <f t="shared" si="15"/>
        <v>8.3242519421531203</v>
      </c>
      <c r="AH13">
        <f t="shared" si="16"/>
        <v>0</v>
      </c>
      <c r="AI13">
        <f t="shared" si="17"/>
        <v>1.095296308178042</v>
      </c>
      <c r="AJ13">
        <f t="shared" si="18"/>
        <v>0</v>
      </c>
      <c r="AK13">
        <f t="shared" si="19"/>
        <v>4.1621259710765601</v>
      </c>
      <c r="AL13">
        <f t="shared" si="20"/>
        <v>0</v>
      </c>
    </row>
    <row r="14" spans="1:51" x14ac:dyDescent="0.2">
      <c r="A14">
        <v>2031</v>
      </c>
      <c r="B14">
        <v>6</v>
      </c>
      <c r="C14">
        <f t="shared" si="21"/>
        <v>224.97137957240795</v>
      </c>
      <c r="D14">
        <f t="shared" si="23"/>
        <v>10.107802755945386</v>
      </c>
      <c r="E14">
        <f t="shared" si="4"/>
        <v>0</v>
      </c>
      <c r="F14">
        <f t="shared" si="5"/>
        <v>0</v>
      </c>
      <c r="G14" s="9">
        <f t="shared" si="6"/>
        <v>4.4929282894369899E-2</v>
      </c>
      <c r="H14" s="9">
        <f t="shared" si="6"/>
        <v>0</v>
      </c>
      <c r="I14" s="9">
        <f t="shared" si="6"/>
        <v>0</v>
      </c>
      <c r="J14" s="9">
        <f t="shared" si="7"/>
        <v>5.8408067762680867E-3</v>
      </c>
      <c r="K14" s="9">
        <f t="shared" si="8"/>
        <v>0</v>
      </c>
      <c r="L14" s="9">
        <f t="shared" si="9"/>
        <v>0</v>
      </c>
      <c r="M14">
        <f t="shared" si="0"/>
        <v>223.65736521413507</v>
      </c>
      <c r="N14">
        <f t="shared" si="10"/>
        <v>0</v>
      </c>
      <c r="O14">
        <f t="shared" si="24"/>
        <v>223.65736521413507</v>
      </c>
      <c r="P14">
        <f t="shared" si="22"/>
        <v>29.268724787945043</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194.38864042619002</v>
      </c>
      <c r="AB14">
        <f t="shared" si="11"/>
        <v>194.38864042619002</v>
      </c>
      <c r="AC14">
        <f t="shared" si="12"/>
        <v>0</v>
      </c>
      <c r="AD14">
        <f t="shared" si="3"/>
        <v>6.5854630772876348</v>
      </c>
      <c r="AE14">
        <f t="shared" si="13"/>
        <v>0</v>
      </c>
      <c r="AF14">
        <f t="shared" si="14"/>
        <v>7.3171811969862608</v>
      </c>
      <c r="AG14">
        <f t="shared" si="15"/>
        <v>13.170926154575271</v>
      </c>
      <c r="AH14">
        <f t="shared" si="16"/>
        <v>0</v>
      </c>
      <c r="AI14">
        <f t="shared" si="17"/>
        <v>1.7330165992862197</v>
      </c>
      <c r="AJ14">
        <f t="shared" si="18"/>
        <v>0</v>
      </c>
      <c r="AK14">
        <f t="shared" si="19"/>
        <v>6.5854630772876348</v>
      </c>
      <c r="AL14">
        <f t="shared" si="20"/>
        <v>0</v>
      </c>
    </row>
    <row r="15" spans="1:51" x14ac:dyDescent="0.2">
      <c r="A15">
        <v>2032</v>
      </c>
      <c r="B15">
        <v>7</v>
      </c>
      <c r="C15">
        <f t="shared" si="21"/>
        <v>229.6957785434285</v>
      </c>
      <c r="D15">
        <f t="shared" si="23"/>
        <v>12.04188088611231</v>
      </c>
      <c r="E15">
        <f t="shared" si="4"/>
        <v>0</v>
      </c>
      <c r="F15">
        <f t="shared" si="5"/>
        <v>0</v>
      </c>
      <c r="G15" s="9">
        <f t="shared" si="6"/>
        <v>5.2425346963159598E-2</v>
      </c>
      <c r="H15" s="9">
        <f t="shared" si="6"/>
        <v>0</v>
      </c>
      <c r="I15" s="9">
        <f t="shared" si="6"/>
        <v>0</v>
      </c>
      <c r="J15" s="9">
        <f t="shared" si="7"/>
        <v>6.815295105210748E-3</v>
      </c>
      <c r="K15" s="9">
        <f t="shared" si="8"/>
        <v>0</v>
      </c>
      <c r="L15" s="9">
        <f t="shared" si="9"/>
        <v>0</v>
      </c>
      <c r="M15">
        <f t="shared" si="0"/>
        <v>228.1303340282339</v>
      </c>
      <c r="N15">
        <f t="shared" si="10"/>
        <v>0</v>
      </c>
      <c r="O15">
        <f t="shared" si="24"/>
        <v>228.1303340282339</v>
      </c>
      <c r="P15">
        <f>IF($I$3=0,0,M15/(1+EXP(-$I$3*(B15-$J$3)))-M15/(1+EXP($I$3*$J$3)))</f>
        <v>44.458821793200556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183.67151223503333</v>
      </c>
      <c r="AB15">
        <f t="shared" si="11"/>
        <v>183.67151223503333</v>
      </c>
      <c r="AC15">
        <f t="shared" si="12"/>
        <v>0</v>
      </c>
      <c r="AD15">
        <f t="shared" si="3"/>
        <v>10.003234903470126</v>
      </c>
      <c r="AE15">
        <f t="shared" si="13"/>
        <v>0</v>
      </c>
      <c r="AF15">
        <f t="shared" si="14"/>
        <v>11.114705448300139</v>
      </c>
      <c r="AG15">
        <f t="shared" si="15"/>
        <v>20.006469806940249</v>
      </c>
      <c r="AH15">
        <f t="shared" si="16"/>
        <v>0</v>
      </c>
      <c r="AI15">
        <f t="shared" si="17"/>
        <v>2.6324302377552962</v>
      </c>
      <c r="AJ15">
        <f t="shared" si="18"/>
        <v>0</v>
      </c>
      <c r="AK15">
        <f t="shared" si="19"/>
        <v>10.003234903470126</v>
      </c>
      <c r="AL15">
        <f t="shared" si="20"/>
        <v>0</v>
      </c>
    </row>
    <row r="16" spans="1:51" x14ac:dyDescent="0.2">
      <c r="A16">
        <v>2033</v>
      </c>
      <c r="B16">
        <v>8</v>
      </c>
      <c r="C16">
        <f t="shared" si="21"/>
        <v>234.51938989284048</v>
      </c>
      <c r="D16">
        <f t="shared" si="23"/>
        <v>14.051151885819905</v>
      </c>
      <c r="E16">
        <f t="shared" si="4"/>
        <v>0</v>
      </c>
      <c r="F16">
        <f t="shared" si="5"/>
        <v>0</v>
      </c>
      <c r="G16" s="9">
        <f t="shared" si="6"/>
        <v>5.99146701355497E-2</v>
      </c>
      <c r="H16" s="9">
        <f t="shared" si="6"/>
        <v>0</v>
      </c>
      <c r="I16" s="9">
        <f t="shared" si="6"/>
        <v>0</v>
      </c>
      <c r="J16" s="9">
        <f t="shared" si="7"/>
        <v>7.7889071176214615E-3</v>
      </c>
      <c r="K16" s="9">
        <f t="shared" si="8"/>
        <v>0</v>
      </c>
      <c r="L16" s="9">
        <f t="shared" si="9"/>
        <v>0</v>
      </c>
      <c r="M16">
        <f t="shared" si="0"/>
        <v>232.69274014768388</v>
      </c>
      <c r="N16">
        <f t="shared" si="10"/>
        <v>0</v>
      </c>
      <c r="O16">
        <f t="shared" si="24"/>
        <v>232.69274014768388</v>
      </c>
      <c r="P16">
        <f t="shared" si="22"/>
        <v>64.703370488680605</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167.98936965900327</v>
      </c>
      <c r="AB16">
        <f t="shared" si="11"/>
        <v>167.98936965900327</v>
      </c>
      <c r="AC16">
        <f t="shared" si="12"/>
        <v>0</v>
      </c>
      <c r="AD16">
        <f t="shared" si="3"/>
        <v>14.558258359953136</v>
      </c>
      <c r="AE16">
        <f t="shared" si="13"/>
        <v>0</v>
      </c>
      <c r="AF16">
        <f t="shared" si="14"/>
        <v>16.175842622170151</v>
      </c>
      <c r="AG16">
        <f t="shared" si="15"/>
        <v>29.116516719906276</v>
      </c>
      <c r="AH16">
        <f t="shared" si="16"/>
        <v>0</v>
      </c>
      <c r="AI16">
        <f t="shared" si="17"/>
        <v>3.8311206210402986</v>
      </c>
      <c r="AJ16">
        <f t="shared" si="18"/>
        <v>0</v>
      </c>
      <c r="AK16">
        <f t="shared" si="19"/>
        <v>14.558258359953136</v>
      </c>
      <c r="AL16">
        <f t="shared" si="20"/>
        <v>0</v>
      </c>
    </row>
    <row r="17" spans="1:38" x14ac:dyDescent="0.2">
      <c r="A17">
        <v>2034</v>
      </c>
      <c r="B17">
        <v>9</v>
      </c>
      <c r="C17">
        <f t="shared" si="21"/>
        <v>239.4442970805901</v>
      </c>
      <c r="D17">
        <f t="shared" si="23"/>
        <v>16.1370843206236</v>
      </c>
      <c r="E17">
        <f t="shared" si="4"/>
        <v>0</v>
      </c>
      <c r="F17">
        <f t="shared" si="5"/>
        <v>0</v>
      </c>
      <c r="G17" s="9">
        <f t="shared" si="6"/>
        <v>6.7393897108321263E-2</v>
      </c>
      <c r="H17" s="9">
        <f t="shared" si="6"/>
        <v>0</v>
      </c>
      <c r="I17" s="9">
        <f t="shared" si="6"/>
        <v>0</v>
      </c>
      <c r="J17" s="9">
        <f t="shared" si="7"/>
        <v>8.7612066240817642E-3</v>
      </c>
      <c r="K17" s="9">
        <f t="shared" si="8"/>
        <v>0</v>
      </c>
      <c r="L17" s="9">
        <f t="shared" si="9"/>
        <v>0</v>
      </c>
      <c r="M17">
        <f t="shared" si="0"/>
        <v>237.34647611890904</v>
      </c>
      <c r="N17">
        <f t="shared" si="10"/>
        <v>0</v>
      </c>
      <c r="O17">
        <f t="shared" si="24"/>
        <v>237.34647611890904</v>
      </c>
      <c r="P17">
        <f t="shared" si="22"/>
        <v>89.805693644419208</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147.54078247448984</v>
      </c>
      <c r="AB17">
        <f t="shared" si="11"/>
        <v>147.54078247448984</v>
      </c>
      <c r="AC17">
        <f t="shared" si="12"/>
        <v>0</v>
      </c>
      <c r="AD17">
        <f t="shared" si="3"/>
        <v>20.206281069994322</v>
      </c>
      <c r="AE17">
        <f t="shared" si="13"/>
        <v>0</v>
      </c>
      <c r="AF17">
        <f t="shared" si="14"/>
        <v>22.451423411104802</v>
      </c>
      <c r="AG17">
        <f t="shared" si="15"/>
        <v>40.412562139988644</v>
      </c>
      <c r="AH17">
        <f t="shared" si="16"/>
        <v>0</v>
      </c>
      <c r="AI17">
        <f t="shared" si="17"/>
        <v>5.3174423868406109</v>
      </c>
      <c r="AJ17">
        <f t="shared" si="18"/>
        <v>0</v>
      </c>
      <c r="AK17">
        <f t="shared" si="19"/>
        <v>20.206281069994322</v>
      </c>
      <c r="AL17">
        <f t="shared" si="20"/>
        <v>0</v>
      </c>
    </row>
    <row r="18" spans="1:38" x14ac:dyDescent="0.2">
      <c r="A18">
        <v>2035</v>
      </c>
      <c r="B18">
        <v>10</v>
      </c>
      <c r="C18">
        <f t="shared" si="21"/>
        <v>244.47262731928248</v>
      </c>
      <c r="D18">
        <f t="shared" si="23"/>
        <v>18.301145262681715</v>
      </c>
      <c r="E18">
        <f t="shared" si="4"/>
        <v>0</v>
      </c>
      <c r="F18">
        <f t="shared" si="5"/>
        <v>0</v>
      </c>
      <c r="G18" s="9">
        <f t="shared" si="6"/>
        <v>7.4859690687499036E-2</v>
      </c>
      <c r="H18" s="9">
        <f t="shared" si="6"/>
        <v>0</v>
      </c>
      <c r="I18" s="9">
        <f t="shared" si="6"/>
        <v>0</v>
      </c>
      <c r="J18" s="9">
        <f t="shared" si="7"/>
        <v>9.7317597893748758E-3</v>
      </c>
      <c r="K18" s="9">
        <f t="shared" si="8"/>
        <v>0</v>
      </c>
      <c r="L18" s="9">
        <f t="shared" si="9"/>
        <v>0</v>
      </c>
      <c r="M18">
        <f t="shared" si="0"/>
        <v>242.09347843513385</v>
      </c>
      <c r="N18">
        <f t="shared" si="10"/>
        <v>0</v>
      </c>
      <c r="O18">
        <f t="shared" si="24"/>
        <v>242.09347843513385</v>
      </c>
      <c r="P18">
        <f t="shared" si="22"/>
        <v>118.38687205875937</v>
      </c>
      <c r="Q18" s="9">
        <f t="shared" si="1"/>
        <v>0.48901305736940687</v>
      </c>
      <c r="R18">
        <f>VLOOKUP($B$1,dictionary!$A$3:$K$51,3,FALSE)*Q18</f>
        <v>9.7802611473881376E-2</v>
      </c>
      <c r="S18">
        <f>VLOOKUP($B$1,dictionary!$A$3:$K$51,4,FALSE)*Q18</f>
        <v>0</v>
      </c>
      <c r="T18">
        <f>VLOOKUP($B$1,dictionary!$A$3:$K$51,5,FALSE)*Q18</f>
        <v>9.7802611473881376E-2</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123.70660637637448</v>
      </c>
      <c r="AB18">
        <f t="shared" si="11"/>
        <v>123.70660637637448</v>
      </c>
      <c r="AC18">
        <f t="shared" si="12"/>
        <v>0</v>
      </c>
      <c r="AD18">
        <f t="shared" si="3"/>
        <v>26.637046213220859</v>
      </c>
      <c r="AE18">
        <f t="shared" si="13"/>
        <v>0</v>
      </c>
      <c r="AF18">
        <f t="shared" si="14"/>
        <v>29.596718014689841</v>
      </c>
      <c r="AG18">
        <f t="shared" si="15"/>
        <v>53.274092426441719</v>
      </c>
      <c r="AH18">
        <f t="shared" si="16"/>
        <v>0</v>
      </c>
      <c r="AI18">
        <f t="shared" si="17"/>
        <v>7.0097490034791727</v>
      </c>
      <c r="AJ18">
        <f t="shared" si="18"/>
        <v>0</v>
      </c>
      <c r="AK18">
        <f t="shared" si="19"/>
        <v>26.637046213220859</v>
      </c>
      <c r="AL18">
        <f t="shared" si="20"/>
        <v>0</v>
      </c>
    </row>
    <row r="19" spans="1:38" x14ac:dyDescent="0.2">
      <c r="A19">
        <v>2036</v>
      </c>
      <c r="B19">
        <v>11</v>
      </c>
      <c r="C19">
        <f t="shared" si="21"/>
        <v>249.60655249298739</v>
      </c>
      <c r="D19">
        <f t="shared" si="23"/>
        <v>20.544800261672165</v>
      </c>
      <c r="E19">
        <f t="shared" si="4"/>
        <v>0</v>
      </c>
      <c r="F19">
        <f t="shared" si="5"/>
        <v>0</v>
      </c>
      <c r="G19" s="9">
        <f t="shared" si="6"/>
        <v>8.2308737717329619E-2</v>
      </c>
      <c r="H19" s="9">
        <f t="shared" si="6"/>
        <v>0</v>
      </c>
      <c r="I19" s="9">
        <f t="shared" si="6"/>
        <v>0</v>
      </c>
      <c r="J19" s="9">
        <f t="shared" si="7"/>
        <v>1.070013590325285E-2</v>
      </c>
      <c r="K19" s="9">
        <f t="shared" si="8"/>
        <v>0</v>
      </c>
      <c r="L19" s="9">
        <f t="shared" si="9"/>
        <v>0</v>
      </c>
      <c r="M19">
        <f t="shared" si="0"/>
        <v>246.93572845897003</v>
      </c>
      <c r="N19">
        <f t="shared" si="10"/>
        <v>0</v>
      </c>
      <c r="O19">
        <f t="shared" si="24"/>
        <v>246.93572845897003</v>
      </c>
      <c r="P19">
        <f t="shared" si="22"/>
        <v>148.07557537885612</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98.860153080113918</v>
      </c>
      <c r="AB19">
        <f t="shared" si="11"/>
        <v>98.860153080113918</v>
      </c>
      <c r="AC19">
        <f t="shared" si="12"/>
        <v>0</v>
      </c>
      <c r="AD19">
        <f t="shared" si="3"/>
        <v>33.317004460242629</v>
      </c>
      <c r="AE19">
        <f t="shared" si="13"/>
        <v>0</v>
      </c>
      <c r="AF19">
        <f t="shared" si="14"/>
        <v>37.018893844714036</v>
      </c>
      <c r="AG19">
        <f t="shared" si="15"/>
        <v>66.634008920485257</v>
      </c>
      <c r="AH19">
        <f t="shared" si="16"/>
        <v>0</v>
      </c>
      <c r="AI19">
        <f t="shared" si="17"/>
        <v>8.7676327526954285</v>
      </c>
      <c r="AJ19">
        <f t="shared" si="18"/>
        <v>0</v>
      </c>
      <c r="AK19">
        <f t="shared" si="19"/>
        <v>33.317004460242629</v>
      </c>
      <c r="AL19">
        <f t="shared" si="20"/>
        <v>0</v>
      </c>
    </row>
    <row r="20" spans="1:38" x14ac:dyDescent="0.2">
      <c r="A20">
        <v>2037</v>
      </c>
      <c r="B20">
        <v>12</v>
      </c>
      <c r="C20">
        <f t="shared" si="21"/>
        <v>254.8482900953401</v>
      </c>
      <c r="D20">
        <f t="shared" si="23"/>
        <v>22.869513397866072</v>
      </c>
      <c r="E20">
        <f t="shared" si="4"/>
        <v>0</v>
      </c>
      <c r="F20">
        <f t="shared" si="5"/>
        <v>0</v>
      </c>
      <c r="G20" s="9">
        <f t="shared" si="6"/>
        <v>8.9737754918074841E-2</v>
      </c>
      <c r="H20" s="9">
        <f t="shared" si="6"/>
        <v>0</v>
      </c>
      <c r="I20" s="9">
        <f t="shared" si="6"/>
        <v>0</v>
      </c>
      <c r="J20" s="9">
        <f t="shared" si="7"/>
        <v>1.1665908139349731E-2</v>
      </c>
      <c r="K20" s="9">
        <f t="shared" si="8"/>
        <v>0</v>
      </c>
      <c r="L20" s="9">
        <f t="shared" si="9"/>
        <v>0</v>
      </c>
      <c r="M20">
        <f t="shared" si="0"/>
        <v>251.8752533536175</v>
      </c>
      <c r="N20">
        <f t="shared" si="10"/>
        <v>0</v>
      </c>
      <c r="O20">
        <f t="shared" si="24"/>
        <v>251.8752533536175</v>
      </c>
      <c r="P20">
        <f>IF($I$3=0,0,M20/(1+EXP(-$I$3*(B20-$J$3)))-M20/(1+EXP($I$3*$J$3)))</f>
        <v>176.30324713663887</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75.572006216978622</v>
      </c>
      <c r="AB20">
        <f t="shared" si="11"/>
        <v>75.572006216978622</v>
      </c>
      <c r="AC20">
        <f t="shared" si="12"/>
        <v>0</v>
      </c>
      <c r="AD20">
        <f t="shared" si="3"/>
        <v>39.668230605743751</v>
      </c>
      <c r="AE20">
        <f t="shared" si="13"/>
        <v>0</v>
      </c>
      <c r="AF20">
        <f t="shared" si="14"/>
        <v>44.075811784159725</v>
      </c>
      <c r="AG20">
        <f t="shared" si="15"/>
        <v>79.336461211487503</v>
      </c>
      <c r="AH20">
        <f t="shared" si="16"/>
        <v>0</v>
      </c>
      <c r="AI20">
        <f t="shared" si="17"/>
        <v>10.439008054143091</v>
      </c>
      <c r="AJ20">
        <f t="shared" si="18"/>
        <v>0</v>
      </c>
      <c r="AK20">
        <f t="shared" si="19"/>
        <v>39.668230605743751</v>
      </c>
      <c r="AL20">
        <f t="shared" si="20"/>
        <v>0</v>
      </c>
    </row>
    <row r="21" spans="1:38" x14ac:dyDescent="0.2">
      <c r="A21">
        <v>2038</v>
      </c>
      <c r="B21">
        <v>13</v>
      </c>
      <c r="C21">
        <f t="shared" si="21"/>
        <v>260.20010418734222</v>
      </c>
      <c r="D21">
        <f t="shared" si="23"/>
        <v>25.276747418889755</v>
      </c>
      <c r="E21">
        <f t="shared" si="4"/>
        <v>0</v>
      </c>
      <c r="F21">
        <f t="shared" si="5"/>
        <v>0</v>
      </c>
      <c r="G21" s="9">
        <f t="shared" si="6"/>
        <v>9.7143494610942502E-2</v>
      </c>
      <c r="H21" s="9">
        <f t="shared" si="6"/>
        <v>0</v>
      </c>
      <c r="I21" s="9">
        <f t="shared" si="6"/>
        <v>0</v>
      </c>
      <c r="J21" s="9">
        <f t="shared" si="7"/>
        <v>1.2628654299422526E-2</v>
      </c>
      <c r="K21" s="9">
        <f t="shared" si="8"/>
        <v>0</v>
      </c>
      <c r="L21" s="9">
        <f t="shared" si="9"/>
        <v>0</v>
      </c>
      <c r="M21">
        <f t="shared" si="0"/>
        <v>256.91412702288653</v>
      </c>
      <c r="N21">
        <f t="shared" si="10"/>
        <v>0</v>
      </c>
      <c r="O21">
        <f t="shared" si="24"/>
        <v>256.91412702288653</v>
      </c>
      <c r="P21">
        <f t="shared" si="22"/>
        <v>201.2004193971797</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55.713707625706832</v>
      </c>
      <c r="AB21">
        <f t="shared" si="11"/>
        <v>55.713707625706832</v>
      </c>
      <c r="AC21">
        <f t="shared" si="12"/>
        <v>0</v>
      </c>
      <c r="AD21">
        <f t="shared" si="3"/>
        <v>45.270094364365434</v>
      </c>
      <c r="AE21">
        <f t="shared" si="13"/>
        <v>0</v>
      </c>
      <c r="AF21">
        <f t="shared" si="14"/>
        <v>50.300104849294925</v>
      </c>
      <c r="AG21">
        <f t="shared" si="15"/>
        <v>90.540188728730868</v>
      </c>
      <c r="AH21">
        <f t="shared" si="16"/>
        <v>0</v>
      </c>
      <c r="AI21">
        <f t="shared" si="17"/>
        <v>11.913182727464587</v>
      </c>
      <c r="AJ21">
        <f t="shared" si="18"/>
        <v>0</v>
      </c>
      <c r="AK21">
        <f t="shared" si="19"/>
        <v>45.270094364365434</v>
      </c>
      <c r="AL21">
        <f t="shared" si="20"/>
        <v>0</v>
      </c>
    </row>
    <row r="22" spans="1:38" x14ac:dyDescent="0.2">
      <c r="A22">
        <v>2039</v>
      </c>
      <c r="B22">
        <v>14</v>
      </c>
      <c r="C22">
        <f t="shared" si="21"/>
        <v>265.6643063752764</v>
      </c>
      <c r="D22">
        <f t="shared" si="23"/>
        <v>27.76796396133085</v>
      </c>
      <c r="E22">
        <f t="shared" si="4"/>
        <v>0</v>
      </c>
      <c r="F22">
        <f t="shared" si="5"/>
        <v>0</v>
      </c>
      <c r="G22" s="9">
        <f t="shared" si="6"/>
        <v>0.10452275030920385</v>
      </c>
      <c r="H22" s="9">
        <f t="shared" si="6"/>
        <v>0</v>
      </c>
      <c r="I22" s="9">
        <f t="shared" si="6"/>
        <v>0</v>
      </c>
      <c r="J22" s="9">
        <f t="shared" si="7"/>
        <v>1.3587957540196502E-2</v>
      </c>
      <c r="K22" s="9">
        <f t="shared" si="8"/>
        <v>0</v>
      </c>
      <c r="L22" s="9">
        <f t="shared" si="9"/>
        <v>0</v>
      </c>
      <c r="M22">
        <f t="shared" si="0"/>
        <v>262.0544710603034</v>
      </c>
      <c r="N22">
        <f t="shared" si="10"/>
        <v>0</v>
      </c>
      <c r="O22">
        <f t="shared" si="24"/>
        <v>262.0544710603034</v>
      </c>
      <c r="P22">
        <f t="shared" si="22"/>
        <v>222.00258783883532</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40.051883221468074</v>
      </c>
      <c r="AB22">
        <f t="shared" si="11"/>
        <v>40.051883221468074</v>
      </c>
      <c r="AC22">
        <f t="shared" si="12"/>
        <v>0</v>
      </c>
      <c r="AD22">
        <f t="shared" si="3"/>
        <v>49.95058226373795</v>
      </c>
      <c r="AE22">
        <f t="shared" si="13"/>
        <v>0</v>
      </c>
      <c r="AF22">
        <f t="shared" si="14"/>
        <v>55.500646959708831</v>
      </c>
      <c r="AG22">
        <f t="shared" si="15"/>
        <v>99.901164527475899</v>
      </c>
      <c r="AH22">
        <f t="shared" si="16"/>
        <v>0</v>
      </c>
      <c r="AI22">
        <f t="shared" si="17"/>
        <v>13.144890069404722</v>
      </c>
      <c r="AJ22">
        <f t="shared" si="18"/>
        <v>0</v>
      </c>
      <c r="AK22">
        <f t="shared" si="19"/>
        <v>49.95058226373795</v>
      </c>
      <c r="AL22">
        <f t="shared" si="20"/>
        <v>0</v>
      </c>
    </row>
    <row r="23" spans="1:38" x14ac:dyDescent="0.2">
      <c r="A23">
        <v>2040</v>
      </c>
      <c r="B23">
        <v>15</v>
      </c>
      <c r="C23">
        <f t="shared" si="21"/>
        <v>271.24325680915717</v>
      </c>
      <c r="D23">
        <f t="shared" si="23"/>
        <v>30.344623857966525</v>
      </c>
      <c r="E23">
        <f t="shared" si="4"/>
        <v>0</v>
      </c>
      <c r="F23">
        <f t="shared" si="5"/>
        <v>0</v>
      </c>
      <c r="G23" s="9">
        <f t="shared" si="6"/>
        <v>0.11187236215540858</v>
      </c>
      <c r="H23" s="9">
        <f t="shared" si="6"/>
        <v>0</v>
      </c>
      <c r="I23" s="9">
        <f t="shared" si="6"/>
        <v>0</v>
      </c>
      <c r="J23" s="9">
        <f t="shared" si="7"/>
        <v>1.4543407080203116E-2</v>
      </c>
      <c r="K23" s="9">
        <f t="shared" si="8"/>
        <v>0</v>
      </c>
      <c r="L23" s="9">
        <f t="shared" si="9"/>
        <v>0</v>
      </c>
      <c r="M23">
        <f t="shared" si="0"/>
        <v>267.29845570762154</v>
      </c>
      <c r="N23">
        <f t="shared" si="10"/>
        <v>0</v>
      </c>
      <c r="O23">
        <f t="shared" si="24"/>
        <v>267.29845570762154</v>
      </c>
      <c r="P23">
        <f t="shared" si="22"/>
        <v>238.87489818943575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28.423557518185788</v>
      </c>
      <c r="AB23">
        <f t="shared" si="11"/>
        <v>28.423557518185788</v>
      </c>
      <c r="AC23">
        <f t="shared" si="12"/>
        <v>0</v>
      </c>
      <c r="AD23">
        <f t="shared" si="3"/>
        <v>53.746852092623051</v>
      </c>
      <c r="AE23">
        <f t="shared" si="13"/>
        <v>0</v>
      </c>
      <c r="AF23">
        <f t="shared" si="14"/>
        <v>59.718724547358946</v>
      </c>
      <c r="AG23">
        <f t="shared" si="15"/>
        <v>107.49370418524609</v>
      </c>
      <c r="AH23">
        <f t="shared" si="16"/>
        <v>0</v>
      </c>
      <c r="AI23">
        <f t="shared" si="17"/>
        <v>14.143908445427117</v>
      </c>
      <c r="AJ23">
        <f t="shared" si="18"/>
        <v>0</v>
      </c>
      <c r="AK23">
        <f t="shared" si="19"/>
        <v>53.746852092623051</v>
      </c>
      <c r="AL23">
        <f t="shared" si="20"/>
        <v>0</v>
      </c>
    </row>
    <row r="24" spans="1:38" x14ac:dyDescent="0.2">
      <c r="A24">
        <v>2041</v>
      </c>
      <c r="B24">
        <v>16</v>
      </c>
      <c r="C24">
        <f t="shared" si="21"/>
        <v>276.93936520214947</v>
      </c>
      <c r="D24">
        <f t="shared" si="23"/>
        <v>33.008187531014102</v>
      </c>
      <c r="E24">
        <f t="shared" si="4"/>
        <v>0</v>
      </c>
      <c r="F24">
        <f t="shared" si="5"/>
        <v>0</v>
      </c>
      <c r="G24" s="9">
        <f t="shared" si="6"/>
        <v>0.11918922218558586</v>
      </c>
      <c r="H24" s="9">
        <f t="shared" si="6"/>
        <v>0</v>
      </c>
      <c r="I24" s="9">
        <f t="shared" si="6"/>
        <v>0</v>
      </c>
      <c r="J24" s="9">
        <f t="shared" si="7"/>
        <v>1.5494598884126163E-2</v>
      </c>
      <c r="K24" s="9">
        <f t="shared" si="8"/>
        <v>0</v>
      </c>
      <c r="L24" s="9">
        <f t="shared" si="9"/>
        <v>0</v>
      </c>
      <c r="M24">
        <f t="shared" si="0"/>
        <v>272.64830082311761</v>
      </c>
      <c r="N24">
        <f t="shared" si="10"/>
        <v>0</v>
      </c>
      <c r="O24">
        <f t="shared" si="24"/>
        <v>272.64830082311761</v>
      </c>
      <c r="P24">
        <f t="shared" si="22"/>
        <v>252.48315105757604</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20.165149765541571</v>
      </c>
      <c r="AB24">
        <f t="shared" si="11"/>
        <v>20.165149765541571</v>
      </c>
      <c r="AC24">
        <f t="shared" si="12"/>
        <v>0</v>
      </c>
      <c r="AD24">
        <f t="shared" si="3"/>
        <v>56.80870898795461</v>
      </c>
      <c r="AE24">
        <f t="shared" si="13"/>
        <v>0</v>
      </c>
      <c r="AF24">
        <f t="shared" si="14"/>
        <v>63.120787764394009</v>
      </c>
      <c r="AG24">
        <f t="shared" si="15"/>
        <v>113.61741797590922</v>
      </c>
      <c r="AH24">
        <f t="shared" si="16"/>
        <v>0</v>
      </c>
      <c r="AI24">
        <f t="shared" si="17"/>
        <v>14.949660259988054</v>
      </c>
      <c r="AJ24">
        <f t="shared" si="18"/>
        <v>0</v>
      </c>
      <c r="AK24">
        <f t="shared" si="19"/>
        <v>56.80870898795461</v>
      </c>
      <c r="AL24">
        <f t="shared" si="20"/>
        <v>0</v>
      </c>
    </row>
    <row r="25" spans="1:38" x14ac:dyDescent="0.2">
      <c r="A25">
        <v>2042</v>
      </c>
      <c r="B25">
        <v>17</v>
      </c>
      <c r="C25">
        <f t="shared" si="21"/>
        <v>282.7550918713946</v>
      </c>
      <c r="D25">
        <f t="shared" si="23"/>
        <v>35.76011547143068</v>
      </c>
      <c r="E25">
        <f t="shared" si="4"/>
        <v>0</v>
      </c>
      <c r="F25">
        <f t="shared" si="5"/>
        <v>0</v>
      </c>
      <c r="G25" s="9">
        <f t="shared" si="6"/>
        <v>0.12647027940241459</v>
      </c>
      <c r="H25" s="9">
        <f t="shared" si="6"/>
        <v>0</v>
      </c>
      <c r="I25" s="9">
        <f t="shared" si="6"/>
        <v>0</v>
      </c>
      <c r="J25" s="9">
        <f t="shared" si="7"/>
        <v>1.6441136322313896E-2</v>
      </c>
      <c r="K25" s="9">
        <f t="shared" si="8"/>
        <v>0</v>
      </c>
      <c r="L25" s="9">
        <f t="shared" si="9"/>
        <v>0</v>
      </c>
      <c r="M25">
        <f t="shared" si="0"/>
        <v>278.10627686010861</v>
      </c>
      <c r="N25">
        <f t="shared" si="10"/>
        <v>0</v>
      </c>
      <c r="O25">
        <f t="shared" si="24"/>
        <v>278.10627686010861</v>
      </c>
      <c r="P25">
        <f>IF($I$3=0,0,M25/(1+EXP(-$I$3*(B25-$J$3)))-M25/(1+EXP($I$3*$J$3)))</f>
        <v>263.62299675928449</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14.483280100824118</v>
      </c>
      <c r="AB25">
        <f t="shared" si="11"/>
        <v>14.483280100824118</v>
      </c>
      <c r="AC25">
        <f t="shared" si="12"/>
        <v>0</v>
      </c>
      <c r="AD25">
        <f t="shared" si="3"/>
        <v>59.315174270839023</v>
      </c>
      <c r="AE25">
        <f t="shared" si="13"/>
        <v>0</v>
      </c>
      <c r="AF25">
        <f t="shared" si="14"/>
        <v>65.905749189821137</v>
      </c>
      <c r="AG25">
        <f t="shared" si="15"/>
        <v>118.63034854167802</v>
      </c>
      <c r="AH25">
        <f t="shared" si="16"/>
        <v>0</v>
      </c>
      <c r="AI25">
        <f t="shared" si="17"/>
        <v>15.609256387062899</v>
      </c>
      <c r="AJ25">
        <f t="shared" si="18"/>
        <v>0</v>
      </c>
      <c r="AK25">
        <f t="shared" si="19"/>
        <v>59.315174270839023</v>
      </c>
      <c r="AL25">
        <f t="shared" si="20"/>
        <v>0</v>
      </c>
    </row>
    <row r="26" spans="1:38" x14ac:dyDescent="0.2">
      <c r="A26">
        <v>2043</v>
      </c>
      <c r="B26">
        <v>18</v>
      </c>
      <c r="C26">
        <f t="shared" si="21"/>
        <v>288.69294880069384</v>
      </c>
      <c r="D26">
        <f t="shared" si="23"/>
        <v>38.60186880392115</v>
      </c>
      <c r="E26">
        <f t="shared" si="4"/>
        <v>0</v>
      </c>
      <c r="F26">
        <f t="shared" si="5"/>
        <v>0</v>
      </c>
      <c r="G26" s="9">
        <f t="shared" si="6"/>
        <v>0.13371254464053739</v>
      </c>
      <c r="H26" s="9">
        <f t="shared" si="6"/>
        <v>0</v>
      </c>
      <c r="I26" s="9">
        <f t="shared" si="6"/>
        <v>0</v>
      </c>
      <c r="J26" s="9">
        <f t="shared" si="7"/>
        <v>1.738263080326986E-2</v>
      </c>
      <c r="K26" s="9">
        <f t="shared" si="8"/>
        <v>0</v>
      </c>
      <c r="L26" s="9">
        <f t="shared" si="9"/>
        <v>0</v>
      </c>
      <c r="M26">
        <f t="shared" si="0"/>
        <v>283.67470585618412</v>
      </c>
      <c r="N26">
        <f t="shared" si="10"/>
        <v>0</v>
      </c>
      <c r="O26">
        <f t="shared" si="24"/>
        <v>283.67470585618412</v>
      </c>
      <c r="P26">
        <f t="shared" si="22"/>
        <v>273.01309380761558</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10.661612048568543</v>
      </c>
      <c r="AB26">
        <f t="shared" si="11"/>
        <v>10.661612048568543</v>
      </c>
      <c r="AC26">
        <f t="shared" si="12"/>
        <v>0</v>
      </c>
      <c r="AD26">
        <f t="shared" si="3"/>
        <v>61.427946106713513</v>
      </c>
      <c r="AE26">
        <f t="shared" si="13"/>
        <v>0</v>
      </c>
      <c r="AF26">
        <f t="shared" si="14"/>
        <v>68.253273451903908</v>
      </c>
      <c r="AG26">
        <f t="shared" si="15"/>
        <v>122.85589221342701</v>
      </c>
      <c r="AH26">
        <f t="shared" si="16"/>
        <v>0</v>
      </c>
      <c r="AI26">
        <f t="shared" si="17"/>
        <v>16.165248975450925</v>
      </c>
      <c r="AJ26">
        <f t="shared" si="18"/>
        <v>0</v>
      </c>
      <c r="AK26">
        <f t="shared" si="19"/>
        <v>61.427946106713513</v>
      </c>
      <c r="AL26">
        <f t="shared" si="20"/>
        <v>0</v>
      </c>
    </row>
    <row r="27" spans="1:38" x14ac:dyDescent="0.2">
      <c r="A27">
        <v>2044</v>
      </c>
      <c r="B27">
        <v>19</v>
      </c>
      <c r="C27">
        <f t="shared" si="21"/>
        <v>294.7555007255084</v>
      </c>
      <c r="D27">
        <f t="shared" si="23"/>
        <v>41.534909936955529</v>
      </c>
      <c r="E27">
        <f t="shared" si="4"/>
        <v>0</v>
      </c>
      <c r="F27">
        <f t="shared" si="5"/>
        <v>0</v>
      </c>
      <c r="G27" s="9">
        <f t="shared" si="6"/>
        <v>0.14091309520847581</v>
      </c>
      <c r="H27" s="9">
        <f t="shared" si="6"/>
        <v>0</v>
      </c>
      <c r="I27" s="9">
        <f t="shared" si="6"/>
        <v>0</v>
      </c>
      <c r="J27" s="9">
        <f t="shared" si="7"/>
        <v>1.8318702377101856E-2</v>
      </c>
      <c r="K27" s="9">
        <f t="shared" si="8"/>
        <v>0</v>
      </c>
      <c r="L27" s="9">
        <f t="shared" si="9"/>
        <v>0</v>
      </c>
      <c r="M27">
        <f t="shared" si="0"/>
        <v>289.35596243370418</v>
      </c>
      <c r="N27">
        <f t="shared" si="10"/>
        <v>0</v>
      </c>
      <c r="O27">
        <f t="shared" si="24"/>
        <v>289.35596243370418</v>
      </c>
      <c r="P27">
        <f t="shared" si="22"/>
        <v>281.22188393380583</v>
      </c>
      <c r="Q27" s="9">
        <f t="shared" si="1"/>
        <v>0.97188902405367927</v>
      </c>
      <c r="R27">
        <f>VLOOKUP($B$1,dictionary!$A$3:$K$51,3,FALSE)*Q27</f>
        <v>0.19437780481073585</v>
      </c>
      <c r="S27">
        <f>VLOOKUP($B$1,dictionary!$A$3:$K$51,4,FALSE)*Q27</f>
        <v>0</v>
      </c>
      <c r="T27">
        <f>VLOOKUP($B$1,dictionary!$A$3:$K$51,5,FALSE)*Q27</f>
        <v>0.19437780481073585</v>
      </c>
      <c r="U27">
        <f>VLOOKUP($B$1,dictionary!$A$3:$K$51,6,FALSE)*Q27</f>
        <v>0.34016115841878775</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8.1340784998983509</v>
      </c>
      <c r="AB27">
        <f t="shared" si="11"/>
        <v>8.1340784998983509</v>
      </c>
      <c r="AC27">
        <f t="shared" si="12"/>
        <v>0</v>
      </c>
      <c r="AD27">
        <f t="shared" si="3"/>
        <v>63.274923885106311</v>
      </c>
      <c r="AE27">
        <f t="shared" si="13"/>
        <v>0</v>
      </c>
      <c r="AF27">
        <f t="shared" si="14"/>
        <v>70.305470983451457</v>
      </c>
      <c r="AG27">
        <f t="shared" si="15"/>
        <v>126.54984777021264</v>
      </c>
      <c r="AH27">
        <f t="shared" si="16"/>
        <v>0</v>
      </c>
      <c r="AI27">
        <f t="shared" si="17"/>
        <v>16.651295759238501</v>
      </c>
      <c r="AJ27">
        <f t="shared" si="18"/>
        <v>0</v>
      </c>
      <c r="AK27">
        <f t="shared" si="19"/>
        <v>63.274923885106311</v>
      </c>
      <c r="AL27">
        <f t="shared" si="20"/>
        <v>0</v>
      </c>
    </row>
    <row r="28" spans="1:38" x14ac:dyDescent="0.2">
      <c r="A28">
        <v>2045</v>
      </c>
      <c r="B28">
        <v>20</v>
      </c>
      <c r="C28">
        <f t="shared" si="21"/>
        <v>300.94536624074402</v>
      </c>
      <c r="D28">
        <f t="shared" si="23"/>
        <v>44.560703296753076</v>
      </c>
      <c r="E28">
        <f t="shared" si="4"/>
        <v>0</v>
      </c>
      <c r="F28">
        <f t="shared" si="5"/>
        <v>0</v>
      </c>
      <c r="G28" s="9">
        <f t="shared" si="6"/>
        <v>0.1480690792929715</v>
      </c>
      <c r="H28" s="9">
        <f t="shared" si="6"/>
        <v>0</v>
      </c>
      <c r="I28" s="9">
        <f t="shared" si="6"/>
        <v>0</v>
      </c>
      <c r="J28" s="9">
        <f t="shared" si="7"/>
        <v>1.9248980308086295E-2</v>
      </c>
      <c r="K28" s="9">
        <f t="shared" si="8"/>
        <v>0</v>
      </c>
      <c r="L28" s="9">
        <f t="shared" si="9"/>
        <v>0</v>
      </c>
      <c r="M28">
        <f t="shared" si="0"/>
        <v>295.15247481216613</v>
      </c>
      <c r="N28">
        <f t="shared" si="10"/>
        <v>0</v>
      </c>
      <c r="O28">
        <f t="shared" si="24"/>
        <v>295.15247481216613</v>
      </c>
      <c r="P28">
        <f t="shared" si="22"/>
        <v>288.66682819608843</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6.4856466160777018</v>
      </c>
      <c r="AB28">
        <f t="shared" si="11"/>
        <v>6.4856466160777018</v>
      </c>
      <c r="AC28">
        <f t="shared" si="12"/>
        <v>0</v>
      </c>
      <c r="AD28">
        <f t="shared" si="3"/>
        <v>64.950036344119894</v>
      </c>
      <c r="AE28">
        <f t="shared" si="13"/>
        <v>0</v>
      </c>
      <c r="AF28">
        <f t="shared" si="14"/>
        <v>72.166707049022108</v>
      </c>
      <c r="AG28">
        <f t="shared" si="15"/>
        <v>129.90007268823979</v>
      </c>
      <c r="AH28">
        <f t="shared" si="16"/>
        <v>0</v>
      </c>
      <c r="AI28">
        <f t="shared" si="17"/>
        <v>17.092114827399971</v>
      </c>
      <c r="AJ28">
        <f t="shared" si="18"/>
        <v>0</v>
      </c>
      <c r="AK28">
        <f t="shared" si="19"/>
        <v>64.950036344119894</v>
      </c>
      <c r="AL28">
        <f t="shared" si="20"/>
        <v>0</v>
      </c>
    </row>
    <row r="29" spans="1:38" x14ac:dyDescent="0.2">
      <c r="A29">
        <v>2046</v>
      </c>
      <c r="B29">
        <v>21</v>
      </c>
      <c r="C29">
        <f t="shared" si="21"/>
        <v>307.26521893179961</v>
      </c>
      <c r="D29">
        <f t="shared" si="23"/>
        <v>47.680716143857978</v>
      </c>
      <c r="E29">
        <f t="shared" si="4"/>
        <v>0</v>
      </c>
      <c r="F29">
        <f t="shared" si="5"/>
        <v>0</v>
      </c>
      <c r="G29" s="9">
        <f t="shared" si="6"/>
        <v>0.15517772011299841</v>
      </c>
      <c r="H29" s="9">
        <f t="shared" si="6"/>
        <v>0</v>
      </c>
      <c r="I29" s="9">
        <f t="shared" si="6"/>
        <v>0</v>
      </c>
      <c r="J29" s="9">
        <f t="shared" si="7"/>
        <v>2.0173103614689793E-2</v>
      </c>
      <c r="K29" s="9">
        <f t="shared" si="8"/>
        <v>0</v>
      </c>
      <c r="L29" s="9">
        <f t="shared" si="9"/>
        <v>0</v>
      </c>
      <c r="M29">
        <f t="shared" si="0"/>
        <v>301.06672583309808</v>
      </c>
      <c r="N29">
        <f t="shared" si="10"/>
        <v>0</v>
      </c>
      <c r="O29">
        <f t="shared" si="24"/>
        <v>301.06672583309808</v>
      </c>
      <c r="P29">
        <f t="shared" si="22"/>
        <v>295.64134393277317</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5.4253819003249077</v>
      </c>
      <c r="AB29">
        <f t="shared" si="11"/>
        <v>5.4253819003249077</v>
      </c>
      <c r="AC29">
        <f t="shared" si="12"/>
        <v>0</v>
      </c>
      <c r="AD29">
        <f t="shared" si="3"/>
        <v>66.519302384873967</v>
      </c>
      <c r="AE29">
        <f t="shared" si="13"/>
        <v>0</v>
      </c>
      <c r="AF29">
        <f t="shared" si="14"/>
        <v>73.910335983193306</v>
      </c>
      <c r="AG29">
        <f t="shared" si="15"/>
        <v>133.03860476974793</v>
      </c>
      <c r="AH29">
        <f t="shared" si="16"/>
        <v>0</v>
      </c>
      <c r="AI29">
        <f t="shared" si="17"/>
        <v>17.505079574966832</v>
      </c>
      <c r="AJ29">
        <f t="shared" si="18"/>
        <v>0</v>
      </c>
      <c r="AK29">
        <f t="shared" si="19"/>
        <v>66.519302384873967</v>
      </c>
      <c r="AL29">
        <f t="shared" si="20"/>
        <v>0</v>
      </c>
    </row>
    <row r="30" spans="1:38" x14ac:dyDescent="0.2">
      <c r="A30">
        <v>2047</v>
      </c>
      <c r="B30">
        <v>22</v>
      </c>
      <c r="C30">
        <f t="shared" si="21"/>
        <v>313.7177885293674</v>
      </c>
      <c r="D30">
        <f t="shared" si="23"/>
        <v>50.896419470619946</v>
      </c>
      <c r="E30">
        <f t="shared" si="4"/>
        <v>0</v>
      </c>
      <c r="F30">
        <f t="shared" si="5"/>
        <v>0</v>
      </c>
      <c r="G30" s="9">
        <f t="shared" si="6"/>
        <v>0.16223631981217887</v>
      </c>
      <c r="H30" s="9">
        <f t="shared" si="6"/>
        <v>0</v>
      </c>
      <c r="I30" s="9">
        <f t="shared" si="6"/>
        <v>0</v>
      </c>
      <c r="J30" s="9">
        <f t="shared" si="7"/>
        <v>2.1090721575583254E-2</v>
      </c>
      <c r="K30" s="9">
        <f t="shared" si="8"/>
        <v>0</v>
      </c>
      <c r="L30" s="9">
        <f t="shared" si="9"/>
        <v>0</v>
      </c>
      <c r="M30">
        <f t="shared" si="0"/>
        <v>307.10125399818679</v>
      </c>
      <c r="N30">
        <f t="shared" si="10"/>
        <v>0</v>
      </c>
      <c r="O30">
        <f t="shared" si="24"/>
        <v>307.10125399818679</v>
      </c>
      <c r="P30">
        <f t="shared" si="22"/>
        <v>302.34633901268211</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4.7549149855046835</v>
      </c>
      <c r="AB30">
        <f t="shared" si="11"/>
        <v>4.7549149855046835</v>
      </c>
      <c r="AC30">
        <f t="shared" si="12"/>
        <v>0</v>
      </c>
      <c r="AD30">
        <f t="shared" si="3"/>
        <v>68.027926277853481</v>
      </c>
      <c r="AE30">
        <f t="shared" si="13"/>
        <v>0</v>
      </c>
      <c r="AF30">
        <f t="shared" si="14"/>
        <v>75.586584753170527</v>
      </c>
      <c r="AG30">
        <f t="shared" si="15"/>
        <v>136.05585255570693</v>
      </c>
      <c r="AH30">
        <f t="shared" si="16"/>
        <v>0</v>
      </c>
      <c r="AI30">
        <f t="shared" si="17"/>
        <v>17.902085862593019</v>
      </c>
      <c r="AJ30">
        <f t="shared" si="18"/>
        <v>0</v>
      </c>
      <c r="AK30">
        <f t="shared" si="19"/>
        <v>68.027926277853481</v>
      </c>
      <c r="AL30">
        <f t="shared" si="20"/>
        <v>0</v>
      </c>
    </row>
    <row r="31" spans="1:38" x14ac:dyDescent="0.2">
      <c r="A31">
        <v>2048</v>
      </c>
      <c r="B31">
        <v>23</v>
      </c>
      <c r="C31">
        <f t="shared" si="21"/>
        <v>320.3058620884841</v>
      </c>
      <c r="D31">
        <f t="shared" si="23"/>
        <v>54.209288977597765</v>
      </c>
      <c r="E31">
        <f t="shared" si="4"/>
        <v>0</v>
      </c>
      <c r="F31">
        <f t="shared" si="5"/>
        <v>0</v>
      </c>
      <c r="G31" s="9">
        <f t="shared" si="6"/>
        <v>0.16924226307985121</v>
      </c>
      <c r="H31" s="9">
        <f t="shared" si="6"/>
        <v>0</v>
      </c>
      <c r="I31" s="9">
        <f t="shared" si="6"/>
        <v>0</v>
      </c>
      <c r="J31" s="9">
        <f t="shared" si="7"/>
        <v>2.200149420038066E-2</v>
      </c>
      <c r="K31" s="9">
        <f t="shared" si="8"/>
        <v>0</v>
      </c>
      <c r="L31" s="9">
        <f t="shared" si="9"/>
        <v>0</v>
      </c>
      <c r="M31">
        <f t="shared" si="0"/>
        <v>313.25865452139641</v>
      </c>
      <c r="N31">
        <f t="shared" si="10"/>
        <v>0</v>
      </c>
      <c r="O31">
        <f t="shared" si="24"/>
        <v>313.25865452139641</v>
      </c>
      <c r="P31">
        <f t="shared" si="22"/>
        <v>308.91733697003389</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4.341317551362522</v>
      </c>
      <c r="AB31">
        <f t="shared" si="11"/>
        <v>4.341317551362522</v>
      </c>
      <c r="AC31">
        <f t="shared" si="12"/>
        <v>0</v>
      </c>
      <c r="AD31">
        <f t="shared" si="3"/>
        <v>69.506400818257632</v>
      </c>
      <c r="AE31">
        <f t="shared" si="13"/>
        <v>0</v>
      </c>
      <c r="AF31">
        <f t="shared" si="14"/>
        <v>77.229334242508486</v>
      </c>
      <c r="AG31">
        <f t="shared" si="15"/>
        <v>139.01280163651523</v>
      </c>
      <c r="AH31">
        <f t="shared" si="16"/>
        <v>0</v>
      </c>
      <c r="AI31">
        <f t="shared" si="17"/>
        <v>18.291158110067798</v>
      </c>
      <c r="AJ31">
        <f t="shared" si="18"/>
        <v>0</v>
      </c>
      <c r="AK31">
        <f t="shared" si="19"/>
        <v>69.506400818257632</v>
      </c>
      <c r="AL31">
        <f t="shared" si="20"/>
        <v>0</v>
      </c>
    </row>
    <row r="32" spans="1:38" x14ac:dyDescent="0.2">
      <c r="A32">
        <v>2049</v>
      </c>
      <c r="B32">
        <v>24</v>
      </c>
      <c r="C32">
        <f t="shared" si="21"/>
        <v>327.03228519234221</v>
      </c>
      <c r="D32">
        <f t="shared" si="23"/>
        <v>57.62080612663334</v>
      </c>
      <c r="E32">
        <f t="shared" si="4"/>
        <v>0</v>
      </c>
      <c r="F32">
        <f t="shared" si="5"/>
        <v>0</v>
      </c>
      <c r="G32" s="9">
        <f t="shared" si="6"/>
        <v>0.17619302049259139</v>
      </c>
      <c r="H32" s="9">
        <f t="shared" si="6"/>
        <v>0</v>
      </c>
      <c r="I32" s="9">
        <f t="shared" si="6"/>
        <v>0</v>
      </c>
      <c r="J32" s="9">
        <f t="shared" si="7"/>
        <v>2.2905092664036883E-2</v>
      </c>
      <c r="K32" s="9">
        <f t="shared" si="8"/>
        <v>0</v>
      </c>
      <c r="L32" s="9">
        <f t="shared" si="9"/>
        <v>0</v>
      </c>
      <c r="M32">
        <f t="shared" si="0"/>
        <v>319.54158039587992</v>
      </c>
      <c r="N32">
        <f t="shared" si="10"/>
        <v>0</v>
      </c>
      <c r="O32">
        <f t="shared" si="24"/>
        <v>319.54158039587992</v>
      </c>
      <c r="P32">
        <f t="shared" si="22"/>
        <v>315.445095177528</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4.0964852183519156</v>
      </c>
      <c r="AB32">
        <f t="shared" si="11"/>
        <v>4.0964852183519156</v>
      </c>
      <c r="AC32">
        <f t="shared" si="12"/>
        <v>0</v>
      </c>
      <c r="AD32">
        <f t="shared" si="3"/>
        <v>70.975146414943808</v>
      </c>
      <c r="AE32">
        <f t="shared" si="13"/>
        <v>0</v>
      </c>
      <c r="AF32">
        <f t="shared" si="14"/>
        <v>78.861273794382015</v>
      </c>
      <c r="AG32">
        <f t="shared" si="15"/>
        <v>141.95029282988759</v>
      </c>
      <c r="AH32">
        <f t="shared" si="16"/>
        <v>0</v>
      </c>
      <c r="AI32">
        <f t="shared" si="17"/>
        <v>18.677670109195738</v>
      </c>
      <c r="AJ32">
        <f t="shared" si="18"/>
        <v>0</v>
      </c>
      <c r="AK32">
        <f t="shared" si="19"/>
        <v>70.975146414943808</v>
      </c>
      <c r="AL32">
        <f t="shared" si="20"/>
        <v>0</v>
      </c>
    </row>
    <row r="33" spans="1:38" x14ac:dyDescent="0.2">
      <c r="A33">
        <v>2050</v>
      </c>
      <c r="B33">
        <v>25</v>
      </c>
      <c r="C33">
        <f t="shared" si="21"/>
        <v>333.89996318138139</v>
      </c>
      <c r="D33">
        <f t="shared" si="23"/>
        <v>61.132459268091878</v>
      </c>
      <c r="E33">
        <f t="shared" si="4"/>
        <v>0</v>
      </c>
      <c r="F33">
        <f t="shared" si="5"/>
        <v>0</v>
      </c>
      <c r="G33" s="9">
        <f t="shared" si="6"/>
        <v>0.18308615156954497</v>
      </c>
      <c r="H33" s="9">
        <f t="shared" si="6"/>
        <v>0</v>
      </c>
      <c r="I33" s="9">
        <f t="shared" si="6"/>
        <v>0</v>
      </c>
      <c r="J33" s="9">
        <f t="shared" si="7"/>
        <v>2.3801199704040849E-2</v>
      </c>
      <c r="K33" s="9">
        <f t="shared" si="8"/>
        <v>0</v>
      </c>
      <c r="L33" s="9">
        <f t="shared" si="9"/>
        <v>0</v>
      </c>
      <c r="M33">
        <f t="shared" si="0"/>
        <v>325.95274347652946</v>
      </c>
      <c r="N33">
        <f t="shared" si="10"/>
        <v>0</v>
      </c>
      <c r="O33">
        <f t="shared" si="24"/>
        <v>325.95274347652946</v>
      </c>
      <c r="P33">
        <f t="shared" si="22"/>
        <v>321.99031430424958</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3.962429172279883</v>
      </c>
      <c r="AB33">
        <f t="shared" si="11"/>
        <v>3.962429172279883</v>
      </c>
      <c r="AC33">
        <f t="shared" si="12"/>
        <v>0</v>
      </c>
      <c r="AD33">
        <f t="shared" si="3"/>
        <v>72.447820718456157</v>
      </c>
      <c r="AE33">
        <f t="shared" si="13"/>
        <v>0</v>
      </c>
      <c r="AF33">
        <f t="shared" si="14"/>
        <v>80.497578576062395</v>
      </c>
      <c r="AG33">
        <f t="shared" si="15"/>
        <v>144.89564143691229</v>
      </c>
      <c r="AH33">
        <f t="shared" si="16"/>
        <v>0</v>
      </c>
      <c r="AI33">
        <f t="shared" si="17"/>
        <v>19.065215978541094</v>
      </c>
      <c r="AJ33">
        <f t="shared" si="18"/>
        <v>0</v>
      </c>
      <c r="AK33">
        <f t="shared" si="19"/>
        <v>72.447820718456157</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60BB-D486-9B4E-B51A-EC9B3AB5FAE8}">
  <sheetPr>
    <tabColor theme="4" tint="0.79998168889431442"/>
  </sheetPr>
  <dimension ref="A1:AY37"/>
  <sheetViews>
    <sheetView topLeftCell="G1" zoomScale="93" zoomScaleNormal="125" workbookViewId="0">
      <selection activeCell="AB10" sqref="AB10"/>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LNG</v>
      </c>
      <c r="C2" s="14" t="str">
        <f>VLOOKUP(B1,dictionary!$A$3:$N$51,12,FALSE)</f>
        <v>Yes</v>
      </c>
      <c r="D2" t="s">
        <v>77</v>
      </c>
      <c r="E2" s="5">
        <f>IF(C2="Yes",MAIN!B4,0)</f>
        <v>0.03</v>
      </c>
      <c r="F2" s="5">
        <f>MAIN!C4</f>
        <v>0.13</v>
      </c>
      <c r="G2" s="11">
        <f>MAIN!D4</f>
        <v>5</v>
      </c>
      <c r="H2" t="s">
        <v>73</v>
      </c>
      <c r="I2" s="5">
        <f>MAIN!B1</f>
        <v>2.1000000000000001E-2</v>
      </c>
      <c r="J2" s="4"/>
      <c r="K2" s="4"/>
      <c r="L2" s="13"/>
      <c r="AC2" t="str">
        <f>B2</f>
        <v>LNG</v>
      </c>
      <c r="AD2">
        <f>VLOOKUP(AC2,efficiency!$A$2:$K$6,2,FALSE)</f>
        <v>1.125</v>
      </c>
      <c r="AE2">
        <f>VLOOKUP(AC2,efficiency!$A$2:$K$6,3,FALSE)</f>
        <v>0.5</v>
      </c>
      <c r="AF2">
        <f>VLOOKUP(AC2,efficiency!$A$2:$K$6,4,FALSE)</f>
        <v>1.25</v>
      </c>
      <c r="AG2">
        <f>VLOOKUP(AC2,efficiency!$A$2:$K$6,5,FALSE)</f>
        <v>1.2857142857142858</v>
      </c>
      <c r="AH2">
        <f>VLOOKUP(AC2,efficiency!$A$2:$K$6,6,FALSE)</f>
        <v>1.1842105263157894</v>
      </c>
      <c r="AI2">
        <f>VLOOKUP(AC2,efficiency!$A$2:$K$6,7,FALSE)</f>
        <v>1.1842105263157894</v>
      </c>
      <c r="AJ2">
        <f>VLOOKUP(AC2,efficiency!$A$2:$K$6,8,FALSE)</f>
        <v>1.1842105263157894</v>
      </c>
      <c r="AK2">
        <f>VLOOKUP(AC2,efficiency!$A$2:$K$6,9,FALSE)</f>
        <v>1.125</v>
      </c>
      <c r="AL2">
        <f>VLOOKUP(AC2,efficiency!$A$2:$K$6,10,FALSE)</f>
        <v>0.5</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LNG</v>
      </c>
      <c r="P7" t="s">
        <v>163</v>
      </c>
      <c r="Q7" t="s">
        <v>164</v>
      </c>
      <c r="R7" s="1" t="s">
        <v>53</v>
      </c>
      <c r="S7" s="1" t="s">
        <v>54</v>
      </c>
      <c r="T7" s="1" t="s">
        <v>55</v>
      </c>
      <c r="U7" s="1" t="s">
        <v>56</v>
      </c>
      <c r="V7" s="1" t="s">
        <v>57</v>
      </c>
      <c r="W7" s="1" t="s">
        <v>58</v>
      </c>
      <c r="X7" s="1" t="s">
        <v>59</v>
      </c>
      <c r="Y7" s="1" t="s">
        <v>60</v>
      </c>
      <c r="Z7" s="1" t="s">
        <v>61</v>
      </c>
      <c r="AA7" s="1" t="s">
        <v>186</v>
      </c>
      <c r="AB7" s="1" t="str">
        <f>O7</f>
        <v>LNG</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emissions!N26</f>
        <v>198.59706183540879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198.59706183540879</v>
      </c>
      <c r="N8">
        <f>IF($N$7="LFO",M8/(1+EXP(-$I$4*(B8-$J$4)))-M8/(1+EXP($I$4*$J$4)),IF($N$7="MGO",M8/(1+EXP(-$I$5*(B8-$J$5)))-M8/(1+EXP($I$5*$J$5)),0))</f>
        <v>0</v>
      </c>
      <c r="O8">
        <f>M8-N8</f>
        <v>198.59706183540879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198.59706183540879</v>
      </c>
      <c r="AB8">
        <f>O8/M8*AA8</f>
        <v>198.59706183540879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202.76760013395236</v>
      </c>
      <c r="D9">
        <f>IF($E$2=0,0,C9/(1+EXP(-$E$2*(B9-$G$2)))-C9/(1+EXP($E$2*$G$2)))</f>
        <v>1.5138210471453561</v>
      </c>
      <c r="E9">
        <f t="shared" ref="E9:E33" si="4">IF($E$3=0,0,C9/(1+EXP(-$E$3*(B9-$G$3)))-C9/(1+EXP($E$3*$G$3)))</f>
        <v>0</v>
      </c>
      <c r="F9">
        <f t="shared" ref="F9:F33" si="5">IF($E$4=0,0,C9/(1+EXP(-$E$4*(B9-$G$4)))-C9/(1+EXP($E$4*$G$4)))</f>
        <v>0</v>
      </c>
      <c r="G9" s="9">
        <f t="shared" ref="G9:I33" si="6">D9/$C9</f>
        <v>7.4657935791778152E-3</v>
      </c>
      <c r="H9" s="9">
        <f t="shared" si="6"/>
        <v>0</v>
      </c>
      <c r="I9" s="9">
        <f t="shared" si="6"/>
        <v>0</v>
      </c>
      <c r="J9" s="9">
        <f t="shared" ref="J9:J33" si="7">G9*$F$2</f>
        <v>9.7055316529311598E-4</v>
      </c>
      <c r="K9" s="9">
        <f t="shared" ref="K9:K33" si="8">H9*$F$3</f>
        <v>0</v>
      </c>
      <c r="L9" s="9">
        <f t="shared" ref="L9:L33" si="9">I9*$F$4</f>
        <v>0</v>
      </c>
      <c r="M9">
        <f t="shared" si="0"/>
        <v>202.57080339782345</v>
      </c>
      <c r="N9">
        <f t="shared" ref="N9:N33" si="10">IF($N$7="LFO",M9/(1+EXP(-$I$4*(B9-$J$4)))-M9/(1+EXP($I$4*$J$4)),IF($N$7="MGO",M9/(1+EXP(-$I$5*(B9-$J$5)))-M9/(1+EXP($I$5*$J$5)),0))</f>
        <v>0</v>
      </c>
      <c r="O9">
        <f>M9-N9</f>
        <v>202.57080339782345</v>
      </c>
      <c r="P9">
        <f>IF($I$3=0,0,M9/(1+EXP(-$I$3*(B9-$J$3)))-M9/(1+EXP($I$3*$J$3)))</f>
        <v>1.243195390613006</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201.32760800721044</v>
      </c>
      <c r="AB9">
        <f>O9/M9*AA9</f>
        <v>201.32760800721044</v>
      </c>
      <c r="AC9">
        <f t="shared" ref="AC9:AC33" si="11">N9/M9*AA9</f>
        <v>0</v>
      </c>
      <c r="AD9">
        <f t="shared" si="3"/>
        <v>0.27971896288792641</v>
      </c>
      <c r="AE9">
        <f t="shared" ref="AE9:AE33" si="12">S9*$O9*$AE$2+S9*$N9*$AE$3</f>
        <v>0</v>
      </c>
      <c r="AF9">
        <f t="shared" ref="AF9:AF33" si="13">T9*$O9*$AF$2+T9*$N9*$AF$3</f>
        <v>0.31079884765325155</v>
      </c>
      <c r="AG9">
        <f t="shared" ref="AG9:AG33" si="14">U9*$O9*$AG$2+U9*$N9*$AG$3</f>
        <v>0.55943792577585272</v>
      </c>
      <c r="AH9">
        <f t="shared" ref="AH9:AH33" si="15">V9*$O9*$AH$2+V9*$N9*$AH$3</f>
        <v>0</v>
      </c>
      <c r="AI9">
        <f t="shared" ref="AI9:AI33" si="16">W9*$O9*$AI$2+W9*$N9*$AI$3</f>
        <v>7.3610253391559577E-2</v>
      </c>
      <c r="AJ9">
        <f t="shared" ref="AJ9:AJ33" si="17">X9*$O9*$AJ$2+X9*$N9*$AJ$3</f>
        <v>0</v>
      </c>
      <c r="AK9">
        <f t="shared" ref="AK9:AK33" si="18">Y9*$O9*$AK$2+Y9*$N9*$AK$3</f>
        <v>0.27971896288792641</v>
      </c>
      <c r="AL9">
        <f t="shared" ref="AL9:AL33" si="19">Z9*$O9*$AL$2+Z9*$N9*$AL$3</f>
        <v>0</v>
      </c>
    </row>
    <row r="10" spans="1:51" x14ac:dyDescent="0.2">
      <c r="A10">
        <v>2027</v>
      </c>
      <c r="B10">
        <v>2</v>
      </c>
      <c r="C10">
        <f t="shared" ref="C10:C33" si="20">C9*(1+$I$2)</f>
        <v>207.02571973676532</v>
      </c>
      <c r="D10">
        <f>IF($E$2=0,0,C10/(1+EXP(-$E$2*(B10-$G$2)))-C10/(1+EXP($E$2*$G$2)))</f>
        <v>3.0940036362480896</v>
      </c>
      <c r="E10">
        <f t="shared" si="4"/>
        <v>0</v>
      </c>
      <c r="F10">
        <f t="shared" si="5"/>
        <v>0</v>
      </c>
      <c r="G10" s="9">
        <f t="shared" si="6"/>
        <v>1.4945020551949474E-2</v>
      </c>
      <c r="H10" s="9">
        <f t="shared" si="6"/>
        <v>0</v>
      </c>
      <c r="I10" s="9">
        <f t="shared" si="6"/>
        <v>0</v>
      </c>
      <c r="J10" s="9">
        <f t="shared" si="7"/>
        <v>1.9428526717534316E-3</v>
      </c>
      <c r="K10" s="9">
        <f t="shared" si="8"/>
        <v>0</v>
      </c>
      <c r="L10" s="9">
        <f t="shared" si="9"/>
        <v>0</v>
      </c>
      <c r="M10">
        <f t="shared" si="0"/>
        <v>206.62349926405307</v>
      </c>
      <c r="N10">
        <f t="shared" si="10"/>
        <v>0</v>
      </c>
      <c r="O10">
        <f>M10-N10</f>
        <v>206.62349926405307</v>
      </c>
      <c r="P10">
        <f t="shared" ref="P10:P33" si="21">IF($I$3=0,0,M10/(1+EXP(-$I$3*(B10-$J$3)))-M10/(1+EXP($I$3*$J$3)))</f>
        <v>3.2254033502090027</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203.39809591384406</v>
      </c>
      <c r="AB10">
        <f t="shared" ref="AB10:AB33" si="22">O10/M10*AA10</f>
        <v>203.39809591384406</v>
      </c>
      <c r="AC10">
        <f t="shared" si="11"/>
        <v>0</v>
      </c>
      <c r="AD10">
        <f t="shared" si="3"/>
        <v>0.72571575379702569</v>
      </c>
      <c r="AE10">
        <f t="shared" si="12"/>
        <v>0</v>
      </c>
      <c r="AF10">
        <f t="shared" si="13"/>
        <v>0.80635083755225079</v>
      </c>
      <c r="AG10">
        <f t="shared" si="14"/>
        <v>1.4514315075940514</v>
      </c>
      <c r="AH10">
        <f t="shared" si="15"/>
        <v>0</v>
      </c>
      <c r="AI10">
        <f t="shared" si="16"/>
        <v>0.19097782994658569</v>
      </c>
      <c r="AJ10">
        <f t="shared" si="17"/>
        <v>0</v>
      </c>
      <c r="AK10">
        <f t="shared" si="18"/>
        <v>0.72571575379702569</v>
      </c>
      <c r="AL10">
        <f t="shared" si="19"/>
        <v>0</v>
      </c>
    </row>
    <row r="11" spans="1:51" x14ac:dyDescent="0.2">
      <c r="A11">
        <v>2028</v>
      </c>
      <c r="B11">
        <v>3</v>
      </c>
      <c r="C11">
        <f t="shared" si="20"/>
        <v>211.37325985123738</v>
      </c>
      <c r="D11">
        <f t="shared" ref="D11:D33" si="23">IF($E$2=0,0,C11/(1+EXP(-$E$2*(B11-$G$2)))-C11/(1+EXP($E$2*$G$2)))</f>
        <v>4.7420203656367903</v>
      </c>
      <c r="E11">
        <f t="shared" si="4"/>
        <v>0</v>
      </c>
      <c r="F11">
        <f t="shared" si="5"/>
        <v>0</v>
      </c>
      <c r="G11" s="9">
        <f t="shared" si="6"/>
        <v>2.2434343724339504E-2</v>
      </c>
      <c r="H11" s="9">
        <f t="shared" si="6"/>
        <v>0</v>
      </c>
      <c r="I11" s="9">
        <f t="shared" si="6"/>
        <v>0</v>
      </c>
      <c r="J11" s="9">
        <f t="shared" si="7"/>
        <v>2.9164646841641356E-3</v>
      </c>
      <c r="K11" s="9">
        <f t="shared" si="8"/>
        <v>0</v>
      </c>
      <c r="L11" s="9">
        <f t="shared" si="9"/>
        <v>0</v>
      </c>
      <c r="M11">
        <f t="shared" si="0"/>
        <v>210.75679720370459</v>
      </c>
      <c r="N11">
        <f t="shared" si="10"/>
        <v>0</v>
      </c>
      <c r="O11">
        <f t="shared" ref="O11:O33" si="24">M11-N11</f>
        <v>210.75679720370459</v>
      </c>
      <c r="P11">
        <f t="shared" si="21"/>
        <v>6.3446933466517494</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204.41210385705284</v>
      </c>
      <c r="AB11">
        <f t="shared" si="22"/>
        <v>204.41210385705284</v>
      </c>
      <c r="AC11">
        <f t="shared" si="11"/>
        <v>0</v>
      </c>
      <c r="AD11">
        <f t="shared" si="3"/>
        <v>1.4275560029966436</v>
      </c>
      <c r="AE11">
        <f t="shared" si="12"/>
        <v>0</v>
      </c>
      <c r="AF11">
        <f t="shared" si="13"/>
        <v>1.5861733366629374</v>
      </c>
      <c r="AG11">
        <f t="shared" si="14"/>
        <v>2.8551120059932869</v>
      </c>
      <c r="AH11">
        <f t="shared" si="15"/>
        <v>0</v>
      </c>
      <c r="AI11">
        <f t="shared" si="16"/>
        <v>0.37567263236753778</v>
      </c>
      <c r="AJ11">
        <f t="shared" si="17"/>
        <v>0</v>
      </c>
      <c r="AK11">
        <f t="shared" si="18"/>
        <v>1.4275560029966436</v>
      </c>
      <c r="AL11">
        <f t="shared" si="19"/>
        <v>0</v>
      </c>
    </row>
    <row r="12" spans="1:51" x14ac:dyDescent="0.2">
      <c r="A12">
        <v>2029</v>
      </c>
      <c r="B12">
        <v>4</v>
      </c>
      <c r="C12">
        <f t="shared" si="20"/>
        <v>215.81209830811335</v>
      </c>
      <c r="D12">
        <f t="shared" si="23"/>
        <v>6.4593441090527222</v>
      </c>
      <c r="E12">
        <f t="shared" si="4"/>
        <v>0</v>
      </c>
      <c r="F12">
        <f t="shared" si="5"/>
        <v>0</v>
      </c>
      <c r="G12" s="9">
        <f t="shared" si="6"/>
        <v>2.9930407793129207E-2</v>
      </c>
      <c r="H12" s="9">
        <f t="shared" si="6"/>
        <v>0</v>
      </c>
      <c r="I12" s="9">
        <f t="shared" si="6"/>
        <v>0</v>
      </c>
      <c r="J12" s="9">
        <f t="shared" si="7"/>
        <v>3.8909530131067973E-3</v>
      </c>
      <c r="K12" s="9">
        <f t="shared" si="8"/>
        <v>0</v>
      </c>
      <c r="L12" s="9">
        <f t="shared" si="9"/>
        <v>0</v>
      </c>
      <c r="M12">
        <f t="shared" si="0"/>
        <v>214.9723835739365</v>
      </c>
      <c r="N12">
        <f t="shared" si="10"/>
        <v>0</v>
      </c>
      <c r="O12">
        <f t="shared" si="24"/>
        <v>214.9723835739365</v>
      </c>
      <c r="P12">
        <f t="shared" si="21"/>
        <v>11.175643207734012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203.79674036620247</v>
      </c>
      <c r="AB12">
        <f t="shared" si="22"/>
        <v>203.79674036620247</v>
      </c>
      <c r="AC12">
        <f t="shared" si="11"/>
        <v>0</v>
      </c>
      <c r="AD12">
        <f t="shared" si="3"/>
        <v>2.5145197217401525</v>
      </c>
      <c r="AE12">
        <f t="shared" si="12"/>
        <v>0</v>
      </c>
      <c r="AF12">
        <f t="shared" si="13"/>
        <v>2.7939108019335031</v>
      </c>
      <c r="AG12">
        <f t="shared" si="14"/>
        <v>5.0290394434803058</v>
      </c>
      <c r="AH12">
        <f t="shared" si="15"/>
        <v>0</v>
      </c>
      <c r="AI12">
        <f t="shared" si="16"/>
        <v>0.66171571624740855</v>
      </c>
      <c r="AJ12">
        <f t="shared" si="17"/>
        <v>0</v>
      </c>
      <c r="AK12">
        <f t="shared" si="18"/>
        <v>2.5145197217401525</v>
      </c>
      <c r="AL12">
        <f t="shared" si="19"/>
        <v>0</v>
      </c>
    </row>
    <row r="13" spans="1:51" x14ac:dyDescent="0.2">
      <c r="A13">
        <v>2030</v>
      </c>
      <c r="B13">
        <v>5</v>
      </c>
      <c r="C13">
        <f t="shared" si="20"/>
        <v>220.34415237258372</v>
      </c>
      <c r="D13">
        <f t="shared" si="23"/>
        <v>8.2474475457053842</v>
      </c>
      <c r="E13">
        <f t="shared" si="4"/>
        <v>0</v>
      </c>
      <c r="F13">
        <f t="shared" si="5"/>
        <v>0</v>
      </c>
      <c r="G13" s="9">
        <f t="shared" si="6"/>
        <v>3.7429845343749504E-2</v>
      </c>
      <c r="H13" s="9">
        <f t="shared" si="6"/>
        <v>0</v>
      </c>
      <c r="I13" s="9">
        <f t="shared" si="6"/>
        <v>0</v>
      </c>
      <c r="J13" s="9">
        <f t="shared" si="7"/>
        <v>4.8658798946874362E-3</v>
      </c>
      <c r="K13" s="9">
        <f t="shared" si="8"/>
        <v>0</v>
      </c>
      <c r="L13" s="9">
        <f t="shared" si="9"/>
        <v>0</v>
      </c>
      <c r="M13">
        <f t="shared" si="0"/>
        <v>219.27198419164202</v>
      </c>
      <c r="N13">
        <f t="shared" si="10"/>
        <v>0</v>
      </c>
      <c r="O13">
        <f t="shared" si="24"/>
        <v>219.27198419164202</v>
      </c>
      <c r="P13">
        <f t="shared" si="21"/>
        <v>18.498337649229157</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200.77364654241285</v>
      </c>
      <c r="AB13">
        <f t="shared" si="22"/>
        <v>200.77364654241285</v>
      </c>
      <c r="AC13">
        <f t="shared" si="11"/>
        <v>0</v>
      </c>
      <c r="AD13">
        <f t="shared" si="3"/>
        <v>4.1621259710765601</v>
      </c>
      <c r="AE13">
        <f t="shared" si="12"/>
        <v>0</v>
      </c>
      <c r="AF13">
        <f t="shared" si="13"/>
        <v>4.6245844123072892</v>
      </c>
      <c r="AG13">
        <f t="shared" si="14"/>
        <v>8.3242519421531203</v>
      </c>
      <c r="AH13">
        <f t="shared" si="15"/>
        <v>0</v>
      </c>
      <c r="AI13">
        <f t="shared" si="16"/>
        <v>1.095296308178042</v>
      </c>
      <c r="AJ13">
        <f t="shared" si="17"/>
        <v>0</v>
      </c>
      <c r="AK13">
        <f t="shared" si="18"/>
        <v>4.1621259710765601</v>
      </c>
      <c r="AL13">
        <f t="shared" si="19"/>
        <v>0</v>
      </c>
    </row>
    <row r="14" spans="1:51" x14ac:dyDescent="0.2">
      <c r="A14">
        <v>2031</v>
      </c>
      <c r="B14">
        <v>6</v>
      </c>
      <c r="C14">
        <f t="shared" si="20"/>
        <v>224.97137957240795</v>
      </c>
      <c r="D14">
        <f t="shared" si="23"/>
        <v>10.107802755945386</v>
      </c>
      <c r="E14">
        <f t="shared" si="4"/>
        <v>0</v>
      </c>
      <c r="F14">
        <f t="shared" si="5"/>
        <v>0</v>
      </c>
      <c r="G14" s="9">
        <f t="shared" si="6"/>
        <v>4.4929282894369899E-2</v>
      </c>
      <c r="H14" s="9">
        <f t="shared" si="6"/>
        <v>0</v>
      </c>
      <c r="I14" s="9">
        <f t="shared" si="6"/>
        <v>0</v>
      </c>
      <c r="J14" s="9">
        <f t="shared" si="7"/>
        <v>5.8408067762680867E-3</v>
      </c>
      <c r="K14" s="9">
        <f t="shared" si="8"/>
        <v>0</v>
      </c>
      <c r="L14" s="9">
        <f t="shared" si="9"/>
        <v>0</v>
      </c>
      <c r="M14">
        <f t="shared" si="0"/>
        <v>223.65736521413507</v>
      </c>
      <c r="N14">
        <f t="shared" si="10"/>
        <v>0</v>
      </c>
      <c r="O14">
        <f t="shared" si="24"/>
        <v>223.65736521413507</v>
      </c>
      <c r="P14">
        <f t="shared" si="21"/>
        <v>29.268724787945043</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194.38864042619002</v>
      </c>
      <c r="AB14">
        <f t="shared" si="22"/>
        <v>194.38864042619002</v>
      </c>
      <c r="AC14">
        <f t="shared" si="11"/>
        <v>0</v>
      </c>
      <c r="AD14">
        <f t="shared" si="3"/>
        <v>6.5854630772876348</v>
      </c>
      <c r="AE14">
        <f t="shared" si="12"/>
        <v>0</v>
      </c>
      <c r="AF14">
        <f t="shared" si="13"/>
        <v>7.3171811969862608</v>
      </c>
      <c r="AG14">
        <f t="shared" si="14"/>
        <v>13.170926154575271</v>
      </c>
      <c r="AH14">
        <f t="shared" si="15"/>
        <v>0</v>
      </c>
      <c r="AI14">
        <f t="shared" si="16"/>
        <v>1.7330165992862197</v>
      </c>
      <c r="AJ14">
        <f t="shared" si="17"/>
        <v>0</v>
      </c>
      <c r="AK14">
        <f t="shared" si="18"/>
        <v>6.5854630772876348</v>
      </c>
      <c r="AL14">
        <f t="shared" si="19"/>
        <v>0</v>
      </c>
    </row>
    <row r="15" spans="1:51" x14ac:dyDescent="0.2">
      <c r="A15">
        <v>2032</v>
      </c>
      <c r="B15">
        <v>7</v>
      </c>
      <c r="C15">
        <f t="shared" si="20"/>
        <v>229.6957785434285</v>
      </c>
      <c r="D15">
        <f t="shared" si="23"/>
        <v>12.04188088611231</v>
      </c>
      <c r="E15">
        <f t="shared" si="4"/>
        <v>0</v>
      </c>
      <c r="F15">
        <f t="shared" si="5"/>
        <v>0</v>
      </c>
      <c r="G15" s="9">
        <f t="shared" si="6"/>
        <v>5.2425346963159598E-2</v>
      </c>
      <c r="H15" s="9">
        <f t="shared" si="6"/>
        <v>0</v>
      </c>
      <c r="I15" s="9">
        <f t="shared" si="6"/>
        <v>0</v>
      </c>
      <c r="J15" s="9">
        <f t="shared" si="7"/>
        <v>6.815295105210748E-3</v>
      </c>
      <c r="K15" s="9">
        <f t="shared" si="8"/>
        <v>0</v>
      </c>
      <c r="L15" s="9">
        <f t="shared" si="9"/>
        <v>0</v>
      </c>
      <c r="M15">
        <f t="shared" si="0"/>
        <v>228.1303340282339</v>
      </c>
      <c r="N15">
        <f t="shared" si="10"/>
        <v>0</v>
      </c>
      <c r="O15">
        <f t="shared" si="24"/>
        <v>228.1303340282339</v>
      </c>
      <c r="P15">
        <f>IF($I$3=0,0,M15/(1+EXP(-$I$3*(B15-$J$3)))-M15/(1+EXP($I$3*$J$3)))</f>
        <v>44.458821793200556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183.67151223503333</v>
      </c>
      <c r="AB15">
        <f t="shared" si="22"/>
        <v>183.67151223503333</v>
      </c>
      <c r="AC15">
        <f t="shared" si="11"/>
        <v>0</v>
      </c>
      <c r="AD15">
        <f t="shared" si="3"/>
        <v>10.003234903470126</v>
      </c>
      <c r="AE15">
        <f t="shared" si="12"/>
        <v>0</v>
      </c>
      <c r="AF15">
        <f t="shared" si="13"/>
        <v>11.114705448300139</v>
      </c>
      <c r="AG15">
        <f t="shared" si="14"/>
        <v>20.006469806940249</v>
      </c>
      <c r="AH15">
        <f t="shared" si="15"/>
        <v>0</v>
      </c>
      <c r="AI15">
        <f t="shared" si="16"/>
        <v>2.6324302377552962</v>
      </c>
      <c r="AJ15">
        <f t="shared" si="17"/>
        <v>0</v>
      </c>
      <c r="AK15">
        <f t="shared" si="18"/>
        <v>10.003234903470126</v>
      </c>
      <c r="AL15">
        <f t="shared" si="19"/>
        <v>0</v>
      </c>
    </row>
    <row r="16" spans="1:51" x14ac:dyDescent="0.2">
      <c r="A16">
        <v>2033</v>
      </c>
      <c r="B16">
        <v>8</v>
      </c>
      <c r="C16">
        <f t="shared" si="20"/>
        <v>234.51938989284048</v>
      </c>
      <c r="D16">
        <f t="shared" si="23"/>
        <v>14.051151885819905</v>
      </c>
      <c r="E16">
        <f t="shared" si="4"/>
        <v>0</v>
      </c>
      <c r="F16">
        <f t="shared" si="5"/>
        <v>0</v>
      </c>
      <c r="G16" s="9">
        <f t="shared" si="6"/>
        <v>5.99146701355497E-2</v>
      </c>
      <c r="H16" s="9">
        <f t="shared" si="6"/>
        <v>0</v>
      </c>
      <c r="I16" s="9">
        <f t="shared" si="6"/>
        <v>0</v>
      </c>
      <c r="J16" s="9">
        <f t="shared" si="7"/>
        <v>7.7889071176214615E-3</v>
      </c>
      <c r="K16" s="9">
        <f t="shared" si="8"/>
        <v>0</v>
      </c>
      <c r="L16" s="9">
        <f t="shared" si="9"/>
        <v>0</v>
      </c>
      <c r="M16">
        <f t="shared" si="0"/>
        <v>232.69274014768388</v>
      </c>
      <c r="N16">
        <f t="shared" si="10"/>
        <v>0</v>
      </c>
      <c r="O16">
        <f t="shared" si="24"/>
        <v>232.69274014768388</v>
      </c>
      <c r="P16">
        <f t="shared" si="21"/>
        <v>64.703370488680605</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167.98936965900327</v>
      </c>
      <c r="AB16">
        <f t="shared" si="22"/>
        <v>167.98936965900327</v>
      </c>
      <c r="AC16">
        <f t="shared" si="11"/>
        <v>0</v>
      </c>
      <c r="AD16">
        <f t="shared" si="3"/>
        <v>14.558258359953136</v>
      </c>
      <c r="AE16">
        <f t="shared" si="12"/>
        <v>0</v>
      </c>
      <c r="AF16">
        <f t="shared" si="13"/>
        <v>16.175842622170151</v>
      </c>
      <c r="AG16">
        <f t="shared" si="14"/>
        <v>29.116516719906276</v>
      </c>
      <c r="AH16">
        <f t="shared" si="15"/>
        <v>0</v>
      </c>
      <c r="AI16">
        <f t="shared" si="16"/>
        <v>3.8311206210402986</v>
      </c>
      <c r="AJ16">
        <f t="shared" si="17"/>
        <v>0</v>
      </c>
      <c r="AK16">
        <f t="shared" si="18"/>
        <v>14.558258359953136</v>
      </c>
      <c r="AL16">
        <f t="shared" si="19"/>
        <v>0</v>
      </c>
    </row>
    <row r="17" spans="1:38" x14ac:dyDescent="0.2">
      <c r="A17">
        <v>2034</v>
      </c>
      <c r="B17">
        <v>9</v>
      </c>
      <c r="C17">
        <f t="shared" si="20"/>
        <v>239.4442970805901</v>
      </c>
      <c r="D17">
        <f t="shared" si="23"/>
        <v>16.1370843206236</v>
      </c>
      <c r="E17">
        <f t="shared" si="4"/>
        <v>0</v>
      </c>
      <c r="F17">
        <f t="shared" si="5"/>
        <v>0</v>
      </c>
      <c r="G17" s="9">
        <f t="shared" si="6"/>
        <v>6.7393897108321263E-2</v>
      </c>
      <c r="H17" s="9">
        <f t="shared" si="6"/>
        <v>0</v>
      </c>
      <c r="I17" s="9">
        <f t="shared" si="6"/>
        <v>0</v>
      </c>
      <c r="J17" s="9">
        <f t="shared" si="7"/>
        <v>8.7612066240817642E-3</v>
      </c>
      <c r="K17" s="9">
        <f t="shared" si="8"/>
        <v>0</v>
      </c>
      <c r="L17" s="9">
        <f t="shared" si="9"/>
        <v>0</v>
      </c>
      <c r="M17">
        <f t="shared" si="0"/>
        <v>237.34647611890904</v>
      </c>
      <c r="N17">
        <f t="shared" si="10"/>
        <v>0</v>
      </c>
      <c r="O17">
        <f t="shared" si="24"/>
        <v>237.34647611890904</v>
      </c>
      <c r="P17">
        <f t="shared" si="21"/>
        <v>89.805693644419208</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147.54078247448984</v>
      </c>
      <c r="AB17">
        <f t="shared" si="22"/>
        <v>147.54078247448984</v>
      </c>
      <c r="AC17">
        <f t="shared" si="11"/>
        <v>0</v>
      </c>
      <c r="AD17">
        <f t="shared" si="3"/>
        <v>20.206281069994322</v>
      </c>
      <c r="AE17">
        <f t="shared" si="12"/>
        <v>0</v>
      </c>
      <c r="AF17">
        <f t="shared" si="13"/>
        <v>22.451423411104802</v>
      </c>
      <c r="AG17">
        <f t="shared" si="14"/>
        <v>40.412562139988644</v>
      </c>
      <c r="AH17">
        <f t="shared" si="15"/>
        <v>0</v>
      </c>
      <c r="AI17">
        <f t="shared" si="16"/>
        <v>5.3174423868406109</v>
      </c>
      <c r="AJ17">
        <f t="shared" si="17"/>
        <v>0</v>
      </c>
      <c r="AK17">
        <f t="shared" si="18"/>
        <v>20.206281069994322</v>
      </c>
      <c r="AL17">
        <f t="shared" si="19"/>
        <v>0</v>
      </c>
    </row>
    <row r="18" spans="1:38" x14ac:dyDescent="0.2">
      <c r="A18">
        <v>2035</v>
      </c>
      <c r="B18">
        <v>10</v>
      </c>
      <c r="C18">
        <f t="shared" si="20"/>
        <v>244.47262731928248</v>
      </c>
      <c r="D18">
        <f t="shared" si="23"/>
        <v>18.301145262681715</v>
      </c>
      <c r="E18">
        <f t="shared" si="4"/>
        <v>0</v>
      </c>
      <c r="F18">
        <f t="shared" si="5"/>
        <v>0</v>
      </c>
      <c r="G18" s="9">
        <f t="shared" si="6"/>
        <v>7.4859690687499036E-2</v>
      </c>
      <c r="H18" s="9">
        <f t="shared" si="6"/>
        <v>0</v>
      </c>
      <c r="I18" s="9">
        <f t="shared" si="6"/>
        <v>0</v>
      </c>
      <c r="J18" s="9">
        <f t="shared" si="7"/>
        <v>9.7317597893748758E-3</v>
      </c>
      <c r="K18" s="9">
        <f t="shared" si="8"/>
        <v>0</v>
      </c>
      <c r="L18" s="9">
        <f t="shared" si="9"/>
        <v>0</v>
      </c>
      <c r="M18">
        <f t="shared" si="0"/>
        <v>242.09347843513385</v>
      </c>
      <c r="N18">
        <f t="shared" si="10"/>
        <v>0</v>
      </c>
      <c r="O18">
        <f t="shared" si="24"/>
        <v>242.09347843513385</v>
      </c>
      <c r="P18">
        <f t="shared" si="21"/>
        <v>118.38687205875937</v>
      </c>
      <c r="Q18" s="9">
        <f t="shared" si="1"/>
        <v>0.48901305736940687</v>
      </c>
      <c r="R18">
        <f>VLOOKUP($B$1,dictionary!$A$3:$K$51,3,FALSE)*Q18</f>
        <v>9.7802611473881376E-2</v>
      </c>
      <c r="S18">
        <f>VLOOKUP($B$1,dictionary!$A$3:$K$51,4,FALSE)*Q18</f>
        <v>0</v>
      </c>
      <c r="T18">
        <f>VLOOKUP($B$1,dictionary!$A$3:$K$51,5,FALSE)*Q18</f>
        <v>9.7802611473881376E-2</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123.70660637637448</v>
      </c>
      <c r="AB18">
        <f t="shared" si="22"/>
        <v>123.70660637637448</v>
      </c>
      <c r="AC18">
        <f t="shared" si="11"/>
        <v>0</v>
      </c>
      <c r="AD18">
        <f t="shared" si="3"/>
        <v>26.637046213220859</v>
      </c>
      <c r="AE18">
        <f t="shared" si="12"/>
        <v>0</v>
      </c>
      <c r="AF18">
        <f t="shared" si="13"/>
        <v>29.596718014689841</v>
      </c>
      <c r="AG18">
        <f t="shared" si="14"/>
        <v>53.274092426441719</v>
      </c>
      <c r="AH18">
        <f t="shared" si="15"/>
        <v>0</v>
      </c>
      <c r="AI18">
        <f t="shared" si="16"/>
        <v>7.0097490034791727</v>
      </c>
      <c r="AJ18">
        <f t="shared" si="17"/>
        <v>0</v>
      </c>
      <c r="AK18">
        <f t="shared" si="18"/>
        <v>26.637046213220859</v>
      </c>
      <c r="AL18">
        <f t="shared" si="19"/>
        <v>0</v>
      </c>
    </row>
    <row r="19" spans="1:38" x14ac:dyDescent="0.2">
      <c r="A19">
        <v>2036</v>
      </c>
      <c r="B19">
        <v>11</v>
      </c>
      <c r="C19">
        <f t="shared" si="20"/>
        <v>249.60655249298739</v>
      </c>
      <c r="D19">
        <f t="shared" si="23"/>
        <v>20.544800261672165</v>
      </c>
      <c r="E19">
        <f t="shared" si="4"/>
        <v>0</v>
      </c>
      <c r="F19">
        <f t="shared" si="5"/>
        <v>0</v>
      </c>
      <c r="G19" s="9">
        <f t="shared" si="6"/>
        <v>8.2308737717329619E-2</v>
      </c>
      <c r="H19" s="9">
        <f t="shared" si="6"/>
        <v>0</v>
      </c>
      <c r="I19" s="9">
        <f t="shared" si="6"/>
        <v>0</v>
      </c>
      <c r="J19" s="9">
        <f t="shared" si="7"/>
        <v>1.070013590325285E-2</v>
      </c>
      <c r="K19" s="9">
        <f t="shared" si="8"/>
        <v>0</v>
      </c>
      <c r="L19" s="9">
        <f t="shared" si="9"/>
        <v>0</v>
      </c>
      <c r="M19">
        <f t="shared" si="0"/>
        <v>246.93572845897003</v>
      </c>
      <c r="N19">
        <f t="shared" si="10"/>
        <v>0</v>
      </c>
      <c r="O19">
        <f t="shared" si="24"/>
        <v>246.93572845897003</v>
      </c>
      <c r="P19">
        <f t="shared" si="21"/>
        <v>148.07557537885612</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98.860153080113918</v>
      </c>
      <c r="AB19">
        <f t="shared" si="22"/>
        <v>98.860153080113918</v>
      </c>
      <c r="AC19">
        <f t="shared" si="11"/>
        <v>0</v>
      </c>
      <c r="AD19">
        <f t="shared" si="3"/>
        <v>33.317004460242629</v>
      </c>
      <c r="AE19">
        <f t="shared" si="12"/>
        <v>0</v>
      </c>
      <c r="AF19">
        <f t="shared" si="13"/>
        <v>37.018893844714036</v>
      </c>
      <c r="AG19">
        <f t="shared" si="14"/>
        <v>66.634008920485257</v>
      </c>
      <c r="AH19">
        <f t="shared" si="15"/>
        <v>0</v>
      </c>
      <c r="AI19">
        <f t="shared" si="16"/>
        <v>8.7676327526954285</v>
      </c>
      <c r="AJ19">
        <f t="shared" si="17"/>
        <v>0</v>
      </c>
      <c r="AK19">
        <f t="shared" si="18"/>
        <v>33.317004460242629</v>
      </c>
      <c r="AL19">
        <f t="shared" si="19"/>
        <v>0</v>
      </c>
    </row>
    <row r="20" spans="1:38" x14ac:dyDescent="0.2">
      <c r="A20">
        <v>2037</v>
      </c>
      <c r="B20">
        <v>12</v>
      </c>
      <c r="C20">
        <f t="shared" si="20"/>
        <v>254.8482900953401</v>
      </c>
      <c r="D20">
        <f t="shared" si="23"/>
        <v>22.869513397866072</v>
      </c>
      <c r="E20">
        <f t="shared" si="4"/>
        <v>0</v>
      </c>
      <c r="F20">
        <f t="shared" si="5"/>
        <v>0</v>
      </c>
      <c r="G20" s="9">
        <f t="shared" si="6"/>
        <v>8.9737754918074841E-2</v>
      </c>
      <c r="H20" s="9">
        <f t="shared" si="6"/>
        <v>0</v>
      </c>
      <c r="I20" s="9">
        <f t="shared" si="6"/>
        <v>0</v>
      </c>
      <c r="J20" s="9">
        <f t="shared" si="7"/>
        <v>1.1665908139349731E-2</v>
      </c>
      <c r="K20" s="9">
        <f t="shared" si="8"/>
        <v>0</v>
      </c>
      <c r="L20" s="9">
        <f t="shared" si="9"/>
        <v>0</v>
      </c>
      <c r="M20">
        <f t="shared" si="0"/>
        <v>251.8752533536175</v>
      </c>
      <c r="N20">
        <f t="shared" si="10"/>
        <v>0</v>
      </c>
      <c r="O20">
        <f t="shared" si="24"/>
        <v>251.8752533536175</v>
      </c>
      <c r="P20">
        <f>IF($I$3=0,0,M20/(1+EXP(-$I$3*(B20-$J$3)))-M20/(1+EXP($I$3*$J$3)))</f>
        <v>176.30324713663887</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75.572006216978622</v>
      </c>
      <c r="AB20">
        <f t="shared" si="22"/>
        <v>75.572006216978622</v>
      </c>
      <c r="AC20">
        <f t="shared" si="11"/>
        <v>0</v>
      </c>
      <c r="AD20">
        <f t="shared" si="3"/>
        <v>39.668230605743751</v>
      </c>
      <c r="AE20">
        <f t="shared" si="12"/>
        <v>0</v>
      </c>
      <c r="AF20">
        <f t="shared" si="13"/>
        <v>44.075811784159725</v>
      </c>
      <c r="AG20">
        <f t="shared" si="14"/>
        <v>79.336461211487503</v>
      </c>
      <c r="AH20">
        <f t="shared" si="15"/>
        <v>0</v>
      </c>
      <c r="AI20">
        <f t="shared" si="16"/>
        <v>10.439008054143091</v>
      </c>
      <c r="AJ20">
        <f t="shared" si="17"/>
        <v>0</v>
      </c>
      <c r="AK20">
        <f t="shared" si="18"/>
        <v>39.668230605743751</v>
      </c>
      <c r="AL20">
        <f t="shared" si="19"/>
        <v>0</v>
      </c>
    </row>
    <row r="21" spans="1:38" x14ac:dyDescent="0.2">
      <c r="A21">
        <v>2038</v>
      </c>
      <c r="B21">
        <v>13</v>
      </c>
      <c r="C21">
        <f t="shared" si="20"/>
        <v>260.20010418734222</v>
      </c>
      <c r="D21">
        <f t="shared" si="23"/>
        <v>25.276747418889755</v>
      </c>
      <c r="E21">
        <f t="shared" si="4"/>
        <v>0</v>
      </c>
      <c r="F21">
        <f t="shared" si="5"/>
        <v>0</v>
      </c>
      <c r="G21" s="9">
        <f t="shared" si="6"/>
        <v>9.7143494610942502E-2</v>
      </c>
      <c r="H21" s="9">
        <f t="shared" si="6"/>
        <v>0</v>
      </c>
      <c r="I21" s="9">
        <f t="shared" si="6"/>
        <v>0</v>
      </c>
      <c r="J21" s="9">
        <f t="shared" si="7"/>
        <v>1.2628654299422526E-2</v>
      </c>
      <c r="K21" s="9">
        <f t="shared" si="8"/>
        <v>0</v>
      </c>
      <c r="L21" s="9">
        <f t="shared" si="9"/>
        <v>0</v>
      </c>
      <c r="M21">
        <f t="shared" si="0"/>
        <v>256.91412702288653</v>
      </c>
      <c r="N21">
        <f t="shared" si="10"/>
        <v>0</v>
      </c>
      <c r="O21">
        <f t="shared" si="24"/>
        <v>256.91412702288653</v>
      </c>
      <c r="P21">
        <f t="shared" si="21"/>
        <v>201.2004193971797</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55.713707625706832</v>
      </c>
      <c r="AB21">
        <f t="shared" si="22"/>
        <v>55.713707625706832</v>
      </c>
      <c r="AC21">
        <f t="shared" si="11"/>
        <v>0</v>
      </c>
      <c r="AD21">
        <f t="shared" si="3"/>
        <v>45.270094364365434</v>
      </c>
      <c r="AE21">
        <f t="shared" si="12"/>
        <v>0</v>
      </c>
      <c r="AF21">
        <f t="shared" si="13"/>
        <v>50.300104849294925</v>
      </c>
      <c r="AG21">
        <f t="shared" si="14"/>
        <v>90.540188728730868</v>
      </c>
      <c r="AH21">
        <f t="shared" si="15"/>
        <v>0</v>
      </c>
      <c r="AI21">
        <f t="shared" si="16"/>
        <v>11.913182727464587</v>
      </c>
      <c r="AJ21">
        <f t="shared" si="17"/>
        <v>0</v>
      </c>
      <c r="AK21">
        <f t="shared" si="18"/>
        <v>45.270094364365434</v>
      </c>
      <c r="AL21">
        <f t="shared" si="19"/>
        <v>0</v>
      </c>
    </row>
    <row r="22" spans="1:38" x14ac:dyDescent="0.2">
      <c r="A22">
        <v>2039</v>
      </c>
      <c r="B22">
        <v>14</v>
      </c>
      <c r="C22">
        <f t="shared" si="20"/>
        <v>265.6643063752764</v>
      </c>
      <c r="D22">
        <f t="shared" si="23"/>
        <v>27.76796396133085</v>
      </c>
      <c r="E22">
        <f t="shared" si="4"/>
        <v>0</v>
      </c>
      <c r="F22">
        <f t="shared" si="5"/>
        <v>0</v>
      </c>
      <c r="G22" s="9">
        <f t="shared" si="6"/>
        <v>0.10452275030920385</v>
      </c>
      <c r="H22" s="9">
        <f t="shared" si="6"/>
        <v>0</v>
      </c>
      <c r="I22" s="9">
        <f t="shared" si="6"/>
        <v>0</v>
      </c>
      <c r="J22" s="9">
        <f t="shared" si="7"/>
        <v>1.3587957540196502E-2</v>
      </c>
      <c r="K22" s="9">
        <f t="shared" si="8"/>
        <v>0</v>
      </c>
      <c r="L22" s="9">
        <f t="shared" si="9"/>
        <v>0</v>
      </c>
      <c r="M22">
        <f t="shared" si="0"/>
        <v>262.0544710603034</v>
      </c>
      <c r="N22">
        <f t="shared" si="10"/>
        <v>0</v>
      </c>
      <c r="O22">
        <f t="shared" si="24"/>
        <v>262.0544710603034</v>
      </c>
      <c r="P22">
        <f t="shared" si="21"/>
        <v>222.00258783883532</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40.051883221468074</v>
      </c>
      <c r="AB22">
        <f t="shared" si="22"/>
        <v>40.051883221468074</v>
      </c>
      <c r="AC22">
        <f t="shared" si="11"/>
        <v>0</v>
      </c>
      <c r="AD22">
        <f t="shared" si="3"/>
        <v>49.95058226373795</v>
      </c>
      <c r="AE22">
        <f t="shared" si="12"/>
        <v>0</v>
      </c>
      <c r="AF22">
        <f t="shared" si="13"/>
        <v>55.500646959708831</v>
      </c>
      <c r="AG22">
        <f t="shared" si="14"/>
        <v>99.901164527475899</v>
      </c>
      <c r="AH22">
        <f t="shared" si="15"/>
        <v>0</v>
      </c>
      <c r="AI22">
        <f t="shared" si="16"/>
        <v>13.144890069404722</v>
      </c>
      <c r="AJ22">
        <f t="shared" si="17"/>
        <v>0</v>
      </c>
      <c r="AK22">
        <f t="shared" si="18"/>
        <v>49.95058226373795</v>
      </c>
      <c r="AL22">
        <f t="shared" si="19"/>
        <v>0</v>
      </c>
    </row>
    <row r="23" spans="1:38" x14ac:dyDescent="0.2">
      <c r="A23">
        <v>2040</v>
      </c>
      <c r="B23">
        <v>15</v>
      </c>
      <c r="C23">
        <f t="shared" si="20"/>
        <v>271.24325680915717</v>
      </c>
      <c r="D23">
        <f t="shared" si="23"/>
        <v>30.344623857966525</v>
      </c>
      <c r="E23">
        <f t="shared" si="4"/>
        <v>0</v>
      </c>
      <c r="F23">
        <f t="shared" si="5"/>
        <v>0</v>
      </c>
      <c r="G23" s="9">
        <f t="shared" si="6"/>
        <v>0.11187236215540858</v>
      </c>
      <c r="H23" s="9">
        <f t="shared" si="6"/>
        <v>0</v>
      </c>
      <c r="I23" s="9">
        <f t="shared" si="6"/>
        <v>0</v>
      </c>
      <c r="J23" s="9">
        <f t="shared" si="7"/>
        <v>1.4543407080203116E-2</v>
      </c>
      <c r="K23" s="9">
        <f t="shared" si="8"/>
        <v>0</v>
      </c>
      <c r="L23" s="9">
        <f t="shared" si="9"/>
        <v>0</v>
      </c>
      <c r="M23">
        <f t="shared" si="0"/>
        <v>267.29845570762154</v>
      </c>
      <c r="N23">
        <f t="shared" si="10"/>
        <v>0</v>
      </c>
      <c r="O23">
        <f t="shared" si="24"/>
        <v>267.29845570762154</v>
      </c>
      <c r="P23">
        <f t="shared" si="21"/>
        <v>238.87489818943575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28.423557518185788</v>
      </c>
      <c r="AB23">
        <f t="shared" si="22"/>
        <v>28.423557518185788</v>
      </c>
      <c r="AC23">
        <f t="shared" si="11"/>
        <v>0</v>
      </c>
      <c r="AD23">
        <f t="shared" si="3"/>
        <v>53.746852092623051</v>
      </c>
      <c r="AE23">
        <f t="shared" si="12"/>
        <v>0</v>
      </c>
      <c r="AF23">
        <f t="shared" si="13"/>
        <v>59.718724547358946</v>
      </c>
      <c r="AG23">
        <f t="shared" si="14"/>
        <v>107.49370418524609</v>
      </c>
      <c r="AH23">
        <f t="shared" si="15"/>
        <v>0</v>
      </c>
      <c r="AI23">
        <f t="shared" si="16"/>
        <v>14.143908445427117</v>
      </c>
      <c r="AJ23">
        <f t="shared" si="17"/>
        <v>0</v>
      </c>
      <c r="AK23">
        <f t="shared" si="18"/>
        <v>53.746852092623051</v>
      </c>
      <c r="AL23">
        <f t="shared" si="19"/>
        <v>0</v>
      </c>
    </row>
    <row r="24" spans="1:38" x14ac:dyDescent="0.2">
      <c r="A24">
        <v>2041</v>
      </c>
      <c r="B24">
        <v>16</v>
      </c>
      <c r="C24">
        <f t="shared" si="20"/>
        <v>276.93936520214947</v>
      </c>
      <c r="D24">
        <f t="shared" si="23"/>
        <v>33.008187531014102</v>
      </c>
      <c r="E24">
        <f t="shared" si="4"/>
        <v>0</v>
      </c>
      <c r="F24">
        <f t="shared" si="5"/>
        <v>0</v>
      </c>
      <c r="G24" s="9">
        <f t="shared" si="6"/>
        <v>0.11918922218558586</v>
      </c>
      <c r="H24" s="9">
        <f t="shared" si="6"/>
        <v>0</v>
      </c>
      <c r="I24" s="9">
        <f t="shared" si="6"/>
        <v>0</v>
      </c>
      <c r="J24" s="9">
        <f t="shared" si="7"/>
        <v>1.5494598884126163E-2</v>
      </c>
      <c r="K24" s="9">
        <f t="shared" si="8"/>
        <v>0</v>
      </c>
      <c r="L24" s="9">
        <f t="shared" si="9"/>
        <v>0</v>
      </c>
      <c r="M24">
        <f t="shared" si="0"/>
        <v>272.64830082311761</v>
      </c>
      <c r="N24">
        <f t="shared" si="10"/>
        <v>0</v>
      </c>
      <c r="O24">
        <f t="shared" si="24"/>
        <v>272.64830082311761</v>
      </c>
      <c r="P24">
        <f t="shared" si="21"/>
        <v>252.48315105757604</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20.165149765541571</v>
      </c>
      <c r="AB24">
        <f t="shared" si="22"/>
        <v>20.165149765541571</v>
      </c>
      <c r="AC24">
        <f t="shared" si="11"/>
        <v>0</v>
      </c>
      <c r="AD24">
        <f t="shared" si="3"/>
        <v>56.80870898795461</v>
      </c>
      <c r="AE24">
        <f t="shared" si="12"/>
        <v>0</v>
      </c>
      <c r="AF24">
        <f t="shared" si="13"/>
        <v>63.120787764394009</v>
      </c>
      <c r="AG24">
        <f t="shared" si="14"/>
        <v>113.61741797590922</v>
      </c>
      <c r="AH24">
        <f t="shared" si="15"/>
        <v>0</v>
      </c>
      <c r="AI24">
        <f t="shared" si="16"/>
        <v>14.949660259988054</v>
      </c>
      <c r="AJ24">
        <f t="shared" si="17"/>
        <v>0</v>
      </c>
      <c r="AK24">
        <f t="shared" si="18"/>
        <v>56.80870898795461</v>
      </c>
      <c r="AL24">
        <f t="shared" si="19"/>
        <v>0</v>
      </c>
    </row>
    <row r="25" spans="1:38" x14ac:dyDescent="0.2">
      <c r="A25">
        <v>2042</v>
      </c>
      <c r="B25">
        <v>17</v>
      </c>
      <c r="C25">
        <f t="shared" si="20"/>
        <v>282.7550918713946</v>
      </c>
      <c r="D25">
        <f t="shared" si="23"/>
        <v>35.76011547143068</v>
      </c>
      <c r="E25">
        <f t="shared" si="4"/>
        <v>0</v>
      </c>
      <c r="F25">
        <f t="shared" si="5"/>
        <v>0</v>
      </c>
      <c r="G25" s="9">
        <f t="shared" si="6"/>
        <v>0.12647027940241459</v>
      </c>
      <c r="H25" s="9">
        <f t="shared" si="6"/>
        <v>0</v>
      </c>
      <c r="I25" s="9">
        <f t="shared" si="6"/>
        <v>0</v>
      </c>
      <c r="J25" s="9">
        <f t="shared" si="7"/>
        <v>1.6441136322313896E-2</v>
      </c>
      <c r="K25" s="9">
        <f t="shared" si="8"/>
        <v>0</v>
      </c>
      <c r="L25" s="9">
        <f t="shared" si="9"/>
        <v>0</v>
      </c>
      <c r="M25">
        <f t="shared" si="0"/>
        <v>278.10627686010861</v>
      </c>
      <c r="N25">
        <f t="shared" si="10"/>
        <v>0</v>
      </c>
      <c r="O25">
        <f t="shared" si="24"/>
        <v>278.10627686010861</v>
      </c>
      <c r="P25">
        <f>IF($I$3=0,0,M25/(1+EXP(-$I$3*(B25-$J$3)))-M25/(1+EXP($I$3*$J$3)))</f>
        <v>263.62299675928449</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14.483280100824118</v>
      </c>
      <c r="AB25">
        <f t="shared" si="22"/>
        <v>14.483280100824118</v>
      </c>
      <c r="AC25">
        <f t="shared" si="11"/>
        <v>0</v>
      </c>
      <c r="AD25">
        <f t="shared" si="3"/>
        <v>59.315174270839023</v>
      </c>
      <c r="AE25">
        <f t="shared" si="12"/>
        <v>0</v>
      </c>
      <c r="AF25">
        <f t="shared" si="13"/>
        <v>65.905749189821137</v>
      </c>
      <c r="AG25">
        <f t="shared" si="14"/>
        <v>118.63034854167802</v>
      </c>
      <c r="AH25">
        <f t="shared" si="15"/>
        <v>0</v>
      </c>
      <c r="AI25">
        <f t="shared" si="16"/>
        <v>15.609256387062899</v>
      </c>
      <c r="AJ25">
        <f t="shared" si="17"/>
        <v>0</v>
      </c>
      <c r="AK25">
        <f t="shared" si="18"/>
        <v>59.315174270839023</v>
      </c>
      <c r="AL25">
        <f t="shared" si="19"/>
        <v>0</v>
      </c>
    </row>
    <row r="26" spans="1:38" x14ac:dyDescent="0.2">
      <c r="A26">
        <v>2043</v>
      </c>
      <c r="B26">
        <v>18</v>
      </c>
      <c r="C26">
        <f t="shared" si="20"/>
        <v>288.69294880069384</v>
      </c>
      <c r="D26">
        <f t="shared" si="23"/>
        <v>38.60186880392115</v>
      </c>
      <c r="E26">
        <f t="shared" si="4"/>
        <v>0</v>
      </c>
      <c r="F26">
        <f t="shared" si="5"/>
        <v>0</v>
      </c>
      <c r="G26" s="9">
        <f t="shared" si="6"/>
        <v>0.13371254464053739</v>
      </c>
      <c r="H26" s="9">
        <f t="shared" si="6"/>
        <v>0</v>
      </c>
      <c r="I26" s="9">
        <f t="shared" si="6"/>
        <v>0</v>
      </c>
      <c r="J26" s="9">
        <f t="shared" si="7"/>
        <v>1.738263080326986E-2</v>
      </c>
      <c r="K26" s="9">
        <f t="shared" si="8"/>
        <v>0</v>
      </c>
      <c r="L26" s="9">
        <f t="shared" si="9"/>
        <v>0</v>
      </c>
      <c r="M26">
        <f t="shared" si="0"/>
        <v>283.67470585618412</v>
      </c>
      <c r="N26">
        <f t="shared" si="10"/>
        <v>0</v>
      </c>
      <c r="O26">
        <f t="shared" si="24"/>
        <v>283.67470585618412</v>
      </c>
      <c r="P26">
        <f t="shared" si="21"/>
        <v>273.01309380761558</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10.661612048568543</v>
      </c>
      <c r="AB26">
        <f t="shared" si="22"/>
        <v>10.661612048568543</v>
      </c>
      <c r="AC26">
        <f t="shared" si="11"/>
        <v>0</v>
      </c>
      <c r="AD26">
        <f t="shared" si="3"/>
        <v>61.427946106713513</v>
      </c>
      <c r="AE26">
        <f t="shared" si="12"/>
        <v>0</v>
      </c>
      <c r="AF26">
        <f t="shared" si="13"/>
        <v>68.253273451903908</v>
      </c>
      <c r="AG26">
        <f t="shared" si="14"/>
        <v>122.85589221342701</v>
      </c>
      <c r="AH26">
        <f t="shared" si="15"/>
        <v>0</v>
      </c>
      <c r="AI26">
        <f t="shared" si="16"/>
        <v>16.165248975450925</v>
      </c>
      <c r="AJ26">
        <f t="shared" si="17"/>
        <v>0</v>
      </c>
      <c r="AK26">
        <f t="shared" si="18"/>
        <v>61.427946106713513</v>
      </c>
      <c r="AL26">
        <f t="shared" si="19"/>
        <v>0</v>
      </c>
    </row>
    <row r="27" spans="1:38" x14ac:dyDescent="0.2">
      <c r="A27">
        <v>2044</v>
      </c>
      <c r="B27">
        <v>19</v>
      </c>
      <c r="C27">
        <f t="shared" si="20"/>
        <v>294.7555007255084</v>
      </c>
      <c r="D27">
        <f t="shared" si="23"/>
        <v>41.534909936955529</v>
      </c>
      <c r="E27">
        <f t="shared" si="4"/>
        <v>0</v>
      </c>
      <c r="F27">
        <f t="shared" si="5"/>
        <v>0</v>
      </c>
      <c r="G27" s="9">
        <f t="shared" si="6"/>
        <v>0.14091309520847581</v>
      </c>
      <c r="H27" s="9">
        <f t="shared" si="6"/>
        <v>0</v>
      </c>
      <c r="I27" s="9">
        <f t="shared" si="6"/>
        <v>0</v>
      </c>
      <c r="J27" s="9">
        <f t="shared" si="7"/>
        <v>1.8318702377101856E-2</v>
      </c>
      <c r="K27" s="9">
        <f t="shared" si="8"/>
        <v>0</v>
      </c>
      <c r="L27" s="9">
        <f t="shared" si="9"/>
        <v>0</v>
      </c>
      <c r="M27">
        <f t="shared" si="0"/>
        <v>289.35596243370418</v>
      </c>
      <c r="N27">
        <f t="shared" si="10"/>
        <v>0</v>
      </c>
      <c r="O27">
        <f t="shared" si="24"/>
        <v>289.35596243370418</v>
      </c>
      <c r="P27">
        <f t="shared" si="21"/>
        <v>281.22188393380583</v>
      </c>
      <c r="Q27" s="9">
        <f t="shared" si="1"/>
        <v>0.97188902405367927</v>
      </c>
      <c r="R27">
        <f>VLOOKUP($B$1,dictionary!$A$3:$K$51,3,FALSE)*Q27</f>
        <v>0.19437780481073585</v>
      </c>
      <c r="S27">
        <f>VLOOKUP($B$1,dictionary!$A$3:$K$51,4,FALSE)*Q27</f>
        <v>0</v>
      </c>
      <c r="T27">
        <f>VLOOKUP($B$1,dictionary!$A$3:$K$51,5,FALSE)*Q27</f>
        <v>0.19437780481073585</v>
      </c>
      <c r="U27">
        <f>VLOOKUP($B$1,dictionary!$A$3:$K$51,6,FALSE)*Q27</f>
        <v>0.34016115841878775</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8.1340784998983509</v>
      </c>
      <c r="AB27">
        <f t="shared" si="22"/>
        <v>8.1340784998983509</v>
      </c>
      <c r="AC27">
        <f t="shared" si="11"/>
        <v>0</v>
      </c>
      <c r="AD27">
        <f t="shared" si="3"/>
        <v>63.274923885106311</v>
      </c>
      <c r="AE27">
        <f t="shared" si="12"/>
        <v>0</v>
      </c>
      <c r="AF27">
        <f t="shared" si="13"/>
        <v>70.305470983451457</v>
      </c>
      <c r="AG27">
        <f t="shared" si="14"/>
        <v>126.54984777021264</v>
      </c>
      <c r="AH27">
        <f t="shared" si="15"/>
        <v>0</v>
      </c>
      <c r="AI27">
        <f t="shared" si="16"/>
        <v>16.651295759238501</v>
      </c>
      <c r="AJ27">
        <f t="shared" si="17"/>
        <v>0</v>
      </c>
      <c r="AK27">
        <f t="shared" si="18"/>
        <v>63.274923885106311</v>
      </c>
      <c r="AL27">
        <f t="shared" si="19"/>
        <v>0</v>
      </c>
    </row>
    <row r="28" spans="1:38" x14ac:dyDescent="0.2">
      <c r="A28">
        <v>2045</v>
      </c>
      <c r="B28">
        <v>20</v>
      </c>
      <c r="C28">
        <f t="shared" si="20"/>
        <v>300.94536624074402</v>
      </c>
      <c r="D28">
        <f t="shared" si="23"/>
        <v>44.560703296753076</v>
      </c>
      <c r="E28">
        <f t="shared" si="4"/>
        <v>0</v>
      </c>
      <c r="F28">
        <f t="shared" si="5"/>
        <v>0</v>
      </c>
      <c r="G28" s="9">
        <f t="shared" si="6"/>
        <v>0.1480690792929715</v>
      </c>
      <c r="H28" s="9">
        <f t="shared" si="6"/>
        <v>0</v>
      </c>
      <c r="I28" s="9">
        <f t="shared" si="6"/>
        <v>0</v>
      </c>
      <c r="J28" s="9">
        <f t="shared" si="7"/>
        <v>1.9248980308086295E-2</v>
      </c>
      <c r="K28" s="9">
        <f t="shared" si="8"/>
        <v>0</v>
      </c>
      <c r="L28" s="9">
        <f t="shared" si="9"/>
        <v>0</v>
      </c>
      <c r="M28">
        <f t="shared" si="0"/>
        <v>295.15247481216613</v>
      </c>
      <c r="N28">
        <f t="shared" si="10"/>
        <v>0</v>
      </c>
      <c r="O28">
        <f t="shared" si="24"/>
        <v>295.15247481216613</v>
      </c>
      <c r="P28">
        <f t="shared" si="21"/>
        <v>288.66682819608843</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6.4856466160777018</v>
      </c>
      <c r="AB28">
        <f t="shared" si="22"/>
        <v>6.4856466160777018</v>
      </c>
      <c r="AC28">
        <f t="shared" si="11"/>
        <v>0</v>
      </c>
      <c r="AD28">
        <f t="shared" si="3"/>
        <v>64.950036344119894</v>
      </c>
      <c r="AE28">
        <f t="shared" si="12"/>
        <v>0</v>
      </c>
      <c r="AF28">
        <f t="shared" si="13"/>
        <v>72.166707049022108</v>
      </c>
      <c r="AG28">
        <f t="shared" si="14"/>
        <v>129.90007268823979</v>
      </c>
      <c r="AH28">
        <f t="shared" si="15"/>
        <v>0</v>
      </c>
      <c r="AI28">
        <f t="shared" si="16"/>
        <v>17.092114827399971</v>
      </c>
      <c r="AJ28">
        <f t="shared" si="17"/>
        <v>0</v>
      </c>
      <c r="AK28">
        <f t="shared" si="18"/>
        <v>64.950036344119894</v>
      </c>
      <c r="AL28">
        <f t="shared" si="19"/>
        <v>0</v>
      </c>
    </row>
    <row r="29" spans="1:38" x14ac:dyDescent="0.2">
      <c r="A29">
        <v>2046</v>
      </c>
      <c r="B29">
        <v>21</v>
      </c>
      <c r="C29">
        <f t="shared" si="20"/>
        <v>307.26521893179961</v>
      </c>
      <c r="D29">
        <f t="shared" si="23"/>
        <v>47.680716143857978</v>
      </c>
      <c r="E29">
        <f t="shared" si="4"/>
        <v>0</v>
      </c>
      <c r="F29">
        <f t="shared" si="5"/>
        <v>0</v>
      </c>
      <c r="G29" s="9">
        <f t="shared" si="6"/>
        <v>0.15517772011299841</v>
      </c>
      <c r="H29" s="9">
        <f t="shared" si="6"/>
        <v>0</v>
      </c>
      <c r="I29" s="9">
        <f t="shared" si="6"/>
        <v>0</v>
      </c>
      <c r="J29" s="9">
        <f t="shared" si="7"/>
        <v>2.0173103614689793E-2</v>
      </c>
      <c r="K29" s="9">
        <f t="shared" si="8"/>
        <v>0</v>
      </c>
      <c r="L29" s="9">
        <f t="shared" si="9"/>
        <v>0</v>
      </c>
      <c r="M29">
        <f t="shared" si="0"/>
        <v>301.06672583309808</v>
      </c>
      <c r="N29">
        <f t="shared" si="10"/>
        <v>0</v>
      </c>
      <c r="O29">
        <f t="shared" si="24"/>
        <v>301.06672583309808</v>
      </c>
      <c r="P29">
        <f t="shared" si="21"/>
        <v>295.64134393277317</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5.4253819003249077</v>
      </c>
      <c r="AB29">
        <f t="shared" si="22"/>
        <v>5.4253819003249077</v>
      </c>
      <c r="AC29">
        <f t="shared" si="11"/>
        <v>0</v>
      </c>
      <c r="AD29">
        <f t="shared" si="3"/>
        <v>66.519302384873967</v>
      </c>
      <c r="AE29">
        <f t="shared" si="12"/>
        <v>0</v>
      </c>
      <c r="AF29">
        <f t="shared" si="13"/>
        <v>73.910335983193306</v>
      </c>
      <c r="AG29">
        <f t="shared" si="14"/>
        <v>133.03860476974793</v>
      </c>
      <c r="AH29">
        <f t="shared" si="15"/>
        <v>0</v>
      </c>
      <c r="AI29">
        <f t="shared" si="16"/>
        <v>17.505079574966832</v>
      </c>
      <c r="AJ29">
        <f t="shared" si="17"/>
        <v>0</v>
      </c>
      <c r="AK29">
        <f t="shared" si="18"/>
        <v>66.519302384873967</v>
      </c>
      <c r="AL29">
        <f t="shared" si="19"/>
        <v>0</v>
      </c>
    </row>
    <row r="30" spans="1:38" x14ac:dyDescent="0.2">
      <c r="A30">
        <v>2047</v>
      </c>
      <c r="B30">
        <v>22</v>
      </c>
      <c r="C30">
        <f t="shared" si="20"/>
        <v>313.7177885293674</v>
      </c>
      <c r="D30">
        <f t="shared" si="23"/>
        <v>50.896419470619946</v>
      </c>
      <c r="E30">
        <f t="shared" si="4"/>
        <v>0</v>
      </c>
      <c r="F30">
        <f t="shared" si="5"/>
        <v>0</v>
      </c>
      <c r="G30" s="9">
        <f t="shared" si="6"/>
        <v>0.16223631981217887</v>
      </c>
      <c r="H30" s="9">
        <f t="shared" si="6"/>
        <v>0</v>
      </c>
      <c r="I30" s="9">
        <f t="shared" si="6"/>
        <v>0</v>
      </c>
      <c r="J30" s="9">
        <f t="shared" si="7"/>
        <v>2.1090721575583254E-2</v>
      </c>
      <c r="K30" s="9">
        <f t="shared" si="8"/>
        <v>0</v>
      </c>
      <c r="L30" s="9">
        <f t="shared" si="9"/>
        <v>0</v>
      </c>
      <c r="M30">
        <f t="shared" si="0"/>
        <v>307.10125399818679</v>
      </c>
      <c r="N30">
        <f t="shared" si="10"/>
        <v>0</v>
      </c>
      <c r="O30">
        <f t="shared" si="24"/>
        <v>307.10125399818679</v>
      </c>
      <c r="P30">
        <f t="shared" si="21"/>
        <v>302.34633901268211</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4.7549149855046835</v>
      </c>
      <c r="AB30">
        <f t="shared" si="22"/>
        <v>4.7549149855046835</v>
      </c>
      <c r="AC30">
        <f t="shared" si="11"/>
        <v>0</v>
      </c>
      <c r="AD30">
        <f t="shared" si="3"/>
        <v>68.027926277853481</v>
      </c>
      <c r="AE30">
        <f t="shared" si="12"/>
        <v>0</v>
      </c>
      <c r="AF30">
        <f t="shared" si="13"/>
        <v>75.586584753170527</v>
      </c>
      <c r="AG30">
        <f t="shared" si="14"/>
        <v>136.05585255570693</v>
      </c>
      <c r="AH30">
        <f t="shared" si="15"/>
        <v>0</v>
      </c>
      <c r="AI30">
        <f t="shared" si="16"/>
        <v>17.902085862593019</v>
      </c>
      <c r="AJ30">
        <f t="shared" si="17"/>
        <v>0</v>
      </c>
      <c r="AK30">
        <f t="shared" si="18"/>
        <v>68.027926277853481</v>
      </c>
      <c r="AL30">
        <f t="shared" si="19"/>
        <v>0</v>
      </c>
    </row>
    <row r="31" spans="1:38" x14ac:dyDescent="0.2">
      <c r="A31">
        <v>2048</v>
      </c>
      <c r="B31">
        <v>23</v>
      </c>
      <c r="C31">
        <f t="shared" si="20"/>
        <v>320.3058620884841</v>
      </c>
      <c r="D31">
        <f t="shared" si="23"/>
        <v>54.209288977597765</v>
      </c>
      <c r="E31">
        <f t="shared" si="4"/>
        <v>0</v>
      </c>
      <c r="F31">
        <f t="shared" si="5"/>
        <v>0</v>
      </c>
      <c r="G31" s="9">
        <f t="shared" si="6"/>
        <v>0.16924226307985121</v>
      </c>
      <c r="H31" s="9">
        <f t="shared" si="6"/>
        <v>0</v>
      </c>
      <c r="I31" s="9">
        <f t="shared" si="6"/>
        <v>0</v>
      </c>
      <c r="J31" s="9">
        <f t="shared" si="7"/>
        <v>2.200149420038066E-2</v>
      </c>
      <c r="K31" s="9">
        <f t="shared" si="8"/>
        <v>0</v>
      </c>
      <c r="L31" s="9">
        <f t="shared" si="9"/>
        <v>0</v>
      </c>
      <c r="M31">
        <f t="shared" si="0"/>
        <v>313.25865452139641</v>
      </c>
      <c r="N31">
        <f t="shared" si="10"/>
        <v>0</v>
      </c>
      <c r="O31">
        <f t="shared" si="24"/>
        <v>313.25865452139641</v>
      </c>
      <c r="P31">
        <f t="shared" si="21"/>
        <v>308.91733697003389</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4.341317551362522</v>
      </c>
      <c r="AB31">
        <f t="shared" si="22"/>
        <v>4.341317551362522</v>
      </c>
      <c r="AC31">
        <f t="shared" si="11"/>
        <v>0</v>
      </c>
      <c r="AD31">
        <f t="shared" si="3"/>
        <v>69.506400818257632</v>
      </c>
      <c r="AE31">
        <f t="shared" si="12"/>
        <v>0</v>
      </c>
      <c r="AF31">
        <f t="shared" si="13"/>
        <v>77.229334242508486</v>
      </c>
      <c r="AG31">
        <f t="shared" si="14"/>
        <v>139.01280163651523</v>
      </c>
      <c r="AH31">
        <f t="shared" si="15"/>
        <v>0</v>
      </c>
      <c r="AI31">
        <f t="shared" si="16"/>
        <v>18.291158110067798</v>
      </c>
      <c r="AJ31">
        <f t="shared" si="17"/>
        <v>0</v>
      </c>
      <c r="AK31">
        <f t="shared" si="18"/>
        <v>69.506400818257632</v>
      </c>
      <c r="AL31">
        <f t="shared" si="19"/>
        <v>0</v>
      </c>
    </row>
    <row r="32" spans="1:38" x14ac:dyDescent="0.2">
      <c r="A32">
        <v>2049</v>
      </c>
      <c r="B32">
        <v>24</v>
      </c>
      <c r="C32">
        <f t="shared" si="20"/>
        <v>327.03228519234221</v>
      </c>
      <c r="D32">
        <f t="shared" si="23"/>
        <v>57.62080612663334</v>
      </c>
      <c r="E32">
        <f t="shared" si="4"/>
        <v>0</v>
      </c>
      <c r="F32">
        <f t="shared" si="5"/>
        <v>0</v>
      </c>
      <c r="G32" s="9">
        <f t="shared" si="6"/>
        <v>0.17619302049259139</v>
      </c>
      <c r="H32" s="9">
        <f t="shared" si="6"/>
        <v>0</v>
      </c>
      <c r="I32" s="9">
        <f t="shared" si="6"/>
        <v>0</v>
      </c>
      <c r="J32" s="9">
        <f t="shared" si="7"/>
        <v>2.2905092664036883E-2</v>
      </c>
      <c r="K32" s="9">
        <f t="shared" si="8"/>
        <v>0</v>
      </c>
      <c r="L32" s="9">
        <f t="shared" si="9"/>
        <v>0</v>
      </c>
      <c r="M32">
        <f t="shared" si="0"/>
        <v>319.54158039587992</v>
      </c>
      <c r="N32">
        <f t="shared" si="10"/>
        <v>0</v>
      </c>
      <c r="O32">
        <f t="shared" si="24"/>
        <v>319.54158039587992</v>
      </c>
      <c r="P32">
        <f t="shared" si="21"/>
        <v>315.445095177528</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4.0964852183519156</v>
      </c>
      <c r="AB32">
        <f t="shared" si="22"/>
        <v>4.0964852183519156</v>
      </c>
      <c r="AC32">
        <f t="shared" si="11"/>
        <v>0</v>
      </c>
      <c r="AD32">
        <f t="shared" si="3"/>
        <v>70.975146414943808</v>
      </c>
      <c r="AE32">
        <f t="shared" si="12"/>
        <v>0</v>
      </c>
      <c r="AF32">
        <f t="shared" si="13"/>
        <v>78.861273794382015</v>
      </c>
      <c r="AG32">
        <f t="shared" si="14"/>
        <v>141.95029282988759</v>
      </c>
      <c r="AH32">
        <f t="shared" si="15"/>
        <v>0</v>
      </c>
      <c r="AI32">
        <f t="shared" si="16"/>
        <v>18.677670109195738</v>
      </c>
      <c r="AJ32">
        <f t="shared" si="17"/>
        <v>0</v>
      </c>
      <c r="AK32">
        <f t="shared" si="18"/>
        <v>70.975146414943808</v>
      </c>
      <c r="AL32">
        <f t="shared" si="19"/>
        <v>0</v>
      </c>
    </row>
    <row r="33" spans="1:38" x14ac:dyDescent="0.2">
      <c r="A33">
        <v>2050</v>
      </c>
      <c r="B33">
        <v>25</v>
      </c>
      <c r="C33">
        <f t="shared" si="20"/>
        <v>333.89996318138139</v>
      </c>
      <c r="D33">
        <f t="shared" si="23"/>
        <v>61.132459268091878</v>
      </c>
      <c r="E33">
        <f t="shared" si="4"/>
        <v>0</v>
      </c>
      <c r="F33">
        <f t="shared" si="5"/>
        <v>0</v>
      </c>
      <c r="G33" s="9">
        <f t="shared" si="6"/>
        <v>0.18308615156954497</v>
      </c>
      <c r="H33" s="9">
        <f t="shared" si="6"/>
        <v>0</v>
      </c>
      <c r="I33" s="9">
        <f t="shared" si="6"/>
        <v>0</v>
      </c>
      <c r="J33" s="9">
        <f t="shared" si="7"/>
        <v>2.3801199704040849E-2</v>
      </c>
      <c r="K33" s="9">
        <f t="shared" si="8"/>
        <v>0</v>
      </c>
      <c r="L33" s="9">
        <f t="shared" si="9"/>
        <v>0</v>
      </c>
      <c r="M33">
        <f t="shared" si="0"/>
        <v>325.95274347652946</v>
      </c>
      <c r="N33">
        <f t="shared" si="10"/>
        <v>0</v>
      </c>
      <c r="O33">
        <f t="shared" si="24"/>
        <v>325.95274347652946</v>
      </c>
      <c r="P33">
        <f t="shared" si="21"/>
        <v>321.99031430424958</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3.962429172279883</v>
      </c>
      <c r="AB33">
        <f t="shared" si="22"/>
        <v>3.962429172279883</v>
      </c>
      <c r="AC33">
        <f t="shared" si="11"/>
        <v>0</v>
      </c>
      <c r="AD33">
        <f t="shared" si="3"/>
        <v>72.447820718456157</v>
      </c>
      <c r="AE33">
        <f t="shared" si="12"/>
        <v>0</v>
      </c>
      <c r="AF33">
        <f t="shared" si="13"/>
        <v>80.497578576062395</v>
      </c>
      <c r="AG33">
        <f t="shared" si="14"/>
        <v>144.89564143691229</v>
      </c>
      <c r="AH33">
        <f t="shared" si="15"/>
        <v>0</v>
      </c>
      <c r="AI33">
        <f t="shared" si="16"/>
        <v>19.065215978541094</v>
      </c>
      <c r="AJ33">
        <f t="shared" si="17"/>
        <v>0</v>
      </c>
      <c r="AK33">
        <f t="shared" si="18"/>
        <v>72.447820718456157</v>
      </c>
      <c r="AL33">
        <f t="shared" si="19"/>
        <v>0</v>
      </c>
    </row>
    <row r="35" spans="1:38" x14ac:dyDescent="0.2">
      <c r="G35" s="2"/>
    </row>
    <row r="37" spans="1:38" x14ac:dyDescent="0.2">
      <c r="H37" s="2"/>
      <c r="I37" s="2"/>
    </row>
  </sheetData>
  <mergeCells count="1">
    <mergeCell ref="J6:L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6D71-5253-7648-A0ED-415357FC5D2A}">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16</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60.877048192666209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60.877048192666209</v>
      </c>
      <c r="N8">
        <f>IF($N$7="LFO",M8/(1+EXP(-$I$4*(B8-$J$4)))-M8/(1+EXP($I$4*$J$4)),IF($N$7="MGO",M8/(1+EXP(-$I$5*(B8-$J$5)))-M8/(1+EXP($I$5*$J$5)),0))</f>
        <v>0</v>
      </c>
      <c r="O8">
        <f>M8-N8</f>
        <v>60.877048192666209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60.877048192666209</v>
      </c>
      <c r="AB8">
        <f>O8/M8*AA8</f>
        <v>60.877048192666209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62.155466204712191</v>
      </c>
      <c r="D9">
        <f>IF($E$2=0,0,C9/(1+EXP(-$E$2*(B9-$G$2)))-C9/(1+EXP($E$2*$G$2)))</f>
        <v>0.46403988050193945</v>
      </c>
      <c r="E9">
        <f t="shared" ref="E9:E33" si="4">IF($E$3=0,0,C9/(1+EXP(-$E$3*(B9-$G$3)))-C9/(1+EXP($E$3*$G$3)))</f>
        <v>0.46403988050193945</v>
      </c>
      <c r="F9">
        <f t="shared" ref="F9:F33" si="5">IF($E$4=0,0,C9/(1+EXP(-$E$4*(B9-$G$4)))-C9/(1+EXP($E$4*$G$4)))</f>
        <v>0.15503827570282169</v>
      </c>
      <c r="G9" s="9">
        <f t="shared" ref="G9:I33" si="6">D9/$C9</f>
        <v>7.4657935791777423E-3</v>
      </c>
      <c r="H9" s="9">
        <f t="shared" si="6"/>
        <v>7.4657935791777423E-3</v>
      </c>
      <c r="I9" s="9">
        <f t="shared" si="6"/>
        <v>2.4943626871399408E-3</v>
      </c>
      <c r="J9" s="9">
        <f t="shared" ref="J9:J33" si="7">G9*$F$2</f>
        <v>9.7055316529310654E-4</v>
      </c>
      <c r="K9" s="9">
        <f t="shared" ref="K9:K33" si="8">H9*$F$3</f>
        <v>1.4931587158355485E-3</v>
      </c>
      <c r="L9" s="9">
        <f t="shared" ref="L9:L33" si="9">I9*$F$4</f>
        <v>9.9774507485597642E-4</v>
      </c>
      <c r="M9">
        <f t="shared" si="0"/>
        <v>61.940560506925181</v>
      </c>
      <c r="N9">
        <f t="shared" ref="N9:N33" si="10">IF($N$7="LFO",M9/(1+EXP(-$I$4*(B9-$J$4)))-M9/(1+EXP($I$4*$J$4)),IF($N$7="MGO",M9/(1+EXP(-$I$5*(B9-$J$5)))-M9/(1+EXP($I$5*$J$5)),0))</f>
        <v>3.0381654581975681</v>
      </c>
      <c r="O9">
        <f>M9-N9</f>
        <v>58.902395048727612</v>
      </c>
      <c r="P9">
        <f>IF($I$3=0,0,M9/(1+EXP(-$I$3*(B9-$J$3)))-M9/(1+EXP($I$3*$J$3)))</f>
        <v>0.38013483691906391</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61.560425670006119</v>
      </c>
      <c r="AB9">
        <f t="shared" ref="AB9:AB33" si="11">O9/M9*AA9</f>
        <v>58.540905708741953</v>
      </c>
      <c r="AC9">
        <f t="shared" ref="AC9:AC33" si="12">N9/M9*AA9</f>
        <v>3.0195199612641663</v>
      </c>
      <c r="AD9">
        <f t="shared" si="3"/>
        <v>7.6026967383812788E-2</v>
      </c>
      <c r="AE9">
        <f t="shared" ref="AE9:AE33" si="13">S9*$O9*$AE$2+S9*$N9*$AE$3</f>
        <v>0</v>
      </c>
      <c r="AF9">
        <f t="shared" ref="AF9:AF33" si="14">T9*$O9*$AF$2+T9*$N9*$AF$3</f>
        <v>8.4474408204236434E-2</v>
      </c>
      <c r="AG9">
        <f t="shared" ref="AG9:AG33" si="15">U9*$O9*$AG$2+U9*$N9*$AG$3</f>
        <v>0.15205393476762555</v>
      </c>
      <c r="AH9">
        <f t="shared" ref="AH9:AH33" si="16">V9*$O9*$AH$2+V9*$N9*$AH$3</f>
        <v>0</v>
      </c>
      <c r="AI9">
        <f t="shared" ref="AI9:AI33" si="17">W9*$O9*$AI$2+W9*$N9*$AI$3</f>
        <v>2.0007096679950733E-2</v>
      </c>
      <c r="AJ9">
        <f t="shared" ref="AJ9:AJ33" si="18">X9*$O9*$AJ$2+X9*$N9*$AJ$3</f>
        <v>0</v>
      </c>
      <c r="AK9">
        <f t="shared" ref="AK9:AK33" si="19">Y9*$O9*$AK$2+Y9*$N9*$AK$3</f>
        <v>7.6026967383812788E-2</v>
      </c>
      <c r="AL9">
        <f t="shared" ref="AL9:AL33" si="20">Z9*$O9*$AL$2+Z9*$N9*$AL$3</f>
        <v>0</v>
      </c>
    </row>
    <row r="10" spans="1:51" x14ac:dyDescent="0.2">
      <c r="A10">
        <v>2027</v>
      </c>
      <c r="B10">
        <v>2</v>
      </c>
      <c r="C10">
        <f t="shared" ref="C10:C33" si="21">C9*(1+$I$2)</f>
        <v>63.46073099501114</v>
      </c>
      <c r="D10">
        <f>IF($E$2=0,0,C10/(1+EXP(-$E$2*(B10-$G$2)))-C10/(1+EXP($E$2*$G$2)))</f>
        <v>0.94842192896217625</v>
      </c>
      <c r="E10">
        <f t="shared" si="4"/>
        <v>0.94842192896217625</v>
      </c>
      <c r="F10">
        <f t="shared" si="5"/>
        <v>0.31665935869381556</v>
      </c>
      <c r="G10" s="9">
        <f t="shared" si="6"/>
        <v>1.4945020551949439E-2</v>
      </c>
      <c r="H10" s="9">
        <f t="shared" si="6"/>
        <v>1.4945020551949439E-2</v>
      </c>
      <c r="I10" s="9">
        <f t="shared" si="6"/>
        <v>4.9898473233582702E-3</v>
      </c>
      <c r="J10" s="9">
        <f t="shared" si="7"/>
        <v>1.9428526717534271E-3</v>
      </c>
      <c r="K10" s="9">
        <f t="shared" si="8"/>
        <v>2.9890041103898882E-3</v>
      </c>
      <c r="L10" s="9">
        <f t="shared" si="9"/>
        <v>1.9959389293433081E-3</v>
      </c>
      <c r="M10">
        <f t="shared" si="0"/>
        <v>63.022080495673123</v>
      </c>
      <c r="N10">
        <f t="shared" si="10"/>
        <v>6.7197276670918296</v>
      </c>
      <c r="O10">
        <f>M10-N10</f>
        <v>56.302352828581292</v>
      </c>
      <c r="P10">
        <f t="shared" ref="P10:P33" si="22">IF($I$3=0,0,M10/(1+EXP(-$I$3*(B10-$J$3)))-M10/(1+EXP($I$3*$J$3)))</f>
        <v>0.98377788727755489</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62.038302608395568</v>
      </c>
      <c r="AB10">
        <f t="shared" si="11"/>
        <v>55.423470232532118</v>
      </c>
      <c r="AC10">
        <f t="shared" si="12"/>
        <v>6.6148323758634477</v>
      </c>
      <c r="AD10">
        <f t="shared" si="3"/>
        <v>0.196755577455511</v>
      </c>
      <c r="AE10">
        <f t="shared" si="13"/>
        <v>0</v>
      </c>
      <c r="AF10">
        <f t="shared" si="14"/>
        <v>0.21861730828390114</v>
      </c>
      <c r="AG10">
        <f t="shared" si="15"/>
        <v>0.39351115491102195</v>
      </c>
      <c r="AH10">
        <f t="shared" si="16"/>
        <v>0</v>
      </c>
      <c r="AI10">
        <f t="shared" si="17"/>
        <v>5.1777783540923945E-2</v>
      </c>
      <c r="AJ10">
        <f t="shared" si="18"/>
        <v>0</v>
      </c>
      <c r="AK10">
        <f t="shared" si="19"/>
        <v>0.196755577455511</v>
      </c>
      <c r="AL10">
        <f t="shared" si="20"/>
        <v>0</v>
      </c>
    </row>
    <row r="11" spans="1:51" x14ac:dyDescent="0.2">
      <c r="A11">
        <v>2028</v>
      </c>
      <c r="B11">
        <v>3</v>
      </c>
      <c r="C11">
        <f t="shared" si="21"/>
        <v>64.793406345906362</v>
      </c>
      <c r="D11">
        <f t="shared" ref="D11:D33" si="23">IF($E$2=0,0,C11/(1+EXP(-$E$2*(B11-$G$2)))-C11/(1+EXP($E$2*$G$2)))</f>
        <v>1.4535975490348605</v>
      </c>
      <c r="E11">
        <f t="shared" si="4"/>
        <v>1.4535975490348605</v>
      </c>
      <c r="F11">
        <f t="shared" si="5"/>
        <v>0.48506480958404197</v>
      </c>
      <c r="G11" s="9">
        <f t="shared" si="6"/>
        <v>2.2434343724339452E-2</v>
      </c>
      <c r="H11" s="9">
        <f t="shared" si="6"/>
        <v>2.2434343724339452E-2</v>
      </c>
      <c r="I11" s="9">
        <f t="shared" si="6"/>
        <v>7.4863298125502596E-3</v>
      </c>
      <c r="J11" s="9">
        <f t="shared" si="7"/>
        <v>2.9164646841641287E-3</v>
      </c>
      <c r="K11" s="9">
        <f t="shared" si="8"/>
        <v>4.4868687448678902E-3</v>
      </c>
      <c r="L11" s="9">
        <f t="shared" si="9"/>
        <v>2.9945319250201038E-3</v>
      </c>
      <c r="M11">
        <f t="shared" si="0"/>
        <v>64.121975003699276</v>
      </c>
      <c r="N11">
        <f t="shared" si="10"/>
        <v>11.023732597360084</v>
      </c>
      <c r="O11">
        <f t="shared" ref="O11:O33" si="24">M11-N11</f>
        <v>53.098242406339196</v>
      </c>
      <c r="P11">
        <f t="shared" si="22"/>
        <v>1.9303494529142968</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62.191625550784977</v>
      </c>
      <c r="AB11">
        <f t="shared" si="11"/>
        <v>51.499755098768361</v>
      </c>
      <c r="AC11">
        <f t="shared" si="12"/>
        <v>10.691870452016621</v>
      </c>
      <c r="AD11">
        <f t="shared" si="3"/>
        <v>0.3860698905828594</v>
      </c>
      <c r="AE11">
        <f t="shared" si="13"/>
        <v>0</v>
      </c>
      <c r="AF11">
        <f t="shared" si="14"/>
        <v>0.428966545092066</v>
      </c>
      <c r="AG11">
        <f t="shared" si="15"/>
        <v>0.7721397811657188</v>
      </c>
      <c r="AH11">
        <f t="shared" si="16"/>
        <v>0</v>
      </c>
      <c r="AI11">
        <f t="shared" si="17"/>
        <v>0.10159733962706825</v>
      </c>
      <c r="AJ11">
        <f t="shared" si="18"/>
        <v>0</v>
      </c>
      <c r="AK11">
        <f t="shared" si="19"/>
        <v>0.3860698905828594</v>
      </c>
      <c r="AL11">
        <f t="shared" si="20"/>
        <v>0</v>
      </c>
    </row>
    <row r="12" spans="1:51" x14ac:dyDescent="0.2">
      <c r="A12">
        <v>2029</v>
      </c>
      <c r="B12">
        <v>4</v>
      </c>
      <c r="C12">
        <f t="shared" si="21"/>
        <v>66.154067879170384</v>
      </c>
      <c r="D12">
        <f t="shared" si="23"/>
        <v>1.9800182287979204</v>
      </c>
      <c r="E12">
        <f t="shared" si="4"/>
        <v>1.9800182287979204</v>
      </c>
      <c r="F12">
        <f t="shared" si="5"/>
        <v>0.66046143203565677</v>
      </c>
      <c r="G12" s="9">
        <f t="shared" si="6"/>
        <v>2.9930407793129218E-2</v>
      </c>
      <c r="H12" s="9">
        <f t="shared" si="6"/>
        <v>2.9930407793129218E-2</v>
      </c>
      <c r="I12" s="9">
        <f t="shared" si="6"/>
        <v>9.9836858595299342E-3</v>
      </c>
      <c r="J12" s="9">
        <f t="shared" si="7"/>
        <v>3.8909530131067986E-3</v>
      </c>
      <c r="K12" s="9">
        <f t="shared" si="8"/>
        <v>5.9860815586258442E-3</v>
      </c>
      <c r="L12" s="9">
        <f t="shared" si="9"/>
        <v>3.993474343811974E-3</v>
      </c>
      <c r="M12">
        <f t="shared" si="0"/>
        <v>65.240621329319112</v>
      </c>
      <c r="N12">
        <f t="shared" si="10"/>
        <v>15.862080095095456</v>
      </c>
      <c r="O12">
        <f t="shared" si="24"/>
        <v>49.378541234223654</v>
      </c>
      <c r="P12">
        <f t="shared" si="22"/>
        <v>3.3916259126214081</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61.848995416697704</v>
      </c>
      <c r="AB12">
        <f t="shared" si="11"/>
        <v>46.8115279752286</v>
      </c>
      <c r="AC12">
        <f t="shared" si="12"/>
        <v>15.037467441469101</v>
      </c>
      <c r="AD12">
        <f t="shared" si="3"/>
        <v>0.67832518252428164</v>
      </c>
      <c r="AE12">
        <f t="shared" si="13"/>
        <v>0</v>
      </c>
      <c r="AF12">
        <f t="shared" si="14"/>
        <v>0.75369464724920188</v>
      </c>
      <c r="AG12">
        <f t="shared" si="15"/>
        <v>1.3566503650485633</v>
      </c>
      <c r="AH12">
        <f t="shared" si="16"/>
        <v>0</v>
      </c>
      <c r="AI12">
        <f t="shared" si="17"/>
        <v>0.17850662698007411</v>
      </c>
      <c r="AJ12">
        <f t="shared" si="18"/>
        <v>0</v>
      </c>
      <c r="AK12">
        <f t="shared" si="19"/>
        <v>0.67832518252428164</v>
      </c>
      <c r="AL12">
        <f t="shared" si="20"/>
        <v>0</v>
      </c>
    </row>
    <row r="13" spans="1:51" x14ac:dyDescent="0.2">
      <c r="A13">
        <v>2030</v>
      </c>
      <c r="B13">
        <v>5</v>
      </c>
      <c r="C13">
        <f t="shared" si="21"/>
        <v>67.543303304632957</v>
      </c>
      <c r="D13">
        <f t="shared" si="23"/>
        <v>2.5281353966983779</v>
      </c>
      <c r="E13">
        <f t="shared" si="4"/>
        <v>2.5281353966983779</v>
      </c>
      <c r="F13">
        <f t="shared" si="5"/>
        <v>0.84306139494206178</v>
      </c>
      <c r="G13" s="9">
        <f t="shared" si="6"/>
        <v>3.7429845343749525E-2</v>
      </c>
      <c r="H13" s="9">
        <f t="shared" si="6"/>
        <v>3.7429845343749525E-2</v>
      </c>
      <c r="I13" s="9">
        <f t="shared" si="6"/>
        <v>1.2481790994729661E-2</v>
      </c>
      <c r="J13" s="9">
        <f t="shared" si="7"/>
        <v>4.8658798946874388E-3</v>
      </c>
      <c r="K13" s="9">
        <f t="shared" si="8"/>
        <v>7.4859690687499054E-3</v>
      </c>
      <c r="L13" s="9">
        <f t="shared" si="9"/>
        <v>4.9927163978918648E-3</v>
      </c>
      <c r="M13">
        <f t="shared" si="0"/>
        <v>66.378407449508927</v>
      </c>
      <c r="N13">
        <f t="shared" si="10"/>
        <v>21.08008797634605</v>
      </c>
      <c r="O13">
        <f t="shared" si="24"/>
        <v>45.298319473162877</v>
      </c>
      <c r="P13">
        <f t="shared" si="22"/>
        <v>5.5998498766078466</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60.778557572901079</v>
      </c>
      <c r="AB13">
        <f t="shared" si="11"/>
        <v>41.476838987881806</v>
      </c>
      <c r="AC13">
        <f t="shared" si="12"/>
        <v>19.301718585019273</v>
      </c>
      <c r="AD13">
        <f t="shared" si="3"/>
        <v>1.1199699753215691</v>
      </c>
      <c r="AE13">
        <f t="shared" si="13"/>
        <v>0</v>
      </c>
      <c r="AF13">
        <f t="shared" si="14"/>
        <v>1.2444110836906324</v>
      </c>
      <c r="AG13">
        <f t="shared" si="15"/>
        <v>2.2399399506431386</v>
      </c>
      <c r="AH13">
        <f t="shared" si="16"/>
        <v>0</v>
      </c>
      <c r="AI13">
        <f t="shared" si="17"/>
        <v>0.29472894087409712</v>
      </c>
      <c r="AJ13">
        <f t="shared" si="18"/>
        <v>0</v>
      </c>
      <c r="AK13">
        <f t="shared" si="19"/>
        <v>1.1199699753215691</v>
      </c>
      <c r="AL13">
        <f t="shared" si="20"/>
        <v>0</v>
      </c>
    </row>
    <row r="14" spans="1:51" x14ac:dyDescent="0.2">
      <c r="A14">
        <v>2031</v>
      </c>
      <c r="B14">
        <v>6</v>
      </c>
      <c r="C14">
        <f t="shared" si="21"/>
        <v>68.961712674030238</v>
      </c>
      <c r="D14">
        <f t="shared" si="23"/>
        <v>3.0984002976117573</v>
      </c>
      <c r="E14">
        <f t="shared" si="4"/>
        <v>3.0984002976117573</v>
      </c>
      <c r="F14">
        <f t="shared" si="5"/>
        <v>1.0330823572538748</v>
      </c>
      <c r="G14" s="9">
        <f t="shared" si="6"/>
        <v>4.4929282894369878E-2</v>
      </c>
      <c r="H14" s="9">
        <f t="shared" si="6"/>
        <v>4.4929282894369878E-2</v>
      </c>
      <c r="I14" s="9">
        <f t="shared" si="6"/>
        <v>1.4980520598974556E-2</v>
      </c>
      <c r="J14" s="9">
        <f t="shared" si="7"/>
        <v>5.8408067762680841E-3</v>
      </c>
      <c r="K14" s="9">
        <f t="shared" si="8"/>
        <v>8.9858565788739752E-3</v>
      </c>
      <c r="L14" s="9">
        <f t="shared" si="9"/>
        <v>5.9922082395898225E-3</v>
      </c>
      <c r="M14">
        <f t="shared" si="0"/>
        <v>67.535732241752044</v>
      </c>
      <c r="N14">
        <f t="shared" si="10"/>
        <v>26.475154673822903</v>
      </c>
      <c r="O14">
        <f t="shared" si="24"/>
        <v>41.060577567929144</v>
      </c>
      <c r="P14">
        <f t="shared" si="22"/>
        <v>8.8380043216715016</v>
      </c>
      <c r="Q14" s="9">
        <f t="shared" si="1"/>
        <v>0.13086412226989458</v>
      </c>
      <c r="R14">
        <f>VLOOKUP($B$1,dictionary!$A$3:$K$51,3,FALSE)*Q14</f>
        <v>2.6172824453978918E-2</v>
      </c>
      <c r="S14">
        <f>VLOOKUP($B$1,dictionary!$A$3:$K$51,4,FALSE)*Q14</f>
        <v>0</v>
      </c>
      <c r="T14">
        <f>VLOOKUP($B$1,dictionary!$A$3:$K$51,5,FALSE)*Q14</f>
        <v>2.6172824453978918E-2</v>
      </c>
      <c r="U14">
        <f>VLOOKUP($B$1,dictionary!$A$3:$K$51,6,FALSE)*Q14</f>
        <v>4.5802442794463098E-2</v>
      </c>
      <c r="V14">
        <f>VLOOKUP($B$1,dictionary!$A$3:$K$51,7,FALSE)*Q14</f>
        <v>0</v>
      </c>
      <c r="W14">
        <f>VLOOKUP($B$1,dictionary!$A$3:$K$51,8,FALSE)*Q14</f>
        <v>6.5432061134947294E-3</v>
      </c>
      <c r="X14">
        <f>VLOOKUP($B$1,dictionary!$A$3:$K$51,9,FALSE)*Q14</f>
        <v>0</v>
      </c>
      <c r="Y14">
        <f>VLOOKUP($B$1,dictionary!$A$3:$K$51,10,FALSE)*Q14</f>
        <v>2.6172824453978918E-2</v>
      </c>
      <c r="Z14">
        <f>VLOOKUP($B$1,dictionary!$A$3:$K$51,11,FALSE)*Q14</f>
        <v>0</v>
      </c>
      <c r="AA14">
        <f t="shared" si="2"/>
        <v>58.697727920080538</v>
      </c>
      <c r="AB14">
        <f t="shared" si="11"/>
        <v>35.68722112460717</v>
      </c>
      <c r="AC14">
        <f t="shared" si="12"/>
        <v>23.010506795473368</v>
      </c>
      <c r="AD14">
        <f t="shared" si="3"/>
        <v>1.7676008643343004</v>
      </c>
      <c r="AE14">
        <f t="shared" si="13"/>
        <v>0</v>
      </c>
      <c r="AF14">
        <f t="shared" si="14"/>
        <v>1.964000960371445</v>
      </c>
      <c r="AG14">
        <f t="shared" si="15"/>
        <v>3.5352017286686008</v>
      </c>
      <c r="AH14">
        <f t="shared" si="16"/>
        <v>0</v>
      </c>
      <c r="AI14">
        <f t="shared" si="17"/>
        <v>0.46515812219323693</v>
      </c>
      <c r="AJ14">
        <f t="shared" si="18"/>
        <v>0</v>
      </c>
      <c r="AK14">
        <f t="shared" si="19"/>
        <v>1.7676008643343004</v>
      </c>
      <c r="AL14">
        <f t="shared" si="20"/>
        <v>0</v>
      </c>
    </row>
    <row r="15" spans="1:51" x14ac:dyDescent="0.2">
      <c r="A15">
        <v>2032</v>
      </c>
      <c r="B15">
        <v>7</v>
      </c>
      <c r="C15">
        <f t="shared" si="21"/>
        <v>70.409908640184867</v>
      </c>
      <c r="D15">
        <f t="shared" si="23"/>
        <v>3.6912638901060575</v>
      </c>
      <c r="E15">
        <f t="shared" si="4"/>
        <v>3.6912638901060575</v>
      </c>
      <c r="F15">
        <f t="shared" si="5"/>
        <v>1.2307475955062657</v>
      </c>
      <c r="G15" s="9">
        <f t="shared" si="6"/>
        <v>5.2425346963159557E-2</v>
      </c>
      <c r="H15" s="9">
        <f t="shared" si="6"/>
        <v>5.2425346963159557E-2</v>
      </c>
      <c r="I15" s="9">
        <f t="shared" si="6"/>
        <v>1.7479749928319667E-2</v>
      </c>
      <c r="J15" s="9">
        <f t="shared" si="7"/>
        <v>6.8152951052107428E-3</v>
      </c>
      <c r="K15" s="9">
        <f t="shared" si="8"/>
        <v>1.0485069392631913E-2</v>
      </c>
      <c r="L15" s="9">
        <f t="shared" si="9"/>
        <v>6.9918999713278673E-3</v>
      </c>
      <c r="M15">
        <f t="shared" si="0"/>
        <v>68.713005702475414</v>
      </c>
      <c r="N15">
        <f t="shared" si="10"/>
        <v>31.829979393949063</v>
      </c>
      <c r="O15">
        <f t="shared" si="24"/>
        <v>36.883026308526354</v>
      </c>
      <c r="P15">
        <f>IF($I$3=0,0,M15/(1+EXP(-$I$3*(B15-$J$3)))-M15/(1+EXP($I$3*$J$3)))</f>
        <v>13.391026179900509</v>
      </c>
      <c r="Q15" s="9">
        <f t="shared" si="1"/>
        <v>0.19488342917035417</v>
      </c>
      <c r="R15">
        <f>VLOOKUP($B$1,dictionary!$A$3:$K$51,3,FALSE)*Q15</f>
        <v>3.8976685834070837E-2</v>
      </c>
      <c r="S15">
        <f>VLOOKUP($B$1,dictionary!$A$3:$K$51,4,FALSE)*Q15</f>
        <v>0</v>
      </c>
      <c r="T15">
        <f>VLOOKUP($B$1,dictionary!$A$3:$K$51,5,FALSE)*Q15</f>
        <v>3.8976685834070837E-2</v>
      </c>
      <c r="U15">
        <f>VLOOKUP($B$1,dictionary!$A$3:$K$51,6,FALSE)*Q15</f>
        <v>6.8209200209623955E-2</v>
      </c>
      <c r="V15">
        <f>VLOOKUP($B$1,dictionary!$A$3:$K$51,7,FALSE)*Q15</f>
        <v>0</v>
      </c>
      <c r="W15">
        <f>VLOOKUP($B$1,dictionary!$A$3:$K$51,8,FALSE)*Q15</f>
        <v>9.7441714585177093E-3</v>
      </c>
      <c r="X15">
        <f>VLOOKUP($B$1,dictionary!$A$3:$K$51,9,FALSE)*Q15</f>
        <v>0</v>
      </c>
      <c r="Y15">
        <f>VLOOKUP($B$1,dictionary!$A$3:$K$51,10,FALSE)*Q15</f>
        <v>3.8976685834070837E-2</v>
      </c>
      <c r="Z15">
        <f>VLOOKUP($B$1,dictionary!$A$3:$K$51,11,FALSE)*Q15</f>
        <v>0</v>
      </c>
      <c r="AA15">
        <f t="shared" si="2"/>
        <v>55.321979522574907</v>
      </c>
      <c r="AB15">
        <f t="shared" si="11"/>
        <v>29.695135663340348</v>
      </c>
      <c r="AC15">
        <f t="shared" si="12"/>
        <v>25.626843859234558</v>
      </c>
      <c r="AD15">
        <f t="shared" si="3"/>
        <v>2.6782052359801023</v>
      </c>
      <c r="AE15">
        <f t="shared" si="13"/>
        <v>0</v>
      </c>
      <c r="AF15">
        <f t="shared" si="14"/>
        <v>2.9757835955334473</v>
      </c>
      <c r="AG15">
        <f t="shared" si="15"/>
        <v>5.3564104719602046</v>
      </c>
      <c r="AH15">
        <f t="shared" si="16"/>
        <v>0</v>
      </c>
      <c r="AI15">
        <f t="shared" si="17"/>
        <v>0.70479085157371113</v>
      </c>
      <c r="AJ15">
        <f t="shared" si="18"/>
        <v>0</v>
      </c>
      <c r="AK15">
        <f t="shared" si="19"/>
        <v>2.6782052359801023</v>
      </c>
      <c r="AL15">
        <f t="shared" si="20"/>
        <v>0</v>
      </c>
    </row>
    <row r="16" spans="1:51" x14ac:dyDescent="0.2">
      <c r="A16">
        <v>2033</v>
      </c>
      <c r="B16">
        <v>8</v>
      </c>
      <c r="C16">
        <f t="shared" si="21"/>
        <v>71.888516721628747</v>
      </c>
      <c r="D16">
        <f t="shared" si="23"/>
        <v>4.3071767659103344</v>
      </c>
      <c r="E16">
        <f t="shared" si="4"/>
        <v>4.3071767659103344</v>
      </c>
      <c r="F16">
        <f t="shared" si="5"/>
        <v>1.4362861341045488</v>
      </c>
      <c r="G16" s="9">
        <f t="shared" si="6"/>
        <v>5.9914670135549693E-2</v>
      </c>
      <c r="H16" s="9">
        <f t="shared" si="6"/>
        <v>5.9914670135549693E-2</v>
      </c>
      <c r="I16" s="9">
        <f t="shared" si="6"/>
        <v>1.9979354138940249E-2</v>
      </c>
      <c r="J16" s="9">
        <f t="shared" si="7"/>
        <v>7.7889071176214606E-3</v>
      </c>
      <c r="K16" s="9">
        <f t="shared" si="8"/>
        <v>1.198293402710994E-2</v>
      </c>
      <c r="L16" s="9">
        <f t="shared" si="9"/>
        <v>7.9917416555761005E-3</v>
      </c>
      <c r="M16">
        <f t="shared" si="0"/>
        <v>69.910649161993931</v>
      </c>
      <c r="N16">
        <f t="shared" si="10"/>
        <v>36.94945445689158</v>
      </c>
      <c r="O16">
        <f t="shared" si="24"/>
        <v>32.961194705102351</v>
      </c>
      <c r="P16">
        <f t="shared" si="22"/>
        <v>19.439603620472841</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50.471045541521093</v>
      </c>
      <c r="AB16">
        <f t="shared" si="11"/>
        <v>23.795887736779203</v>
      </c>
      <c r="AC16">
        <f t="shared" si="12"/>
        <v>26.67515780474189</v>
      </c>
      <c r="AD16">
        <f t="shared" si="3"/>
        <v>3.8879207240945686</v>
      </c>
      <c r="AE16">
        <f t="shared" si="13"/>
        <v>0</v>
      </c>
      <c r="AF16">
        <f t="shared" si="14"/>
        <v>4.319911915660632</v>
      </c>
      <c r="AG16">
        <f t="shared" si="15"/>
        <v>7.7758414481891371</v>
      </c>
      <c r="AH16">
        <f t="shared" si="16"/>
        <v>0</v>
      </c>
      <c r="AI16">
        <f t="shared" si="17"/>
        <v>1.0231370326564653</v>
      </c>
      <c r="AJ16">
        <f t="shared" si="18"/>
        <v>0</v>
      </c>
      <c r="AK16">
        <f t="shared" si="19"/>
        <v>3.8879207240945686</v>
      </c>
      <c r="AL16">
        <f t="shared" si="20"/>
        <v>0</v>
      </c>
    </row>
    <row r="17" spans="1:38" x14ac:dyDescent="0.2">
      <c r="A17">
        <v>2034</v>
      </c>
      <c r="B17">
        <v>9</v>
      </c>
      <c r="C17">
        <f t="shared" si="21"/>
        <v>73.398175572782947</v>
      </c>
      <c r="D17">
        <f t="shared" si="23"/>
        <v>4.9465890924906333</v>
      </c>
      <c r="E17">
        <f t="shared" si="4"/>
        <v>4.9465890924906333</v>
      </c>
      <c r="F17">
        <f t="shared" si="5"/>
        <v>1.6499328784261138</v>
      </c>
      <c r="G17" s="9">
        <f t="shared" si="6"/>
        <v>6.7393897108321263E-2</v>
      </c>
      <c r="H17" s="9">
        <f t="shared" si="6"/>
        <v>6.7393897108321263E-2</v>
      </c>
      <c r="I17" s="9">
        <f t="shared" si="6"/>
        <v>2.2479208312065069E-2</v>
      </c>
      <c r="J17" s="9">
        <f t="shared" si="7"/>
        <v>8.7612066240817642E-3</v>
      </c>
      <c r="K17" s="9">
        <f t="shared" si="8"/>
        <v>1.3478779421664254E-2</v>
      </c>
      <c r="L17" s="9">
        <f t="shared" si="9"/>
        <v>8.9916833248260275E-3</v>
      </c>
      <c r="M17">
        <f t="shared" si="0"/>
        <v>71.129095495917724</v>
      </c>
      <c r="N17">
        <f t="shared" si="10"/>
        <v>41.688710212765983</v>
      </c>
      <c r="O17">
        <f t="shared" si="24"/>
        <v>29.440385283151741</v>
      </c>
      <c r="P17">
        <f t="shared" si="22"/>
        <v>26.913387819209838</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44.215707676707886</v>
      </c>
      <c r="AB17">
        <f t="shared" si="11"/>
        <v>18.300914140602277</v>
      </c>
      <c r="AC17">
        <f t="shared" si="12"/>
        <v>25.914793536105609</v>
      </c>
      <c r="AD17">
        <f t="shared" si="3"/>
        <v>5.3826775638419679</v>
      </c>
      <c r="AE17">
        <f t="shared" si="13"/>
        <v>0</v>
      </c>
      <c r="AF17">
        <f t="shared" si="14"/>
        <v>5.9807528487132977</v>
      </c>
      <c r="AG17">
        <f t="shared" si="15"/>
        <v>10.765355127683936</v>
      </c>
      <c r="AH17">
        <f t="shared" si="16"/>
        <v>0</v>
      </c>
      <c r="AI17">
        <f t="shared" si="17"/>
        <v>1.4164940957478862</v>
      </c>
      <c r="AJ17">
        <f t="shared" si="18"/>
        <v>0</v>
      </c>
      <c r="AK17">
        <f t="shared" si="19"/>
        <v>5.3826775638419679</v>
      </c>
      <c r="AL17">
        <f t="shared" si="20"/>
        <v>0</v>
      </c>
    </row>
    <row r="18" spans="1:38" x14ac:dyDescent="0.2">
      <c r="A18">
        <v>2035</v>
      </c>
      <c r="B18">
        <v>10</v>
      </c>
      <c r="C18">
        <f t="shared" si="21"/>
        <v>74.939537259811388</v>
      </c>
      <c r="D18">
        <f t="shared" si="23"/>
        <v>5.6099505795337876</v>
      </c>
      <c r="E18">
        <f t="shared" si="4"/>
        <v>5.6099505795337876</v>
      </c>
      <c r="F18">
        <f t="shared" si="5"/>
        <v>1.8719287507978422</v>
      </c>
      <c r="G18" s="9">
        <f t="shared" si="6"/>
        <v>7.4859690687499009E-2</v>
      </c>
      <c r="H18" s="9">
        <f t="shared" si="6"/>
        <v>7.4859690687499009E-2</v>
      </c>
      <c r="I18" s="9">
        <f t="shared" si="6"/>
        <v>2.4979187478940054E-2</v>
      </c>
      <c r="J18" s="9">
        <f t="shared" si="7"/>
        <v>9.7317597893748723E-3</v>
      </c>
      <c r="K18" s="9">
        <f t="shared" si="8"/>
        <v>1.4971938137499802E-2</v>
      </c>
      <c r="L18" s="9">
        <f t="shared" si="9"/>
        <v>9.9916749915760217E-3</v>
      </c>
      <c r="M18">
        <f t="shared" si="0"/>
        <v>72.368789333017602</v>
      </c>
      <c r="N18">
        <f t="shared" si="10"/>
        <v>45.964960730402417</v>
      </c>
      <c r="O18">
        <f t="shared" si="24"/>
        <v>26.403828602615185</v>
      </c>
      <c r="P18">
        <f t="shared" si="22"/>
        <v>35.389282929861452</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36.979506403156151</v>
      </c>
      <c r="AB18">
        <f t="shared" si="11"/>
        <v>13.492011651392541</v>
      </c>
      <c r="AC18">
        <f t="shared" si="12"/>
        <v>23.487494751763609</v>
      </c>
      <c r="AD18">
        <f t="shared" si="3"/>
        <v>7.0778565859722899</v>
      </c>
      <c r="AE18">
        <f t="shared" si="13"/>
        <v>0</v>
      </c>
      <c r="AF18">
        <f t="shared" si="14"/>
        <v>7.8642850955247674</v>
      </c>
      <c r="AG18">
        <f t="shared" si="15"/>
        <v>14.155713171944583</v>
      </c>
      <c r="AH18">
        <f t="shared" si="16"/>
        <v>0</v>
      </c>
      <c r="AI18">
        <f t="shared" si="17"/>
        <v>1.8625938384137606</v>
      </c>
      <c r="AJ18">
        <f t="shared" si="18"/>
        <v>0</v>
      </c>
      <c r="AK18">
        <f t="shared" si="19"/>
        <v>7.0778565859722899</v>
      </c>
      <c r="AL18">
        <f t="shared" si="20"/>
        <v>0</v>
      </c>
    </row>
    <row r="19" spans="1:38" x14ac:dyDescent="0.2">
      <c r="A19">
        <v>2036</v>
      </c>
      <c r="B19">
        <v>11</v>
      </c>
      <c r="C19">
        <f t="shared" si="21"/>
        <v>76.513267542267414</v>
      </c>
      <c r="D19">
        <f t="shared" si="23"/>
        <v>6.2977104700323565</v>
      </c>
      <c r="E19">
        <f t="shared" si="4"/>
        <v>6.2977104700323565</v>
      </c>
      <c r="F19">
        <f t="shared" si="5"/>
        <v>2.1025208294097908</v>
      </c>
      <c r="G19" s="9">
        <f t="shared" si="6"/>
        <v>8.2308737717329605E-2</v>
      </c>
      <c r="H19" s="9">
        <f t="shared" si="6"/>
        <v>8.2308737717329605E-2</v>
      </c>
      <c r="I19" s="9">
        <f t="shared" si="6"/>
        <v>2.7479166645814956E-2</v>
      </c>
      <c r="J19" s="9">
        <f t="shared" si="7"/>
        <v>1.0700135903252849E-2</v>
      </c>
      <c r="K19" s="9">
        <f t="shared" si="8"/>
        <v>1.646174754346592E-2</v>
      </c>
      <c r="L19" s="9">
        <f t="shared" si="9"/>
        <v>1.0991666658325983E-2</v>
      </c>
      <c r="M19">
        <f t="shared" si="0"/>
        <v>73.630187259582954</v>
      </c>
      <c r="N19">
        <f t="shared" si="10"/>
        <v>49.75364130919926</v>
      </c>
      <c r="O19">
        <f t="shared" si="24"/>
        <v>23.876545950383694</v>
      </c>
      <c r="P19">
        <f t="shared" si="22"/>
        <v>44.152510500428633</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29.477676759154321</v>
      </c>
      <c r="AB19">
        <f t="shared" si="11"/>
        <v>9.5589204624615824</v>
      </c>
      <c r="AC19">
        <f t="shared" si="12"/>
        <v>19.918756296692738</v>
      </c>
      <c r="AD19">
        <f t="shared" si="3"/>
        <v>8.8305021000857273</v>
      </c>
      <c r="AE19">
        <f t="shared" si="13"/>
        <v>0</v>
      </c>
      <c r="AF19">
        <f t="shared" si="14"/>
        <v>9.8116690000952538</v>
      </c>
      <c r="AG19">
        <f t="shared" si="15"/>
        <v>17.661004200171455</v>
      </c>
      <c r="AH19">
        <f t="shared" si="16"/>
        <v>0</v>
      </c>
      <c r="AI19">
        <f t="shared" si="17"/>
        <v>2.3238163421278228</v>
      </c>
      <c r="AJ19">
        <f t="shared" si="18"/>
        <v>0</v>
      </c>
      <c r="AK19">
        <f t="shared" si="19"/>
        <v>8.8305021000857273</v>
      </c>
      <c r="AL19">
        <f t="shared" si="20"/>
        <v>0</v>
      </c>
    </row>
    <row r="20" spans="1:38" x14ac:dyDescent="0.2">
      <c r="A20">
        <v>2037</v>
      </c>
      <c r="B20">
        <v>12</v>
      </c>
      <c r="C20">
        <f t="shared" si="21"/>
        <v>78.120046160655022</v>
      </c>
      <c r="D20">
        <f t="shared" si="23"/>
        <v>7.0103175565535523</v>
      </c>
      <c r="E20">
        <f t="shared" si="4"/>
        <v>7.0103175565535523</v>
      </c>
      <c r="F20">
        <f t="shared" si="5"/>
        <v>2.3419624902268055</v>
      </c>
      <c r="G20" s="9">
        <f t="shared" si="6"/>
        <v>8.9737754918074827E-2</v>
      </c>
      <c r="H20" s="9">
        <f t="shared" si="6"/>
        <v>8.9737754918074827E-2</v>
      </c>
      <c r="I20" s="9">
        <f t="shared" si="6"/>
        <v>2.9979020818939675E-2</v>
      </c>
      <c r="J20" s="9">
        <f t="shared" si="7"/>
        <v>1.1665908139349729E-2</v>
      </c>
      <c r="K20" s="9">
        <f t="shared" si="8"/>
        <v>1.7947550983614967E-2</v>
      </c>
      <c r="L20" s="9">
        <f t="shared" si="9"/>
        <v>1.199160832757587E-2</v>
      </c>
      <c r="M20">
        <f t="shared" si="0"/>
        <v>74.913758020346378</v>
      </c>
      <c r="N20">
        <f t="shared" si="10"/>
        <v>53.074723609344929</v>
      </c>
      <c r="O20">
        <f t="shared" si="24"/>
        <v>21.83903441100145</v>
      </c>
      <c r="P20">
        <f>IF($I$3=0,0,M20/(1+EXP(-$I$3*(B20-$J$3)))-M20/(1+EXP($I$3*$J$3)))</f>
        <v>52.436825842723465</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22.476932177622913</v>
      </c>
      <c r="AB20">
        <f t="shared" si="11"/>
        <v>6.5525279768708486</v>
      </c>
      <c r="AC20">
        <f t="shared" si="12"/>
        <v>15.924404200752065</v>
      </c>
      <c r="AD20">
        <f t="shared" si="3"/>
        <v>10.487365168544695</v>
      </c>
      <c r="AE20">
        <f t="shared" si="13"/>
        <v>0</v>
      </c>
      <c r="AF20">
        <f t="shared" si="14"/>
        <v>11.652627965049662</v>
      </c>
      <c r="AG20">
        <f t="shared" si="15"/>
        <v>20.97473033708939</v>
      </c>
      <c r="AH20">
        <f t="shared" si="16"/>
        <v>0</v>
      </c>
      <c r="AI20">
        <f t="shared" si="17"/>
        <v>2.759832939090709</v>
      </c>
      <c r="AJ20">
        <f t="shared" si="18"/>
        <v>0</v>
      </c>
      <c r="AK20">
        <f t="shared" si="19"/>
        <v>10.487365168544695</v>
      </c>
      <c r="AL20">
        <f t="shared" si="20"/>
        <v>0</v>
      </c>
    </row>
    <row r="21" spans="1:38" x14ac:dyDescent="0.2">
      <c r="A21">
        <v>2038</v>
      </c>
      <c r="B21">
        <v>13</v>
      </c>
      <c r="C21">
        <f t="shared" si="21"/>
        <v>79.760567130028775</v>
      </c>
      <c r="D21">
        <f t="shared" si="23"/>
        <v>7.7482202231616668</v>
      </c>
      <c r="E21">
        <f t="shared" si="4"/>
        <v>7.7482202231616668</v>
      </c>
      <c r="F21">
        <f t="shared" si="5"/>
        <v>2.5905135519612799</v>
      </c>
      <c r="G21" s="9">
        <f t="shared" si="6"/>
        <v>9.7143494610942488E-2</v>
      </c>
      <c r="H21" s="9">
        <f t="shared" si="6"/>
        <v>9.7143494610942488E-2</v>
      </c>
      <c r="I21" s="9">
        <f t="shared" si="6"/>
        <v>3.2478625029560337E-2</v>
      </c>
      <c r="J21" s="9">
        <f t="shared" si="7"/>
        <v>1.2628654299422525E-2</v>
      </c>
      <c r="K21" s="9">
        <f t="shared" si="8"/>
        <v>1.94286989221885E-2</v>
      </c>
      <c r="L21" s="9">
        <f t="shared" si="9"/>
        <v>1.2991450011824135E-2</v>
      </c>
      <c r="M21">
        <f t="shared" si="0"/>
        <v>76.219982716088509</v>
      </c>
      <c r="N21">
        <f t="shared" si="10"/>
        <v>55.976090955377401</v>
      </c>
      <c r="O21">
        <f t="shared" si="24"/>
        <v>20.243891760711108</v>
      </c>
      <c r="P21">
        <f t="shared" si="22"/>
        <v>59.691121958259124</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16.528860757829385</v>
      </c>
      <c r="AB21">
        <f t="shared" si="11"/>
        <v>4.3900360008705999</v>
      </c>
      <c r="AC21">
        <f t="shared" si="12"/>
        <v>12.138824756958785</v>
      </c>
      <c r="AD21">
        <f t="shared" si="3"/>
        <v>11.938224391651827</v>
      </c>
      <c r="AE21">
        <f t="shared" si="13"/>
        <v>0</v>
      </c>
      <c r="AF21">
        <f t="shared" si="14"/>
        <v>13.264693768502031</v>
      </c>
      <c r="AG21">
        <f t="shared" si="15"/>
        <v>23.876448783303651</v>
      </c>
      <c r="AH21">
        <f t="shared" si="16"/>
        <v>0</v>
      </c>
      <c r="AI21">
        <f t="shared" si="17"/>
        <v>3.1416379978031124</v>
      </c>
      <c r="AJ21">
        <f t="shared" si="18"/>
        <v>0</v>
      </c>
      <c r="AK21">
        <f t="shared" si="19"/>
        <v>11.938224391651827</v>
      </c>
      <c r="AL21">
        <f t="shared" si="20"/>
        <v>0</v>
      </c>
    </row>
    <row r="22" spans="1:38" x14ac:dyDescent="0.2">
      <c r="A22">
        <v>2039</v>
      </c>
      <c r="B22">
        <v>14</v>
      </c>
      <c r="C22">
        <f t="shared" si="21"/>
        <v>81.435539039759377</v>
      </c>
      <c r="D22">
        <f t="shared" si="23"/>
        <v>8.5118665133481883</v>
      </c>
      <c r="E22">
        <f t="shared" si="4"/>
        <v>8.5118665133481883</v>
      </c>
      <c r="F22">
        <f t="shared" si="5"/>
        <v>2.8484404241716703</v>
      </c>
      <c r="G22" s="9">
        <f t="shared" si="6"/>
        <v>0.10452275030920381</v>
      </c>
      <c r="H22" s="9">
        <f t="shared" si="6"/>
        <v>0.10452275030920381</v>
      </c>
      <c r="I22" s="9">
        <f t="shared" si="6"/>
        <v>3.4977854358905547E-2</v>
      </c>
      <c r="J22" s="9">
        <f t="shared" si="7"/>
        <v>1.3587957540196496E-2</v>
      </c>
      <c r="K22" s="9">
        <f t="shared" si="8"/>
        <v>2.0904550061840763E-2</v>
      </c>
      <c r="L22" s="9">
        <f t="shared" si="9"/>
        <v>1.3991141743562219E-2</v>
      </c>
      <c r="M22">
        <f t="shared" si="0"/>
        <v>77.549354998074975</v>
      </c>
      <c r="N22">
        <f t="shared" si="10"/>
        <v>58.51883014742188</v>
      </c>
      <c r="O22">
        <f t="shared" si="24"/>
        <v>19.030524850653094</v>
      </c>
      <c r="P22">
        <f t="shared" si="22"/>
        <v>65.69686609484873</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11.852488903226245</v>
      </c>
      <c r="AB22">
        <f t="shared" si="11"/>
        <v>2.908587500444539</v>
      </c>
      <c r="AC22">
        <f t="shared" si="12"/>
        <v>8.943901402781707</v>
      </c>
      <c r="AD22">
        <f t="shared" si="3"/>
        <v>13.139373218969746</v>
      </c>
      <c r="AE22">
        <f t="shared" si="13"/>
        <v>0</v>
      </c>
      <c r="AF22">
        <f t="shared" si="14"/>
        <v>14.599303576633053</v>
      </c>
      <c r="AG22">
        <f t="shared" si="15"/>
        <v>26.278746437939496</v>
      </c>
      <c r="AH22">
        <f t="shared" si="16"/>
        <v>0</v>
      </c>
      <c r="AI22">
        <f t="shared" si="17"/>
        <v>3.457729794465723</v>
      </c>
      <c r="AJ22">
        <f t="shared" si="18"/>
        <v>0</v>
      </c>
      <c r="AK22">
        <f t="shared" si="19"/>
        <v>13.139373218969746</v>
      </c>
      <c r="AL22">
        <f t="shared" si="20"/>
        <v>0</v>
      </c>
    </row>
    <row r="23" spans="1:38" x14ac:dyDescent="0.2">
      <c r="A23">
        <v>2040</v>
      </c>
      <c r="B23">
        <v>15</v>
      </c>
      <c r="C23">
        <f t="shared" si="21"/>
        <v>83.14568535959431</v>
      </c>
      <c r="D23">
        <f t="shared" si="23"/>
        <v>9.3017042242081871</v>
      </c>
      <c r="E23">
        <f t="shared" si="4"/>
        <v>9.3017042242081871</v>
      </c>
      <c r="F23">
        <f t="shared" si="5"/>
        <v>3.1160162585525129</v>
      </c>
      <c r="G23" s="9">
        <f t="shared" si="6"/>
        <v>0.11187236215540858</v>
      </c>
      <c r="H23" s="9">
        <f t="shared" si="6"/>
        <v>0.11187236215540858</v>
      </c>
      <c r="I23" s="9">
        <f t="shared" si="6"/>
        <v>3.7476583963150303E-2</v>
      </c>
      <c r="J23" s="9">
        <f t="shared" si="7"/>
        <v>1.4543407080203116E-2</v>
      </c>
      <c r="K23" s="9">
        <f t="shared" si="8"/>
        <v>2.2374472431081718E-2</v>
      </c>
      <c r="L23" s="9">
        <f t="shared" si="9"/>
        <v>1.4990633585260121E-2</v>
      </c>
      <c r="M23">
        <f t="shared" si="0"/>
        <v>78.90238125951609</v>
      </c>
      <c r="N23">
        <f t="shared" si="10"/>
        <v>60.766558701658212</v>
      </c>
      <c r="O23">
        <f t="shared" si="24"/>
        <v>18.135822557857878</v>
      </c>
      <c r="P23">
        <f t="shared" si="22"/>
        <v>70.512185490840224</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8.3901957686758664</v>
      </c>
      <c r="AB23">
        <f t="shared" si="11"/>
        <v>1.9284982183987474</v>
      </c>
      <c r="AC23">
        <f t="shared" si="12"/>
        <v>6.461697550277119</v>
      </c>
      <c r="AD23">
        <f t="shared" si="3"/>
        <v>14.102437098168046</v>
      </c>
      <c r="AE23">
        <f t="shared" si="13"/>
        <v>0</v>
      </c>
      <c r="AF23">
        <f t="shared" si="14"/>
        <v>15.669374553520051</v>
      </c>
      <c r="AG23">
        <f t="shared" si="15"/>
        <v>28.204874196336092</v>
      </c>
      <c r="AH23">
        <f t="shared" si="16"/>
        <v>0</v>
      </c>
      <c r="AI23">
        <f t="shared" si="17"/>
        <v>3.7111676574126431</v>
      </c>
      <c r="AJ23">
        <f t="shared" si="18"/>
        <v>0</v>
      </c>
      <c r="AK23">
        <f t="shared" si="19"/>
        <v>14.102437098168046</v>
      </c>
      <c r="AL23">
        <f t="shared" si="20"/>
        <v>0</v>
      </c>
    </row>
    <row r="24" spans="1:38" x14ac:dyDescent="0.2">
      <c r="A24">
        <v>2041</v>
      </c>
      <c r="B24">
        <v>16</v>
      </c>
      <c r="C24">
        <f t="shared" si="21"/>
        <v>84.891744752145783</v>
      </c>
      <c r="D24">
        <f t="shared" si="23"/>
        <v>10.118181026985539</v>
      </c>
      <c r="E24">
        <f t="shared" si="4"/>
        <v>10.118181026985539</v>
      </c>
      <c r="F24">
        <f t="shared" si="5"/>
        <v>3.393521103483522</v>
      </c>
      <c r="G24" s="9">
        <f t="shared" si="6"/>
        <v>0.11918922218558578</v>
      </c>
      <c r="H24" s="9">
        <f t="shared" si="6"/>
        <v>0.11918922218558578</v>
      </c>
      <c r="I24" s="9">
        <f t="shared" si="6"/>
        <v>3.9974689098350107E-2</v>
      </c>
      <c r="J24" s="9">
        <f t="shared" si="7"/>
        <v>1.5494598884126153E-2</v>
      </c>
      <c r="K24" s="9">
        <f t="shared" si="8"/>
        <v>2.3837844437117159E-2</v>
      </c>
      <c r="L24" s="9">
        <f t="shared" si="9"/>
        <v>1.5989875639340043E-2</v>
      </c>
      <c r="M24">
        <f t="shared" si="0"/>
        <v>80.279580824275101</v>
      </c>
      <c r="N24">
        <f t="shared" si="10"/>
        <v>62.77889607722382</v>
      </c>
      <c r="O24">
        <f t="shared" si="24"/>
        <v>17.500684747051281</v>
      </c>
      <c r="P24">
        <f t="shared" si="22"/>
        <v>74.342079047997217</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5.9375017762778839</v>
      </c>
      <c r="AB24">
        <f t="shared" si="11"/>
        <v>1.2943558711292578</v>
      </c>
      <c r="AC24">
        <f t="shared" si="12"/>
        <v>4.6431459051486268</v>
      </c>
      <c r="AD24">
        <f t="shared" si="3"/>
        <v>14.868415809599444</v>
      </c>
      <c r="AE24">
        <f t="shared" si="13"/>
        <v>0</v>
      </c>
      <c r="AF24">
        <f t="shared" si="14"/>
        <v>16.520462010666051</v>
      </c>
      <c r="AG24">
        <f t="shared" si="15"/>
        <v>29.736831619198892</v>
      </c>
      <c r="AH24">
        <f t="shared" si="16"/>
        <v>0</v>
      </c>
      <c r="AI24">
        <f t="shared" si="17"/>
        <v>3.91274100252617</v>
      </c>
      <c r="AJ24">
        <f t="shared" si="18"/>
        <v>0</v>
      </c>
      <c r="AK24">
        <f t="shared" si="19"/>
        <v>14.868415809599444</v>
      </c>
      <c r="AL24">
        <f t="shared" si="20"/>
        <v>0</v>
      </c>
    </row>
    <row r="25" spans="1:38" x14ac:dyDescent="0.2">
      <c r="A25">
        <v>2042</v>
      </c>
      <c r="B25">
        <v>17</v>
      </c>
      <c r="C25">
        <f t="shared" si="21"/>
        <v>86.674471391940841</v>
      </c>
      <c r="D25">
        <f t="shared" si="23"/>
        <v>10.961744613995357</v>
      </c>
      <c r="E25">
        <f t="shared" si="4"/>
        <v>10.961744613995357</v>
      </c>
      <c r="F25">
        <f t="shared" si="5"/>
        <v>3.6812420619060973</v>
      </c>
      <c r="G25" s="9">
        <f t="shared" si="6"/>
        <v>0.1264702794024147</v>
      </c>
      <c r="H25" s="9">
        <f t="shared" si="6"/>
        <v>0.1264702794024147</v>
      </c>
      <c r="I25" s="9">
        <f t="shared" si="6"/>
        <v>4.2472045145329679E-2</v>
      </c>
      <c r="J25" s="9">
        <f t="shared" si="7"/>
        <v>1.6441136322313914E-2</v>
      </c>
      <c r="K25" s="9">
        <f t="shared" si="8"/>
        <v>2.5294055880482943E-2</v>
      </c>
      <c r="L25" s="9">
        <f t="shared" si="9"/>
        <v>1.6988818058131874E-2</v>
      </c>
      <c r="M25">
        <f t="shared" si="0"/>
        <v>81.681486133087446</v>
      </c>
      <c r="N25">
        <f t="shared" si="10"/>
        <v>64.608216277946752</v>
      </c>
      <c r="O25">
        <f t="shared" si="24"/>
        <v>17.073269855140694</v>
      </c>
      <c r="P25">
        <f>IF($I$3=0,0,M25/(1+EXP(-$I$3*(B25-$J$3)))-M25/(1+EXP($I$3*$J$3)))</f>
        <v>77.427659660439502</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4.253826472647944</v>
      </c>
      <c r="AB25">
        <f t="shared" si="11"/>
        <v>0.88914551782426565</v>
      </c>
      <c r="AC25">
        <f t="shared" si="12"/>
        <v>3.3646809548236782</v>
      </c>
      <c r="AD25">
        <f t="shared" si="3"/>
        <v>15.485531932087902</v>
      </c>
      <c r="AE25">
        <f t="shared" si="13"/>
        <v>0</v>
      </c>
      <c r="AF25">
        <f t="shared" si="14"/>
        <v>17.206146591208782</v>
      </c>
      <c r="AG25">
        <f t="shared" si="15"/>
        <v>30.9710638641758</v>
      </c>
      <c r="AH25">
        <f t="shared" si="16"/>
        <v>0</v>
      </c>
      <c r="AI25">
        <f t="shared" si="17"/>
        <v>4.0751399821283947</v>
      </c>
      <c r="AJ25">
        <f t="shared" si="18"/>
        <v>0</v>
      </c>
      <c r="AK25">
        <f t="shared" si="19"/>
        <v>15.485531932087902</v>
      </c>
      <c r="AL25">
        <f t="shared" si="20"/>
        <v>0</v>
      </c>
    </row>
    <row r="26" spans="1:38" x14ac:dyDescent="0.2">
      <c r="A26">
        <v>2043</v>
      </c>
      <c r="B26">
        <v>18</v>
      </c>
      <c r="C26">
        <f t="shared" si="21"/>
        <v>88.494635291171591</v>
      </c>
      <c r="D26">
        <f t="shared" si="23"/>
        <v>11.832842871818862</v>
      </c>
      <c r="E26">
        <f t="shared" si="4"/>
        <v>11.832842871818862</v>
      </c>
      <c r="F26">
        <f t="shared" si="5"/>
        <v>3.9794734525979791</v>
      </c>
      <c r="G26" s="9">
        <f t="shared" si="6"/>
        <v>0.13371254464053745</v>
      </c>
      <c r="H26" s="9">
        <f t="shared" si="6"/>
        <v>0.13371254464053745</v>
      </c>
      <c r="I26" s="9">
        <f t="shared" si="6"/>
        <v>4.4968527634521818E-2</v>
      </c>
      <c r="J26" s="9">
        <f t="shared" si="7"/>
        <v>1.7382630803269867E-2</v>
      </c>
      <c r="K26" s="9">
        <f t="shared" si="8"/>
        <v>2.6742508928107492E-2</v>
      </c>
      <c r="L26" s="9">
        <f t="shared" si="9"/>
        <v>1.7987411053808727E-2</v>
      </c>
      <c r="M26">
        <f t="shared" si="0"/>
        <v>83.108642927585706</v>
      </c>
      <c r="N26">
        <f t="shared" si="10"/>
        <v>66.298604323857887</v>
      </c>
      <c r="O26">
        <f t="shared" si="24"/>
        <v>16.810038603727818</v>
      </c>
      <c r="P26">
        <f t="shared" si="22"/>
        <v>79.985092993506825</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3.1235499340788806</v>
      </c>
      <c r="AB26">
        <f t="shared" si="11"/>
        <v>0.6317874185274317</v>
      </c>
      <c r="AC26">
        <f t="shared" si="12"/>
        <v>2.4917625155514487</v>
      </c>
      <c r="AD26">
        <f t="shared" si="3"/>
        <v>15.997018598701366</v>
      </c>
      <c r="AE26">
        <f t="shared" si="13"/>
        <v>0</v>
      </c>
      <c r="AF26">
        <f t="shared" si="14"/>
        <v>17.774465109668185</v>
      </c>
      <c r="AG26">
        <f t="shared" si="15"/>
        <v>31.994037197402733</v>
      </c>
      <c r="AH26">
        <f t="shared" si="16"/>
        <v>0</v>
      </c>
      <c r="AI26">
        <f t="shared" si="17"/>
        <v>4.2097417365003595</v>
      </c>
      <c r="AJ26">
        <f t="shared" si="18"/>
        <v>0</v>
      </c>
      <c r="AK26">
        <f t="shared" si="19"/>
        <v>15.997018598701366</v>
      </c>
      <c r="AL26">
        <f t="shared" si="20"/>
        <v>0</v>
      </c>
    </row>
    <row r="27" spans="1:38" x14ac:dyDescent="0.2">
      <c r="A27">
        <v>2044</v>
      </c>
      <c r="B27">
        <v>19</v>
      </c>
      <c r="C27">
        <f t="shared" si="21"/>
        <v>90.353022632286184</v>
      </c>
      <c r="D27">
        <f t="shared" si="23"/>
        <v>12.731924080556915</v>
      </c>
      <c r="E27">
        <f t="shared" si="4"/>
        <v>12.731924080556915</v>
      </c>
      <c r="F27">
        <f t="shared" si="5"/>
        <v>4.2885169749172931</v>
      </c>
      <c r="G27" s="9">
        <f t="shared" si="6"/>
        <v>0.14091309520847584</v>
      </c>
      <c r="H27" s="9">
        <f t="shared" si="6"/>
        <v>0.14091309520847584</v>
      </c>
      <c r="I27" s="9">
        <f t="shared" si="6"/>
        <v>4.7464012270740139E-2</v>
      </c>
      <c r="J27" s="9">
        <f t="shared" si="7"/>
        <v>1.8318702377101859E-2</v>
      </c>
      <c r="K27" s="9">
        <f t="shared" si="8"/>
        <v>2.8182619041695167E-2</v>
      </c>
      <c r="L27" s="9">
        <f t="shared" si="9"/>
        <v>1.8985604908296056E-2</v>
      </c>
      <c r="M27">
        <f t="shared" si="0"/>
        <v>84.561610432457684</v>
      </c>
      <c r="N27">
        <f t="shared" si="10"/>
        <v>67.886098442844215</v>
      </c>
      <c r="O27">
        <f t="shared" si="24"/>
        <v>16.675511989613469</v>
      </c>
      <c r="P27">
        <f t="shared" si="22"/>
        <v>82.184501035608704</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2.3771093968489794</v>
      </c>
      <c r="AB27">
        <f t="shared" si="11"/>
        <v>0.46876491643261059</v>
      </c>
      <c r="AC27">
        <f t="shared" si="12"/>
        <v>1.9083444804163687</v>
      </c>
      <c r="AD27">
        <f t="shared" si="3"/>
        <v>16.436900207121742</v>
      </c>
      <c r="AE27">
        <f t="shared" si="13"/>
        <v>0</v>
      </c>
      <c r="AF27">
        <f t="shared" si="14"/>
        <v>18.263222452357489</v>
      </c>
      <c r="AG27">
        <f t="shared" si="15"/>
        <v>32.873800414243483</v>
      </c>
      <c r="AH27">
        <f t="shared" si="16"/>
        <v>0</v>
      </c>
      <c r="AI27">
        <f t="shared" si="17"/>
        <v>4.3255000545057207</v>
      </c>
      <c r="AJ27">
        <f t="shared" si="18"/>
        <v>0</v>
      </c>
      <c r="AK27">
        <f t="shared" si="19"/>
        <v>16.436900207121742</v>
      </c>
      <c r="AL27">
        <f t="shared" si="20"/>
        <v>0</v>
      </c>
    </row>
    <row r="28" spans="1:38" x14ac:dyDescent="0.2">
      <c r="A28">
        <v>2045</v>
      </c>
      <c r="B28">
        <v>20</v>
      </c>
      <c r="C28">
        <f t="shared" si="21"/>
        <v>92.250436107564184</v>
      </c>
      <c r="D28">
        <f t="shared" si="23"/>
        <v>13.659437138822128</v>
      </c>
      <c r="E28">
        <f t="shared" si="4"/>
        <v>13.659437138822128</v>
      </c>
      <c r="F28">
        <f t="shared" si="5"/>
        <v>4.6086818770896443</v>
      </c>
      <c r="G28" s="9">
        <f t="shared" si="6"/>
        <v>0.14806907929297156</v>
      </c>
      <c r="H28" s="9">
        <f t="shared" si="6"/>
        <v>0.14806907929297156</v>
      </c>
      <c r="I28" s="9">
        <f t="shared" si="6"/>
        <v>4.9958374957880011E-2</v>
      </c>
      <c r="J28" s="9">
        <f t="shared" si="7"/>
        <v>1.9248980308086302E-2</v>
      </c>
      <c r="K28" s="9">
        <f t="shared" si="8"/>
        <v>2.9613815858594312E-2</v>
      </c>
      <c r="L28" s="9">
        <f t="shared" si="9"/>
        <v>1.9983349983152005E-2</v>
      </c>
      <c r="M28">
        <f t="shared" si="0"/>
        <v>86.040961536093448</v>
      </c>
      <c r="N28">
        <f t="shared" si="10"/>
        <v>69.399566950790899</v>
      </c>
      <c r="O28">
        <f t="shared" si="24"/>
        <v>16.64139458530255</v>
      </c>
      <c r="P28">
        <f t="shared" si="22"/>
        <v>84.150307319537177</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1.8906542165562712</v>
      </c>
      <c r="AB28">
        <f t="shared" si="11"/>
        <v>0.36567609520356714</v>
      </c>
      <c r="AC28">
        <f t="shared" si="12"/>
        <v>1.5249781213527041</v>
      </c>
      <c r="AD28">
        <f t="shared" si="3"/>
        <v>16.830061463907434</v>
      </c>
      <c r="AE28">
        <f t="shared" si="13"/>
        <v>0</v>
      </c>
      <c r="AF28">
        <f t="shared" si="14"/>
        <v>18.700068293230483</v>
      </c>
      <c r="AG28">
        <f t="shared" si="15"/>
        <v>33.660122927814875</v>
      </c>
      <c r="AH28">
        <f t="shared" si="16"/>
        <v>0</v>
      </c>
      <c r="AI28">
        <f t="shared" si="17"/>
        <v>4.428963543133535</v>
      </c>
      <c r="AJ28">
        <f t="shared" si="18"/>
        <v>0</v>
      </c>
      <c r="AK28">
        <f t="shared" si="19"/>
        <v>16.830061463907434</v>
      </c>
      <c r="AL28">
        <f t="shared" si="20"/>
        <v>0</v>
      </c>
    </row>
    <row r="29" spans="1:38" x14ac:dyDescent="0.2">
      <c r="A29">
        <v>2046</v>
      </c>
      <c r="B29">
        <v>21</v>
      </c>
      <c r="C29">
        <f t="shared" si="21"/>
        <v>94.187695265823024</v>
      </c>
      <c r="D29">
        <f t="shared" si="23"/>
        <v>14.615831814048278</v>
      </c>
      <c r="E29">
        <f t="shared" si="4"/>
        <v>14.615831814048278</v>
      </c>
      <c r="F29">
        <f t="shared" si="5"/>
        <v>4.9402851281128051</v>
      </c>
      <c r="G29" s="9">
        <f t="shared" si="6"/>
        <v>0.15517772011299849</v>
      </c>
      <c r="H29" s="9">
        <f t="shared" si="6"/>
        <v>0.15517772011299849</v>
      </c>
      <c r="I29" s="9">
        <f t="shared" si="6"/>
        <v>5.2451491823533751E-2</v>
      </c>
      <c r="J29" s="9">
        <f t="shared" si="7"/>
        <v>2.0173103614689804E-2</v>
      </c>
      <c r="K29" s="9">
        <f t="shared" si="8"/>
        <v>3.1035544022599698E-2</v>
      </c>
      <c r="L29" s="9">
        <f t="shared" si="9"/>
        <v>2.0980596729413502E-2</v>
      </c>
      <c r="M29">
        <f t="shared" si="0"/>
        <v>87.547282970104902</v>
      </c>
      <c r="N29">
        <f t="shared" si="10"/>
        <v>70.8618130899509</v>
      </c>
      <c r="O29">
        <f t="shared" si="24"/>
        <v>16.685469880154002</v>
      </c>
      <c r="P29">
        <f t="shared" si="22"/>
        <v>85.969634549694803</v>
      </c>
      <c r="Q29" s="9">
        <f t="shared" si="1"/>
        <v>0.98197947021441179</v>
      </c>
      <c r="R29">
        <f>VLOOKUP($B$1,dictionary!$A$3:$K$51,3,FALSE)*Q29</f>
        <v>0.19639589404288238</v>
      </c>
      <c r="S29">
        <f>VLOOKUP($B$1,dictionary!$A$3:$K$51,4,FALSE)*Q29</f>
        <v>0</v>
      </c>
      <c r="T29">
        <f>VLOOKUP($B$1,dictionary!$A$3:$K$51,5,FALSE)*Q29</f>
        <v>0.19639589404288238</v>
      </c>
      <c r="U29">
        <f>VLOOKUP($B$1,dictionary!$A$3:$K$51,6,FALSE)*Q29</f>
        <v>0.34369281457504408</v>
      </c>
      <c r="V29">
        <f>VLOOKUP($B$1,dictionary!$A$3:$K$51,7,FALSE)*Q29</f>
        <v>0</v>
      </c>
      <c r="W29">
        <f>VLOOKUP($B$1,dictionary!$A$3:$K$51,8,FALSE)*Q29</f>
        <v>4.9098973510720595E-2</v>
      </c>
      <c r="X29">
        <f>VLOOKUP($B$1,dictionary!$A$3:$K$51,9,FALSE)*Q29</f>
        <v>0</v>
      </c>
      <c r="Y29">
        <f>VLOOKUP($B$1,dictionary!$A$3:$K$51,10,FALSE)*Q29</f>
        <v>0.19639589404288238</v>
      </c>
      <c r="Z29">
        <f>VLOOKUP($B$1,dictionary!$A$3:$K$51,11,FALSE)*Q29</f>
        <v>0</v>
      </c>
      <c r="AA29">
        <f t="shared" si="2"/>
        <v>1.5776484204100996</v>
      </c>
      <c r="AB29">
        <f t="shared" si="11"/>
        <v>0.30068100696185107</v>
      </c>
      <c r="AC29">
        <f t="shared" si="12"/>
        <v>1.2769674134482485</v>
      </c>
      <c r="AD29">
        <f t="shared" si="3"/>
        <v>17.193926909938963</v>
      </c>
      <c r="AE29">
        <f t="shared" si="13"/>
        <v>0</v>
      </c>
      <c r="AF29">
        <f t="shared" si="14"/>
        <v>19.104363233265516</v>
      </c>
      <c r="AG29">
        <f t="shared" si="15"/>
        <v>34.387853819877925</v>
      </c>
      <c r="AH29">
        <f t="shared" si="16"/>
        <v>0</v>
      </c>
      <c r="AI29">
        <f t="shared" si="17"/>
        <v>4.5247176078786744</v>
      </c>
      <c r="AJ29">
        <f t="shared" si="18"/>
        <v>0</v>
      </c>
      <c r="AK29">
        <f t="shared" si="19"/>
        <v>17.193926909938963</v>
      </c>
      <c r="AL29">
        <f t="shared" si="20"/>
        <v>0</v>
      </c>
    </row>
    <row r="30" spans="1:38" x14ac:dyDescent="0.2">
      <c r="A30">
        <v>2047</v>
      </c>
      <c r="B30">
        <v>22</v>
      </c>
      <c r="C30">
        <f t="shared" si="21"/>
        <v>96.165636866405293</v>
      </c>
      <c r="D30">
        <f t="shared" si="23"/>
        <v>15.601559017599982</v>
      </c>
      <c r="E30">
        <f t="shared" si="4"/>
        <v>15.601559017599982</v>
      </c>
      <c r="F30">
        <f t="shared" si="5"/>
        <v>5.2836515933555788</v>
      </c>
      <c r="G30" s="9">
        <f t="shared" si="6"/>
        <v>0.16223631981217881</v>
      </c>
      <c r="H30" s="9">
        <f t="shared" si="6"/>
        <v>0.16223631981217881</v>
      </c>
      <c r="I30" s="9">
        <f t="shared" si="6"/>
        <v>5.4943239243511743E-2</v>
      </c>
      <c r="J30" s="9">
        <f t="shared" si="7"/>
        <v>2.1090721575583248E-2</v>
      </c>
      <c r="K30" s="9">
        <f t="shared" si="8"/>
        <v>3.2447263962435767E-2</v>
      </c>
      <c r="L30" s="9">
        <f t="shared" si="9"/>
        <v>2.1977295697404697E-2</v>
      </c>
      <c r="M30">
        <f t="shared" si="0"/>
        <v>89.081175488126519</v>
      </c>
      <c r="N30">
        <f t="shared" si="10"/>
        <v>72.290681148324069</v>
      </c>
      <c r="O30">
        <f t="shared" si="24"/>
        <v>16.79049433980245</v>
      </c>
      <c r="P30">
        <f t="shared" si="22"/>
        <v>87.701912425080323</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1.3792630630461957</v>
      </c>
      <c r="AB30">
        <f t="shared" si="11"/>
        <v>0.25997084710969598</v>
      </c>
      <c r="AC30">
        <f t="shared" si="12"/>
        <v>1.1192922159364997</v>
      </c>
      <c r="AD30">
        <f t="shared" si="3"/>
        <v>17.540382485016067</v>
      </c>
      <c r="AE30">
        <f t="shared" si="13"/>
        <v>0</v>
      </c>
      <c r="AF30">
        <f t="shared" si="14"/>
        <v>19.489313872240075</v>
      </c>
      <c r="AG30">
        <f t="shared" si="15"/>
        <v>35.080764970032135</v>
      </c>
      <c r="AH30">
        <f t="shared" si="16"/>
        <v>0</v>
      </c>
      <c r="AI30">
        <f t="shared" si="17"/>
        <v>4.6158901276358062</v>
      </c>
      <c r="AJ30">
        <f t="shared" si="18"/>
        <v>0</v>
      </c>
      <c r="AK30">
        <f t="shared" si="19"/>
        <v>17.540382485016067</v>
      </c>
      <c r="AL30">
        <f t="shared" si="20"/>
        <v>0</v>
      </c>
    </row>
    <row r="31" spans="1:38" x14ac:dyDescent="0.2">
      <c r="A31">
        <v>2048</v>
      </c>
      <c r="B31">
        <v>23</v>
      </c>
      <c r="C31">
        <f t="shared" si="21"/>
        <v>98.185115240599799</v>
      </c>
      <c r="D31">
        <f t="shared" si="23"/>
        <v>16.617071104075094</v>
      </c>
      <c r="E31">
        <f t="shared" si="4"/>
        <v>16.617071104075094</v>
      </c>
      <c r="F31">
        <f t="shared" si="5"/>
        <v>5.6391142139288988</v>
      </c>
      <c r="G31" s="9">
        <f t="shared" si="6"/>
        <v>0.16924226307985116</v>
      </c>
      <c r="H31" s="9">
        <f t="shared" si="6"/>
        <v>0.16924226307985116</v>
      </c>
      <c r="I31" s="9">
        <f t="shared" si="6"/>
        <v>5.7433493866258768E-2</v>
      </c>
      <c r="J31" s="9">
        <f t="shared" si="7"/>
        <v>2.2001494200380649E-2</v>
      </c>
      <c r="K31" s="9">
        <f t="shared" si="8"/>
        <v>3.3848452615970234E-2</v>
      </c>
      <c r="L31" s="9">
        <f t="shared" si="9"/>
        <v>2.2973397546503509E-2</v>
      </c>
      <c r="M31">
        <f t="shared" si="0"/>
        <v>90.643254044327165</v>
      </c>
      <c r="N31">
        <f t="shared" si="10"/>
        <v>73.700054115398274</v>
      </c>
      <c r="O31">
        <f t="shared" si="24"/>
        <v>16.943199928928891</v>
      </c>
      <c r="P31">
        <f t="shared" si="22"/>
        <v>89.387068001210608</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1.256186043116557</v>
      </c>
      <c r="AB31">
        <f t="shared" si="11"/>
        <v>0.23480855250458593</v>
      </c>
      <c r="AC31">
        <f t="shared" si="12"/>
        <v>1.021377490611971</v>
      </c>
      <c r="AD31">
        <f t="shared" si="3"/>
        <v>17.877413600242125</v>
      </c>
      <c r="AE31">
        <f t="shared" si="13"/>
        <v>0</v>
      </c>
      <c r="AF31">
        <f t="shared" si="14"/>
        <v>19.863792889157917</v>
      </c>
      <c r="AG31">
        <f t="shared" si="15"/>
        <v>35.754827200484243</v>
      </c>
      <c r="AH31">
        <f t="shared" si="16"/>
        <v>0</v>
      </c>
      <c r="AI31">
        <f t="shared" si="17"/>
        <v>4.7045825263795065</v>
      </c>
      <c r="AJ31">
        <f t="shared" si="18"/>
        <v>0</v>
      </c>
      <c r="AK31">
        <f t="shared" si="19"/>
        <v>17.877413600242125</v>
      </c>
      <c r="AL31">
        <f t="shared" si="20"/>
        <v>0</v>
      </c>
    </row>
    <row r="32" spans="1:38" x14ac:dyDescent="0.2">
      <c r="A32">
        <v>2049</v>
      </c>
      <c r="B32">
        <v>24</v>
      </c>
      <c r="C32">
        <f t="shared" si="21"/>
        <v>100.24700266065238</v>
      </c>
      <c r="D32">
        <f t="shared" si="23"/>
        <v>17.662822194109197</v>
      </c>
      <c r="E32">
        <f t="shared" si="4"/>
        <v>17.662822194109197</v>
      </c>
      <c r="F32">
        <f t="shared" si="5"/>
        <v>6.0070141899087872</v>
      </c>
      <c r="G32" s="9">
        <f t="shared" si="6"/>
        <v>0.17619302049259147</v>
      </c>
      <c r="H32" s="9">
        <f t="shared" si="6"/>
        <v>0.17619302049259147</v>
      </c>
      <c r="I32" s="9">
        <f t="shared" si="6"/>
        <v>5.992213263715445E-2</v>
      </c>
      <c r="J32" s="9">
        <f t="shared" si="7"/>
        <v>2.2905092664036893E-2</v>
      </c>
      <c r="K32" s="9">
        <f t="shared" si="8"/>
        <v>3.5238604098518297E-2</v>
      </c>
      <c r="L32" s="9">
        <f t="shared" si="9"/>
        <v>2.396885305486178E-2</v>
      </c>
      <c r="M32">
        <f t="shared" si="0"/>
        <v>92.234147972083875</v>
      </c>
      <c r="N32">
        <f t="shared" si="10"/>
        <v>75.100702104793157</v>
      </c>
      <c r="O32">
        <f t="shared" si="24"/>
        <v>17.133445867290718</v>
      </c>
      <c r="P32">
        <f t="shared" si="22"/>
        <v>91.051717118087268</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1.1824308539966069</v>
      </c>
      <c r="AB32">
        <f t="shared" si="11"/>
        <v>0.21964874695754699</v>
      </c>
      <c r="AC32">
        <f t="shared" si="12"/>
        <v>0.96278210703905986</v>
      </c>
      <c r="AD32">
        <f t="shared" si="3"/>
        <v>18.210343423617456</v>
      </c>
      <c r="AE32">
        <f t="shared" si="13"/>
        <v>0</v>
      </c>
      <c r="AF32">
        <f t="shared" si="14"/>
        <v>20.233714915130509</v>
      </c>
      <c r="AG32">
        <f t="shared" si="15"/>
        <v>36.420686847234904</v>
      </c>
      <c r="AH32">
        <f t="shared" si="16"/>
        <v>0</v>
      </c>
      <c r="AI32">
        <f t="shared" si="17"/>
        <v>4.7921956377940669</v>
      </c>
      <c r="AJ32">
        <f t="shared" si="18"/>
        <v>0</v>
      </c>
      <c r="AK32">
        <f t="shared" si="19"/>
        <v>18.210343423617456</v>
      </c>
      <c r="AL32">
        <f t="shared" si="20"/>
        <v>0</v>
      </c>
    </row>
    <row r="33" spans="1:38" x14ac:dyDescent="0.2">
      <c r="A33">
        <v>2050</v>
      </c>
      <c r="B33">
        <v>25</v>
      </c>
      <c r="C33">
        <f t="shared" si="21"/>
        <v>102.35218971652607</v>
      </c>
      <c r="D33">
        <f t="shared" si="23"/>
        <v>18.73926851991471</v>
      </c>
      <c r="E33">
        <f t="shared" si="4"/>
        <v>18.73926851991471</v>
      </c>
      <c r="F33">
        <f t="shared" si="5"/>
        <v>6.3877011674928212</v>
      </c>
      <c r="G33" s="9">
        <f t="shared" si="6"/>
        <v>0.18308615156954491</v>
      </c>
      <c r="H33" s="9">
        <f t="shared" si="6"/>
        <v>0.18308615156954491</v>
      </c>
      <c r="I33" s="9">
        <f t="shared" si="6"/>
        <v>6.2409032822689531E-2</v>
      </c>
      <c r="J33" s="9">
        <f t="shared" si="7"/>
        <v>2.3801199704040838E-2</v>
      </c>
      <c r="K33" s="9">
        <f t="shared" si="8"/>
        <v>3.6617230313908983E-2</v>
      </c>
      <c r="L33" s="9">
        <f t="shared" si="9"/>
        <v>2.4963613129075815E-2</v>
      </c>
      <c r="M33">
        <f t="shared" si="0"/>
        <v>93.854501163283999</v>
      </c>
      <c r="N33">
        <f t="shared" si="10"/>
        <v>76.500977814056895</v>
      </c>
      <c r="O33">
        <f t="shared" si="24"/>
        <v>17.353523349227103</v>
      </c>
      <c r="P33">
        <f t="shared" si="22"/>
        <v>92.713563340847926</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1.1409378224360722</v>
      </c>
      <c r="AB33">
        <f t="shared" si="11"/>
        <v>0.21095728916841991</v>
      </c>
      <c r="AC33">
        <f t="shared" si="12"/>
        <v>0.92998053326765229</v>
      </c>
      <c r="AD33">
        <f t="shared" si="3"/>
        <v>18.542712668169585</v>
      </c>
      <c r="AE33">
        <f t="shared" si="13"/>
        <v>0</v>
      </c>
      <c r="AF33">
        <f t="shared" si="14"/>
        <v>20.603014075743989</v>
      </c>
      <c r="AG33">
        <f t="shared" si="15"/>
        <v>37.085425336339171</v>
      </c>
      <c r="AH33">
        <f t="shared" si="16"/>
        <v>0</v>
      </c>
      <c r="AI33">
        <f t="shared" si="17"/>
        <v>4.8796612284656806</v>
      </c>
      <c r="AJ33">
        <f t="shared" si="18"/>
        <v>0</v>
      </c>
      <c r="AK33">
        <f t="shared" si="19"/>
        <v>18.542712668169585</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75325-20B7-3647-A636-270D4C70E33D}">
  <sheetPr>
    <tabColor theme="4" tint="0.79998168889431442"/>
  </sheetPr>
  <dimension ref="A1:AY37"/>
  <sheetViews>
    <sheetView topLeftCell="J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16</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emissions!N27</f>
        <v>60.877048192666209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60.877048192666209</v>
      </c>
      <c r="N8">
        <f>IF($N$7="LFO",M8/(1+EXP(-$I$4*(B8-$J$4)))-M8/(1+EXP($I$4*$J$4)),IF($N$7="MGO",M8/(1+EXP(-$I$5*(B8-$J$5)))-M8/(1+EXP($I$5*$J$5)),0))</f>
        <v>0</v>
      </c>
      <c r="O8">
        <f>M8-N8</f>
        <v>60.877048192666209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60.877048192666209</v>
      </c>
      <c r="AB8">
        <f>O8/M8*AA8</f>
        <v>60.877048192666209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62.155466204712191</v>
      </c>
      <c r="D9">
        <f>IF($E$2=0,0,C9/(1+EXP(-$E$2*(B9-$G$2)))-C9/(1+EXP($E$2*$G$2)))</f>
        <v>0.46403988050193945</v>
      </c>
      <c r="E9">
        <f t="shared" ref="E9:E33" si="4">IF($E$3=0,0,C9/(1+EXP(-$E$3*(B9-$G$3)))-C9/(1+EXP($E$3*$G$3)))</f>
        <v>0.46403988050193945</v>
      </c>
      <c r="F9">
        <f t="shared" ref="F9:F33" si="5">IF($E$4=0,0,C9/(1+EXP(-$E$4*(B9-$G$4)))-C9/(1+EXP($E$4*$G$4)))</f>
        <v>0.15503827570282169</v>
      </c>
      <c r="G9" s="9">
        <f t="shared" ref="G9:I33" si="6">D9/$C9</f>
        <v>7.4657935791777423E-3</v>
      </c>
      <c r="H9" s="9">
        <f t="shared" si="6"/>
        <v>7.4657935791777423E-3</v>
      </c>
      <c r="I9" s="9">
        <f t="shared" si="6"/>
        <v>2.4943626871399408E-3</v>
      </c>
      <c r="J9" s="9">
        <f t="shared" ref="J9:J33" si="7">G9*$F$2</f>
        <v>9.7055316529310654E-4</v>
      </c>
      <c r="K9" s="9">
        <f t="shared" ref="K9:K33" si="8">H9*$F$3</f>
        <v>1.4931587158355485E-3</v>
      </c>
      <c r="L9" s="9">
        <f t="shared" ref="L9:L33" si="9">I9*$F$4</f>
        <v>9.9774507485597642E-4</v>
      </c>
      <c r="M9">
        <f t="shared" si="0"/>
        <v>61.940560506925181</v>
      </c>
      <c r="N9">
        <f t="shared" ref="N9:N33" si="10">IF($N$7="LFO",M9/(1+EXP(-$I$4*(B9-$J$4)))-M9/(1+EXP($I$4*$J$4)),IF($N$7="MGO",M9/(1+EXP(-$I$5*(B9-$J$5)))-M9/(1+EXP($I$5*$J$5)),0))</f>
        <v>3.0381654581975681</v>
      </c>
      <c r="O9">
        <f>M9-N9</f>
        <v>58.902395048727612</v>
      </c>
      <c r="P9">
        <f>IF($I$3=0,0,M9/(1+EXP(-$I$3*(B9-$J$3)))-M9/(1+EXP($I$3*$J$3)))</f>
        <v>0.38013483691906391</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61.560425670006119</v>
      </c>
      <c r="AB9">
        <f t="shared" ref="AB9:AB33" si="11">O9/M9*AA9</f>
        <v>58.540905708741953</v>
      </c>
      <c r="AC9">
        <f t="shared" ref="AC9:AC33" si="12">N9/M9*AA9</f>
        <v>3.0195199612641663</v>
      </c>
      <c r="AD9">
        <f t="shared" si="3"/>
        <v>7.6026967383812788E-2</v>
      </c>
      <c r="AE9">
        <f t="shared" ref="AE9:AE33" si="13">S9*$O9*$AE$2+S9*$N9*$AE$3</f>
        <v>0</v>
      </c>
      <c r="AF9">
        <f t="shared" ref="AF9:AF33" si="14">T9*$O9*$AF$2+T9*$N9*$AF$3</f>
        <v>8.4474408204236434E-2</v>
      </c>
      <c r="AG9">
        <f t="shared" ref="AG9:AG33" si="15">U9*$O9*$AG$2+U9*$N9*$AG$3</f>
        <v>0.15205393476762555</v>
      </c>
      <c r="AH9">
        <f t="shared" ref="AH9:AH33" si="16">V9*$O9*$AH$2+V9*$N9*$AH$3</f>
        <v>0</v>
      </c>
      <c r="AI9">
        <f t="shared" ref="AI9:AI33" si="17">W9*$O9*$AI$2+W9*$N9*$AI$3</f>
        <v>2.0007096679950733E-2</v>
      </c>
      <c r="AJ9">
        <f t="shared" ref="AJ9:AJ33" si="18">X9*$O9*$AJ$2+X9*$N9*$AJ$3</f>
        <v>0</v>
      </c>
      <c r="AK9">
        <f t="shared" ref="AK9:AK33" si="19">Y9*$O9*$AK$2+Y9*$N9*$AK$3</f>
        <v>7.6026967383812788E-2</v>
      </c>
      <c r="AL9">
        <f t="shared" ref="AL9:AL33" si="20">Z9*$O9*$AL$2+Z9*$N9*$AL$3</f>
        <v>0</v>
      </c>
    </row>
    <row r="10" spans="1:51" x14ac:dyDescent="0.2">
      <c r="A10">
        <v>2027</v>
      </c>
      <c r="B10">
        <v>2</v>
      </c>
      <c r="C10">
        <f t="shared" ref="C10:C33" si="21">C9*(1+$I$2)</f>
        <v>63.46073099501114</v>
      </c>
      <c r="D10">
        <f>IF($E$2=0,0,C10/(1+EXP(-$E$2*(B10-$G$2)))-C10/(1+EXP($E$2*$G$2)))</f>
        <v>0.94842192896217625</v>
      </c>
      <c r="E10">
        <f t="shared" si="4"/>
        <v>0.94842192896217625</v>
      </c>
      <c r="F10">
        <f t="shared" si="5"/>
        <v>0.31665935869381556</v>
      </c>
      <c r="G10" s="9">
        <f t="shared" si="6"/>
        <v>1.4945020551949439E-2</v>
      </c>
      <c r="H10" s="9">
        <f t="shared" si="6"/>
        <v>1.4945020551949439E-2</v>
      </c>
      <c r="I10" s="9">
        <f t="shared" si="6"/>
        <v>4.9898473233582702E-3</v>
      </c>
      <c r="J10" s="9">
        <f t="shared" si="7"/>
        <v>1.9428526717534271E-3</v>
      </c>
      <c r="K10" s="9">
        <f t="shared" si="8"/>
        <v>2.9890041103898882E-3</v>
      </c>
      <c r="L10" s="9">
        <f t="shared" si="9"/>
        <v>1.9959389293433081E-3</v>
      </c>
      <c r="M10">
        <f t="shared" si="0"/>
        <v>63.022080495673123</v>
      </c>
      <c r="N10">
        <f t="shared" si="10"/>
        <v>6.7197276670918296</v>
      </c>
      <c r="O10">
        <f>M10-N10</f>
        <v>56.302352828581292</v>
      </c>
      <c r="P10">
        <f t="shared" ref="P10:P33" si="22">IF($I$3=0,0,M10/(1+EXP(-$I$3*(B10-$J$3)))-M10/(1+EXP($I$3*$J$3)))</f>
        <v>0.98377788727755489</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62.038302608395568</v>
      </c>
      <c r="AB10">
        <f t="shared" si="11"/>
        <v>55.423470232532118</v>
      </c>
      <c r="AC10">
        <f t="shared" si="12"/>
        <v>6.6148323758634477</v>
      </c>
      <c r="AD10">
        <f t="shared" si="3"/>
        <v>0.196755577455511</v>
      </c>
      <c r="AE10">
        <f t="shared" si="13"/>
        <v>0</v>
      </c>
      <c r="AF10">
        <f t="shared" si="14"/>
        <v>0.21861730828390114</v>
      </c>
      <c r="AG10">
        <f t="shared" si="15"/>
        <v>0.39351115491102195</v>
      </c>
      <c r="AH10">
        <f t="shared" si="16"/>
        <v>0</v>
      </c>
      <c r="AI10">
        <f t="shared" si="17"/>
        <v>5.1777783540923945E-2</v>
      </c>
      <c r="AJ10">
        <f t="shared" si="18"/>
        <v>0</v>
      </c>
      <c r="AK10">
        <f t="shared" si="19"/>
        <v>0.196755577455511</v>
      </c>
      <c r="AL10">
        <f t="shared" si="20"/>
        <v>0</v>
      </c>
    </row>
    <row r="11" spans="1:51" x14ac:dyDescent="0.2">
      <c r="A11">
        <v>2028</v>
      </c>
      <c r="B11">
        <v>3</v>
      </c>
      <c r="C11">
        <f t="shared" si="21"/>
        <v>64.793406345906362</v>
      </c>
      <c r="D11">
        <f t="shared" ref="D11:D33" si="23">IF($E$2=0,0,C11/(1+EXP(-$E$2*(B11-$G$2)))-C11/(1+EXP($E$2*$G$2)))</f>
        <v>1.4535975490348605</v>
      </c>
      <c r="E11">
        <f t="shared" si="4"/>
        <v>1.4535975490348605</v>
      </c>
      <c r="F11">
        <f t="shared" si="5"/>
        <v>0.48506480958404197</v>
      </c>
      <c r="G11" s="9">
        <f t="shared" si="6"/>
        <v>2.2434343724339452E-2</v>
      </c>
      <c r="H11" s="9">
        <f t="shared" si="6"/>
        <v>2.2434343724339452E-2</v>
      </c>
      <c r="I11" s="9">
        <f t="shared" si="6"/>
        <v>7.4863298125502596E-3</v>
      </c>
      <c r="J11" s="9">
        <f t="shared" si="7"/>
        <v>2.9164646841641287E-3</v>
      </c>
      <c r="K11" s="9">
        <f t="shared" si="8"/>
        <v>4.4868687448678902E-3</v>
      </c>
      <c r="L11" s="9">
        <f t="shared" si="9"/>
        <v>2.9945319250201038E-3</v>
      </c>
      <c r="M11">
        <f t="shared" si="0"/>
        <v>64.121975003699276</v>
      </c>
      <c r="N11">
        <f t="shared" si="10"/>
        <v>11.023732597360084</v>
      </c>
      <c r="O11">
        <f t="shared" ref="O11:O33" si="24">M11-N11</f>
        <v>53.098242406339196</v>
      </c>
      <c r="P11">
        <f t="shared" si="22"/>
        <v>1.9303494529142968</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62.191625550784977</v>
      </c>
      <c r="AB11">
        <f t="shared" si="11"/>
        <v>51.499755098768361</v>
      </c>
      <c r="AC11">
        <f t="shared" si="12"/>
        <v>10.691870452016621</v>
      </c>
      <c r="AD11">
        <f t="shared" si="3"/>
        <v>0.3860698905828594</v>
      </c>
      <c r="AE11">
        <f t="shared" si="13"/>
        <v>0</v>
      </c>
      <c r="AF11">
        <f t="shared" si="14"/>
        <v>0.428966545092066</v>
      </c>
      <c r="AG11">
        <f t="shared" si="15"/>
        <v>0.7721397811657188</v>
      </c>
      <c r="AH11">
        <f t="shared" si="16"/>
        <v>0</v>
      </c>
      <c r="AI11">
        <f t="shared" si="17"/>
        <v>0.10159733962706825</v>
      </c>
      <c r="AJ11">
        <f t="shared" si="18"/>
        <v>0</v>
      </c>
      <c r="AK11">
        <f t="shared" si="19"/>
        <v>0.3860698905828594</v>
      </c>
      <c r="AL11">
        <f t="shared" si="20"/>
        <v>0</v>
      </c>
    </row>
    <row r="12" spans="1:51" x14ac:dyDescent="0.2">
      <c r="A12">
        <v>2029</v>
      </c>
      <c r="B12">
        <v>4</v>
      </c>
      <c r="C12">
        <f t="shared" si="21"/>
        <v>66.154067879170384</v>
      </c>
      <c r="D12">
        <f t="shared" si="23"/>
        <v>1.9800182287979204</v>
      </c>
      <c r="E12">
        <f t="shared" si="4"/>
        <v>1.9800182287979204</v>
      </c>
      <c r="F12">
        <f t="shared" si="5"/>
        <v>0.66046143203565677</v>
      </c>
      <c r="G12" s="9">
        <f t="shared" si="6"/>
        <v>2.9930407793129218E-2</v>
      </c>
      <c r="H12" s="9">
        <f t="shared" si="6"/>
        <v>2.9930407793129218E-2</v>
      </c>
      <c r="I12" s="9">
        <f t="shared" si="6"/>
        <v>9.9836858595299342E-3</v>
      </c>
      <c r="J12" s="9">
        <f t="shared" si="7"/>
        <v>3.8909530131067986E-3</v>
      </c>
      <c r="K12" s="9">
        <f t="shared" si="8"/>
        <v>5.9860815586258442E-3</v>
      </c>
      <c r="L12" s="9">
        <f t="shared" si="9"/>
        <v>3.993474343811974E-3</v>
      </c>
      <c r="M12">
        <f t="shared" si="0"/>
        <v>65.240621329319112</v>
      </c>
      <c r="N12">
        <f t="shared" si="10"/>
        <v>15.862080095095456</v>
      </c>
      <c r="O12">
        <f t="shared" si="24"/>
        <v>49.378541234223654</v>
      </c>
      <c r="P12">
        <f t="shared" si="22"/>
        <v>3.3916259126214081</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61.848995416697704</v>
      </c>
      <c r="AB12">
        <f t="shared" si="11"/>
        <v>46.8115279752286</v>
      </c>
      <c r="AC12">
        <f t="shared" si="12"/>
        <v>15.037467441469101</v>
      </c>
      <c r="AD12">
        <f t="shared" si="3"/>
        <v>0.67832518252428164</v>
      </c>
      <c r="AE12">
        <f t="shared" si="13"/>
        <v>0</v>
      </c>
      <c r="AF12">
        <f t="shared" si="14"/>
        <v>0.75369464724920188</v>
      </c>
      <c r="AG12">
        <f t="shared" si="15"/>
        <v>1.3566503650485633</v>
      </c>
      <c r="AH12">
        <f t="shared" si="16"/>
        <v>0</v>
      </c>
      <c r="AI12">
        <f t="shared" si="17"/>
        <v>0.17850662698007411</v>
      </c>
      <c r="AJ12">
        <f t="shared" si="18"/>
        <v>0</v>
      </c>
      <c r="AK12">
        <f t="shared" si="19"/>
        <v>0.67832518252428164</v>
      </c>
      <c r="AL12">
        <f t="shared" si="20"/>
        <v>0</v>
      </c>
    </row>
    <row r="13" spans="1:51" x14ac:dyDescent="0.2">
      <c r="A13">
        <v>2030</v>
      </c>
      <c r="B13">
        <v>5</v>
      </c>
      <c r="C13">
        <f t="shared" si="21"/>
        <v>67.543303304632957</v>
      </c>
      <c r="D13">
        <f t="shared" si="23"/>
        <v>2.5281353966983779</v>
      </c>
      <c r="E13">
        <f t="shared" si="4"/>
        <v>2.5281353966983779</v>
      </c>
      <c r="F13">
        <f t="shared" si="5"/>
        <v>0.84306139494206178</v>
      </c>
      <c r="G13" s="9">
        <f t="shared" si="6"/>
        <v>3.7429845343749525E-2</v>
      </c>
      <c r="H13" s="9">
        <f t="shared" si="6"/>
        <v>3.7429845343749525E-2</v>
      </c>
      <c r="I13" s="9">
        <f t="shared" si="6"/>
        <v>1.2481790994729661E-2</v>
      </c>
      <c r="J13" s="9">
        <f t="shared" si="7"/>
        <v>4.8658798946874388E-3</v>
      </c>
      <c r="K13" s="9">
        <f t="shared" si="8"/>
        <v>7.4859690687499054E-3</v>
      </c>
      <c r="L13" s="9">
        <f t="shared" si="9"/>
        <v>4.9927163978918648E-3</v>
      </c>
      <c r="M13">
        <f t="shared" si="0"/>
        <v>66.378407449508927</v>
      </c>
      <c r="N13">
        <f t="shared" si="10"/>
        <v>21.08008797634605</v>
      </c>
      <c r="O13">
        <f t="shared" si="24"/>
        <v>45.298319473162877</v>
      </c>
      <c r="P13">
        <f t="shared" si="22"/>
        <v>5.5998498766078466</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60.778557572901079</v>
      </c>
      <c r="AB13">
        <f t="shared" si="11"/>
        <v>41.476838987881806</v>
      </c>
      <c r="AC13">
        <f t="shared" si="12"/>
        <v>19.301718585019273</v>
      </c>
      <c r="AD13">
        <f t="shared" si="3"/>
        <v>1.1199699753215691</v>
      </c>
      <c r="AE13">
        <f t="shared" si="13"/>
        <v>0</v>
      </c>
      <c r="AF13">
        <f t="shared" si="14"/>
        <v>1.2444110836906324</v>
      </c>
      <c r="AG13">
        <f t="shared" si="15"/>
        <v>2.2399399506431386</v>
      </c>
      <c r="AH13">
        <f t="shared" si="16"/>
        <v>0</v>
      </c>
      <c r="AI13">
        <f t="shared" si="17"/>
        <v>0.29472894087409712</v>
      </c>
      <c r="AJ13">
        <f t="shared" si="18"/>
        <v>0</v>
      </c>
      <c r="AK13">
        <f t="shared" si="19"/>
        <v>1.1199699753215691</v>
      </c>
      <c r="AL13">
        <f t="shared" si="20"/>
        <v>0</v>
      </c>
    </row>
    <row r="14" spans="1:51" x14ac:dyDescent="0.2">
      <c r="A14">
        <v>2031</v>
      </c>
      <c r="B14">
        <v>6</v>
      </c>
      <c r="C14">
        <f t="shared" si="21"/>
        <v>68.961712674030238</v>
      </c>
      <c r="D14">
        <f t="shared" si="23"/>
        <v>3.0984002976117573</v>
      </c>
      <c r="E14">
        <f t="shared" si="4"/>
        <v>3.0984002976117573</v>
      </c>
      <c r="F14">
        <f t="shared" si="5"/>
        <v>1.0330823572538748</v>
      </c>
      <c r="G14" s="9">
        <f t="shared" si="6"/>
        <v>4.4929282894369878E-2</v>
      </c>
      <c r="H14" s="9">
        <f t="shared" si="6"/>
        <v>4.4929282894369878E-2</v>
      </c>
      <c r="I14" s="9">
        <f t="shared" si="6"/>
        <v>1.4980520598974556E-2</v>
      </c>
      <c r="J14" s="9">
        <f t="shared" si="7"/>
        <v>5.8408067762680841E-3</v>
      </c>
      <c r="K14" s="9">
        <f t="shared" si="8"/>
        <v>8.9858565788739752E-3</v>
      </c>
      <c r="L14" s="9">
        <f t="shared" si="9"/>
        <v>5.9922082395898225E-3</v>
      </c>
      <c r="M14">
        <f t="shared" si="0"/>
        <v>67.535732241752044</v>
      </c>
      <c r="N14">
        <f t="shared" si="10"/>
        <v>26.475154673822903</v>
      </c>
      <c r="O14">
        <f t="shared" si="24"/>
        <v>41.060577567929144</v>
      </c>
      <c r="P14">
        <f t="shared" si="22"/>
        <v>8.8380043216715016</v>
      </c>
      <c r="Q14" s="9">
        <f t="shared" si="1"/>
        <v>0.13086412226989458</v>
      </c>
      <c r="R14">
        <f>VLOOKUP($B$1,dictionary!$A$3:$K$51,3,FALSE)*Q14</f>
        <v>2.6172824453978918E-2</v>
      </c>
      <c r="S14">
        <f>VLOOKUP($B$1,dictionary!$A$3:$K$51,4,FALSE)*Q14</f>
        <v>0</v>
      </c>
      <c r="T14">
        <f>VLOOKUP($B$1,dictionary!$A$3:$K$51,5,FALSE)*Q14</f>
        <v>2.6172824453978918E-2</v>
      </c>
      <c r="U14">
        <f>VLOOKUP($B$1,dictionary!$A$3:$K$51,6,FALSE)*Q14</f>
        <v>4.5802442794463098E-2</v>
      </c>
      <c r="V14">
        <f>VLOOKUP($B$1,dictionary!$A$3:$K$51,7,FALSE)*Q14</f>
        <v>0</v>
      </c>
      <c r="W14">
        <f>VLOOKUP($B$1,dictionary!$A$3:$K$51,8,FALSE)*Q14</f>
        <v>6.5432061134947294E-3</v>
      </c>
      <c r="X14">
        <f>VLOOKUP($B$1,dictionary!$A$3:$K$51,9,FALSE)*Q14</f>
        <v>0</v>
      </c>
      <c r="Y14">
        <f>VLOOKUP($B$1,dictionary!$A$3:$K$51,10,FALSE)*Q14</f>
        <v>2.6172824453978918E-2</v>
      </c>
      <c r="Z14">
        <f>VLOOKUP($B$1,dictionary!$A$3:$K$51,11,FALSE)*Q14</f>
        <v>0</v>
      </c>
      <c r="AA14">
        <f t="shared" si="2"/>
        <v>58.697727920080538</v>
      </c>
      <c r="AB14">
        <f t="shared" si="11"/>
        <v>35.68722112460717</v>
      </c>
      <c r="AC14">
        <f t="shared" si="12"/>
        <v>23.010506795473368</v>
      </c>
      <c r="AD14">
        <f t="shared" si="3"/>
        <v>1.7676008643343004</v>
      </c>
      <c r="AE14">
        <f t="shared" si="13"/>
        <v>0</v>
      </c>
      <c r="AF14">
        <f t="shared" si="14"/>
        <v>1.964000960371445</v>
      </c>
      <c r="AG14">
        <f t="shared" si="15"/>
        <v>3.5352017286686008</v>
      </c>
      <c r="AH14">
        <f t="shared" si="16"/>
        <v>0</v>
      </c>
      <c r="AI14">
        <f t="shared" si="17"/>
        <v>0.46515812219323693</v>
      </c>
      <c r="AJ14">
        <f t="shared" si="18"/>
        <v>0</v>
      </c>
      <c r="AK14">
        <f t="shared" si="19"/>
        <v>1.7676008643343004</v>
      </c>
      <c r="AL14">
        <f t="shared" si="20"/>
        <v>0</v>
      </c>
    </row>
    <row r="15" spans="1:51" x14ac:dyDescent="0.2">
      <c r="A15">
        <v>2032</v>
      </c>
      <c r="B15">
        <v>7</v>
      </c>
      <c r="C15">
        <f t="shared" si="21"/>
        <v>70.409908640184867</v>
      </c>
      <c r="D15">
        <f t="shared" si="23"/>
        <v>3.6912638901060575</v>
      </c>
      <c r="E15">
        <f t="shared" si="4"/>
        <v>3.6912638901060575</v>
      </c>
      <c r="F15">
        <f t="shared" si="5"/>
        <v>1.2307475955062657</v>
      </c>
      <c r="G15" s="9">
        <f t="shared" si="6"/>
        <v>5.2425346963159557E-2</v>
      </c>
      <c r="H15" s="9">
        <f t="shared" si="6"/>
        <v>5.2425346963159557E-2</v>
      </c>
      <c r="I15" s="9">
        <f t="shared" si="6"/>
        <v>1.7479749928319667E-2</v>
      </c>
      <c r="J15" s="9">
        <f t="shared" si="7"/>
        <v>6.8152951052107428E-3</v>
      </c>
      <c r="K15" s="9">
        <f t="shared" si="8"/>
        <v>1.0485069392631913E-2</v>
      </c>
      <c r="L15" s="9">
        <f t="shared" si="9"/>
        <v>6.9918999713278673E-3</v>
      </c>
      <c r="M15">
        <f t="shared" si="0"/>
        <v>68.713005702475414</v>
      </c>
      <c r="N15">
        <f t="shared" si="10"/>
        <v>31.829979393949063</v>
      </c>
      <c r="O15">
        <f t="shared" si="24"/>
        <v>36.883026308526354</v>
      </c>
      <c r="P15">
        <f>IF($I$3=0,0,M15/(1+EXP(-$I$3*(B15-$J$3)))-M15/(1+EXP($I$3*$J$3)))</f>
        <v>13.391026179900509</v>
      </c>
      <c r="Q15" s="9">
        <f t="shared" si="1"/>
        <v>0.19488342917035417</v>
      </c>
      <c r="R15">
        <f>VLOOKUP($B$1,dictionary!$A$3:$K$51,3,FALSE)*Q15</f>
        <v>3.8976685834070837E-2</v>
      </c>
      <c r="S15">
        <f>VLOOKUP($B$1,dictionary!$A$3:$K$51,4,FALSE)*Q15</f>
        <v>0</v>
      </c>
      <c r="T15">
        <f>VLOOKUP($B$1,dictionary!$A$3:$K$51,5,FALSE)*Q15</f>
        <v>3.8976685834070837E-2</v>
      </c>
      <c r="U15">
        <f>VLOOKUP($B$1,dictionary!$A$3:$K$51,6,FALSE)*Q15</f>
        <v>6.8209200209623955E-2</v>
      </c>
      <c r="V15">
        <f>VLOOKUP($B$1,dictionary!$A$3:$K$51,7,FALSE)*Q15</f>
        <v>0</v>
      </c>
      <c r="W15">
        <f>VLOOKUP($B$1,dictionary!$A$3:$K$51,8,FALSE)*Q15</f>
        <v>9.7441714585177093E-3</v>
      </c>
      <c r="X15">
        <f>VLOOKUP($B$1,dictionary!$A$3:$K$51,9,FALSE)*Q15</f>
        <v>0</v>
      </c>
      <c r="Y15">
        <f>VLOOKUP($B$1,dictionary!$A$3:$K$51,10,FALSE)*Q15</f>
        <v>3.8976685834070837E-2</v>
      </c>
      <c r="Z15">
        <f>VLOOKUP($B$1,dictionary!$A$3:$K$51,11,FALSE)*Q15</f>
        <v>0</v>
      </c>
      <c r="AA15">
        <f t="shared" si="2"/>
        <v>55.321979522574907</v>
      </c>
      <c r="AB15">
        <f t="shared" si="11"/>
        <v>29.695135663340348</v>
      </c>
      <c r="AC15">
        <f t="shared" si="12"/>
        <v>25.626843859234558</v>
      </c>
      <c r="AD15">
        <f t="shared" si="3"/>
        <v>2.6782052359801023</v>
      </c>
      <c r="AE15">
        <f t="shared" si="13"/>
        <v>0</v>
      </c>
      <c r="AF15">
        <f t="shared" si="14"/>
        <v>2.9757835955334473</v>
      </c>
      <c r="AG15">
        <f t="shared" si="15"/>
        <v>5.3564104719602046</v>
      </c>
      <c r="AH15">
        <f t="shared" si="16"/>
        <v>0</v>
      </c>
      <c r="AI15">
        <f t="shared" si="17"/>
        <v>0.70479085157371113</v>
      </c>
      <c r="AJ15">
        <f t="shared" si="18"/>
        <v>0</v>
      </c>
      <c r="AK15">
        <f t="shared" si="19"/>
        <v>2.6782052359801023</v>
      </c>
      <c r="AL15">
        <f t="shared" si="20"/>
        <v>0</v>
      </c>
    </row>
    <row r="16" spans="1:51" x14ac:dyDescent="0.2">
      <c r="A16">
        <v>2033</v>
      </c>
      <c r="B16">
        <v>8</v>
      </c>
      <c r="C16">
        <f t="shared" si="21"/>
        <v>71.888516721628747</v>
      </c>
      <c r="D16">
        <f t="shared" si="23"/>
        <v>4.3071767659103344</v>
      </c>
      <c r="E16">
        <f t="shared" si="4"/>
        <v>4.3071767659103344</v>
      </c>
      <c r="F16">
        <f t="shared" si="5"/>
        <v>1.4362861341045488</v>
      </c>
      <c r="G16" s="9">
        <f t="shared" si="6"/>
        <v>5.9914670135549693E-2</v>
      </c>
      <c r="H16" s="9">
        <f t="shared" si="6"/>
        <v>5.9914670135549693E-2</v>
      </c>
      <c r="I16" s="9">
        <f t="shared" si="6"/>
        <v>1.9979354138940249E-2</v>
      </c>
      <c r="J16" s="9">
        <f t="shared" si="7"/>
        <v>7.7889071176214606E-3</v>
      </c>
      <c r="K16" s="9">
        <f t="shared" si="8"/>
        <v>1.198293402710994E-2</v>
      </c>
      <c r="L16" s="9">
        <f t="shared" si="9"/>
        <v>7.9917416555761005E-3</v>
      </c>
      <c r="M16">
        <f t="shared" si="0"/>
        <v>69.910649161993931</v>
      </c>
      <c r="N16">
        <f t="shared" si="10"/>
        <v>36.94945445689158</v>
      </c>
      <c r="O16">
        <f t="shared" si="24"/>
        <v>32.961194705102351</v>
      </c>
      <c r="P16">
        <f t="shared" si="22"/>
        <v>19.439603620472841</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50.471045541521093</v>
      </c>
      <c r="AB16">
        <f t="shared" si="11"/>
        <v>23.795887736779203</v>
      </c>
      <c r="AC16">
        <f t="shared" si="12"/>
        <v>26.67515780474189</v>
      </c>
      <c r="AD16">
        <f t="shared" si="3"/>
        <v>3.8879207240945686</v>
      </c>
      <c r="AE16">
        <f t="shared" si="13"/>
        <v>0</v>
      </c>
      <c r="AF16">
        <f t="shared" si="14"/>
        <v>4.319911915660632</v>
      </c>
      <c r="AG16">
        <f t="shared" si="15"/>
        <v>7.7758414481891371</v>
      </c>
      <c r="AH16">
        <f t="shared" si="16"/>
        <v>0</v>
      </c>
      <c r="AI16">
        <f t="shared" si="17"/>
        <v>1.0231370326564653</v>
      </c>
      <c r="AJ16">
        <f t="shared" si="18"/>
        <v>0</v>
      </c>
      <c r="AK16">
        <f t="shared" si="19"/>
        <v>3.8879207240945686</v>
      </c>
      <c r="AL16">
        <f t="shared" si="20"/>
        <v>0</v>
      </c>
    </row>
    <row r="17" spans="1:38" x14ac:dyDescent="0.2">
      <c r="A17">
        <v>2034</v>
      </c>
      <c r="B17">
        <v>9</v>
      </c>
      <c r="C17">
        <f t="shared" si="21"/>
        <v>73.398175572782947</v>
      </c>
      <c r="D17">
        <f t="shared" si="23"/>
        <v>4.9465890924906333</v>
      </c>
      <c r="E17">
        <f t="shared" si="4"/>
        <v>4.9465890924906333</v>
      </c>
      <c r="F17">
        <f t="shared" si="5"/>
        <v>1.6499328784261138</v>
      </c>
      <c r="G17" s="9">
        <f t="shared" si="6"/>
        <v>6.7393897108321263E-2</v>
      </c>
      <c r="H17" s="9">
        <f t="shared" si="6"/>
        <v>6.7393897108321263E-2</v>
      </c>
      <c r="I17" s="9">
        <f t="shared" si="6"/>
        <v>2.2479208312065069E-2</v>
      </c>
      <c r="J17" s="9">
        <f t="shared" si="7"/>
        <v>8.7612066240817642E-3</v>
      </c>
      <c r="K17" s="9">
        <f t="shared" si="8"/>
        <v>1.3478779421664254E-2</v>
      </c>
      <c r="L17" s="9">
        <f t="shared" si="9"/>
        <v>8.9916833248260275E-3</v>
      </c>
      <c r="M17">
        <f t="shared" si="0"/>
        <v>71.129095495917724</v>
      </c>
      <c r="N17">
        <f t="shared" si="10"/>
        <v>41.688710212765983</v>
      </c>
      <c r="O17">
        <f t="shared" si="24"/>
        <v>29.440385283151741</v>
      </c>
      <c r="P17">
        <f t="shared" si="22"/>
        <v>26.913387819209838</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44.215707676707886</v>
      </c>
      <c r="AB17">
        <f t="shared" si="11"/>
        <v>18.300914140602277</v>
      </c>
      <c r="AC17">
        <f t="shared" si="12"/>
        <v>25.914793536105609</v>
      </c>
      <c r="AD17">
        <f t="shared" si="3"/>
        <v>5.3826775638419679</v>
      </c>
      <c r="AE17">
        <f t="shared" si="13"/>
        <v>0</v>
      </c>
      <c r="AF17">
        <f t="shared" si="14"/>
        <v>5.9807528487132977</v>
      </c>
      <c r="AG17">
        <f t="shared" si="15"/>
        <v>10.765355127683936</v>
      </c>
      <c r="AH17">
        <f t="shared" si="16"/>
        <v>0</v>
      </c>
      <c r="AI17">
        <f t="shared" si="17"/>
        <v>1.4164940957478862</v>
      </c>
      <c r="AJ17">
        <f t="shared" si="18"/>
        <v>0</v>
      </c>
      <c r="AK17">
        <f t="shared" si="19"/>
        <v>5.3826775638419679</v>
      </c>
      <c r="AL17">
        <f t="shared" si="20"/>
        <v>0</v>
      </c>
    </row>
    <row r="18" spans="1:38" x14ac:dyDescent="0.2">
      <c r="A18">
        <v>2035</v>
      </c>
      <c r="B18">
        <v>10</v>
      </c>
      <c r="C18">
        <f t="shared" si="21"/>
        <v>74.939537259811388</v>
      </c>
      <c r="D18">
        <f t="shared" si="23"/>
        <v>5.6099505795337876</v>
      </c>
      <c r="E18">
        <f t="shared" si="4"/>
        <v>5.6099505795337876</v>
      </c>
      <c r="F18">
        <f t="shared" si="5"/>
        <v>1.8719287507978422</v>
      </c>
      <c r="G18" s="9">
        <f t="shared" si="6"/>
        <v>7.4859690687499009E-2</v>
      </c>
      <c r="H18" s="9">
        <f t="shared" si="6"/>
        <v>7.4859690687499009E-2</v>
      </c>
      <c r="I18" s="9">
        <f t="shared" si="6"/>
        <v>2.4979187478940054E-2</v>
      </c>
      <c r="J18" s="9">
        <f t="shared" si="7"/>
        <v>9.7317597893748723E-3</v>
      </c>
      <c r="K18" s="9">
        <f t="shared" si="8"/>
        <v>1.4971938137499802E-2</v>
      </c>
      <c r="L18" s="9">
        <f t="shared" si="9"/>
        <v>9.9916749915760217E-3</v>
      </c>
      <c r="M18">
        <f t="shared" si="0"/>
        <v>72.368789333017602</v>
      </c>
      <c r="N18">
        <f t="shared" si="10"/>
        <v>45.964960730402417</v>
      </c>
      <c r="O18">
        <f t="shared" si="24"/>
        <v>26.403828602615185</v>
      </c>
      <c r="P18">
        <f t="shared" si="22"/>
        <v>35.389282929861452</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36.979506403156151</v>
      </c>
      <c r="AB18">
        <f t="shared" si="11"/>
        <v>13.492011651392541</v>
      </c>
      <c r="AC18">
        <f t="shared" si="12"/>
        <v>23.487494751763609</v>
      </c>
      <c r="AD18">
        <f t="shared" si="3"/>
        <v>7.0778565859722899</v>
      </c>
      <c r="AE18">
        <f t="shared" si="13"/>
        <v>0</v>
      </c>
      <c r="AF18">
        <f t="shared" si="14"/>
        <v>7.8642850955247674</v>
      </c>
      <c r="AG18">
        <f t="shared" si="15"/>
        <v>14.155713171944583</v>
      </c>
      <c r="AH18">
        <f t="shared" si="16"/>
        <v>0</v>
      </c>
      <c r="AI18">
        <f t="shared" si="17"/>
        <v>1.8625938384137606</v>
      </c>
      <c r="AJ18">
        <f t="shared" si="18"/>
        <v>0</v>
      </c>
      <c r="AK18">
        <f t="shared" si="19"/>
        <v>7.0778565859722899</v>
      </c>
      <c r="AL18">
        <f t="shared" si="20"/>
        <v>0</v>
      </c>
    </row>
    <row r="19" spans="1:38" x14ac:dyDescent="0.2">
      <c r="A19">
        <v>2036</v>
      </c>
      <c r="B19">
        <v>11</v>
      </c>
      <c r="C19">
        <f t="shared" si="21"/>
        <v>76.513267542267414</v>
      </c>
      <c r="D19">
        <f t="shared" si="23"/>
        <v>6.2977104700323565</v>
      </c>
      <c r="E19">
        <f t="shared" si="4"/>
        <v>6.2977104700323565</v>
      </c>
      <c r="F19">
        <f t="shared" si="5"/>
        <v>2.1025208294097908</v>
      </c>
      <c r="G19" s="9">
        <f t="shared" si="6"/>
        <v>8.2308737717329605E-2</v>
      </c>
      <c r="H19" s="9">
        <f t="shared" si="6"/>
        <v>8.2308737717329605E-2</v>
      </c>
      <c r="I19" s="9">
        <f t="shared" si="6"/>
        <v>2.7479166645814956E-2</v>
      </c>
      <c r="J19" s="9">
        <f t="shared" si="7"/>
        <v>1.0700135903252849E-2</v>
      </c>
      <c r="K19" s="9">
        <f t="shared" si="8"/>
        <v>1.646174754346592E-2</v>
      </c>
      <c r="L19" s="9">
        <f t="shared" si="9"/>
        <v>1.0991666658325983E-2</v>
      </c>
      <c r="M19">
        <f t="shared" si="0"/>
        <v>73.630187259582954</v>
      </c>
      <c r="N19">
        <f t="shared" si="10"/>
        <v>49.75364130919926</v>
      </c>
      <c r="O19">
        <f t="shared" si="24"/>
        <v>23.876545950383694</v>
      </c>
      <c r="P19">
        <f t="shared" si="22"/>
        <v>44.152510500428633</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29.477676759154321</v>
      </c>
      <c r="AB19">
        <f t="shared" si="11"/>
        <v>9.5589204624615824</v>
      </c>
      <c r="AC19">
        <f t="shared" si="12"/>
        <v>19.918756296692738</v>
      </c>
      <c r="AD19">
        <f t="shared" si="3"/>
        <v>8.8305021000857273</v>
      </c>
      <c r="AE19">
        <f t="shared" si="13"/>
        <v>0</v>
      </c>
      <c r="AF19">
        <f t="shared" si="14"/>
        <v>9.8116690000952538</v>
      </c>
      <c r="AG19">
        <f t="shared" si="15"/>
        <v>17.661004200171455</v>
      </c>
      <c r="AH19">
        <f t="shared" si="16"/>
        <v>0</v>
      </c>
      <c r="AI19">
        <f t="shared" si="17"/>
        <v>2.3238163421278228</v>
      </c>
      <c r="AJ19">
        <f t="shared" si="18"/>
        <v>0</v>
      </c>
      <c r="AK19">
        <f t="shared" si="19"/>
        <v>8.8305021000857273</v>
      </c>
      <c r="AL19">
        <f t="shared" si="20"/>
        <v>0</v>
      </c>
    </row>
    <row r="20" spans="1:38" x14ac:dyDescent="0.2">
      <c r="A20">
        <v>2037</v>
      </c>
      <c r="B20">
        <v>12</v>
      </c>
      <c r="C20">
        <f t="shared" si="21"/>
        <v>78.120046160655022</v>
      </c>
      <c r="D20">
        <f t="shared" si="23"/>
        <v>7.0103175565535523</v>
      </c>
      <c r="E20">
        <f t="shared" si="4"/>
        <v>7.0103175565535523</v>
      </c>
      <c r="F20">
        <f t="shared" si="5"/>
        <v>2.3419624902268055</v>
      </c>
      <c r="G20" s="9">
        <f t="shared" si="6"/>
        <v>8.9737754918074827E-2</v>
      </c>
      <c r="H20" s="9">
        <f t="shared" si="6"/>
        <v>8.9737754918074827E-2</v>
      </c>
      <c r="I20" s="9">
        <f t="shared" si="6"/>
        <v>2.9979020818939675E-2</v>
      </c>
      <c r="J20" s="9">
        <f t="shared" si="7"/>
        <v>1.1665908139349729E-2</v>
      </c>
      <c r="K20" s="9">
        <f t="shared" si="8"/>
        <v>1.7947550983614967E-2</v>
      </c>
      <c r="L20" s="9">
        <f t="shared" si="9"/>
        <v>1.199160832757587E-2</v>
      </c>
      <c r="M20">
        <f t="shared" si="0"/>
        <v>74.913758020346378</v>
      </c>
      <c r="N20">
        <f t="shared" si="10"/>
        <v>53.074723609344929</v>
      </c>
      <c r="O20">
        <f t="shared" si="24"/>
        <v>21.83903441100145</v>
      </c>
      <c r="P20">
        <f>IF($I$3=0,0,M20/(1+EXP(-$I$3*(B20-$J$3)))-M20/(1+EXP($I$3*$J$3)))</f>
        <v>52.436825842723465</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22.476932177622913</v>
      </c>
      <c r="AB20">
        <f t="shared" si="11"/>
        <v>6.5525279768708486</v>
      </c>
      <c r="AC20">
        <f t="shared" si="12"/>
        <v>15.924404200752065</v>
      </c>
      <c r="AD20">
        <f t="shared" si="3"/>
        <v>10.487365168544695</v>
      </c>
      <c r="AE20">
        <f t="shared" si="13"/>
        <v>0</v>
      </c>
      <c r="AF20">
        <f t="shared" si="14"/>
        <v>11.652627965049662</v>
      </c>
      <c r="AG20">
        <f t="shared" si="15"/>
        <v>20.97473033708939</v>
      </c>
      <c r="AH20">
        <f t="shared" si="16"/>
        <v>0</v>
      </c>
      <c r="AI20">
        <f t="shared" si="17"/>
        <v>2.759832939090709</v>
      </c>
      <c r="AJ20">
        <f t="shared" si="18"/>
        <v>0</v>
      </c>
      <c r="AK20">
        <f t="shared" si="19"/>
        <v>10.487365168544695</v>
      </c>
      <c r="AL20">
        <f t="shared" si="20"/>
        <v>0</v>
      </c>
    </row>
    <row r="21" spans="1:38" x14ac:dyDescent="0.2">
      <c r="A21">
        <v>2038</v>
      </c>
      <c r="B21">
        <v>13</v>
      </c>
      <c r="C21">
        <f t="shared" si="21"/>
        <v>79.760567130028775</v>
      </c>
      <c r="D21">
        <f t="shared" si="23"/>
        <v>7.7482202231616668</v>
      </c>
      <c r="E21">
        <f t="shared" si="4"/>
        <v>7.7482202231616668</v>
      </c>
      <c r="F21">
        <f t="shared" si="5"/>
        <v>2.5905135519612799</v>
      </c>
      <c r="G21" s="9">
        <f t="shared" si="6"/>
        <v>9.7143494610942488E-2</v>
      </c>
      <c r="H21" s="9">
        <f t="shared" si="6"/>
        <v>9.7143494610942488E-2</v>
      </c>
      <c r="I21" s="9">
        <f t="shared" si="6"/>
        <v>3.2478625029560337E-2</v>
      </c>
      <c r="J21" s="9">
        <f t="shared" si="7"/>
        <v>1.2628654299422525E-2</v>
      </c>
      <c r="K21" s="9">
        <f t="shared" si="8"/>
        <v>1.94286989221885E-2</v>
      </c>
      <c r="L21" s="9">
        <f t="shared" si="9"/>
        <v>1.2991450011824135E-2</v>
      </c>
      <c r="M21">
        <f t="shared" si="0"/>
        <v>76.219982716088509</v>
      </c>
      <c r="N21">
        <f t="shared" si="10"/>
        <v>55.976090955377401</v>
      </c>
      <c r="O21">
        <f t="shared" si="24"/>
        <v>20.243891760711108</v>
      </c>
      <c r="P21">
        <f t="shared" si="22"/>
        <v>59.691121958259124</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16.528860757829385</v>
      </c>
      <c r="AB21">
        <f t="shared" si="11"/>
        <v>4.3900360008705999</v>
      </c>
      <c r="AC21">
        <f t="shared" si="12"/>
        <v>12.138824756958785</v>
      </c>
      <c r="AD21">
        <f t="shared" si="3"/>
        <v>11.938224391651827</v>
      </c>
      <c r="AE21">
        <f t="shared" si="13"/>
        <v>0</v>
      </c>
      <c r="AF21">
        <f t="shared" si="14"/>
        <v>13.264693768502031</v>
      </c>
      <c r="AG21">
        <f t="shared" si="15"/>
        <v>23.876448783303651</v>
      </c>
      <c r="AH21">
        <f t="shared" si="16"/>
        <v>0</v>
      </c>
      <c r="AI21">
        <f t="shared" si="17"/>
        <v>3.1416379978031124</v>
      </c>
      <c r="AJ21">
        <f t="shared" si="18"/>
        <v>0</v>
      </c>
      <c r="AK21">
        <f t="shared" si="19"/>
        <v>11.938224391651827</v>
      </c>
      <c r="AL21">
        <f t="shared" si="20"/>
        <v>0</v>
      </c>
    </row>
    <row r="22" spans="1:38" x14ac:dyDescent="0.2">
      <c r="A22">
        <v>2039</v>
      </c>
      <c r="B22">
        <v>14</v>
      </c>
      <c r="C22">
        <f t="shared" si="21"/>
        <v>81.435539039759377</v>
      </c>
      <c r="D22">
        <f t="shared" si="23"/>
        <v>8.5118665133481883</v>
      </c>
      <c r="E22">
        <f t="shared" si="4"/>
        <v>8.5118665133481883</v>
      </c>
      <c r="F22">
        <f t="shared" si="5"/>
        <v>2.8484404241716703</v>
      </c>
      <c r="G22" s="9">
        <f t="shared" si="6"/>
        <v>0.10452275030920381</v>
      </c>
      <c r="H22" s="9">
        <f t="shared" si="6"/>
        <v>0.10452275030920381</v>
      </c>
      <c r="I22" s="9">
        <f t="shared" si="6"/>
        <v>3.4977854358905547E-2</v>
      </c>
      <c r="J22" s="9">
        <f t="shared" si="7"/>
        <v>1.3587957540196496E-2</v>
      </c>
      <c r="K22" s="9">
        <f t="shared" si="8"/>
        <v>2.0904550061840763E-2</v>
      </c>
      <c r="L22" s="9">
        <f t="shared" si="9"/>
        <v>1.3991141743562219E-2</v>
      </c>
      <c r="M22">
        <f t="shared" si="0"/>
        <v>77.549354998074975</v>
      </c>
      <c r="N22">
        <f t="shared" si="10"/>
        <v>58.51883014742188</v>
      </c>
      <c r="O22">
        <f t="shared" si="24"/>
        <v>19.030524850653094</v>
      </c>
      <c r="P22">
        <f t="shared" si="22"/>
        <v>65.69686609484873</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11.852488903226245</v>
      </c>
      <c r="AB22">
        <f t="shared" si="11"/>
        <v>2.908587500444539</v>
      </c>
      <c r="AC22">
        <f t="shared" si="12"/>
        <v>8.943901402781707</v>
      </c>
      <c r="AD22">
        <f t="shared" si="3"/>
        <v>13.139373218969746</v>
      </c>
      <c r="AE22">
        <f t="shared" si="13"/>
        <v>0</v>
      </c>
      <c r="AF22">
        <f t="shared" si="14"/>
        <v>14.599303576633053</v>
      </c>
      <c r="AG22">
        <f t="shared" si="15"/>
        <v>26.278746437939496</v>
      </c>
      <c r="AH22">
        <f t="shared" si="16"/>
        <v>0</v>
      </c>
      <c r="AI22">
        <f t="shared" si="17"/>
        <v>3.457729794465723</v>
      </c>
      <c r="AJ22">
        <f t="shared" si="18"/>
        <v>0</v>
      </c>
      <c r="AK22">
        <f t="shared" si="19"/>
        <v>13.139373218969746</v>
      </c>
      <c r="AL22">
        <f t="shared" si="20"/>
        <v>0</v>
      </c>
    </row>
    <row r="23" spans="1:38" x14ac:dyDescent="0.2">
      <c r="A23">
        <v>2040</v>
      </c>
      <c r="B23">
        <v>15</v>
      </c>
      <c r="C23">
        <f t="shared" si="21"/>
        <v>83.14568535959431</v>
      </c>
      <c r="D23">
        <f t="shared" si="23"/>
        <v>9.3017042242081871</v>
      </c>
      <c r="E23">
        <f t="shared" si="4"/>
        <v>9.3017042242081871</v>
      </c>
      <c r="F23">
        <f t="shared" si="5"/>
        <v>3.1160162585525129</v>
      </c>
      <c r="G23" s="9">
        <f t="shared" si="6"/>
        <v>0.11187236215540858</v>
      </c>
      <c r="H23" s="9">
        <f t="shared" si="6"/>
        <v>0.11187236215540858</v>
      </c>
      <c r="I23" s="9">
        <f t="shared" si="6"/>
        <v>3.7476583963150303E-2</v>
      </c>
      <c r="J23" s="9">
        <f t="shared" si="7"/>
        <v>1.4543407080203116E-2</v>
      </c>
      <c r="K23" s="9">
        <f t="shared" si="8"/>
        <v>2.2374472431081718E-2</v>
      </c>
      <c r="L23" s="9">
        <f t="shared" si="9"/>
        <v>1.4990633585260121E-2</v>
      </c>
      <c r="M23">
        <f t="shared" si="0"/>
        <v>78.90238125951609</v>
      </c>
      <c r="N23">
        <f t="shared" si="10"/>
        <v>60.766558701658212</v>
      </c>
      <c r="O23">
        <f t="shared" si="24"/>
        <v>18.135822557857878</v>
      </c>
      <c r="P23">
        <f t="shared" si="22"/>
        <v>70.512185490840224</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8.3901957686758664</v>
      </c>
      <c r="AB23">
        <f t="shared" si="11"/>
        <v>1.9284982183987474</v>
      </c>
      <c r="AC23">
        <f t="shared" si="12"/>
        <v>6.461697550277119</v>
      </c>
      <c r="AD23">
        <f t="shared" si="3"/>
        <v>14.102437098168046</v>
      </c>
      <c r="AE23">
        <f t="shared" si="13"/>
        <v>0</v>
      </c>
      <c r="AF23">
        <f t="shared" si="14"/>
        <v>15.669374553520051</v>
      </c>
      <c r="AG23">
        <f t="shared" si="15"/>
        <v>28.204874196336092</v>
      </c>
      <c r="AH23">
        <f t="shared" si="16"/>
        <v>0</v>
      </c>
      <c r="AI23">
        <f t="shared" si="17"/>
        <v>3.7111676574126431</v>
      </c>
      <c r="AJ23">
        <f t="shared" si="18"/>
        <v>0</v>
      </c>
      <c r="AK23">
        <f t="shared" si="19"/>
        <v>14.102437098168046</v>
      </c>
      <c r="AL23">
        <f t="shared" si="20"/>
        <v>0</v>
      </c>
    </row>
    <row r="24" spans="1:38" x14ac:dyDescent="0.2">
      <c r="A24">
        <v>2041</v>
      </c>
      <c r="B24">
        <v>16</v>
      </c>
      <c r="C24">
        <f t="shared" si="21"/>
        <v>84.891744752145783</v>
      </c>
      <c r="D24">
        <f t="shared" si="23"/>
        <v>10.118181026985539</v>
      </c>
      <c r="E24">
        <f t="shared" si="4"/>
        <v>10.118181026985539</v>
      </c>
      <c r="F24">
        <f t="shared" si="5"/>
        <v>3.393521103483522</v>
      </c>
      <c r="G24" s="9">
        <f t="shared" si="6"/>
        <v>0.11918922218558578</v>
      </c>
      <c r="H24" s="9">
        <f t="shared" si="6"/>
        <v>0.11918922218558578</v>
      </c>
      <c r="I24" s="9">
        <f t="shared" si="6"/>
        <v>3.9974689098350107E-2</v>
      </c>
      <c r="J24" s="9">
        <f t="shared" si="7"/>
        <v>1.5494598884126153E-2</v>
      </c>
      <c r="K24" s="9">
        <f t="shared" si="8"/>
        <v>2.3837844437117159E-2</v>
      </c>
      <c r="L24" s="9">
        <f t="shared" si="9"/>
        <v>1.5989875639340043E-2</v>
      </c>
      <c r="M24">
        <f t="shared" si="0"/>
        <v>80.279580824275101</v>
      </c>
      <c r="N24">
        <f t="shared" si="10"/>
        <v>62.77889607722382</v>
      </c>
      <c r="O24">
        <f t="shared" si="24"/>
        <v>17.500684747051281</v>
      </c>
      <c r="P24">
        <f t="shared" si="22"/>
        <v>74.342079047997217</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5.9375017762778839</v>
      </c>
      <c r="AB24">
        <f t="shared" si="11"/>
        <v>1.2943558711292578</v>
      </c>
      <c r="AC24">
        <f t="shared" si="12"/>
        <v>4.6431459051486268</v>
      </c>
      <c r="AD24">
        <f t="shared" si="3"/>
        <v>14.868415809599444</v>
      </c>
      <c r="AE24">
        <f t="shared" si="13"/>
        <v>0</v>
      </c>
      <c r="AF24">
        <f t="shared" si="14"/>
        <v>16.520462010666051</v>
      </c>
      <c r="AG24">
        <f t="shared" si="15"/>
        <v>29.736831619198892</v>
      </c>
      <c r="AH24">
        <f t="shared" si="16"/>
        <v>0</v>
      </c>
      <c r="AI24">
        <f t="shared" si="17"/>
        <v>3.91274100252617</v>
      </c>
      <c r="AJ24">
        <f t="shared" si="18"/>
        <v>0</v>
      </c>
      <c r="AK24">
        <f t="shared" si="19"/>
        <v>14.868415809599444</v>
      </c>
      <c r="AL24">
        <f t="shared" si="20"/>
        <v>0</v>
      </c>
    </row>
    <row r="25" spans="1:38" x14ac:dyDescent="0.2">
      <c r="A25">
        <v>2042</v>
      </c>
      <c r="B25">
        <v>17</v>
      </c>
      <c r="C25">
        <f t="shared" si="21"/>
        <v>86.674471391940841</v>
      </c>
      <c r="D25">
        <f t="shared" si="23"/>
        <v>10.961744613995357</v>
      </c>
      <c r="E25">
        <f t="shared" si="4"/>
        <v>10.961744613995357</v>
      </c>
      <c r="F25">
        <f t="shared" si="5"/>
        <v>3.6812420619060973</v>
      </c>
      <c r="G25" s="9">
        <f t="shared" si="6"/>
        <v>0.1264702794024147</v>
      </c>
      <c r="H25" s="9">
        <f t="shared" si="6"/>
        <v>0.1264702794024147</v>
      </c>
      <c r="I25" s="9">
        <f t="shared" si="6"/>
        <v>4.2472045145329679E-2</v>
      </c>
      <c r="J25" s="9">
        <f t="shared" si="7"/>
        <v>1.6441136322313914E-2</v>
      </c>
      <c r="K25" s="9">
        <f t="shared" si="8"/>
        <v>2.5294055880482943E-2</v>
      </c>
      <c r="L25" s="9">
        <f t="shared" si="9"/>
        <v>1.6988818058131874E-2</v>
      </c>
      <c r="M25">
        <f t="shared" si="0"/>
        <v>81.681486133087446</v>
      </c>
      <c r="N25">
        <f t="shared" si="10"/>
        <v>64.608216277946752</v>
      </c>
      <c r="O25">
        <f t="shared" si="24"/>
        <v>17.073269855140694</v>
      </c>
      <c r="P25">
        <f>IF($I$3=0,0,M25/(1+EXP(-$I$3*(B25-$J$3)))-M25/(1+EXP($I$3*$J$3)))</f>
        <v>77.427659660439502</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4.253826472647944</v>
      </c>
      <c r="AB25">
        <f t="shared" si="11"/>
        <v>0.88914551782426565</v>
      </c>
      <c r="AC25">
        <f t="shared" si="12"/>
        <v>3.3646809548236782</v>
      </c>
      <c r="AD25">
        <f t="shared" si="3"/>
        <v>15.485531932087902</v>
      </c>
      <c r="AE25">
        <f t="shared" si="13"/>
        <v>0</v>
      </c>
      <c r="AF25">
        <f t="shared" si="14"/>
        <v>17.206146591208782</v>
      </c>
      <c r="AG25">
        <f t="shared" si="15"/>
        <v>30.9710638641758</v>
      </c>
      <c r="AH25">
        <f t="shared" si="16"/>
        <v>0</v>
      </c>
      <c r="AI25">
        <f t="shared" si="17"/>
        <v>4.0751399821283947</v>
      </c>
      <c r="AJ25">
        <f t="shared" si="18"/>
        <v>0</v>
      </c>
      <c r="AK25">
        <f t="shared" si="19"/>
        <v>15.485531932087902</v>
      </c>
      <c r="AL25">
        <f t="shared" si="20"/>
        <v>0</v>
      </c>
    </row>
    <row r="26" spans="1:38" x14ac:dyDescent="0.2">
      <c r="A26">
        <v>2043</v>
      </c>
      <c r="B26">
        <v>18</v>
      </c>
      <c r="C26">
        <f t="shared" si="21"/>
        <v>88.494635291171591</v>
      </c>
      <c r="D26">
        <f t="shared" si="23"/>
        <v>11.832842871818862</v>
      </c>
      <c r="E26">
        <f t="shared" si="4"/>
        <v>11.832842871818862</v>
      </c>
      <c r="F26">
        <f t="shared" si="5"/>
        <v>3.9794734525979791</v>
      </c>
      <c r="G26" s="9">
        <f t="shared" si="6"/>
        <v>0.13371254464053745</v>
      </c>
      <c r="H26" s="9">
        <f t="shared" si="6"/>
        <v>0.13371254464053745</v>
      </c>
      <c r="I26" s="9">
        <f t="shared" si="6"/>
        <v>4.4968527634521818E-2</v>
      </c>
      <c r="J26" s="9">
        <f t="shared" si="7"/>
        <v>1.7382630803269867E-2</v>
      </c>
      <c r="K26" s="9">
        <f t="shared" si="8"/>
        <v>2.6742508928107492E-2</v>
      </c>
      <c r="L26" s="9">
        <f t="shared" si="9"/>
        <v>1.7987411053808727E-2</v>
      </c>
      <c r="M26">
        <f t="shared" si="0"/>
        <v>83.108642927585706</v>
      </c>
      <c r="N26">
        <f t="shared" si="10"/>
        <v>66.298604323857887</v>
      </c>
      <c r="O26">
        <f t="shared" si="24"/>
        <v>16.810038603727818</v>
      </c>
      <c r="P26">
        <f t="shared" si="22"/>
        <v>79.985092993506825</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3.1235499340788806</v>
      </c>
      <c r="AB26">
        <f t="shared" si="11"/>
        <v>0.6317874185274317</v>
      </c>
      <c r="AC26">
        <f t="shared" si="12"/>
        <v>2.4917625155514487</v>
      </c>
      <c r="AD26">
        <f t="shared" si="3"/>
        <v>15.997018598701366</v>
      </c>
      <c r="AE26">
        <f t="shared" si="13"/>
        <v>0</v>
      </c>
      <c r="AF26">
        <f t="shared" si="14"/>
        <v>17.774465109668185</v>
      </c>
      <c r="AG26">
        <f t="shared" si="15"/>
        <v>31.994037197402733</v>
      </c>
      <c r="AH26">
        <f t="shared" si="16"/>
        <v>0</v>
      </c>
      <c r="AI26">
        <f t="shared" si="17"/>
        <v>4.2097417365003595</v>
      </c>
      <c r="AJ26">
        <f t="shared" si="18"/>
        <v>0</v>
      </c>
      <c r="AK26">
        <f t="shared" si="19"/>
        <v>15.997018598701366</v>
      </c>
      <c r="AL26">
        <f t="shared" si="20"/>
        <v>0</v>
      </c>
    </row>
    <row r="27" spans="1:38" x14ac:dyDescent="0.2">
      <c r="A27">
        <v>2044</v>
      </c>
      <c r="B27">
        <v>19</v>
      </c>
      <c r="C27">
        <f t="shared" si="21"/>
        <v>90.353022632286184</v>
      </c>
      <c r="D27">
        <f t="shared" si="23"/>
        <v>12.731924080556915</v>
      </c>
      <c r="E27">
        <f t="shared" si="4"/>
        <v>12.731924080556915</v>
      </c>
      <c r="F27">
        <f t="shared" si="5"/>
        <v>4.2885169749172931</v>
      </c>
      <c r="G27" s="9">
        <f t="shared" si="6"/>
        <v>0.14091309520847584</v>
      </c>
      <c r="H27" s="9">
        <f t="shared" si="6"/>
        <v>0.14091309520847584</v>
      </c>
      <c r="I27" s="9">
        <f t="shared" si="6"/>
        <v>4.7464012270740139E-2</v>
      </c>
      <c r="J27" s="9">
        <f t="shared" si="7"/>
        <v>1.8318702377101859E-2</v>
      </c>
      <c r="K27" s="9">
        <f t="shared" si="8"/>
        <v>2.8182619041695167E-2</v>
      </c>
      <c r="L27" s="9">
        <f t="shared" si="9"/>
        <v>1.8985604908296056E-2</v>
      </c>
      <c r="M27">
        <f t="shared" si="0"/>
        <v>84.561610432457684</v>
      </c>
      <c r="N27">
        <f t="shared" si="10"/>
        <v>67.886098442844215</v>
      </c>
      <c r="O27">
        <f t="shared" si="24"/>
        <v>16.675511989613469</v>
      </c>
      <c r="P27">
        <f t="shared" si="22"/>
        <v>82.184501035608704</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2.3771093968489794</v>
      </c>
      <c r="AB27">
        <f t="shared" si="11"/>
        <v>0.46876491643261059</v>
      </c>
      <c r="AC27">
        <f t="shared" si="12"/>
        <v>1.9083444804163687</v>
      </c>
      <c r="AD27">
        <f t="shared" si="3"/>
        <v>16.436900207121742</v>
      </c>
      <c r="AE27">
        <f t="shared" si="13"/>
        <v>0</v>
      </c>
      <c r="AF27">
        <f t="shared" si="14"/>
        <v>18.263222452357489</v>
      </c>
      <c r="AG27">
        <f t="shared" si="15"/>
        <v>32.873800414243483</v>
      </c>
      <c r="AH27">
        <f t="shared" si="16"/>
        <v>0</v>
      </c>
      <c r="AI27">
        <f t="shared" si="17"/>
        <v>4.3255000545057207</v>
      </c>
      <c r="AJ27">
        <f t="shared" si="18"/>
        <v>0</v>
      </c>
      <c r="AK27">
        <f t="shared" si="19"/>
        <v>16.436900207121742</v>
      </c>
      <c r="AL27">
        <f t="shared" si="20"/>
        <v>0</v>
      </c>
    </row>
    <row r="28" spans="1:38" x14ac:dyDescent="0.2">
      <c r="A28">
        <v>2045</v>
      </c>
      <c r="B28">
        <v>20</v>
      </c>
      <c r="C28">
        <f t="shared" si="21"/>
        <v>92.250436107564184</v>
      </c>
      <c r="D28">
        <f t="shared" si="23"/>
        <v>13.659437138822128</v>
      </c>
      <c r="E28">
        <f t="shared" si="4"/>
        <v>13.659437138822128</v>
      </c>
      <c r="F28">
        <f t="shared" si="5"/>
        <v>4.6086818770896443</v>
      </c>
      <c r="G28" s="9">
        <f t="shared" si="6"/>
        <v>0.14806907929297156</v>
      </c>
      <c r="H28" s="9">
        <f t="shared" si="6"/>
        <v>0.14806907929297156</v>
      </c>
      <c r="I28" s="9">
        <f t="shared" si="6"/>
        <v>4.9958374957880011E-2</v>
      </c>
      <c r="J28" s="9">
        <f t="shared" si="7"/>
        <v>1.9248980308086302E-2</v>
      </c>
      <c r="K28" s="9">
        <f t="shared" si="8"/>
        <v>2.9613815858594312E-2</v>
      </c>
      <c r="L28" s="9">
        <f t="shared" si="9"/>
        <v>1.9983349983152005E-2</v>
      </c>
      <c r="M28">
        <f t="shared" si="0"/>
        <v>86.040961536093448</v>
      </c>
      <c r="N28">
        <f t="shared" si="10"/>
        <v>69.399566950790899</v>
      </c>
      <c r="O28">
        <f t="shared" si="24"/>
        <v>16.64139458530255</v>
      </c>
      <c r="P28">
        <f t="shared" si="22"/>
        <v>84.150307319537177</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1.8906542165562712</v>
      </c>
      <c r="AB28">
        <f t="shared" si="11"/>
        <v>0.36567609520356714</v>
      </c>
      <c r="AC28">
        <f t="shared" si="12"/>
        <v>1.5249781213527041</v>
      </c>
      <c r="AD28">
        <f t="shared" si="3"/>
        <v>16.830061463907434</v>
      </c>
      <c r="AE28">
        <f t="shared" si="13"/>
        <v>0</v>
      </c>
      <c r="AF28">
        <f t="shared" si="14"/>
        <v>18.700068293230483</v>
      </c>
      <c r="AG28">
        <f t="shared" si="15"/>
        <v>33.660122927814875</v>
      </c>
      <c r="AH28">
        <f t="shared" si="16"/>
        <v>0</v>
      </c>
      <c r="AI28">
        <f t="shared" si="17"/>
        <v>4.428963543133535</v>
      </c>
      <c r="AJ28">
        <f t="shared" si="18"/>
        <v>0</v>
      </c>
      <c r="AK28">
        <f t="shared" si="19"/>
        <v>16.830061463907434</v>
      </c>
      <c r="AL28">
        <f t="shared" si="20"/>
        <v>0</v>
      </c>
    </row>
    <row r="29" spans="1:38" x14ac:dyDescent="0.2">
      <c r="A29">
        <v>2046</v>
      </c>
      <c r="B29">
        <v>21</v>
      </c>
      <c r="C29">
        <f t="shared" si="21"/>
        <v>94.187695265823024</v>
      </c>
      <c r="D29">
        <f t="shared" si="23"/>
        <v>14.615831814048278</v>
      </c>
      <c r="E29">
        <f t="shared" si="4"/>
        <v>14.615831814048278</v>
      </c>
      <c r="F29">
        <f t="shared" si="5"/>
        <v>4.9402851281128051</v>
      </c>
      <c r="G29" s="9">
        <f t="shared" si="6"/>
        <v>0.15517772011299849</v>
      </c>
      <c r="H29" s="9">
        <f t="shared" si="6"/>
        <v>0.15517772011299849</v>
      </c>
      <c r="I29" s="9">
        <f t="shared" si="6"/>
        <v>5.2451491823533751E-2</v>
      </c>
      <c r="J29" s="9">
        <f t="shared" si="7"/>
        <v>2.0173103614689804E-2</v>
      </c>
      <c r="K29" s="9">
        <f t="shared" si="8"/>
        <v>3.1035544022599698E-2</v>
      </c>
      <c r="L29" s="9">
        <f t="shared" si="9"/>
        <v>2.0980596729413502E-2</v>
      </c>
      <c r="M29">
        <f t="shared" si="0"/>
        <v>87.547282970104902</v>
      </c>
      <c r="N29">
        <f t="shared" si="10"/>
        <v>70.8618130899509</v>
      </c>
      <c r="O29">
        <f t="shared" si="24"/>
        <v>16.685469880154002</v>
      </c>
      <c r="P29">
        <f t="shared" si="22"/>
        <v>85.969634549694803</v>
      </c>
      <c r="Q29" s="9">
        <f t="shared" si="1"/>
        <v>0.98197947021441179</v>
      </c>
      <c r="R29">
        <f>VLOOKUP($B$1,dictionary!$A$3:$K$51,3,FALSE)*Q29</f>
        <v>0.19639589404288238</v>
      </c>
      <c r="S29">
        <f>VLOOKUP($B$1,dictionary!$A$3:$K$51,4,FALSE)*Q29</f>
        <v>0</v>
      </c>
      <c r="T29">
        <f>VLOOKUP($B$1,dictionary!$A$3:$K$51,5,FALSE)*Q29</f>
        <v>0.19639589404288238</v>
      </c>
      <c r="U29">
        <f>VLOOKUP($B$1,dictionary!$A$3:$K$51,6,FALSE)*Q29</f>
        <v>0.34369281457504408</v>
      </c>
      <c r="V29">
        <f>VLOOKUP($B$1,dictionary!$A$3:$K$51,7,FALSE)*Q29</f>
        <v>0</v>
      </c>
      <c r="W29">
        <f>VLOOKUP($B$1,dictionary!$A$3:$K$51,8,FALSE)*Q29</f>
        <v>4.9098973510720595E-2</v>
      </c>
      <c r="X29">
        <f>VLOOKUP($B$1,dictionary!$A$3:$K$51,9,FALSE)*Q29</f>
        <v>0</v>
      </c>
      <c r="Y29">
        <f>VLOOKUP($B$1,dictionary!$A$3:$K$51,10,FALSE)*Q29</f>
        <v>0.19639589404288238</v>
      </c>
      <c r="Z29">
        <f>VLOOKUP($B$1,dictionary!$A$3:$K$51,11,FALSE)*Q29</f>
        <v>0</v>
      </c>
      <c r="AA29">
        <f t="shared" si="2"/>
        <v>1.5776484204100996</v>
      </c>
      <c r="AB29">
        <f t="shared" si="11"/>
        <v>0.30068100696185107</v>
      </c>
      <c r="AC29">
        <f t="shared" si="12"/>
        <v>1.2769674134482485</v>
      </c>
      <c r="AD29">
        <f t="shared" si="3"/>
        <v>17.193926909938963</v>
      </c>
      <c r="AE29">
        <f t="shared" si="13"/>
        <v>0</v>
      </c>
      <c r="AF29">
        <f t="shared" si="14"/>
        <v>19.104363233265516</v>
      </c>
      <c r="AG29">
        <f t="shared" si="15"/>
        <v>34.387853819877925</v>
      </c>
      <c r="AH29">
        <f t="shared" si="16"/>
        <v>0</v>
      </c>
      <c r="AI29">
        <f t="shared" si="17"/>
        <v>4.5247176078786744</v>
      </c>
      <c r="AJ29">
        <f t="shared" si="18"/>
        <v>0</v>
      </c>
      <c r="AK29">
        <f t="shared" si="19"/>
        <v>17.193926909938963</v>
      </c>
      <c r="AL29">
        <f t="shared" si="20"/>
        <v>0</v>
      </c>
    </row>
    <row r="30" spans="1:38" x14ac:dyDescent="0.2">
      <c r="A30">
        <v>2047</v>
      </c>
      <c r="B30">
        <v>22</v>
      </c>
      <c r="C30">
        <f t="shared" si="21"/>
        <v>96.165636866405293</v>
      </c>
      <c r="D30">
        <f t="shared" si="23"/>
        <v>15.601559017599982</v>
      </c>
      <c r="E30">
        <f t="shared" si="4"/>
        <v>15.601559017599982</v>
      </c>
      <c r="F30">
        <f t="shared" si="5"/>
        <v>5.2836515933555788</v>
      </c>
      <c r="G30" s="9">
        <f t="shared" si="6"/>
        <v>0.16223631981217881</v>
      </c>
      <c r="H30" s="9">
        <f t="shared" si="6"/>
        <v>0.16223631981217881</v>
      </c>
      <c r="I30" s="9">
        <f t="shared" si="6"/>
        <v>5.4943239243511743E-2</v>
      </c>
      <c r="J30" s="9">
        <f t="shared" si="7"/>
        <v>2.1090721575583248E-2</v>
      </c>
      <c r="K30" s="9">
        <f t="shared" si="8"/>
        <v>3.2447263962435767E-2</v>
      </c>
      <c r="L30" s="9">
        <f t="shared" si="9"/>
        <v>2.1977295697404697E-2</v>
      </c>
      <c r="M30">
        <f t="shared" si="0"/>
        <v>89.081175488126519</v>
      </c>
      <c r="N30">
        <f t="shared" si="10"/>
        <v>72.290681148324069</v>
      </c>
      <c r="O30">
        <f t="shared" si="24"/>
        <v>16.79049433980245</v>
      </c>
      <c r="P30">
        <f t="shared" si="22"/>
        <v>87.701912425080323</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1.3792630630461957</v>
      </c>
      <c r="AB30">
        <f t="shared" si="11"/>
        <v>0.25997084710969598</v>
      </c>
      <c r="AC30">
        <f t="shared" si="12"/>
        <v>1.1192922159364997</v>
      </c>
      <c r="AD30">
        <f t="shared" si="3"/>
        <v>17.540382485016067</v>
      </c>
      <c r="AE30">
        <f t="shared" si="13"/>
        <v>0</v>
      </c>
      <c r="AF30">
        <f t="shared" si="14"/>
        <v>19.489313872240075</v>
      </c>
      <c r="AG30">
        <f t="shared" si="15"/>
        <v>35.080764970032135</v>
      </c>
      <c r="AH30">
        <f t="shared" si="16"/>
        <v>0</v>
      </c>
      <c r="AI30">
        <f t="shared" si="17"/>
        <v>4.6158901276358062</v>
      </c>
      <c r="AJ30">
        <f t="shared" si="18"/>
        <v>0</v>
      </c>
      <c r="AK30">
        <f t="shared" si="19"/>
        <v>17.540382485016067</v>
      </c>
      <c r="AL30">
        <f t="shared" si="20"/>
        <v>0</v>
      </c>
    </row>
    <row r="31" spans="1:38" x14ac:dyDescent="0.2">
      <c r="A31">
        <v>2048</v>
      </c>
      <c r="B31">
        <v>23</v>
      </c>
      <c r="C31">
        <f t="shared" si="21"/>
        <v>98.185115240599799</v>
      </c>
      <c r="D31">
        <f t="shared" si="23"/>
        <v>16.617071104075094</v>
      </c>
      <c r="E31">
        <f t="shared" si="4"/>
        <v>16.617071104075094</v>
      </c>
      <c r="F31">
        <f t="shared" si="5"/>
        <v>5.6391142139288988</v>
      </c>
      <c r="G31" s="9">
        <f t="shared" si="6"/>
        <v>0.16924226307985116</v>
      </c>
      <c r="H31" s="9">
        <f t="shared" si="6"/>
        <v>0.16924226307985116</v>
      </c>
      <c r="I31" s="9">
        <f t="shared" si="6"/>
        <v>5.7433493866258768E-2</v>
      </c>
      <c r="J31" s="9">
        <f t="shared" si="7"/>
        <v>2.2001494200380649E-2</v>
      </c>
      <c r="K31" s="9">
        <f t="shared" si="8"/>
        <v>3.3848452615970234E-2</v>
      </c>
      <c r="L31" s="9">
        <f t="shared" si="9"/>
        <v>2.2973397546503509E-2</v>
      </c>
      <c r="M31">
        <f t="shared" si="0"/>
        <v>90.643254044327165</v>
      </c>
      <c r="N31">
        <f t="shared" si="10"/>
        <v>73.700054115398274</v>
      </c>
      <c r="O31">
        <f t="shared" si="24"/>
        <v>16.943199928928891</v>
      </c>
      <c r="P31">
        <f t="shared" si="22"/>
        <v>89.387068001210608</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1.256186043116557</v>
      </c>
      <c r="AB31">
        <f t="shared" si="11"/>
        <v>0.23480855250458593</v>
      </c>
      <c r="AC31">
        <f t="shared" si="12"/>
        <v>1.021377490611971</v>
      </c>
      <c r="AD31">
        <f t="shared" si="3"/>
        <v>17.877413600242125</v>
      </c>
      <c r="AE31">
        <f t="shared" si="13"/>
        <v>0</v>
      </c>
      <c r="AF31">
        <f t="shared" si="14"/>
        <v>19.863792889157917</v>
      </c>
      <c r="AG31">
        <f t="shared" si="15"/>
        <v>35.754827200484243</v>
      </c>
      <c r="AH31">
        <f t="shared" si="16"/>
        <v>0</v>
      </c>
      <c r="AI31">
        <f t="shared" si="17"/>
        <v>4.7045825263795065</v>
      </c>
      <c r="AJ31">
        <f t="shared" si="18"/>
        <v>0</v>
      </c>
      <c r="AK31">
        <f t="shared" si="19"/>
        <v>17.877413600242125</v>
      </c>
      <c r="AL31">
        <f t="shared" si="20"/>
        <v>0</v>
      </c>
    </row>
    <row r="32" spans="1:38" x14ac:dyDescent="0.2">
      <c r="A32">
        <v>2049</v>
      </c>
      <c r="B32">
        <v>24</v>
      </c>
      <c r="C32">
        <f t="shared" si="21"/>
        <v>100.24700266065238</v>
      </c>
      <c r="D32">
        <f t="shared" si="23"/>
        <v>17.662822194109197</v>
      </c>
      <c r="E32">
        <f t="shared" si="4"/>
        <v>17.662822194109197</v>
      </c>
      <c r="F32">
        <f t="shared" si="5"/>
        <v>6.0070141899087872</v>
      </c>
      <c r="G32" s="9">
        <f t="shared" si="6"/>
        <v>0.17619302049259147</v>
      </c>
      <c r="H32" s="9">
        <f t="shared" si="6"/>
        <v>0.17619302049259147</v>
      </c>
      <c r="I32" s="9">
        <f t="shared" si="6"/>
        <v>5.992213263715445E-2</v>
      </c>
      <c r="J32" s="9">
        <f t="shared" si="7"/>
        <v>2.2905092664036893E-2</v>
      </c>
      <c r="K32" s="9">
        <f t="shared" si="8"/>
        <v>3.5238604098518297E-2</v>
      </c>
      <c r="L32" s="9">
        <f t="shared" si="9"/>
        <v>2.396885305486178E-2</v>
      </c>
      <c r="M32">
        <f t="shared" si="0"/>
        <v>92.234147972083875</v>
      </c>
      <c r="N32">
        <f t="shared" si="10"/>
        <v>75.100702104793157</v>
      </c>
      <c r="O32">
        <f t="shared" si="24"/>
        <v>17.133445867290718</v>
      </c>
      <c r="P32">
        <f t="shared" si="22"/>
        <v>91.051717118087268</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1.1824308539966069</v>
      </c>
      <c r="AB32">
        <f t="shared" si="11"/>
        <v>0.21964874695754699</v>
      </c>
      <c r="AC32">
        <f t="shared" si="12"/>
        <v>0.96278210703905986</v>
      </c>
      <c r="AD32">
        <f t="shared" si="3"/>
        <v>18.210343423617456</v>
      </c>
      <c r="AE32">
        <f t="shared" si="13"/>
        <v>0</v>
      </c>
      <c r="AF32">
        <f t="shared" si="14"/>
        <v>20.233714915130509</v>
      </c>
      <c r="AG32">
        <f t="shared" si="15"/>
        <v>36.420686847234904</v>
      </c>
      <c r="AH32">
        <f t="shared" si="16"/>
        <v>0</v>
      </c>
      <c r="AI32">
        <f t="shared" si="17"/>
        <v>4.7921956377940669</v>
      </c>
      <c r="AJ32">
        <f t="shared" si="18"/>
        <v>0</v>
      </c>
      <c r="AK32">
        <f t="shared" si="19"/>
        <v>18.210343423617456</v>
      </c>
      <c r="AL32">
        <f t="shared" si="20"/>
        <v>0</v>
      </c>
    </row>
    <row r="33" spans="1:38" x14ac:dyDescent="0.2">
      <c r="A33">
        <v>2050</v>
      </c>
      <c r="B33">
        <v>25</v>
      </c>
      <c r="C33">
        <f t="shared" si="21"/>
        <v>102.35218971652607</v>
      </c>
      <c r="D33">
        <f t="shared" si="23"/>
        <v>18.73926851991471</v>
      </c>
      <c r="E33">
        <f t="shared" si="4"/>
        <v>18.73926851991471</v>
      </c>
      <c r="F33">
        <f t="shared" si="5"/>
        <v>6.3877011674928212</v>
      </c>
      <c r="G33" s="9">
        <f t="shared" si="6"/>
        <v>0.18308615156954491</v>
      </c>
      <c r="H33" s="9">
        <f t="shared" si="6"/>
        <v>0.18308615156954491</v>
      </c>
      <c r="I33" s="9">
        <f t="shared" si="6"/>
        <v>6.2409032822689531E-2</v>
      </c>
      <c r="J33" s="9">
        <f t="shared" si="7"/>
        <v>2.3801199704040838E-2</v>
      </c>
      <c r="K33" s="9">
        <f t="shared" si="8"/>
        <v>3.6617230313908983E-2</v>
      </c>
      <c r="L33" s="9">
        <f t="shared" si="9"/>
        <v>2.4963613129075815E-2</v>
      </c>
      <c r="M33">
        <f t="shared" si="0"/>
        <v>93.854501163283999</v>
      </c>
      <c r="N33">
        <f t="shared" si="10"/>
        <v>76.500977814056895</v>
      </c>
      <c r="O33">
        <f t="shared" si="24"/>
        <v>17.353523349227103</v>
      </c>
      <c r="P33">
        <f t="shared" si="22"/>
        <v>92.713563340847926</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1.1409378224360722</v>
      </c>
      <c r="AB33">
        <f t="shared" si="11"/>
        <v>0.21095728916841991</v>
      </c>
      <c r="AC33">
        <f t="shared" si="12"/>
        <v>0.92998053326765229</v>
      </c>
      <c r="AD33">
        <f t="shared" si="3"/>
        <v>18.542712668169585</v>
      </c>
      <c r="AE33">
        <f t="shared" si="13"/>
        <v>0</v>
      </c>
      <c r="AF33">
        <f t="shared" si="14"/>
        <v>20.603014075743989</v>
      </c>
      <c r="AG33">
        <f t="shared" si="15"/>
        <v>37.085425336339171</v>
      </c>
      <c r="AH33">
        <f t="shared" si="16"/>
        <v>0</v>
      </c>
      <c r="AI33">
        <f t="shared" si="17"/>
        <v>4.8796612284656806</v>
      </c>
      <c r="AJ33">
        <f t="shared" si="18"/>
        <v>0</v>
      </c>
      <c r="AK33">
        <f t="shared" si="19"/>
        <v>18.542712668169585</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CB8F-2992-D843-BC6C-5BCBB62363F9}">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17</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4.4448390512876657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4.4448390512876657</v>
      </c>
      <c r="N8">
        <f>IF($N$7="LFO",M8/(1+EXP(-$I$4*(B8-$J$4)))-M8/(1+EXP($I$4*$J$4)),IF($N$7="MGO",M8/(1+EXP(-$I$5*(B8-$J$5)))-M8/(1+EXP($I$5*$J$5)),0))</f>
        <v>0</v>
      </c>
      <c r="O8">
        <f>M8-N8</f>
        <v>4.4448390512876657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4.4448390512876657</v>
      </c>
      <c r="AB8">
        <f>O8/M8*AA8</f>
        <v>4.4448390512876657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4.5381806713647066</v>
      </c>
      <c r="D9">
        <f>IF($E$2=0,0,C9/(1+EXP(-$E$2*(B9-$G$2)))-C9/(1+EXP($E$2*$G$2)))</f>
        <v>3.3881120117423169E-2</v>
      </c>
      <c r="E9">
        <f t="shared" ref="E9:E33" si="4">IF($E$3=0,0,C9/(1+EXP(-$E$3*(B9-$G$3)))-C9/(1+EXP($E$3*$G$3)))</f>
        <v>0</v>
      </c>
      <c r="F9">
        <f t="shared" ref="F9:F33" si="5">IF($E$4=0,0,C9/(1+EXP(-$E$4*(B9-$G$4)))-C9/(1+EXP($E$4*$G$4)))</f>
        <v>0</v>
      </c>
      <c r="G9" s="9">
        <f t="shared" ref="G9:I33" si="6">D9/$C9</f>
        <v>7.465793579177744E-3</v>
      </c>
      <c r="H9" s="9">
        <f t="shared" si="6"/>
        <v>0</v>
      </c>
      <c r="I9" s="9">
        <f t="shared" si="6"/>
        <v>0</v>
      </c>
      <c r="J9" s="9">
        <f t="shared" ref="J9:J33" si="7">G9*$F$2</f>
        <v>9.7055316529310676E-4</v>
      </c>
      <c r="K9" s="9">
        <f t="shared" ref="K9:K33" si="8">H9*$F$3</f>
        <v>0</v>
      </c>
      <c r="L9" s="9">
        <f t="shared" ref="L9:L33" si="9">I9*$F$4</f>
        <v>0</v>
      </c>
      <c r="M9">
        <f t="shared" si="0"/>
        <v>4.5337761257494416</v>
      </c>
      <c r="N9">
        <f t="shared" ref="N9:N33" si="10">IF($N$7="LFO",M9/(1+EXP(-$I$4*(B9-$J$4)))-M9/(1+EXP($I$4*$J$4)),IF($N$7="MGO",M9/(1+EXP(-$I$5*(B9-$J$5)))-M9/(1+EXP($I$5*$J$5)),0))</f>
        <v>0</v>
      </c>
      <c r="O9">
        <f>M9-N9</f>
        <v>4.5337761257494416</v>
      </c>
      <c r="P9">
        <f>IF($I$3=0,0,M9/(1+EXP(-$I$3*(B9-$J$3)))-M9/(1+EXP($I$3*$J$3)))</f>
        <v>2.7824195229822331E-2</v>
      </c>
      <c r="Q9" s="9">
        <f t="shared" si="1"/>
        <v>6.1370906851345554E-3</v>
      </c>
      <c r="R9">
        <f>VLOOKUP($B$1,dictionary!$A$3:$K$51,3,FALSE)*Q9</f>
        <v>6.1370906851345559E-4</v>
      </c>
      <c r="S9">
        <f>VLOOKUP($B$1,dictionary!$A$3:$K$51,4,FALSE)*Q9</f>
        <v>3.0685453425672779E-4</v>
      </c>
      <c r="T9">
        <f>VLOOKUP($B$1,dictionary!$A$3:$K$51,5,FALSE)*Q9</f>
        <v>1.8411272055403665E-3</v>
      </c>
      <c r="U9">
        <f>VLOOKUP($B$1,dictionary!$A$3:$K$51,6,FALSE)*Q9</f>
        <v>1.2274181370269112E-3</v>
      </c>
      <c r="V9">
        <f>VLOOKUP($B$1,dictionary!$A$3:$K$51,7,FALSE)*Q9</f>
        <v>0</v>
      </c>
      <c r="W9">
        <f>VLOOKUP($B$1,dictionary!$A$3:$K$51,8,FALSE)*Q9</f>
        <v>3.0685453425672779E-4</v>
      </c>
      <c r="X9">
        <f>VLOOKUP($B$1,dictionary!$A$3:$K$51,9,FALSE)*Q9</f>
        <v>3.0685453425672779E-4</v>
      </c>
      <c r="Y9">
        <f>VLOOKUP($B$1,dictionary!$A$3:$K$51,10,FALSE)*Q9</f>
        <v>1.2274181370269112E-3</v>
      </c>
      <c r="Z9">
        <f>VLOOKUP($B$1,dictionary!$A$3:$K$51,11,FALSE)*Q9</f>
        <v>3.0685453425672779E-4</v>
      </c>
      <c r="AA9">
        <f t="shared" si="2"/>
        <v>4.5059519305196192</v>
      </c>
      <c r="AB9">
        <f t="shared" ref="AB9:AB33" si="11">O9/M9*AA9</f>
        <v>4.5059519305196192</v>
      </c>
      <c r="AC9">
        <f t="shared" ref="AC9:AC33" si="12">N9/M9*AA9</f>
        <v>0</v>
      </c>
      <c r="AD9">
        <f t="shared" si="3"/>
        <v>2.7824195229822334E-3</v>
      </c>
      <c r="AE9">
        <f t="shared" ref="AE9:AE33" si="13">S9*$O9*$AE$2+S9*$N9*$AE$3</f>
        <v>6.1831544955160745E-4</v>
      </c>
      <c r="AF9">
        <f t="shared" ref="AF9:AF33" si="14">T9*$O9*$AF$2+T9*$N9*$AF$3</f>
        <v>9.2747317432741103E-3</v>
      </c>
      <c r="AG9">
        <f t="shared" ref="AG9:AG33" si="15">U9*$O9*$AG$2+U9*$N9*$AG$3</f>
        <v>6.3598160525308199E-3</v>
      </c>
      <c r="AH9">
        <f t="shared" ref="AH9:AH33" si="16">V9*$O9*$AH$2+V9*$N9*$AH$3</f>
        <v>0</v>
      </c>
      <c r="AI9">
        <f t="shared" ref="AI9:AI33" si="17">W9*$O9*$AI$2+W9*$N9*$AI$3</f>
        <v>1.4644313278853859E-3</v>
      </c>
      <c r="AJ9">
        <f t="shared" ref="AJ9:AJ33" si="18">X9*$O9*$AJ$2+X9*$N9*$AJ$3</f>
        <v>1.4644313278853859E-3</v>
      </c>
      <c r="AK9">
        <f t="shared" ref="AK9:AK33" si="19">Y9*$O9*$AK$2+Y9*$N9*$AK$3</f>
        <v>5.5648390459644669E-3</v>
      </c>
      <c r="AL9">
        <f t="shared" ref="AL9:AL33" si="20">Z9*$O9*$AL$2+Z9*$N9*$AL$3</f>
        <v>6.1831544955160745E-4</v>
      </c>
    </row>
    <row r="10" spans="1:51" x14ac:dyDescent="0.2">
      <c r="A10">
        <v>2027</v>
      </c>
      <c r="B10">
        <v>2</v>
      </c>
      <c r="C10">
        <f t="shared" ref="C10:C33" si="21">C9*(1+$I$2)</f>
        <v>4.6334824654633646</v>
      </c>
      <c r="D10">
        <f>IF($E$2=0,0,C10/(1+EXP(-$E$2*(B10-$G$2)))-C10/(1+EXP($E$2*$G$2)))</f>
        <v>6.9247490673447487E-2</v>
      </c>
      <c r="E10">
        <f t="shared" si="4"/>
        <v>0</v>
      </c>
      <c r="F10">
        <f t="shared" si="5"/>
        <v>0</v>
      </c>
      <c r="G10" s="9">
        <f t="shared" si="6"/>
        <v>1.494502055194947E-2</v>
      </c>
      <c r="H10" s="9">
        <f t="shared" si="6"/>
        <v>0</v>
      </c>
      <c r="I10" s="9">
        <f t="shared" si="6"/>
        <v>0</v>
      </c>
      <c r="J10" s="9">
        <f t="shared" si="7"/>
        <v>1.9428526717534312E-3</v>
      </c>
      <c r="K10" s="9">
        <f t="shared" si="8"/>
        <v>0</v>
      </c>
      <c r="L10" s="9">
        <f t="shared" si="9"/>
        <v>0</v>
      </c>
      <c r="M10">
        <f t="shared" si="0"/>
        <v>4.6244802916758161</v>
      </c>
      <c r="N10">
        <f t="shared" si="10"/>
        <v>0</v>
      </c>
      <c r="O10">
        <f>M10-N10</f>
        <v>4.6244802916758161</v>
      </c>
      <c r="P10">
        <f t="shared" ref="P10:P33" si="22">IF($I$3=0,0,M10/(1+EXP(-$I$3*(B10-$J$3)))-M10/(1+EXP($I$3*$J$3)))</f>
        <v>7.218837295309341E-2</v>
      </c>
      <c r="Q10" s="9">
        <f t="shared" si="1"/>
        <v>1.5610050946272675E-2</v>
      </c>
      <c r="R10">
        <f>VLOOKUP($B$1,dictionary!$A$3:$K$51,3,FALSE)*Q10</f>
        <v>1.5610050946272677E-3</v>
      </c>
      <c r="S10">
        <f>VLOOKUP($B$1,dictionary!$A$3:$K$51,4,FALSE)*Q10</f>
        <v>7.8050254731363384E-4</v>
      </c>
      <c r="T10">
        <f>VLOOKUP($B$1,dictionary!$A$3:$K$51,5,FALSE)*Q10</f>
        <v>4.6830152838818022E-3</v>
      </c>
      <c r="U10">
        <f>VLOOKUP($B$1,dictionary!$A$3:$K$51,6,FALSE)*Q10</f>
        <v>3.1220101892545354E-3</v>
      </c>
      <c r="V10">
        <f>VLOOKUP($B$1,dictionary!$A$3:$K$51,7,FALSE)*Q10</f>
        <v>0</v>
      </c>
      <c r="W10">
        <f>VLOOKUP($B$1,dictionary!$A$3:$K$51,8,FALSE)*Q10</f>
        <v>7.8050254731363384E-4</v>
      </c>
      <c r="X10">
        <f>VLOOKUP($B$1,dictionary!$A$3:$K$51,9,FALSE)*Q10</f>
        <v>7.8050254731363384E-4</v>
      </c>
      <c r="Y10">
        <f>VLOOKUP($B$1,dictionary!$A$3:$K$51,10,FALSE)*Q10</f>
        <v>3.1220101892545354E-3</v>
      </c>
      <c r="Z10">
        <f>VLOOKUP($B$1,dictionary!$A$3:$K$51,11,FALSE)*Q10</f>
        <v>7.8050254731363384E-4</v>
      </c>
      <c r="AA10">
        <f t="shared" si="2"/>
        <v>4.5522919187227231</v>
      </c>
      <c r="AB10">
        <f t="shared" si="11"/>
        <v>4.5522919187227231</v>
      </c>
      <c r="AC10">
        <f t="shared" si="12"/>
        <v>0</v>
      </c>
      <c r="AD10">
        <f t="shared" si="3"/>
        <v>7.2188372953093417E-3</v>
      </c>
      <c r="AE10">
        <f t="shared" si="13"/>
        <v>1.6041860656242984E-3</v>
      </c>
      <c r="AF10">
        <f t="shared" si="14"/>
        <v>2.4062790984364469E-2</v>
      </c>
      <c r="AG10">
        <f t="shared" si="15"/>
        <v>1.6500199532135641E-2</v>
      </c>
      <c r="AH10">
        <f t="shared" si="16"/>
        <v>0</v>
      </c>
      <c r="AI10">
        <f t="shared" si="17"/>
        <v>3.7993880501628113E-3</v>
      </c>
      <c r="AJ10">
        <f t="shared" si="18"/>
        <v>3.7993880501628113E-3</v>
      </c>
      <c r="AK10">
        <f t="shared" si="19"/>
        <v>1.4437674590618683E-2</v>
      </c>
      <c r="AL10">
        <f t="shared" si="20"/>
        <v>1.6041860656242984E-3</v>
      </c>
    </row>
    <row r="11" spans="1:51" x14ac:dyDescent="0.2">
      <c r="A11">
        <v>2028</v>
      </c>
      <c r="B11">
        <v>3</v>
      </c>
      <c r="C11">
        <f t="shared" si="21"/>
        <v>4.7307855972380946</v>
      </c>
      <c r="D11">
        <f t="shared" ref="D11:D33" si="23">IF($E$2=0,0,C11/(1+EXP(-$E$2*(B11-$G$2)))-C11/(1+EXP($E$2*$G$2)))</f>
        <v>0.10613207017459381</v>
      </c>
      <c r="E11">
        <f t="shared" si="4"/>
        <v>0</v>
      </c>
      <c r="F11">
        <f t="shared" si="5"/>
        <v>0</v>
      </c>
      <c r="G11" s="9">
        <f t="shared" si="6"/>
        <v>2.2434343724339431E-2</v>
      </c>
      <c r="H11" s="9">
        <f t="shared" si="6"/>
        <v>0</v>
      </c>
      <c r="I11" s="9">
        <f t="shared" si="6"/>
        <v>0</v>
      </c>
      <c r="J11" s="9">
        <f t="shared" si="7"/>
        <v>2.9164646841641261E-3</v>
      </c>
      <c r="K11" s="9">
        <f t="shared" si="8"/>
        <v>0</v>
      </c>
      <c r="L11" s="9">
        <f t="shared" si="9"/>
        <v>0</v>
      </c>
      <c r="M11">
        <f t="shared" si="0"/>
        <v>4.7169884281153971</v>
      </c>
      <c r="N11">
        <f t="shared" si="10"/>
        <v>0</v>
      </c>
      <c r="O11">
        <f t="shared" ref="O11:O33" si="24">M11-N11</f>
        <v>4.7169884281153971</v>
      </c>
      <c r="P11">
        <f t="shared" si="22"/>
        <v>0.14200180251918817</v>
      </c>
      <c r="Q11" s="9">
        <f t="shared" si="1"/>
        <v>3.0104335569871833E-2</v>
      </c>
      <c r="R11">
        <f>VLOOKUP($B$1,dictionary!$A$3:$K$51,3,FALSE)*Q11</f>
        <v>3.0104335569871837E-3</v>
      </c>
      <c r="S11">
        <f>VLOOKUP($B$1,dictionary!$A$3:$K$51,4,FALSE)*Q11</f>
        <v>1.5052167784935918E-3</v>
      </c>
      <c r="T11">
        <f>VLOOKUP($B$1,dictionary!$A$3:$K$51,5,FALSE)*Q11</f>
        <v>9.0313006709615493E-3</v>
      </c>
      <c r="U11">
        <f>VLOOKUP($B$1,dictionary!$A$3:$K$51,6,FALSE)*Q11</f>
        <v>6.0208671139743673E-3</v>
      </c>
      <c r="V11">
        <f>VLOOKUP($B$1,dictionary!$A$3:$K$51,7,FALSE)*Q11</f>
        <v>0</v>
      </c>
      <c r="W11">
        <f>VLOOKUP($B$1,dictionary!$A$3:$K$51,8,FALSE)*Q11</f>
        <v>1.5052167784935918E-3</v>
      </c>
      <c r="X11">
        <f>VLOOKUP($B$1,dictionary!$A$3:$K$51,9,FALSE)*Q11</f>
        <v>1.5052167784935918E-3</v>
      </c>
      <c r="Y11">
        <f>VLOOKUP($B$1,dictionary!$A$3:$K$51,10,FALSE)*Q11</f>
        <v>6.0208671139743673E-3</v>
      </c>
      <c r="Z11">
        <f>VLOOKUP($B$1,dictionary!$A$3:$K$51,11,FALSE)*Q11</f>
        <v>1.5052167784935918E-3</v>
      </c>
      <c r="AA11">
        <f t="shared" si="2"/>
        <v>4.5749866255962086</v>
      </c>
      <c r="AB11">
        <f t="shared" si="11"/>
        <v>4.5749866255962086</v>
      </c>
      <c r="AC11">
        <f t="shared" si="12"/>
        <v>0</v>
      </c>
      <c r="AD11">
        <f t="shared" si="3"/>
        <v>1.4200180251918819E-2</v>
      </c>
      <c r="AE11">
        <f t="shared" si="13"/>
        <v>3.1555956115375157E-3</v>
      </c>
      <c r="AF11">
        <f t="shared" si="14"/>
        <v>4.7333934173062725E-2</v>
      </c>
      <c r="AG11">
        <f t="shared" si="15"/>
        <v>3.2457554861528737E-2</v>
      </c>
      <c r="AH11">
        <f t="shared" si="16"/>
        <v>0</v>
      </c>
      <c r="AI11">
        <f t="shared" si="17"/>
        <v>7.4737790799572724E-3</v>
      </c>
      <c r="AJ11">
        <f t="shared" si="18"/>
        <v>7.4737790799572724E-3</v>
      </c>
      <c r="AK11">
        <f t="shared" si="19"/>
        <v>2.8400360503837638E-2</v>
      </c>
      <c r="AL11">
        <f t="shared" si="20"/>
        <v>3.1555956115375157E-3</v>
      </c>
    </row>
    <row r="12" spans="1:51" x14ac:dyDescent="0.2">
      <c r="A12">
        <v>2029</v>
      </c>
      <c r="B12">
        <v>4</v>
      </c>
      <c r="C12">
        <f t="shared" si="21"/>
        <v>4.8301320947800939</v>
      </c>
      <c r="D12">
        <f t="shared" si="23"/>
        <v>0.14456782329144957</v>
      </c>
      <c r="E12">
        <f t="shared" si="4"/>
        <v>0</v>
      </c>
      <c r="F12">
        <f t="shared" si="5"/>
        <v>0</v>
      </c>
      <c r="G12" s="9">
        <f t="shared" si="6"/>
        <v>2.9930407793129197E-2</v>
      </c>
      <c r="H12" s="9">
        <f t="shared" si="6"/>
        <v>0</v>
      </c>
      <c r="I12" s="9">
        <f t="shared" si="6"/>
        <v>0</v>
      </c>
      <c r="J12" s="9">
        <f t="shared" si="7"/>
        <v>3.8909530131067955E-3</v>
      </c>
      <c r="K12" s="9">
        <f t="shared" si="8"/>
        <v>0</v>
      </c>
      <c r="L12" s="9">
        <f t="shared" si="9"/>
        <v>0</v>
      </c>
      <c r="M12">
        <f t="shared" si="0"/>
        <v>4.8113382777522054</v>
      </c>
      <c r="N12">
        <f t="shared" si="10"/>
        <v>0</v>
      </c>
      <c r="O12">
        <f t="shared" si="24"/>
        <v>4.8113382777522054</v>
      </c>
      <c r="P12">
        <f t="shared" si="22"/>
        <v>0.25012422084150537</v>
      </c>
      <c r="Q12" s="9">
        <f t="shared" si="1"/>
        <v>5.1986413426403297E-2</v>
      </c>
      <c r="R12">
        <f>VLOOKUP($B$1,dictionary!$A$3:$K$51,3,FALSE)*Q12</f>
        <v>5.1986413426403297E-3</v>
      </c>
      <c r="S12">
        <f>VLOOKUP($B$1,dictionary!$A$3:$K$51,4,FALSE)*Q12</f>
        <v>2.5993206713201648E-3</v>
      </c>
      <c r="T12">
        <f>VLOOKUP($B$1,dictionary!$A$3:$K$51,5,FALSE)*Q12</f>
        <v>1.5595924027920989E-2</v>
      </c>
      <c r="U12">
        <f>VLOOKUP($B$1,dictionary!$A$3:$K$51,6,FALSE)*Q12</f>
        <v>1.0397282685280659E-2</v>
      </c>
      <c r="V12">
        <f>VLOOKUP($B$1,dictionary!$A$3:$K$51,7,FALSE)*Q12</f>
        <v>0</v>
      </c>
      <c r="W12">
        <f>VLOOKUP($B$1,dictionary!$A$3:$K$51,8,FALSE)*Q12</f>
        <v>2.5993206713201648E-3</v>
      </c>
      <c r="X12">
        <f>VLOOKUP($B$1,dictionary!$A$3:$K$51,9,FALSE)*Q12</f>
        <v>2.5993206713201648E-3</v>
      </c>
      <c r="Y12">
        <f>VLOOKUP($B$1,dictionary!$A$3:$K$51,10,FALSE)*Q12</f>
        <v>1.0397282685280659E-2</v>
      </c>
      <c r="Z12">
        <f>VLOOKUP($B$1,dictionary!$A$3:$K$51,11,FALSE)*Q12</f>
        <v>2.5993206713201648E-3</v>
      </c>
      <c r="AA12">
        <f t="shared" si="2"/>
        <v>4.5612140569106998</v>
      </c>
      <c r="AB12">
        <f t="shared" si="11"/>
        <v>4.5612140569106998</v>
      </c>
      <c r="AC12">
        <f t="shared" si="12"/>
        <v>0</v>
      </c>
      <c r="AD12">
        <f t="shared" si="3"/>
        <v>2.5012422084150537E-2</v>
      </c>
      <c r="AE12">
        <f t="shared" si="13"/>
        <v>5.5583160187001194E-3</v>
      </c>
      <c r="AF12">
        <f t="shared" si="14"/>
        <v>8.3374740280501791E-2</v>
      </c>
      <c r="AG12">
        <f t="shared" si="15"/>
        <v>5.7171250478058377E-2</v>
      </c>
      <c r="AH12">
        <f t="shared" si="16"/>
        <v>0</v>
      </c>
      <c r="AI12">
        <f t="shared" si="17"/>
        <v>1.3164432675868703E-2</v>
      </c>
      <c r="AJ12">
        <f t="shared" si="18"/>
        <v>1.3164432675868703E-2</v>
      </c>
      <c r="AK12">
        <f t="shared" si="19"/>
        <v>5.0024844168301073E-2</v>
      </c>
      <c r="AL12">
        <f t="shared" si="20"/>
        <v>5.5583160187001194E-3</v>
      </c>
    </row>
    <row r="13" spans="1:51" x14ac:dyDescent="0.2">
      <c r="A13">
        <v>2030</v>
      </c>
      <c r="B13">
        <v>5</v>
      </c>
      <c r="C13">
        <f t="shared" si="21"/>
        <v>4.931564868770475</v>
      </c>
      <c r="D13">
        <f t="shared" si="23"/>
        <v>0.18458771034074717</v>
      </c>
      <c r="E13">
        <f t="shared" si="4"/>
        <v>0</v>
      </c>
      <c r="F13">
        <f t="shared" si="5"/>
        <v>0</v>
      </c>
      <c r="G13" s="9">
        <f t="shared" si="6"/>
        <v>3.7429845343749497E-2</v>
      </c>
      <c r="H13" s="9">
        <f t="shared" si="6"/>
        <v>0</v>
      </c>
      <c r="I13" s="9">
        <f t="shared" si="6"/>
        <v>0</v>
      </c>
      <c r="J13" s="9">
        <f t="shared" si="7"/>
        <v>4.8658798946874344E-3</v>
      </c>
      <c r="K13" s="9">
        <f t="shared" si="8"/>
        <v>0</v>
      </c>
      <c r="L13" s="9">
        <f t="shared" si="9"/>
        <v>0</v>
      </c>
      <c r="M13">
        <f t="shared" si="0"/>
        <v>4.9075684664261781</v>
      </c>
      <c r="N13">
        <f t="shared" si="10"/>
        <v>0</v>
      </c>
      <c r="O13">
        <f t="shared" si="24"/>
        <v>4.9075684664261781</v>
      </c>
      <c r="P13">
        <f t="shared" si="22"/>
        <v>0.41401485403314686</v>
      </c>
      <c r="Q13" s="9">
        <f t="shared" si="1"/>
        <v>8.4362522268516302E-2</v>
      </c>
      <c r="R13">
        <f>VLOOKUP($B$1,dictionary!$A$3:$K$51,3,FALSE)*Q13</f>
        <v>8.4362522268516312E-3</v>
      </c>
      <c r="S13">
        <f>VLOOKUP($B$1,dictionary!$A$3:$K$51,4,FALSE)*Q13</f>
        <v>4.2181261134258156E-3</v>
      </c>
      <c r="T13">
        <f>VLOOKUP($B$1,dictionary!$A$3:$K$51,5,FALSE)*Q13</f>
        <v>2.5308756680554888E-2</v>
      </c>
      <c r="U13">
        <f>VLOOKUP($B$1,dictionary!$A$3:$K$51,6,FALSE)*Q13</f>
        <v>1.6872504453703262E-2</v>
      </c>
      <c r="V13">
        <f>VLOOKUP($B$1,dictionary!$A$3:$K$51,7,FALSE)*Q13</f>
        <v>0</v>
      </c>
      <c r="W13">
        <f>VLOOKUP($B$1,dictionary!$A$3:$K$51,8,FALSE)*Q13</f>
        <v>4.2181261134258156E-3</v>
      </c>
      <c r="X13">
        <f>VLOOKUP($B$1,dictionary!$A$3:$K$51,9,FALSE)*Q13</f>
        <v>4.2181261134258156E-3</v>
      </c>
      <c r="Y13">
        <f>VLOOKUP($B$1,dictionary!$A$3:$K$51,10,FALSE)*Q13</f>
        <v>1.6872504453703262E-2</v>
      </c>
      <c r="Z13">
        <f>VLOOKUP($B$1,dictionary!$A$3:$K$51,11,FALSE)*Q13</f>
        <v>4.2181261134258156E-3</v>
      </c>
      <c r="AA13">
        <f t="shared" si="2"/>
        <v>4.4935536123930309</v>
      </c>
      <c r="AB13">
        <f t="shared" si="11"/>
        <v>4.4935536123930309</v>
      </c>
      <c r="AC13">
        <f t="shared" si="12"/>
        <v>0</v>
      </c>
      <c r="AD13">
        <f t="shared" si="3"/>
        <v>4.1401485403314689E-2</v>
      </c>
      <c r="AE13">
        <f t="shared" si="13"/>
        <v>9.2003300896254872E-3</v>
      </c>
      <c r="AF13">
        <f t="shared" si="14"/>
        <v>0.13800495134438226</v>
      </c>
      <c r="AG13">
        <f t="shared" si="15"/>
        <v>9.4631966636147868E-2</v>
      </c>
      <c r="AH13">
        <f t="shared" si="16"/>
        <v>0</v>
      </c>
      <c r="AI13">
        <f t="shared" si="17"/>
        <v>2.1790255475428781E-2</v>
      </c>
      <c r="AJ13">
        <f t="shared" si="18"/>
        <v>2.1790255475428781E-2</v>
      </c>
      <c r="AK13">
        <f t="shared" si="19"/>
        <v>8.2802970806629378E-2</v>
      </c>
      <c r="AL13">
        <f t="shared" si="20"/>
        <v>9.2003300896254872E-3</v>
      </c>
    </row>
    <row r="14" spans="1:51" x14ac:dyDescent="0.2">
      <c r="A14">
        <v>2031</v>
      </c>
      <c r="B14">
        <v>6</v>
      </c>
      <c r="C14">
        <f t="shared" si="21"/>
        <v>5.0351277310146543</v>
      </c>
      <c r="D14">
        <f t="shared" si="23"/>
        <v>0.22622467823604442</v>
      </c>
      <c r="E14">
        <f t="shared" si="4"/>
        <v>0</v>
      </c>
      <c r="F14">
        <f t="shared" si="5"/>
        <v>0</v>
      </c>
      <c r="G14" s="9">
        <f t="shared" si="6"/>
        <v>4.492928289436994E-2</v>
      </c>
      <c r="H14" s="9">
        <f t="shared" si="6"/>
        <v>0</v>
      </c>
      <c r="I14" s="9">
        <f t="shared" si="6"/>
        <v>0</v>
      </c>
      <c r="J14" s="9">
        <f t="shared" si="7"/>
        <v>5.8408067762680928E-3</v>
      </c>
      <c r="K14" s="9">
        <f t="shared" si="8"/>
        <v>0</v>
      </c>
      <c r="L14" s="9">
        <f t="shared" si="9"/>
        <v>0</v>
      </c>
      <c r="M14">
        <f t="shared" si="0"/>
        <v>5.0057185228439689</v>
      </c>
      <c r="N14">
        <f t="shared" si="10"/>
        <v>0</v>
      </c>
      <c r="O14">
        <f t="shared" si="24"/>
        <v>5.0057185228439689</v>
      </c>
      <c r="P14">
        <f t="shared" si="22"/>
        <v>0.65506896082212929</v>
      </c>
      <c r="Q14" s="9">
        <f t="shared" si="1"/>
        <v>0.13086412226989458</v>
      </c>
      <c r="R14">
        <f>VLOOKUP($B$1,dictionary!$A$3:$K$51,3,FALSE)*Q14</f>
        <v>1.3086412226989459E-2</v>
      </c>
      <c r="S14">
        <f>VLOOKUP($B$1,dictionary!$A$3:$K$51,4,FALSE)*Q14</f>
        <v>6.5432061134947294E-3</v>
      </c>
      <c r="T14">
        <f>VLOOKUP($B$1,dictionary!$A$3:$K$51,5,FALSE)*Q14</f>
        <v>3.9259236680968375E-2</v>
      </c>
      <c r="U14">
        <f>VLOOKUP($B$1,dictionary!$A$3:$K$51,6,FALSE)*Q14</f>
        <v>2.6172824453978918E-2</v>
      </c>
      <c r="V14">
        <f>VLOOKUP($B$1,dictionary!$A$3:$K$51,7,FALSE)*Q14</f>
        <v>0</v>
      </c>
      <c r="W14">
        <f>VLOOKUP($B$1,dictionary!$A$3:$K$51,8,FALSE)*Q14</f>
        <v>6.5432061134947294E-3</v>
      </c>
      <c r="X14">
        <f>VLOOKUP($B$1,dictionary!$A$3:$K$51,9,FALSE)*Q14</f>
        <v>6.5432061134947294E-3</v>
      </c>
      <c r="Y14">
        <f>VLOOKUP($B$1,dictionary!$A$3:$K$51,10,FALSE)*Q14</f>
        <v>2.6172824453978918E-2</v>
      </c>
      <c r="Z14">
        <f>VLOOKUP($B$1,dictionary!$A$3:$K$51,11,FALSE)*Q14</f>
        <v>6.5432061134947294E-3</v>
      </c>
      <c r="AA14">
        <f t="shared" si="2"/>
        <v>4.3506495620218395</v>
      </c>
      <c r="AB14">
        <f t="shared" si="11"/>
        <v>4.3506495620218395</v>
      </c>
      <c r="AC14">
        <f t="shared" si="12"/>
        <v>0</v>
      </c>
      <c r="AD14">
        <f t="shared" si="3"/>
        <v>6.5506896082212926E-2</v>
      </c>
      <c r="AE14">
        <f t="shared" si="13"/>
        <v>1.455708801826954E-2</v>
      </c>
      <c r="AF14">
        <f t="shared" si="14"/>
        <v>0.21835632027404309</v>
      </c>
      <c r="AG14">
        <f t="shared" si="15"/>
        <v>0.14973004818791527</v>
      </c>
      <c r="AH14">
        <f t="shared" si="16"/>
        <v>0</v>
      </c>
      <c r="AI14">
        <f t="shared" si="17"/>
        <v>3.4477313727480488E-2</v>
      </c>
      <c r="AJ14">
        <f t="shared" si="18"/>
        <v>3.4477313727480488E-2</v>
      </c>
      <c r="AK14">
        <f t="shared" si="19"/>
        <v>0.13101379216442585</v>
      </c>
      <c r="AL14">
        <f t="shared" si="20"/>
        <v>1.455708801826954E-2</v>
      </c>
    </row>
    <row r="15" spans="1:51" x14ac:dyDescent="0.2">
      <c r="A15">
        <v>2032</v>
      </c>
      <c r="B15">
        <v>7</v>
      </c>
      <c r="C15">
        <f t="shared" si="21"/>
        <v>5.1408654133659617</v>
      </c>
      <c r="D15">
        <f t="shared" si="23"/>
        <v>0.26951165298661728</v>
      </c>
      <c r="E15">
        <f t="shared" si="4"/>
        <v>0</v>
      </c>
      <c r="F15">
        <f t="shared" si="5"/>
        <v>0</v>
      </c>
      <c r="G15" s="9">
        <f t="shared" si="6"/>
        <v>5.2425346963159571E-2</v>
      </c>
      <c r="H15" s="9">
        <f t="shared" si="6"/>
        <v>0</v>
      </c>
      <c r="I15" s="9">
        <f t="shared" si="6"/>
        <v>0</v>
      </c>
      <c r="J15" s="9">
        <f t="shared" si="7"/>
        <v>6.8152951052107445E-3</v>
      </c>
      <c r="K15" s="9">
        <f t="shared" si="8"/>
        <v>0</v>
      </c>
      <c r="L15" s="9">
        <f t="shared" si="9"/>
        <v>0</v>
      </c>
      <c r="M15">
        <f t="shared" si="0"/>
        <v>5.1058288984777018</v>
      </c>
      <c r="N15">
        <f t="shared" si="10"/>
        <v>0</v>
      </c>
      <c r="O15">
        <f t="shared" si="24"/>
        <v>5.1058288984777018</v>
      </c>
      <c r="P15">
        <f>IF($I$3=0,0,M15/(1+EXP(-$I$3*(B15-$J$3)))-M15/(1+EXP($I$3*$J$3)))</f>
        <v>0.99504144449242649</v>
      </c>
      <c r="Q15" s="9">
        <f t="shared" si="1"/>
        <v>0.19488342917035414</v>
      </c>
      <c r="R15">
        <f>VLOOKUP($B$1,dictionary!$A$3:$K$51,3,FALSE)*Q15</f>
        <v>1.9488342917035415E-2</v>
      </c>
      <c r="S15">
        <f>VLOOKUP($B$1,dictionary!$A$3:$K$51,4,FALSE)*Q15</f>
        <v>9.7441714585177076E-3</v>
      </c>
      <c r="T15">
        <f>VLOOKUP($B$1,dictionary!$A$3:$K$51,5,FALSE)*Q15</f>
        <v>5.8465028751106242E-2</v>
      </c>
      <c r="U15">
        <f>VLOOKUP($B$1,dictionary!$A$3:$K$51,6,FALSE)*Q15</f>
        <v>3.897668583407083E-2</v>
      </c>
      <c r="V15">
        <f>VLOOKUP($B$1,dictionary!$A$3:$K$51,7,FALSE)*Q15</f>
        <v>0</v>
      </c>
      <c r="W15">
        <f>VLOOKUP($B$1,dictionary!$A$3:$K$51,8,FALSE)*Q15</f>
        <v>9.7441714585177076E-3</v>
      </c>
      <c r="X15">
        <f>VLOOKUP($B$1,dictionary!$A$3:$K$51,9,FALSE)*Q15</f>
        <v>9.7441714585177076E-3</v>
      </c>
      <c r="Y15">
        <f>VLOOKUP($B$1,dictionary!$A$3:$K$51,10,FALSE)*Q15</f>
        <v>3.897668583407083E-2</v>
      </c>
      <c r="Z15">
        <f>VLOOKUP($B$1,dictionary!$A$3:$K$51,11,FALSE)*Q15</f>
        <v>9.7441714585177076E-3</v>
      </c>
      <c r="AA15">
        <f t="shared" si="2"/>
        <v>4.1107874539852753</v>
      </c>
      <c r="AB15">
        <f t="shared" si="11"/>
        <v>4.1107874539852753</v>
      </c>
      <c r="AC15">
        <f t="shared" si="12"/>
        <v>0</v>
      </c>
      <c r="AD15">
        <f t="shared" si="3"/>
        <v>9.950414444924266E-2</v>
      </c>
      <c r="AE15">
        <f t="shared" si="13"/>
        <v>2.2112032099831702E-2</v>
      </c>
      <c r="AF15">
        <f t="shared" si="14"/>
        <v>0.33168048149747548</v>
      </c>
      <c r="AG15">
        <f t="shared" si="15"/>
        <v>0.22743804445541183</v>
      </c>
      <c r="AH15">
        <f t="shared" si="16"/>
        <v>0</v>
      </c>
      <c r="AI15">
        <f t="shared" si="17"/>
        <v>5.2370602341706658E-2</v>
      </c>
      <c r="AJ15">
        <f t="shared" si="18"/>
        <v>5.2370602341706658E-2</v>
      </c>
      <c r="AK15">
        <f t="shared" si="19"/>
        <v>0.19900828889848532</v>
      </c>
      <c r="AL15">
        <f t="shared" si="20"/>
        <v>2.2112032099831702E-2</v>
      </c>
    </row>
    <row r="16" spans="1:51" x14ac:dyDescent="0.2">
      <c r="A16">
        <v>2033</v>
      </c>
      <c r="B16">
        <v>8</v>
      </c>
      <c r="C16">
        <f t="shared" si="21"/>
        <v>5.2488235870466466</v>
      </c>
      <c r="D16">
        <f t="shared" si="23"/>
        <v>0.31448153381759214</v>
      </c>
      <c r="E16">
        <f t="shared" si="4"/>
        <v>0</v>
      </c>
      <c r="F16">
        <f t="shared" si="5"/>
        <v>0</v>
      </c>
      <c r="G16" s="9">
        <f t="shared" si="6"/>
        <v>5.9914670135549616E-2</v>
      </c>
      <c r="H16" s="9">
        <f t="shared" si="6"/>
        <v>0</v>
      </c>
      <c r="I16" s="9">
        <f t="shared" si="6"/>
        <v>0</v>
      </c>
      <c r="J16" s="9">
        <f t="shared" si="7"/>
        <v>7.7889071176214502E-3</v>
      </c>
      <c r="K16" s="9">
        <f t="shared" si="8"/>
        <v>0</v>
      </c>
      <c r="L16" s="9">
        <f t="shared" si="9"/>
        <v>0</v>
      </c>
      <c r="M16">
        <f t="shared" si="0"/>
        <v>5.2079409876503595</v>
      </c>
      <c r="N16">
        <f t="shared" si="10"/>
        <v>0</v>
      </c>
      <c r="O16">
        <f t="shared" si="24"/>
        <v>5.2079409876503595</v>
      </c>
      <c r="P16">
        <f t="shared" si="22"/>
        <v>1.4481385839251351</v>
      </c>
      <c r="Q16" s="9">
        <f t="shared" si="1"/>
        <v>0.27806355474440281</v>
      </c>
      <c r="R16">
        <f>VLOOKUP($B$1,dictionary!$A$3:$K$51,3,FALSE)*Q16</f>
        <v>2.7806355474440284E-2</v>
      </c>
      <c r="S16">
        <f>VLOOKUP($B$1,dictionary!$A$3:$K$51,4,FALSE)*Q16</f>
        <v>1.3903177737220142E-2</v>
      </c>
      <c r="T16">
        <f>VLOOKUP($B$1,dictionary!$A$3:$K$51,5,FALSE)*Q16</f>
        <v>8.3419066423320837E-2</v>
      </c>
      <c r="U16">
        <f>VLOOKUP($B$1,dictionary!$A$3:$K$51,6,FALSE)*Q16</f>
        <v>5.5612710948880567E-2</v>
      </c>
      <c r="V16">
        <f>VLOOKUP($B$1,dictionary!$A$3:$K$51,7,FALSE)*Q16</f>
        <v>0</v>
      </c>
      <c r="W16">
        <f>VLOOKUP($B$1,dictionary!$A$3:$K$51,8,FALSE)*Q16</f>
        <v>1.3903177737220142E-2</v>
      </c>
      <c r="X16">
        <f>VLOOKUP($B$1,dictionary!$A$3:$K$51,9,FALSE)*Q16</f>
        <v>1.3903177737220142E-2</v>
      </c>
      <c r="Y16">
        <f>VLOOKUP($B$1,dictionary!$A$3:$K$51,10,FALSE)*Q16</f>
        <v>5.5612710948880567E-2</v>
      </c>
      <c r="Z16">
        <f>VLOOKUP($B$1,dictionary!$A$3:$K$51,11,FALSE)*Q16</f>
        <v>1.3903177737220142E-2</v>
      </c>
      <c r="AA16">
        <f t="shared" si="2"/>
        <v>3.7598024037252245</v>
      </c>
      <c r="AB16">
        <f t="shared" si="11"/>
        <v>3.7598024037252245</v>
      </c>
      <c r="AC16">
        <f t="shared" si="12"/>
        <v>0</v>
      </c>
      <c r="AD16">
        <f t="shared" si="3"/>
        <v>0.14481385839251351</v>
      </c>
      <c r="AE16">
        <f t="shared" si="13"/>
        <v>3.218085742055856E-2</v>
      </c>
      <c r="AF16">
        <f t="shared" si="14"/>
        <v>0.48271286130837832</v>
      </c>
      <c r="AG16">
        <f t="shared" si="15"/>
        <v>0.33100310489717377</v>
      </c>
      <c r="AH16">
        <f t="shared" si="16"/>
        <v>0</v>
      </c>
      <c r="AI16">
        <f t="shared" si="17"/>
        <v>7.6217820206586059E-2</v>
      </c>
      <c r="AJ16">
        <f t="shared" si="18"/>
        <v>7.6217820206586059E-2</v>
      </c>
      <c r="AK16">
        <f t="shared" si="19"/>
        <v>0.28962771678502702</v>
      </c>
      <c r="AL16">
        <f t="shared" si="20"/>
        <v>3.218085742055856E-2</v>
      </c>
    </row>
    <row r="17" spans="1:38" x14ac:dyDescent="0.2">
      <c r="A17">
        <v>2034</v>
      </c>
      <c r="B17">
        <v>9</v>
      </c>
      <c r="C17">
        <f t="shared" si="21"/>
        <v>5.3590488823746254</v>
      </c>
      <c r="D17">
        <f t="shared" si="23"/>
        <v>0.36116718897721967</v>
      </c>
      <c r="E17">
        <f t="shared" si="4"/>
        <v>0</v>
      </c>
      <c r="F17">
        <f t="shared" si="5"/>
        <v>0</v>
      </c>
      <c r="G17" s="9">
        <f t="shared" si="6"/>
        <v>6.7393897108321277E-2</v>
      </c>
      <c r="H17" s="9">
        <f t="shared" si="6"/>
        <v>0</v>
      </c>
      <c r="I17" s="9">
        <f t="shared" si="6"/>
        <v>0</v>
      </c>
      <c r="J17" s="9">
        <f t="shared" si="7"/>
        <v>8.761206624081766E-3</v>
      </c>
      <c r="K17" s="9">
        <f t="shared" si="8"/>
        <v>0</v>
      </c>
      <c r="L17" s="9">
        <f t="shared" si="9"/>
        <v>0</v>
      </c>
      <c r="M17">
        <f t="shared" si="0"/>
        <v>5.3120971478075871</v>
      </c>
      <c r="N17">
        <f t="shared" si="10"/>
        <v>0</v>
      </c>
      <c r="O17">
        <f t="shared" si="24"/>
        <v>5.3120971478075871</v>
      </c>
      <c r="P17">
        <f t="shared" si="22"/>
        <v>2.0099585081954152</v>
      </c>
      <c r="Q17" s="9">
        <f t="shared" si="1"/>
        <v>0.37837382342018477</v>
      </c>
      <c r="R17">
        <f>VLOOKUP($B$1,dictionary!$A$3:$K$51,3,FALSE)*Q17</f>
        <v>3.7837382342018479E-2</v>
      </c>
      <c r="S17">
        <f>VLOOKUP($B$1,dictionary!$A$3:$K$51,4,FALSE)*Q17</f>
        <v>1.8918691171009239E-2</v>
      </c>
      <c r="T17">
        <f>VLOOKUP($B$1,dictionary!$A$3:$K$51,5,FALSE)*Q17</f>
        <v>0.11351214702605543</v>
      </c>
      <c r="U17">
        <f>VLOOKUP($B$1,dictionary!$A$3:$K$51,6,FALSE)*Q17</f>
        <v>7.5674764684036958E-2</v>
      </c>
      <c r="V17">
        <f>VLOOKUP($B$1,dictionary!$A$3:$K$51,7,FALSE)*Q17</f>
        <v>0</v>
      </c>
      <c r="W17">
        <f>VLOOKUP($B$1,dictionary!$A$3:$K$51,8,FALSE)*Q17</f>
        <v>1.8918691171009239E-2</v>
      </c>
      <c r="X17">
        <f>VLOOKUP($B$1,dictionary!$A$3:$K$51,9,FALSE)*Q17</f>
        <v>1.8918691171009239E-2</v>
      </c>
      <c r="Y17">
        <f>VLOOKUP($B$1,dictionary!$A$3:$K$51,10,FALSE)*Q17</f>
        <v>7.5674764684036958E-2</v>
      </c>
      <c r="Z17">
        <f>VLOOKUP($B$1,dictionary!$A$3:$K$51,11,FALSE)*Q17</f>
        <v>1.8918691171009239E-2</v>
      </c>
      <c r="AA17">
        <f t="shared" si="2"/>
        <v>3.3021386396121719</v>
      </c>
      <c r="AB17">
        <f t="shared" si="11"/>
        <v>3.3021386396121719</v>
      </c>
      <c r="AC17">
        <f t="shared" si="12"/>
        <v>0</v>
      </c>
      <c r="AD17">
        <f t="shared" si="3"/>
        <v>0.20099585081954152</v>
      </c>
      <c r="AE17">
        <f t="shared" si="13"/>
        <v>4.4665744626564786E-2</v>
      </c>
      <c r="AF17">
        <f t="shared" si="14"/>
        <v>0.66998616939847178</v>
      </c>
      <c r="AG17">
        <f t="shared" si="15"/>
        <v>0.45941908758752353</v>
      </c>
      <c r="AH17">
        <f t="shared" si="16"/>
        <v>0</v>
      </c>
      <c r="AI17">
        <f t="shared" si="17"/>
        <v>0.10578728990502184</v>
      </c>
      <c r="AJ17">
        <f t="shared" si="18"/>
        <v>0.10578728990502184</v>
      </c>
      <c r="AK17">
        <f t="shared" si="19"/>
        <v>0.40199170163908304</v>
      </c>
      <c r="AL17">
        <f t="shared" si="20"/>
        <v>4.4665744626564786E-2</v>
      </c>
    </row>
    <row r="18" spans="1:38" x14ac:dyDescent="0.2">
      <c r="A18">
        <v>2035</v>
      </c>
      <c r="B18">
        <v>10</v>
      </c>
      <c r="C18">
        <f t="shared" si="21"/>
        <v>5.4715889089044918</v>
      </c>
      <c r="D18">
        <f t="shared" si="23"/>
        <v>0.40960145328974118</v>
      </c>
      <c r="E18">
        <f t="shared" si="4"/>
        <v>0</v>
      </c>
      <c r="F18">
        <f t="shared" si="5"/>
        <v>0</v>
      </c>
      <c r="G18" s="9">
        <f t="shared" si="6"/>
        <v>7.4859690687499147E-2</v>
      </c>
      <c r="H18" s="9">
        <f t="shared" si="6"/>
        <v>0</v>
      </c>
      <c r="I18" s="9">
        <f t="shared" si="6"/>
        <v>0</v>
      </c>
      <c r="J18" s="9">
        <f t="shared" si="7"/>
        <v>9.7317597893748897E-3</v>
      </c>
      <c r="K18" s="9">
        <f t="shared" si="8"/>
        <v>0</v>
      </c>
      <c r="L18" s="9">
        <f t="shared" si="9"/>
        <v>0</v>
      </c>
      <c r="M18">
        <f t="shared" si="0"/>
        <v>5.4183407199768254</v>
      </c>
      <c r="N18">
        <f t="shared" si="10"/>
        <v>0</v>
      </c>
      <c r="O18">
        <f t="shared" si="24"/>
        <v>5.4183407199768254</v>
      </c>
      <c r="P18">
        <f t="shared" si="22"/>
        <v>2.6496393613450202</v>
      </c>
      <c r="Q18" s="9">
        <f t="shared" si="1"/>
        <v>0.48901305736940681</v>
      </c>
      <c r="R18">
        <f>VLOOKUP($B$1,dictionary!$A$3:$K$51,3,FALSE)*Q18</f>
        <v>4.8901305736940681E-2</v>
      </c>
      <c r="S18">
        <f>VLOOKUP($B$1,dictionary!$A$3:$K$51,4,FALSE)*Q18</f>
        <v>2.4450652868470341E-2</v>
      </c>
      <c r="T18">
        <f>VLOOKUP($B$1,dictionary!$A$3:$K$51,5,FALSE)*Q18</f>
        <v>0.14670391721082204</v>
      </c>
      <c r="U18">
        <f>VLOOKUP($B$1,dictionary!$A$3:$K$51,6,FALSE)*Q18</f>
        <v>9.7802611473881362E-2</v>
      </c>
      <c r="V18">
        <f>VLOOKUP($B$1,dictionary!$A$3:$K$51,7,FALSE)*Q18</f>
        <v>0</v>
      </c>
      <c r="W18">
        <f>VLOOKUP($B$1,dictionary!$A$3:$K$51,8,FALSE)*Q18</f>
        <v>2.4450652868470341E-2</v>
      </c>
      <c r="X18">
        <f>VLOOKUP($B$1,dictionary!$A$3:$K$51,9,FALSE)*Q18</f>
        <v>2.4450652868470341E-2</v>
      </c>
      <c r="Y18">
        <f>VLOOKUP($B$1,dictionary!$A$3:$K$51,10,FALSE)*Q18</f>
        <v>9.7802611473881362E-2</v>
      </c>
      <c r="Z18">
        <f>VLOOKUP($B$1,dictionary!$A$3:$K$51,11,FALSE)*Q18</f>
        <v>2.4450652868470341E-2</v>
      </c>
      <c r="AA18">
        <f t="shared" si="2"/>
        <v>2.7687013586318052</v>
      </c>
      <c r="AB18">
        <f t="shared" si="11"/>
        <v>2.7687013586318052</v>
      </c>
      <c r="AC18">
        <f t="shared" si="12"/>
        <v>0</v>
      </c>
      <c r="AD18">
        <f t="shared" si="3"/>
        <v>0.26496393613450203</v>
      </c>
      <c r="AE18">
        <f t="shared" si="13"/>
        <v>5.8880874696556014E-2</v>
      </c>
      <c r="AF18">
        <f t="shared" si="14"/>
        <v>0.88321312044834022</v>
      </c>
      <c r="AG18">
        <f t="shared" si="15"/>
        <v>0.60563185402171904</v>
      </c>
      <c r="AH18">
        <f t="shared" si="16"/>
        <v>0</v>
      </c>
      <c r="AI18">
        <f t="shared" si="17"/>
        <v>0.13945470322868528</v>
      </c>
      <c r="AJ18">
        <f t="shared" si="18"/>
        <v>0.13945470322868528</v>
      </c>
      <c r="AK18">
        <f t="shared" si="19"/>
        <v>0.52992787226900406</v>
      </c>
      <c r="AL18">
        <f t="shared" si="20"/>
        <v>5.8880874696556014E-2</v>
      </c>
    </row>
    <row r="19" spans="1:38" x14ac:dyDescent="0.2">
      <c r="A19">
        <v>2036</v>
      </c>
      <c r="B19">
        <v>11</v>
      </c>
      <c r="C19">
        <f t="shared" si="21"/>
        <v>5.5864922759914855</v>
      </c>
      <c r="D19">
        <f t="shared" si="23"/>
        <v>0.45981712750447068</v>
      </c>
      <c r="E19">
        <f t="shared" si="4"/>
        <v>0</v>
      </c>
      <c r="F19">
        <f t="shared" si="5"/>
        <v>0</v>
      </c>
      <c r="G19" s="9">
        <f t="shared" si="6"/>
        <v>8.2308737717329564E-2</v>
      </c>
      <c r="H19" s="9">
        <f t="shared" si="6"/>
        <v>0</v>
      </c>
      <c r="I19" s="9">
        <f t="shared" si="6"/>
        <v>0</v>
      </c>
      <c r="J19" s="9">
        <f t="shared" si="7"/>
        <v>1.0700135903252844E-2</v>
      </c>
      <c r="K19" s="9">
        <f t="shared" si="8"/>
        <v>0</v>
      </c>
      <c r="L19" s="9">
        <f t="shared" si="9"/>
        <v>0</v>
      </c>
      <c r="M19">
        <f t="shared" si="0"/>
        <v>5.5267160494159047</v>
      </c>
      <c r="N19">
        <f t="shared" si="10"/>
        <v>0</v>
      </c>
      <c r="O19">
        <f t="shared" si="24"/>
        <v>5.5267160494159047</v>
      </c>
      <c r="P19">
        <f t="shared" si="22"/>
        <v>3.3141079424996875</v>
      </c>
      <c r="Q19" s="9">
        <f t="shared" si="1"/>
        <v>0.59965229131862885</v>
      </c>
      <c r="R19">
        <f>VLOOKUP($B$1,dictionary!$A$3:$K$51,3,FALSE)*Q19</f>
        <v>5.996522913186289E-2</v>
      </c>
      <c r="S19">
        <f>VLOOKUP($B$1,dictionary!$A$3:$K$51,4,FALSE)*Q19</f>
        <v>2.9982614565931445E-2</v>
      </c>
      <c r="T19">
        <f>VLOOKUP($B$1,dictionary!$A$3:$K$51,5,FALSE)*Q19</f>
        <v>0.17989568739558864</v>
      </c>
      <c r="U19">
        <f>VLOOKUP($B$1,dictionary!$A$3:$K$51,6,FALSE)*Q19</f>
        <v>0.11993045826372578</v>
      </c>
      <c r="V19">
        <f>VLOOKUP($B$1,dictionary!$A$3:$K$51,7,FALSE)*Q19</f>
        <v>0</v>
      </c>
      <c r="W19">
        <f>VLOOKUP($B$1,dictionary!$A$3:$K$51,8,FALSE)*Q19</f>
        <v>2.9982614565931445E-2</v>
      </c>
      <c r="X19">
        <f>VLOOKUP($B$1,dictionary!$A$3:$K$51,9,FALSE)*Q19</f>
        <v>2.9982614565931445E-2</v>
      </c>
      <c r="Y19">
        <f>VLOOKUP($B$1,dictionary!$A$3:$K$51,10,FALSE)*Q19</f>
        <v>0.11993045826372578</v>
      </c>
      <c r="Z19">
        <f>VLOOKUP($B$1,dictionary!$A$3:$K$51,11,FALSE)*Q19</f>
        <v>2.9982614565931445E-2</v>
      </c>
      <c r="AA19">
        <f t="shared" si="2"/>
        <v>2.2126081069162171</v>
      </c>
      <c r="AB19">
        <f t="shared" si="11"/>
        <v>2.2126081069162171</v>
      </c>
      <c r="AC19">
        <f t="shared" si="12"/>
        <v>0</v>
      </c>
      <c r="AD19">
        <f t="shared" si="3"/>
        <v>0.33141079424996878</v>
      </c>
      <c r="AE19">
        <f t="shared" si="13"/>
        <v>7.3646843166659731E-2</v>
      </c>
      <c r="AF19">
        <f t="shared" si="14"/>
        <v>1.1047026474998958</v>
      </c>
      <c r="AG19">
        <f t="shared" si="15"/>
        <v>0.75751038685707162</v>
      </c>
      <c r="AH19">
        <f t="shared" si="16"/>
        <v>0</v>
      </c>
      <c r="AI19">
        <f t="shared" si="17"/>
        <v>0.17442673381577303</v>
      </c>
      <c r="AJ19">
        <f t="shared" si="18"/>
        <v>0.17442673381577303</v>
      </c>
      <c r="AK19">
        <f t="shared" si="19"/>
        <v>0.66282158849993755</v>
      </c>
      <c r="AL19">
        <f t="shared" si="20"/>
        <v>7.3646843166659731E-2</v>
      </c>
    </row>
    <row r="20" spans="1:38" x14ac:dyDescent="0.2">
      <c r="A20">
        <v>2037</v>
      </c>
      <c r="B20">
        <v>12</v>
      </c>
      <c r="C20">
        <f t="shared" si="21"/>
        <v>5.7038086137873059</v>
      </c>
      <c r="D20">
        <f t="shared" si="23"/>
        <v>0.5118469794836491</v>
      </c>
      <c r="E20">
        <f t="shared" si="4"/>
        <v>0</v>
      </c>
      <c r="F20">
        <f t="shared" si="5"/>
        <v>0</v>
      </c>
      <c r="G20" s="9">
        <f t="shared" si="6"/>
        <v>8.9737754918074786E-2</v>
      </c>
      <c r="H20" s="9">
        <f t="shared" si="6"/>
        <v>0</v>
      </c>
      <c r="I20" s="9">
        <f t="shared" si="6"/>
        <v>0</v>
      </c>
      <c r="J20" s="9">
        <f t="shared" si="7"/>
        <v>1.1665908139349722E-2</v>
      </c>
      <c r="K20" s="9">
        <f t="shared" si="8"/>
        <v>0</v>
      </c>
      <c r="L20" s="9">
        <f t="shared" si="9"/>
        <v>0</v>
      </c>
      <c r="M20">
        <f t="shared" si="0"/>
        <v>5.637268506454431</v>
      </c>
      <c r="N20">
        <f t="shared" si="10"/>
        <v>0</v>
      </c>
      <c r="O20">
        <f t="shared" si="24"/>
        <v>5.637268506454431</v>
      </c>
      <c r="P20">
        <f>IF($I$3=0,0,M20/(1+EXP(-$I$3*(B20-$J$3)))-M20/(1+EXP($I$3*$J$3)))</f>
        <v>3.9458768951537118</v>
      </c>
      <c r="Q20" s="9">
        <f t="shared" si="1"/>
        <v>0.6999625599944107</v>
      </c>
      <c r="R20">
        <f>VLOOKUP($B$1,dictionary!$A$3:$K$51,3,FALSE)*Q20</f>
        <v>6.9996255999441079E-2</v>
      </c>
      <c r="S20">
        <f>VLOOKUP($B$1,dictionary!$A$3:$K$51,4,FALSE)*Q20</f>
        <v>3.4998127999720539E-2</v>
      </c>
      <c r="T20">
        <f>VLOOKUP($B$1,dictionary!$A$3:$K$51,5,FALSE)*Q20</f>
        <v>0.20998876799832319</v>
      </c>
      <c r="U20">
        <f>VLOOKUP($B$1,dictionary!$A$3:$K$51,6,FALSE)*Q20</f>
        <v>0.13999251199888216</v>
      </c>
      <c r="V20">
        <f>VLOOKUP($B$1,dictionary!$A$3:$K$51,7,FALSE)*Q20</f>
        <v>0</v>
      </c>
      <c r="W20">
        <f>VLOOKUP($B$1,dictionary!$A$3:$K$51,8,FALSE)*Q20</f>
        <v>3.4998127999720539E-2</v>
      </c>
      <c r="X20">
        <f>VLOOKUP($B$1,dictionary!$A$3:$K$51,9,FALSE)*Q20</f>
        <v>3.4998127999720539E-2</v>
      </c>
      <c r="Y20">
        <f>VLOOKUP($B$1,dictionary!$A$3:$K$51,10,FALSE)*Q20</f>
        <v>0.13999251199888216</v>
      </c>
      <c r="Z20">
        <f>VLOOKUP($B$1,dictionary!$A$3:$K$51,11,FALSE)*Q20</f>
        <v>3.4998127999720539E-2</v>
      </c>
      <c r="AA20">
        <f t="shared" si="2"/>
        <v>1.6913916113007192</v>
      </c>
      <c r="AB20">
        <f t="shared" si="11"/>
        <v>1.6913916113007192</v>
      </c>
      <c r="AC20">
        <f t="shared" si="12"/>
        <v>0</v>
      </c>
      <c r="AD20">
        <f t="shared" si="3"/>
        <v>0.39458768951537121</v>
      </c>
      <c r="AE20">
        <f t="shared" si="13"/>
        <v>8.7686153225638053E-2</v>
      </c>
      <c r="AF20">
        <f t="shared" si="14"/>
        <v>1.3152922983845705</v>
      </c>
      <c r="AG20">
        <f t="shared" si="15"/>
        <v>0.90191471889227715</v>
      </c>
      <c r="AH20">
        <f t="shared" si="16"/>
        <v>0</v>
      </c>
      <c r="AI20">
        <f t="shared" si="17"/>
        <v>0.20767773132387957</v>
      </c>
      <c r="AJ20">
        <f t="shared" si="18"/>
        <v>0.20767773132387957</v>
      </c>
      <c r="AK20">
        <f t="shared" si="19"/>
        <v>0.78917537903074242</v>
      </c>
      <c r="AL20">
        <f t="shared" si="20"/>
        <v>8.7686153225638053E-2</v>
      </c>
    </row>
    <row r="21" spans="1:38" x14ac:dyDescent="0.2">
      <c r="A21">
        <v>2038</v>
      </c>
      <c r="B21">
        <v>13</v>
      </c>
      <c r="C21">
        <f t="shared" si="21"/>
        <v>5.8235885946768384</v>
      </c>
      <c r="D21">
        <f t="shared" si="23"/>
        <v>0.56572374726333585</v>
      </c>
      <c r="E21">
        <f t="shared" si="4"/>
        <v>0</v>
      </c>
      <c r="F21">
        <f t="shared" si="5"/>
        <v>0</v>
      </c>
      <c r="G21" s="9">
        <f t="shared" si="6"/>
        <v>9.714349461094253E-2</v>
      </c>
      <c r="H21" s="9">
        <f t="shared" si="6"/>
        <v>0</v>
      </c>
      <c r="I21" s="9">
        <f t="shared" si="6"/>
        <v>0</v>
      </c>
      <c r="J21" s="9">
        <f t="shared" si="7"/>
        <v>1.262865429942253E-2</v>
      </c>
      <c r="K21" s="9">
        <f t="shared" si="8"/>
        <v>0</v>
      </c>
      <c r="L21" s="9">
        <f t="shared" si="9"/>
        <v>0</v>
      </c>
      <c r="M21">
        <f t="shared" si="0"/>
        <v>5.7500445075326052</v>
      </c>
      <c r="N21">
        <f t="shared" si="10"/>
        <v>0</v>
      </c>
      <c r="O21">
        <f t="shared" si="24"/>
        <v>5.7500445075326052</v>
      </c>
      <c r="P21">
        <f t="shared" si="22"/>
        <v>4.503105297767255</v>
      </c>
      <c r="Q21" s="9">
        <f t="shared" si="1"/>
        <v>0.78314268556845956</v>
      </c>
      <c r="R21">
        <f>VLOOKUP($B$1,dictionary!$A$3:$K$51,3,FALSE)*Q21</f>
        <v>7.8314268556845965E-2</v>
      </c>
      <c r="S21">
        <f>VLOOKUP($B$1,dictionary!$A$3:$K$51,4,FALSE)*Q21</f>
        <v>3.9157134278422982E-2</v>
      </c>
      <c r="T21">
        <f>VLOOKUP($B$1,dictionary!$A$3:$K$51,5,FALSE)*Q21</f>
        <v>0.23494280567053785</v>
      </c>
      <c r="U21">
        <f>VLOOKUP($B$1,dictionary!$A$3:$K$51,6,FALSE)*Q21</f>
        <v>0.15662853711369193</v>
      </c>
      <c r="V21">
        <f>VLOOKUP($B$1,dictionary!$A$3:$K$51,7,FALSE)*Q21</f>
        <v>0</v>
      </c>
      <c r="W21">
        <f>VLOOKUP($B$1,dictionary!$A$3:$K$51,8,FALSE)*Q21</f>
        <v>3.9157134278422982E-2</v>
      </c>
      <c r="X21">
        <f>VLOOKUP($B$1,dictionary!$A$3:$K$51,9,FALSE)*Q21</f>
        <v>3.9157134278422982E-2</v>
      </c>
      <c r="Y21">
        <f>VLOOKUP($B$1,dictionary!$A$3:$K$51,10,FALSE)*Q21</f>
        <v>0.15662853711369193</v>
      </c>
      <c r="Z21">
        <f>VLOOKUP($B$1,dictionary!$A$3:$K$51,11,FALSE)*Q21</f>
        <v>3.9157134278422982E-2</v>
      </c>
      <c r="AA21">
        <f t="shared" si="2"/>
        <v>1.2469392097653502</v>
      </c>
      <c r="AB21">
        <f t="shared" si="11"/>
        <v>1.2469392097653502</v>
      </c>
      <c r="AC21">
        <f t="shared" si="12"/>
        <v>0</v>
      </c>
      <c r="AD21">
        <f t="shared" si="3"/>
        <v>0.45031052977672553</v>
      </c>
      <c r="AE21">
        <f t="shared" si="13"/>
        <v>0.10006900661705012</v>
      </c>
      <c r="AF21">
        <f t="shared" si="14"/>
        <v>1.5010350992557515</v>
      </c>
      <c r="AG21">
        <f t="shared" si="15"/>
        <v>1.0292812109182299</v>
      </c>
      <c r="AH21">
        <f t="shared" si="16"/>
        <v>0</v>
      </c>
      <c r="AI21">
        <f t="shared" si="17"/>
        <v>0.23700554198775026</v>
      </c>
      <c r="AJ21">
        <f t="shared" si="18"/>
        <v>0.23700554198775026</v>
      </c>
      <c r="AK21">
        <f t="shared" si="19"/>
        <v>0.90062105955345106</v>
      </c>
      <c r="AL21">
        <f t="shared" si="20"/>
        <v>0.10006900661705012</v>
      </c>
    </row>
    <row r="22" spans="1:38" x14ac:dyDescent="0.2">
      <c r="A22">
        <v>2039</v>
      </c>
      <c r="B22">
        <v>14</v>
      </c>
      <c r="C22">
        <f t="shared" si="21"/>
        <v>5.9458839551650513</v>
      </c>
      <c r="D22">
        <f t="shared" si="23"/>
        <v>0.62148014401321783</v>
      </c>
      <c r="E22">
        <f t="shared" si="4"/>
        <v>0</v>
      </c>
      <c r="F22">
        <f t="shared" si="5"/>
        <v>0</v>
      </c>
      <c r="G22" s="9">
        <f t="shared" si="6"/>
        <v>0.10452275030920381</v>
      </c>
      <c r="H22" s="9">
        <f t="shared" si="6"/>
        <v>0</v>
      </c>
      <c r="I22" s="9">
        <f t="shared" si="6"/>
        <v>0</v>
      </c>
      <c r="J22" s="9">
        <f t="shared" si="7"/>
        <v>1.3587957540196496E-2</v>
      </c>
      <c r="K22" s="9">
        <f t="shared" si="8"/>
        <v>0</v>
      </c>
      <c r="L22" s="9">
        <f t="shared" si="9"/>
        <v>0</v>
      </c>
      <c r="M22">
        <f t="shared" si="0"/>
        <v>5.8650915364433329</v>
      </c>
      <c r="N22">
        <f t="shared" si="10"/>
        <v>0</v>
      </c>
      <c r="O22">
        <f t="shared" si="24"/>
        <v>5.8650915364433329</v>
      </c>
      <c r="P22">
        <f t="shared" si="22"/>
        <v>4.9686826320259279</v>
      </c>
      <c r="Q22" s="9">
        <f t="shared" si="1"/>
        <v>0.8471619924689191</v>
      </c>
      <c r="R22">
        <f>VLOOKUP($B$1,dictionary!$A$3:$K$51,3,FALSE)*Q22</f>
        <v>8.4716199246891916E-2</v>
      </c>
      <c r="S22">
        <f>VLOOKUP($B$1,dictionary!$A$3:$K$51,4,FALSE)*Q22</f>
        <v>4.2358099623445958E-2</v>
      </c>
      <c r="T22">
        <f>VLOOKUP($B$1,dictionary!$A$3:$K$51,5,FALSE)*Q22</f>
        <v>0.25414859774067572</v>
      </c>
      <c r="U22">
        <f>VLOOKUP($B$1,dictionary!$A$3:$K$51,6,FALSE)*Q22</f>
        <v>0.16943239849378383</v>
      </c>
      <c r="V22">
        <f>VLOOKUP($B$1,dictionary!$A$3:$K$51,7,FALSE)*Q22</f>
        <v>0</v>
      </c>
      <c r="W22">
        <f>VLOOKUP($B$1,dictionary!$A$3:$K$51,8,FALSE)*Q22</f>
        <v>4.2358099623445958E-2</v>
      </c>
      <c r="X22">
        <f>VLOOKUP($B$1,dictionary!$A$3:$K$51,9,FALSE)*Q22</f>
        <v>4.2358099623445958E-2</v>
      </c>
      <c r="Y22">
        <f>VLOOKUP($B$1,dictionary!$A$3:$K$51,10,FALSE)*Q22</f>
        <v>0.16943239849378383</v>
      </c>
      <c r="Z22">
        <f>VLOOKUP($B$1,dictionary!$A$3:$K$51,11,FALSE)*Q22</f>
        <v>4.2358099623445958E-2</v>
      </c>
      <c r="AA22">
        <f t="shared" si="2"/>
        <v>0.89640890441740506</v>
      </c>
      <c r="AB22">
        <f t="shared" si="11"/>
        <v>0.89640890441740506</v>
      </c>
      <c r="AC22">
        <f t="shared" si="12"/>
        <v>0</v>
      </c>
      <c r="AD22">
        <f t="shared" si="3"/>
        <v>0.49686826320259281</v>
      </c>
      <c r="AE22">
        <f t="shared" si="13"/>
        <v>0.11041516960057619</v>
      </c>
      <c r="AF22">
        <f t="shared" si="14"/>
        <v>1.6562275440086427</v>
      </c>
      <c r="AG22">
        <f t="shared" si="15"/>
        <v>1.1356988873202123</v>
      </c>
      <c r="AH22">
        <f t="shared" si="16"/>
        <v>0</v>
      </c>
      <c r="AI22">
        <f t="shared" si="17"/>
        <v>0.26150961221189095</v>
      </c>
      <c r="AJ22">
        <f t="shared" si="18"/>
        <v>0.26150961221189095</v>
      </c>
      <c r="AK22">
        <f t="shared" si="19"/>
        <v>0.99373652640518562</v>
      </c>
      <c r="AL22">
        <f t="shared" si="20"/>
        <v>0.11041516960057619</v>
      </c>
    </row>
    <row r="23" spans="1:38" x14ac:dyDescent="0.2">
      <c r="A23">
        <v>2040</v>
      </c>
      <c r="B23">
        <v>15</v>
      </c>
      <c r="C23">
        <f t="shared" si="21"/>
        <v>6.0707475182235164</v>
      </c>
      <c r="D23">
        <f t="shared" si="23"/>
        <v>0.67914886491274906</v>
      </c>
      <c r="E23">
        <f t="shared" si="4"/>
        <v>0</v>
      </c>
      <c r="F23">
        <f t="shared" si="5"/>
        <v>0</v>
      </c>
      <c r="G23" s="9">
        <f t="shared" si="6"/>
        <v>0.11187236215540858</v>
      </c>
      <c r="H23" s="9">
        <f t="shared" si="6"/>
        <v>0</v>
      </c>
      <c r="I23" s="9">
        <f t="shared" si="6"/>
        <v>0</v>
      </c>
      <c r="J23" s="9">
        <f t="shared" si="7"/>
        <v>1.4543407080203116E-2</v>
      </c>
      <c r="K23" s="9">
        <f t="shared" si="8"/>
        <v>0</v>
      </c>
      <c r="L23" s="9">
        <f t="shared" si="9"/>
        <v>0</v>
      </c>
      <c r="M23">
        <f t="shared" si="0"/>
        <v>5.982458165784859</v>
      </c>
      <c r="N23">
        <f t="shared" si="10"/>
        <v>0</v>
      </c>
      <c r="O23">
        <f t="shared" si="24"/>
        <v>5.982458165784859</v>
      </c>
      <c r="P23">
        <f t="shared" si="22"/>
        <v>5.3463050562385632</v>
      </c>
      <c r="Q23" s="9">
        <f t="shared" si="1"/>
        <v>0.89366359247029736</v>
      </c>
      <c r="R23">
        <f>VLOOKUP($B$1,dictionary!$A$3:$K$51,3,FALSE)*Q23</f>
        <v>8.9366359247029736E-2</v>
      </c>
      <c r="S23">
        <f>VLOOKUP($B$1,dictionary!$A$3:$K$51,4,FALSE)*Q23</f>
        <v>4.4683179623514868E-2</v>
      </c>
      <c r="T23">
        <f>VLOOKUP($B$1,dictionary!$A$3:$K$51,5,FALSE)*Q23</f>
        <v>0.26809907774108921</v>
      </c>
      <c r="U23">
        <f>VLOOKUP($B$1,dictionary!$A$3:$K$51,6,FALSE)*Q23</f>
        <v>0.17873271849405947</v>
      </c>
      <c r="V23">
        <f>VLOOKUP($B$1,dictionary!$A$3:$K$51,7,FALSE)*Q23</f>
        <v>0</v>
      </c>
      <c r="W23">
        <f>VLOOKUP($B$1,dictionary!$A$3:$K$51,8,FALSE)*Q23</f>
        <v>4.4683179623514868E-2</v>
      </c>
      <c r="X23">
        <f>VLOOKUP($B$1,dictionary!$A$3:$K$51,9,FALSE)*Q23</f>
        <v>4.4683179623514868E-2</v>
      </c>
      <c r="Y23">
        <f>VLOOKUP($B$1,dictionary!$A$3:$K$51,10,FALSE)*Q23</f>
        <v>0.17873271849405947</v>
      </c>
      <c r="Z23">
        <f>VLOOKUP($B$1,dictionary!$A$3:$K$51,11,FALSE)*Q23</f>
        <v>4.4683179623514868E-2</v>
      </c>
      <c r="AA23">
        <f t="shared" si="2"/>
        <v>0.63615310954629578</v>
      </c>
      <c r="AB23">
        <f t="shared" si="11"/>
        <v>0.63615310954629578</v>
      </c>
      <c r="AC23">
        <f t="shared" si="12"/>
        <v>0</v>
      </c>
      <c r="AD23">
        <f t="shared" si="3"/>
        <v>0.53463050562385628</v>
      </c>
      <c r="AE23">
        <f t="shared" si="13"/>
        <v>0.11880677902752362</v>
      </c>
      <c r="AF23">
        <f t="shared" si="14"/>
        <v>1.7821016854128544</v>
      </c>
      <c r="AG23">
        <f t="shared" si="15"/>
        <v>1.2220125842831002</v>
      </c>
      <c r="AH23">
        <f t="shared" si="16"/>
        <v>0</v>
      </c>
      <c r="AI23">
        <f t="shared" si="17"/>
        <v>0.28138447664413485</v>
      </c>
      <c r="AJ23">
        <f t="shared" si="18"/>
        <v>0.28138447664413485</v>
      </c>
      <c r="AK23">
        <f t="shared" si="19"/>
        <v>1.0692610112477126</v>
      </c>
      <c r="AL23">
        <f t="shared" si="20"/>
        <v>0.11880677902752362</v>
      </c>
    </row>
    <row r="24" spans="1:38" x14ac:dyDescent="0.2">
      <c r="A24">
        <v>2041</v>
      </c>
      <c r="B24">
        <v>16</v>
      </c>
      <c r="C24">
        <f t="shared" si="21"/>
        <v>6.1982332161062095</v>
      </c>
      <c r="D24">
        <f t="shared" si="23"/>
        <v>0.73876259595256144</v>
      </c>
      <c r="E24">
        <f t="shared" si="4"/>
        <v>0</v>
      </c>
      <c r="F24">
        <f t="shared" si="5"/>
        <v>0</v>
      </c>
      <c r="G24" s="9">
        <f t="shared" si="6"/>
        <v>0.11918922218558586</v>
      </c>
      <c r="H24" s="9">
        <f t="shared" si="6"/>
        <v>0</v>
      </c>
      <c r="I24" s="9">
        <f t="shared" si="6"/>
        <v>0</v>
      </c>
      <c r="J24" s="9">
        <f t="shared" si="7"/>
        <v>1.5494598884126163E-2</v>
      </c>
      <c r="K24" s="9">
        <f t="shared" si="8"/>
        <v>0</v>
      </c>
      <c r="L24" s="9">
        <f t="shared" si="9"/>
        <v>0</v>
      </c>
      <c r="M24">
        <f t="shared" si="0"/>
        <v>6.1021940786323761</v>
      </c>
      <c r="N24">
        <f t="shared" si="10"/>
        <v>0</v>
      </c>
      <c r="O24">
        <f t="shared" si="24"/>
        <v>6.1021940786323761</v>
      </c>
      <c r="P24">
        <f t="shared" si="22"/>
        <v>5.6508739819270843</v>
      </c>
      <c r="Q24" s="9">
        <f t="shared" si="1"/>
        <v>0.92603970131241031</v>
      </c>
      <c r="R24">
        <f>VLOOKUP($B$1,dictionary!$A$3:$K$51,3,FALSE)*Q24</f>
        <v>9.260397013124104E-2</v>
      </c>
      <c r="S24">
        <f>VLOOKUP($B$1,dictionary!$A$3:$K$51,4,FALSE)*Q24</f>
        <v>4.630198506562052E-2</v>
      </c>
      <c r="T24">
        <f>VLOOKUP($B$1,dictionary!$A$3:$K$51,5,FALSE)*Q24</f>
        <v>0.2778119103937231</v>
      </c>
      <c r="U24">
        <f>VLOOKUP($B$1,dictionary!$A$3:$K$51,6,FALSE)*Q24</f>
        <v>0.18520794026248208</v>
      </c>
      <c r="V24">
        <f>VLOOKUP($B$1,dictionary!$A$3:$K$51,7,FALSE)*Q24</f>
        <v>0</v>
      </c>
      <c r="W24">
        <f>VLOOKUP($B$1,dictionary!$A$3:$K$51,8,FALSE)*Q24</f>
        <v>4.630198506562052E-2</v>
      </c>
      <c r="X24">
        <f>VLOOKUP($B$1,dictionary!$A$3:$K$51,9,FALSE)*Q24</f>
        <v>4.630198506562052E-2</v>
      </c>
      <c r="Y24">
        <f>VLOOKUP($B$1,dictionary!$A$3:$K$51,10,FALSE)*Q24</f>
        <v>0.18520794026248208</v>
      </c>
      <c r="Z24">
        <f>VLOOKUP($B$1,dictionary!$A$3:$K$51,11,FALSE)*Q24</f>
        <v>4.630198506562052E-2</v>
      </c>
      <c r="AA24">
        <f t="shared" si="2"/>
        <v>0.45132009670529172</v>
      </c>
      <c r="AB24">
        <f t="shared" si="11"/>
        <v>0.45132009670529172</v>
      </c>
      <c r="AC24">
        <f t="shared" si="12"/>
        <v>0</v>
      </c>
      <c r="AD24">
        <f t="shared" si="3"/>
        <v>0.56508739819270848</v>
      </c>
      <c r="AE24">
        <f t="shared" si="13"/>
        <v>0.12557497737615744</v>
      </c>
      <c r="AF24">
        <f t="shared" si="14"/>
        <v>1.8836246606423617</v>
      </c>
      <c r="AG24">
        <f t="shared" si="15"/>
        <v>1.2916283387261911</v>
      </c>
      <c r="AH24">
        <f t="shared" si="16"/>
        <v>0</v>
      </c>
      <c r="AI24">
        <f t="shared" si="17"/>
        <v>0.29741442010142549</v>
      </c>
      <c r="AJ24">
        <f t="shared" si="18"/>
        <v>0.29741442010142549</v>
      </c>
      <c r="AK24">
        <f t="shared" si="19"/>
        <v>1.130174796385417</v>
      </c>
      <c r="AL24">
        <f t="shared" si="20"/>
        <v>0.12557497737615744</v>
      </c>
    </row>
    <row r="25" spans="1:38" x14ac:dyDescent="0.2">
      <c r="A25">
        <v>2042</v>
      </c>
      <c r="B25">
        <v>17</v>
      </c>
      <c r="C25">
        <f t="shared" si="21"/>
        <v>6.3283961136444393</v>
      </c>
      <c r="D25">
        <f t="shared" si="23"/>
        <v>0.80035402466176686</v>
      </c>
      <c r="E25">
        <f t="shared" si="4"/>
        <v>0</v>
      </c>
      <c r="F25">
        <f t="shared" si="5"/>
        <v>0</v>
      </c>
      <c r="G25" s="9">
        <f t="shared" si="6"/>
        <v>0.12647027940241459</v>
      </c>
      <c r="H25" s="9">
        <f t="shared" si="6"/>
        <v>0</v>
      </c>
      <c r="I25" s="9">
        <f t="shared" si="6"/>
        <v>0</v>
      </c>
      <c r="J25" s="9">
        <f t="shared" si="7"/>
        <v>1.6441136322313896E-2</v>
      </c>
      <c r="K25" s="9">
        <f t="shared" si="8"/>
        <v>0</v>
      </c>
      <c r="L25" s="9">
        <f t="shared" si="9"/>
        <v>0</v>
      </c>
      <c r="M25">
        <f t="shared" si="0"/>
        <v>6.2243500904384099</v>
      </c>
      <c r="N25">
        <f t="shared" si="10"/>
        <v>0</v>
      </c>
      <c r="O25">
        <f t="shared" si="24"/>
        <v>6.2243500904384099</v>
      </c>
      <c r="P25">
        <f>IF($I$3=0,0,M25/(1+EXP(-$I$3*(B25-$J$3)))-M25/(1+EXP($I$3*$J$3)))</f>
        <v>5.9001970118987419</v>
      </c>
      <c r="Q25" s="9">
        <f t="shared" si="1"/>
        <v>0.94792177916894194</v>
      </c>
      <c r="R25">
        <f>VLOOKUP($B$1,dictionary!$A$3:$K$51,3,FALSE)*Q25</f>
        <v>9.4792177916894205E-2</v>
      </c>
      <c r="S25">
        <f>VLOOKUP($B$1,dictionary!$A$3:$K$51,4,FALSE)*Q25</f>
        <v>4.7396088958447102E-2</v>
      </c>
      <c r="T25">
        <f>VLOOKUP($B$1,dictionary!$A$3:$K$51,5,FALSE)*Q25</f>
        <v>0.28437653375068256</v>
      </c>
      <c r="U25">
        <f>VLOOKUP($B$1,dictionary!$A$3:$K$51,6,FALSE)*Q25</f>
        <v>0.18958435583378841</v>
      </c>
      <c r="V25">
        <f>VLOOKUP($B$1,dictionary!$A$3:$K$51,7,FALSE)*Q25</f>
        <v>0</v>
      </c>
      <c r="W25">
        <f>VLOOKUP($B$1,dictionary!$A$3:$K$51,8,FALSE)*Q25</f>
        <v>4.7396088958447102E-2</v>
      </c>
      <c r="X25">
        <f>VLOOKUP($B$1,dictionary!$A$3:$K$51,9,FALSE)*Q25</f>
        <v>4.7396088958447102E-2</v>
      </c>
      <c r="Y25">
        <f>VLOOKUP($B$1,dictionary!$A$3:$K$51,10,FALSE)*Q25</f>
        <v>0.18958435583378841</v>
      </c>
      <c r="Z25">
        <f>VLOOKUP($B$1,dictionary!$A$3:$K$51,11,FALSE)*Q25</f>
        <v>4.7396088958447102E-2</v>
      </c>
      <c r="AA25">
        <f t="shared" si="2"/>
        <v>0.32415307853966802</v>
      </c>
      <c r="AB25">
        <f t="shared" si="11"/>
        <v>0.32415307853966802</v>
      </c>
      <c r="AC25">
        <f t="shared" si="12"/>
        <v>0</v>
      </c>
      <c r="AD25">
        <f t="shared" si="3"/>
        <v>0.59001970118987423</v>
      </c>
      <c r="AE25">
        <f t="shared" si="13"/>
        <v>0.1311154891533054</v>
      </c>
      <c r="AF25">
        <f t="shared" si="14"/>
        <v>1.9667323372995806</v>
      </c>
      <c r="AG25">
        <f t="shared" si="15"/>
        <v>1.3486164598625698</v>
      </c>
      <c r="AH25">
        <f t="shared" si="16"/>
        <v>0</v>
      </c>
      <c r="AI25">
        <f t="shared" si="17"/>
        <v>0.31053668483677588</v>
      </c>
      <c r="AJ25">
        <f t="shared" si="18"/>
        <v>0.31053668483677588</v>
      </c>
      <c r="AK25">
        <f t="shared" si="19"/>
        <v>1.1800394023797485</v>
      </c>
      <c r="AL25">
        <f t="shared" si="20"/>
        <v>0.1311154891533054</v>
      </c>
    </row>
    <row r="26" spans="1:38" x14ac:dyDescent="0.2">
      <c r="A26">
        <v>2043</v>
      </c>
      <c r="B26">
        <v>18</v>
      </c>
      <c r="C26">
        <f t="shared" si="21"/>
        <v>6.4612924320309721</v>
      </c>
      <c r="D26">
        <f t="shared" si="23"/>
        <v>0.86395585275350806</v>
      </c>
      <c r="E26">
        <f t="shared" si="4"/>
        <v>0</v>
      </c>
      <c r="F26">
        <f t="shared" si="5"/>
        <v>0</v>
      </c>
      <c r="G26" s="9">
        <f t="shared" si="6"/>
        <v>0.13371254464053745</v>
      </c>
      <c r="H26" s="9">
        <f t="shared" si="6"/>
        <v>0</v>
      </c>
      <c r="I26" s="9">
        <f t="shared" si="6"/>
        <v>0</v>
      </c>
      <c r="J26" s="9">
        <f t="shared" si="7"/>
        <v>1.7382630803269867E-2</v>
      </c>
      <c r="K26" s="9">
        <f t="shared" si="8"/>
        <v>0</v>
      </c>
      <c r="L26" s="9">
        <f t="shared" si="9"/>
        <v>0</v>
      </c>
      <c r="M26">
        <f t="shared" si="0"/>
        <v>6.348978171173016</v>
      </c>
      <c r="N26">
        <f t="shared" si="10"/>
        <v>0</v>
      </c>
      <c r="O26">
        <f t="shared" si="24"/>
        <v>6.348978171173016</v>
      </c>
      <c r="P26">
        <f t="shared" si="22"/>
        <v>6.1103585806050988</v>
      </c>
      <c r="Q26" s="9">
        <f t="shared" si="1"/>
        <v>0.96241606379254085</v>
      </c>
      <c r="R26">
        <f>VLOOKUP($B$1,dictionary!$A$3:$K$51,3,FALSE)*Q26</f>
        <v>9.6241606379254094E-2</v>
      </c>
      <c r="S26">
        <f>VLOOKUP($B$1,dictionary!$A$3:$K$51,4,FALSE)*Q26</f>
        <v>4.8120803189627047E-2</v>
      </c>
      <c r="T26">
        <f>VLOOKUP($B$1,dictionary!$A$3:$K$51,5,FALSE)*Q26</f>
        <v>0.28872481913776227</v>
      </c>
      <c r="U26">
        <f>VLOOKUP($B$1,dictionary!$A$3:$K$51,6,FALSE)*Q26</f>
        <v>0.19248321275850819</v>
      </c>
      <c r="V26">
        <f>VLOOKUP($B$1,dictionary!$A$3:$K$51,7,FALSE)*Q26</f>
        <v>0</v>
      </c>
      <c r="W26">
        <f>VLOOKUP($B$1,dictionary!$A$3:$K$51,8,FALSE)*Q26</f>
        <v>4.8120803189627047E-2</v>
      </c>
      <c r="X26">
        <f>VLOOKUP($B$1,dictionary!$A$3:$K$51,9,FALSE)*Q26</f>
        <v>4.8120803189627047E-2</v>
      </c>
      <c r="Y26">
        <f>VLOOKUP($B$1,dictionary!$A$3:$K$51,10,FALSE)*Q26</f>
        <v>0.19248321275850819</v>
      </c>
      <c r="Z26">
        <f>VLOOKUP($B$1,dictionary!$A$3:$K$51,11,FALSE)*Q26</f>
        <v>4.8120803189627047E-2</v>
      </c>
      <c r="AA26">
        <f t="shared" si="2"/>
        <v>0.23861959056791715</v>
      </c>
      <c r="AB26">
        <f t="shared" si="11"/>
        <v>0.23861959056791715</v>
      </c>
      <c r="AC26">
        <f t="shared" si="12"/>
        <v>0</v>
      </c>
      <c r="AD26">
        <f t="shared" si="3"/>
        <v>0.61103585806050997</v>
      </c>
      <c r="AE26">
        <f t="shared" si="13"/>
        <v>0.13578574623566889</v>
      </c>
      <c r="AF26">
        <f t="shared" si="14"/>
        <v>2.0367861935350331</v>
      </c>
      <c r="AG26">
        <f t="shared" si="15"/>
        <v>1.3966533898525944</v>
      </c>
      <c r="AH26">
        <f t="shared" si="16"/>
        <v>0</v>
      </c>
      <c r="AI26">
        <f t="shared" si="17"/>
        <v>0.32159782003184734</v>
      </c>
      <c r="AJ26">
        <f t="shared" si="18"/>
        <v>0.32159782003184734</v>
      </c>
      <c r="AK26">
        <f t="shared" si="19"/>
        <v>1.2220717161210199</v>
      </c>
      <c r="AL26">
        <f t="shared" si="20"/>
        <v>0.13578574623566889</v>
      </c>
    </row>
    <row r="27" spans="1:38" x14ac:dyDescent="0.2">
      <c r="A27">
        <v>2044</v>
      </c>
      <c r="B27">
        <v>19</v>
      </c>
      <c r="C27">
        <f t="shared" si="21"/>
        <v>6.5969795731036216</v>
      </c>
      <c r="D27">
        <f t="shared" si="23"/>
        <v>0.92960081067312128</v>
      </c>
      <c r="E27">
        <f t="shared" si="4"/>
        <v>0</v>
      </c>
      <c r="F27">
        <f t="shared" si="5"/>
        <v>0</v>
      </c>
      <c r="G27" s="9">
        <f t="shared" si="6"/>
        <v>0.14091309520847589</v>
      </c>
      <c r="H27" s="9">
        <f t="shared" si="6"/>
        <v>0</v>
      </c>
      <c r="I27" s="9">
        <f t="shared" si="6"/>
        <v>0</v>
      </c>
      <c r="J27" s="9">
        <f t="shared" si="7"/>
        <v>1.8318702377101866E-2</v>
      </c>
      <c r="K27" s="9">
        <f t="shared" si="8"/>
        <v>0</v>
      </c>
      <c r="L27" s="9">
        <f t="shared" si="9"/>
        <v>0</v>
      </c>
      <c r="M27">
        <f t="shared" si="0"/>
        <v>6.4761314677161161</v>
      </c>
      <c r="N27">
        <f t="shared" si="10"/>
        <v>0</v>
      </c>
      <c r="O27">
        <f t="shared" si="24"/>
        <v>6.4761314677161161</v>
      </c>
      <c r="P27">
        <f t="shared" si="22"/>
        <v>6.2940810918019361</v>
      </c>
      <c r="Q27" s="9">
        <f t="shared" si="1"/>
        <v>0.97188902405367905</v>
      </c>
      <c r="R27">
        <f>VLOOKUP($B$1,dictionary!$A$3:$K$51,3,FALSE)*Q27</f>
        <v>9.7188902405367913E-2</v>
      </c>
      <c r="S27">
        <f>VLOOKUP($B$1,dictionary!$A$3:$K$51,4,FALSE)*Q27</f>
        <v>4.8594451202683957E-2</v>
      </c>
      <c r="T27">
        <f>VLOOKUP($B$1,dictionary!$A$3:$K$51,5,FALSE)*Q27</f>
        <v>0.29156670721610373</v>
      </c>
      <c r="U27">
        <f>VLOOKUP($B$1,dictionary!$A$3:$K$51,6,FALSE)*Q27</f>
        <v>0.19437780481073583</v>
      </c>
      <c r="V27">
        <f>VLOOKUP($B$1,dictionary!$A$3:$K$51,7,FALSE)*Q27</f>
        <v>0</v>
      </c>
      <c r="W27">
        <f>VLOOKUP($B$1,dictionary!$A$3:$K$51,8,FALSE)*Q27</f>
        <v>4.8594451202683957E-2</v>
      </c>
      <c r="X27">
        <f>VLOOKUP($B$1,dictionary!$A$3:$K$51,9,FALSE)*Q27</f>
        <v>4.8594451202683957E-2</v>
      </c>
      <c r="Y27">
        <f>VLOOKUP($B$1,dictionary!$A$3:$K$51,10,FALSE)*Q27</f>
        <v>0.19437780481073583</v>
      </c>
      <c r="Z27">
        <f>VLOOKUP($B$1,dictionary!$A$3:$K$51,11,FALSE)*Q27</f>
        <v>4.8594451202683957E-2</v>
      </c>
      <c r="AA27">
        <f t="shared" si="2"/>
        <v>0.18205037591418005</v>
      </c>
      <c r="AB27">
        <f t="shared" si="11"/>
        <v>0.18205037591418005</v>
      </c>
      <c r="AC27">
        <f t="shared" si="12"/>
        <v>0</v>
      </c>
      <c r="AD27">
        <f t="shared" si="3"/>
        <v>0.62940810918019363</v>
      </c>
      <c r="AE27">
        <f t="shared" si="13"/>
        <v>0.13986846870670971</v>
      </c>
      <c r="AF27">
        <f t="shared" si="14"/>
        <v>2.0980270306006457</v>
      </c>
      <c r="AG27">
        <f t="shared" si="15"/>
        <v>1.4386471066975857</v>
      </c>
      <c r="AH27">
        <f t="shared" si="16"/>
        <v>0</v>
      </c>
      <c r="AI27">
        <f t="shared" si="17"/>
        <v>0.33126742588431241</v>
      </c>
      <c r="AJ27">
        <f t="shared" si="18"/>
        <v>0.33126742588431241</v>
      </c>
      <c r="AK27">
        <f t="shared" si="19"/>
        <v>1.2588162183603873</v>
      </c>
      <c r="AL27">
        <f t="shared" si="20"/>
        <v>0.13986846870670971</v>
      </c>
    </row>
    <row r="28" spans="1:38" x14ac:dyDescent="0.2">
      <c r="A28">
        <v>2045</v>
      </c>
      <c r="B28">
        <v>20</v>
      </c>
      <c r="C28">
        <f t="shared" si="21"/>
        <v>6.7355161441387974</v>
      </c>
      <c r="D28">
        <f t="shared" si="23"/>
        <v>0.99732167402557748</v>
      </c>
      <c r="E28">
        <f t="shared" si="4"/>
        <v>0</v>
      </c>
      <c r="F28">
        <f t="shared" si="5"/>
        <v>0</v>
      </c>
      <c r="G28" s="9">
        <f t="shared" si="6"/>
        <v>0.14806907929297153</v>
      </c>
      <c r="H28" s="9">
        <f t="shared" si="6"/>
        <v>0</v>
      </c>
      <c r="I28" s="9">
        <f t="shared" si="6"/>
        <v>0</v>
      </c>
      <c r="J28" s="9">
        <f t="shared" si="7"/>
        <v>1.9248980308086298E-2</v>
      </c>
      <c r="K28" s="9">
        <f t="shared" si="8"/>
        <v>0</v>
      </c>
      <c r="L28" s="9">
        <f t="shared" si="9"/>
        <v>0</v>
      </c>
      <c r="M28">
        <f t="shared" si="0"/>
        <v>6.605864326515472</v>
      </c>
      <c r="N28">
        <f t="shared" si="10"/>
        <v>0</v>
      </c>
      <c r="O28">
        <f t="shared" si="24"/>
        <v>6.605864326515472</v>
      </c>
      <c r="P28">
        <f t="shared" si="22"/>
        <v>6.4607078217536573</v>
      </c>
      <c r="Q28" s="9">
        <f t="shared" si="1"/>
        <v>0.97802611473881373</v>
      </c>
      <c r="R28">
        <f>VLOOKUP($B$1,dictionary!$A$3:$K$51,3,FALSE)*Q28</f>
        <v>9.7802611473881376E-2</v>
      </c>
      <c r="S28">
        <f>VLOOKUP($B$1,dictionary!$A$3:$K$51,4,FALSE)*Q28</f>
        <v>4.8901305736940688E-2</v>
      </c>
      <c r="T28">
        <f>VLOOKUP($B$1,dictionary!$A$3:$K$51,5,FALSE)*Q28</f>
        <v>0.29340783442164409</v>
      </c>
      <c r="U28">
        <f>VLOOKUP($B$1,dictionary!$A$3:$K$51,6,FALSE)*Q28</f>
        <v>0.19560522294776275</v>
      </c>
      <c r="V28">
        <f>VLOOKUP($B$1,dictionary!$A$3:$K$51,7,FALSE)*Q28</f>
        <v>0</v>
      </c>
      <c r="W28">
        <f>VLOOKUP($B$1,dictionary!$A$3:$K$51,8,FALSE)*Q28</f>
        <v>4.8901305736940688E-2</v>
      </c>
      <c r="X28">
        <f>VLOOKUP($B$1,dictionary!$A$3:$K$51,9,FALSE)*Q28</f>
        <v>4.8901305736940688E-2</v>
      </c>
      <c r="Y28">
        <f>VLOOKUP($B$1,dictionary!$A$3:$K$51,10,FALSE)*Q28</f>
        <v>0.19560522294776275</v>
      </c>
      <c r="Z28">
        <f>VLOOKUP($B$1,dictionary!$A$3:$K$51,11,FALSE)*Q28</f>
        <v>4.8901305736940688E-2</v>
      </c>
      <c r="AA28">
        <f t="shared" si="2"/>
        <v>0.14515650476181463</v>
      </c>
      <c r="AB28">
        <f t="shared" si="11"/>
        <v>0.14515650476181463</v>
      </c>
      <c r="AC28">
        <f t="shared" si="12"/>
        <v>0</v>
      </c>
      <c r="AD28">
        <f t="shared" si="3"/>
        <v>0.64607078217536573</v>
      </c>
      <c r="AE28">
        <f t="shared" si="13"/>
        <v>0.14357128492785906</v>
      </c>
      <c r="AF28">
        <f t="shared" si="14"/>
        <v>2.1535692739178858</v>
      </c>
      <c r="AG28">
        <f t="shared" si="15"/>
        <v>1.4767332164008362</v>
      </c>
      <c r="AH28">
        <f t="shared" si="16"/>
        <v>0</v>
      </c>
      <c r="AI28">
        <f t="shared" si="17"/>
        <v>0.34003725377650829</v>
      </c>
      <c r="AJ28">
        <f t="shared" si="18"/>
        <v>0.34003725377650829</v>
      </c>
      <c r="AK28">
        <f t="shared" si="19"/>
        <v>1.2921415643507315</v>
      </c>
      <c r="AL28">
        <f t="shared" si="20"/>
        <v>0.14357128492785906</v>
      </c>
    </row>
    <row r="29" spans="1:38" x14ac:dyDescent="0.2">
      <c r="A29">
        <v>2046</v>
      </c>
      <c r="B29">
        <v>21</v>
      </c>
      <c r="C29">
        <f t="shared" si="21"/>
        <v>6.8769619831657112</v>
      </c>
      <c r="D29">
        <f t="shared" si="23"/>
        <v>1.0671512818514199</v>
      </c>
      <c r="E29">
        <f t="shared" si="4"/>
        <v>0</v>
      </c>
      <c r="F29">
        <f t="shared" si="5"/>
        <v>0</v>
      </c>
      <c r="G29" s="9">
        <f t="shared" si="6"/>
        <v>0.15517772011299852</v>
      </c>
      <c r="H29" s="9">
        <f t="shared" si="6"/>
        <v>0</v>
      </c>
      <c r="I29" s="9">
        <f t="shared" si="6"/>
        <v>0</v>
      </c>
      <c r="J29" s="9">
        <f t="shared" si="7"/>
        <v>2.0173103614689807E-2</v>
      </c>
      <c r="K29" s="9">
        <f t="shared" si="8"/>
        <v>0</v>
      </c>
      <c r="L29" s="9">
        <f t="shared" si="9"/>
        <v>0</v>
      </c>
      <c r="M29">
        <f t="shared" si="0"/>
        <v>6.7382323165250266</v>
      </c>
      <c r="N29">
        <f t="shared" si="10"/>
        <v>0</v>
      </c>
      <c r="O29">
        <f t="shared" si="24"/>
        <v>6.7382323165250266</v>
      </c>
      <c r="P29">
        <f t="shared" si="22"/>
        <v>6.6168058003628731</v>
      </c>
      <c r="Q29" s="9">
        <f t="shared" si="1"/>
        <v>0.98197947021441157</v>
      </c>
      <c r="R29">
        <f>VLOOKUP($B$1,dictionary!$A$3:$K$51,3,FALSE)*Q29</f>
        <v>9.8197947021441162E-2</v>
      </c>
      <c r="S29">
        <f>VLOOKUP($B$1,dictionary!$A$3:$K$51,4,FALSE)*Q29</f>
        <v>4.9098973510720581E-2</v>
      </c>
      <c r="T29">
        <f>VLOOKUP($B$1,dictionary!$A$3:$K$51,5,FALSE)*Q29</f>
        <v>0.29459384106432346</v>
      </c>
      <c r="U29">
        <f>VLOOKUP($B$1,dictionary!$A$3:$K$51,6,FALSE)*Q29</f>
        <v>0.19639589404288232</v>
      </c>
      <c r="V29">
        <f>VLOOKUP($B$1,dictionary!$A$3:$K$51,7,FALSE)*Q29</f>
        <v>0</v>
      </c>
      <c r="W29">
        <f>VLOOKUP($B$1,dictionary!$A$3:$K$51,8,FALSE)*Q29</f>
        <v>4.9098973510720581E-2</v>
      </c>
      <c r="X29">
        <f>VLOOKUP($B$1,dictionary!$A$3:$K$51,9,FALSE)*Q29</f>
        <v>4.9098973510720581E-2</v>
      </c>
      <c r="Y29">
        <f>VLOOKUP($B$1,dictionary!$A$3:$K$51,10,FALSE)*Q29</f>
        <v>0.19639589404288232</v>
      </c>
      <c r="Z29">
        <f>VLOOKUP($B$1,dictionary!$A$3:$K$51,11,FALSE)*Q29</f>
        <v>4.9098973510720581E-2</v>
      </c>
      <c r="AA29">
        <f t="shared" si="2"/>
        <v>0.1214265161621535</v>
      </c>
      <c r="AB29">
        <f t="shared" si="11"/>
        <v>0.1214265161621535</v>
      </c>
      <c r="AC29">
        <f t="shared" si="12"/>
        <v>0</v>
      </c>
      <c r="AD29">
        <f t="shared" si="3"/>
        <v>0.66168058003628727</v>
      </c>
      <c r="AE29">
        <f t="shared" si="13"/>
        <v>0.14704012889695273</v>
      </c>
      <c r="AF29">
        <f t="shared" si="14"/>
        <v>2.2056019334542909</v>
      </c>
      <c r="AG29">
        <f t="shared" si="15"/>
        <v>1.5124127543686567</v>
      </c>
      <c r="AH29">
        <f t="shared" si="16"/>
        <v>0</v>
      </c>
      <c r="AI29">
        <f t="shared" si="17"/>
        <v>0.34825293686120379</v>
      </c>
      <c r="AJ29">
        <f t="shared" si="18"/>
        <v>0.34825293686120379</v>
      </c>
      <c r="AK29">
        <f t="shared" si="19"/>
        <v>1.3233611600725745</v>
      </c>
      <c r="AL29">
        <f t="shared" si="20"/>
        <v>0.14704012889695273</v>
      </c>
    </row>
    <row r="30" spans="1:38" x14ac:dyDescent="0.2">
      <c r="A30">
        <v>2047</v>
      </c>
      <c r="B30">
        <v>22</v>
      </c>
      <c r="C30">
        <f t="shared" si="21"/>
        <v>7.0213781848121908</v>
      </c>
      <c r="D30">
        <f t="shared" si="23"/>
        <v>1.1391225567134464</v>
      </c>
      <c r="E30">
        <f t="shared" si="4"/>
        <v>0</v>
      </c>
      <c r="F30">
        <f t="shared" si="5"/>
        <v>0</v>
      </c>
      <c r="G30" s="9">
        <f t="shared" si="6"/>
        <v>0.16223631981217884</v>
      </c>
      <c r="H30" s="9">
        <f t="shared" si="6"/>
        <v>0</v>
      </c>
      <c r="I30" s="9">
        <f t="shared" si="6"/>
        <v>0</v>
      </c>
      <c r="J30" s="9">
        <f t="shared" si="7"/>
        <v>2.1090721575583251E-2</v>
      </c>
      <c r="K30" s="9">
        <f t="shared" si="8"/>
        <v>0</v>
      </c>
      <c r="L30" s="9">
        <f t="shared" si="9"/>
        <v>0</v>
      </c>
      <c r="M30">
        <f t="shared" si="0"/>
        <v>6.8732922524394429</v>
      </c>
      <c r="N30">
        <f t="shared" si="10"/>
        <v>0</v>
      </c>
      <c r="O30">
        <f t="shared" si="24"/>
        <v>6.8732922524394429</v>
      </c>
      <c r="P30">
        <f t="shared" si="22"/>
        <v>6.7668715852966423</v>
      </c>
      <c r="Q30" s="9">
        <f t="shared" si="1"/>
        <v>0.98451678420846578</v>
      </c>
      <c r="R30">
        <f>VLOOKUP($B$1,dictionary!$A$3:$K$51,3,FALSE)*Q30</f>
        <v>9.8451678420846581E-2</v>
      </c>
      <c r="S30">
        <f>VLOOKUP($B$1,dictionary!$A$3:$K$51,4,FALSE)*Q30</f>
        <v>4.922583921042329E-2</v>
      </c>
      <c r="T30">
        <f>VLOOKUP($B$1,dictionary!$A$3:$K$51,5,FALSE)*Q30</f>
        <v>0.2953550352625397</v>
      </c>
      <c r="U30">
        <f>VLOOKUP($B$1,dictionary!$A$3:$K$51,6,FALSE)*Q30</f>
        <v>0.19690335684169316</v>
      </c>
      <c r="V30">
        <f>VLOOKUP($B$1,dictionary!$A$3:$K$51,7,FALSE)*Q30</f>
        <v>0</v>
      </c>
      <c r="W30">
        <f>VLOOKUP($B$1,dictionary!$A$3:$K$51,8,FALSE)*Q30</f>
        <v>4.922583921042329E-2</v>
      </c>
      <c r="X30">
        <f>VLOOKUP($B$1,dictionary!$A$3:$K$51,9,FALSE)*Q30</f>
        <v>4.922583921042329E-2</v>
      </c>
      <c r="Y30">
        <f>VLOOKUP($B$1,dictionary!$A$3:$K$51,10,FALSE)*Q30</f>
        <v>0.19690335684169316</v>
      </c>
      <c r="Z30">
        <f>VLOOKUP($B$1,dictionary!$A$3:$K$51,11,FALSE)*Q30</f>
        <v>4.922583921042329E-2</v>
      </c>
      <c r="AA30">
        <f t="shared" si="2"/>
        <v>0.10642066714280052</v>
      </c>
      <c r="AB30">
        <f t="shared" si="11"/>
        <v>0.10642066714280052</v>
      </c>
      <c r="AC30">
        <f t="shared" si="12"/>
        <v>0</v>
      </c>
      <c r="AD30">
        <f t="shared" si="3"/>
        <v>0.67668715852966432</v>
      </c>
      <c r="AE30">
        <f t="shared" si="13"/>
        <v>0.1503749241177032</v>
      </c>
      <c r="AF30">
        <f t="shared" si="14"/>
        <v>2.2556238617655473</v>
      </c>
      <c r="AG30">
        <f t="shared" si="15"/>
        <v>1.5467135052106615</v>
      </c>
      <c r="AH30">
        <f t="shared" si="16"/>
        <v>0</v>
      </c>
      <c r="AI30">
        <f t="shared" si="17"/>
        <v>0.35615113606824433</v>
      </c>
      <c r="AJ30">
        <f t="shared" si="18"/>
        <v>0.35615113606824433</v>
      </c>
      <c r="AK30">
        <f t="shared" si="19"/>
        <v>1.3533743170593286</v>
      </c>
      <c r="AL30">
        <f t="shared" si="20"/>
        <v>0.1503749241177032</v>
      </c>
    </row>
    <row r="31" spans="1:38" x14ac:dyDescent="0.2">
      <c r="A31">
        <v>2048</v>
      </c>
      <c r="B31">
        <v>23</v>
      </c>
      <c r="C31">
        <f t="shared" si="21"/>
        <v>7.1688271266932464</v>
      </c>
      <c r="D31">
        <f t="shared" si="23"/>
        <v>1.213268526549792</v>
      </c>
      <c r="E31">
        <f t="shared" si="4"/>
        <v>0</v>
      </c>
      <c r="F31">
        <f t="shared" si="5"/>
        <v>0</v>
      </c>
      <c r="G31" s="9">
        <f t="shared" si="6"/>
        <v>0.16924226307985119</v>
      </c>
      <c r="H31" s="9">
        <f t="shared" si="6"/>
        <v>0</v>
      </c>
      <c r="I31" s="9">
        <f t="shared" si="6"/>
        <v>0</v>
      </c>
      <c r="J31" s="9">
        <f t="shared" si="7"/>
        <v>2.2001494200380656E-2</v>
      </c>
      <c r="K31" s="9">
        <f t="shared" si="8"/>
        <v>0</v>
      </c>
      <c r="L31" s="9">
        <f t="shared" si="9"/>
        <v>0</v>
      </c>
      <c r="M31">
        <f t="shared" si="0"/>
        <v>7.0111022182417733</v>
      </c>
      <c r="N31">
        <f t="shared" si="10"/>
        <v>0</v>
      </c>
      <c r="O31">
        <f t="shared" si="24"/>
        <v>7.0111022182417733</v>
      </c>
      <c r="P31">
        <f t="shared" si="22"/>
        <v>6.9139383548492273</v>
      </c>
      <c r="Q31" s="9">
        <f t="shared" si="1"/>
        <v>0.98614142821370643</v>
      </c>
      <c r="R31">
        <f>VLOOKUP($B$1,dictionary!$A$3:$K$51,3,FALSE)*Q31</f>
        <v>9.8614142821370654E-2</v>
      </c>
      <c r="S31">
        <f>VLOOKUP($B$1,dictionary!$A$3:$K$51,4,FALSE)*Q31</f>
        <v>4.9307071410685327E-2</v>
      </c>
      <c r="T31">
        <f>VLOOKUP($B$1,dictionary!$A$3:$K$51,5,FALSE)*Q31</f>
        <v>0.29584242846411191</v>
      </c>
      <c r="U31">
        <f>VLOOKUP($B$1,dictionary!$A$3:$K$51,6,FALSE)*Q31</f>
        <v>0.19722828564274131</v>
      </c>
      <c r="V31">
        <f>VLOOKUP($B$1,dictionary!$A$3:$K$51,7,FALSE)*Q31</f>
        <v>0</v>
      </c>
      <c r="W31">
        <f>VLOOKUP($B$1,dictionary!$A$3:$K$51,8,FALSE)*Q31</f>
        <v>4.9307071410685327E-2</v>
      </c>
      <c r="X31">
        <f>VLOOKUP($B$1,dictionary!$A$3:$K$51,9,FALSE)*Q31</f>
        <v>4.9307071410685327E-2</v>
      </c>
      <c r="Y31">
        <f>VLOOKUP($B$1,dictionary!$A$3:$K$51,10,FALSE)*Q31</f>
        <v>0.19722828564274131</v>
      </c>
      <c r="Z31">
        <f>VLOOKUP($B$1,dictionary!$A$3:$K$51,11,FALSE)*Q31</f>
        <v>4.9307071410685327E-2</v>
      </c>
      <c r="AA31">
        <f t="shared" si="2"/>
        <v>9.7163863392546013E-2</v>
      </c>
      <c r="AB31">
        <f t="shared" si="11"/>
        <v>9.7163863392546013E-2</v>
      </c>
      <c r="AC31">
        <f t="shared" si="12"/>
        <v>0</v>
      </c>
      <c r="AD31">
        <f t="shared" si="3"/>
        <v>0.69139383548492284</v>
      </c>
      <c r="AE31">
        <f t="shared" si="13"/>
        <v>0.15364307455220508</v>
      </c>
      <c r="AF31">
        <f t="shared" si="14"/>
        <v>2.3046461182830758</v>
      </c>
      <c r="AG31">
        <f t="shared" si="15"/>
        <v>1.5803287668226811</v>
      </c>
      <c r="AH31">
        <f t="shared" si="16"/>
        <v>0</v>
      </c>
      <c r="AI31">
        <f t="shared" si="17"/>
        <v>0.36389149236048568</v>
      </c>
      <c r="AJ31">
        <f t="shared" si="18"/>
        <v>0.36389149236048568</v>
      </c>
      <c r="AK31">
        <f t="shared" si="19"/>
        <v>1.3827876709698457</v>
      </c>
      <c r="AL31">
        <f t="shared" si="20"/>
        <v>0.15364307455220508</v>
      </c>
    </row>
    <row r="32" spans="1:38" x14ac:dyDescent="0.2">
      <c r="A32">
        <v>2049</v>
      </c>
      <c r="B32">
        <v>24</v>
      </c>
      <c r="C32">
        <f t="shared" si="21"/>
        <v>7.3193724963538038</v>
      </c>
      <c r="D32">
        <f t="shared" si="23"/>
        <v>1.2896223482429754</v>
      </c>
      <c r="E32">
        <f t="shared" si="4"/>
        <v>0</v>
      </c>
      <c r="F32">
        <f t="shared" si="5"/>
        <v>0</v>
      </c>
      <c r="G32" s="9">
        <f t="shared" si="6"/>
        <v>0.17619302049259136</v>
      </c>
      <c r="H32" s="9">
        <f t="shared" si="6"/>
        <v>0</v>
      </c>
      <c r="I32" s="9">
        <f t="shared" si="6"/>
        <v>0</v>
      </c>
      <c r="J32" s="9">
        <f t="shared" si="7"/>
        <v>2.2905092664036879E-2</v>
      </c>
      <c r="K32" s="9">
        <f t="shared" si="8"/>
        <v>0</v>
      </c>
      <c r="L32" s="9">
        <f t="shared" si="9"/>
        <v>0</v>
      </c>
      <c r="M32">
        <f t="shared" si="0"/>
        <v>7.1517215910822172</v>
      </c>
      <c r="N32">
        <f t="shared" si="10"/>
        <v>0</v>
      </c>
      <c r="O32">
        <f t="shared" si="24"/>
        <v>7.1517215910822172</v>
      </c>
      <c r="P32">
        <f t="shared" si="22"/>
        <v>7.0600373672408612</v>
      </c>
      <c r="Q32" s="9">
        <f t="shared" si="1"/>
        <v>0.987180118426914</v>
      </c>
      <c r="R32">
        <f>VLOOKUP($B$1,dictionary!$A$3:$K$51,3,FALSE)*Q32</f>
        <v>9.8718011842691411E-2</v>
      </c>
      <c r="S32">
        <f>VLOOKUP($B$1,dictionary!$A$3:$K$51,4,FALSE)*Q32</f>
        <v>4.9359005921345706E-2</v>
      </c>
      <c r="T32">
        <f>VLOOKUP($B$1,dictionary!$A$3:$K$51,5,FALSE)*Q32</f>
        <v>0.29615403552807418</v>
      </c>
      <c r="U32">
        <f>VLOOKUP($B$1,dictionary!$A$3:$K$51,6,FALSE)*Q32</f>
        <v>0.19743602368538282</v>
      </c>
      <c r="V32">
        <f>VLOOKUP($B$1,dictionary!$A$3:$K$51,7,FALSE)*Q32</f>
        <v>0</v>
      </c>
      <c r="W32">
        <f>VLOOKUP($B$1,dictionary!$A$3:$K$51,8,FALSE)*Q32</f>
        <v>4.9359005921345706E-2</v>
      </c>
      <c r="X32">
        <f>VLOOKUP($B$1,dictionary!$A$3:$K$51,9,FALSE)*Q32</f>
        <v>4.9359005921345706E-2</v>
      </c>
      <c r="Y32">
        <f>VLOOKUP($B$1,dictionary!$A$3:$K$51,10,FALSE)*Q32</f>
        <v>0.19743602368538282</v>
      </c>
      <c r="Z32">
        <f>VLOOKUP($B$1,dictionary!$A$3:$K$51,11,FALSE)*Q32</f>
        <v>4.9359005921345706E-2</v>
      </c>
      <c r="AA32">
        <f t="shared" si="2"/>
        <v>9.1684223841355994E-2</v>
      </c>
      <c r="AB32">
        <f t="shared" si="11"/>
        <v>9.1684223841355994E-2</v>
      </c>
      <c r="AC32">
        <f t="shared" si="12"/>
        <v>0</v>
      </c>
      <c r="AD32">
        <f t="shared" si="3"/>
        <v>0.70600373672408623</v>
      </c>
      <c r="AE32">
        <f t="shared" si="13"/>
        <v>0.15688971927201917</v>
      </c>
      <c r="AF32">
        <f t="shared" si="14"/>
        <v>2.3533457890802865</v>
      </c>
      <c r="AG32">
        <f t="shared" si="15"/>
        <v>1.6137228267979116</v>
      </c>
      <c r="AH32">
        <f t="shared" si="16"/>
        <v>0</v>
      </c>
      <c r="AI32">
        <f t="shared" si="17"/>
        <v>0.37158091406530852</v>
      </c>
      <c r="AJ32">
        <f t="shared" si="18"/>
        <v>0.37158091406530852</v>
      </c>
      <c r="AK32">
        <f t="shared" si="19"/>
        <v>1.4120074734481725</v>
      </c>
      <c r="AL32">
        <f t="shared" si="20"/>
        <v>0.15688971927201917</v>
      </c>
    </row>
    <row r="33" spans="1:38" x14ac:dyDescent="0.2">
      <c r="A33">
        <v>2050</v>
      </c>
      <c r="B33">
        <v>25</v>
      </c>
      <c r="C33">
        <f t="shared" si="21"/>
        <v>7.4730793187772333</v>
      </c>
      <c r="D33">
        <f t="shared" si="23"/>
        <v>1.36821733284888</v>
      </c>
      <c r="E33">
        <f t="shared" si="4"/>
        <v>0</v>
      </c>
      <c r="F33">
        <f t="shared" si="5"/>
        <v>0</v>
      </c>
      <c r="G33" s="9">
        <f t="shared" si="6"/>
        <v>0.18308615156954491</v>
      </c>
      <c r="H33" s="9">
        <f t="shared" si="6"/>
        <v>0</v>
      </c>
      <c r="I33" s="9">
        <f t="shared" si="6"/>
        <v>0</v>
      </c>
      <c r="J33" s="9">
        <f t="shared" si="7"/>
        <v>2.3801199704040838E-2</v>
      </c>
      <c r="K33" s="9">
        <f t="shared" si="8"/>
        <v>0</v>
      </c>
      <c r="L33" s="9">
        <f t="shared" si="9"/>
        <v>0</v>
      </c>
      <c r="M33">
        <f t="shared" si="0"/>
        <v>7.2952110655068791</v>
      </c>
      <c r="N33">
        <f t="shared" si="10"/>
        <v>0</v>
      </c>
      <c r="O33">
        <f t="shared" si="24"/>
        <v>7.2952110655068791</v>
      </c>
      <c r="P33">
        <f t="shared" si="22"/>
        <v>7.2065271758252294</v>
      </c>
      <c r="Q33" s="9">
        <f t="shared" si="1"/>
        <v>0.98784354710435129</v>
      </c>
      <c r="R33">
        <f>VLOOKUP($B$1,dictionary!$A$3:$K$51,3,FALSE)*Q33</f>
        <v>9.8784354710435132E-2</v>
      </c>
      <c r="S33">
        <f>VLOOKUP($B$1,dictionary!$A$3:$K$51,4,FALSE)*Q33</f>
        <v>4.9392177355217566E-2</v>
      </c>
      <c r="T33">
        <f>VLOOKUP($B$1,dictionary!$A$3:$K$51,5,FALSE)*Q33</f>
        <v>0.29635306413130535</v>
      </c>
      <c r="U33">
        <f>VLOOKUP($B$1,dictionary!$A$3:$K$51,6,FALSE)*Q33</f>
        <v>0.19756870942087026</v>
      </c>
      <c r="V33">
        <f>VLOOKUP($B$1,dictionary!$A$3:$K$51,7,FALSE)*Q33</f>
        <v>0</v>
      </c>
      <c r="W33">
        <f>VLOOKUP($B$1,dictionary!$A$3:$K$51,8,FALSE)*Q33</f>
        <v>4.9392177355217566E-2</v>
      </c>
      <c r="X33">
        <f>VLOOKUP($B$1,dictionary!$A$3:$K$51,9,FALSE)*Q33</f>
        <v>4.9392177355217566E-2</v>
      </c>
      <c r="Y33">
        <f>VLOOKUP($B$1,dictionary!$A$3:$K$51,10,FALSE)*Q33</f>
        <v>0.19756870942087026</v>
      </c>
      <c r="Z33">
        <f>VLOOKUP($B$1,dictionary!$A$3:$K$51,11,FALSE)*Q33</f>
        <v>4.9392177355217566E-2</v>
      </c>
      <c r="AA33">
        <f t="shared" si="2"/>
        <v>8.8683889681649752E-2</v>
      </c>
      <c r="AB33">
        <f t="shared" si="11"/>
        <v>8.8683889681649752E-2</v>
      </c>
      <c r="AC33">
        <f t="shared" si="12"/>
        <v>0</v>
      </c>
      <c r="AD33">
        <f t="shared" si="3"/>
        <v>0.72065271758252303</v>
      </c>
      <c r="AE33">
        <f t="shared" si="13"/>
        <v>0.16014504835167179</v>
      </c>
      <c r="AF33">
        <f t="shared" si="14"/>
        <v>2.4021757252750762</v>
      </c>
      <c r="AG33">
        <f t="shared" si="15"/>
        <v>1.6472062116171957</v>
      </c>
      <c r="AH33">
        <f t="shared" si="16"/>
        <v>0</v>
      </c>
      <c r="AI33">
        <f t="shared" si="17"/>
        <v>0.37929090399080156</v>
      </c>
      <c r="AJ33">
        <f t="shared" si="18"/>
        <v>0.37929090399080156</v>
      </c>
      <c r="AK33">
        <f t="shared" si="19"/>
        <v>1.4413054351650461</v>
      </c>
      <c r="AL33">
        <f t="shared" si="20"/>
        <v>0.16014504835167179</v>
      </c>
    </row>
    <row r="35" spans="1:38" x14ac:dyDescent="0.2">
      <c r="G35" s="2"/>
    </row>
    <row r="37" spans="1:38" x14ac:dyDescent="0.2">
      <c r="H37" s="2"/>
      <c r="I37" s="2"/>
    </row>
  </sheetData>
  <mergeCells count="1">
    <mergeCell ref="J6:L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8C23-AA72-CD47-9DB9-F2083DC681BC}">
  <sheetPr>
    <tabColor theme="4" tint="0.79998168889431442"/>
  </sheetPr>
  <dimension ref="A1:AY37"/>
  <sheetViews>
    <sheetView topLeftCell="I1" zoomScale="93" zoomScaleNormal="125" workbookViewId="0">
      <selection activeCell="M38" sqref="M3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17</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emissions!N28</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f>IF($N$7="LFO",M8/(1+EXP(-$I$4*(B8-$J$4)))-M8/(1+EXP($I$4*$J$4)),IF($N$7="MGO",M8/(1+EXP(-$I$5*(B8-$J$5)))-M8/(1+EXP($I$5*$J$5)),0))</f>
        <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f t="shared" ref="N9:N33" si="10">IF($N$7="LFO",M9/(1+EXP(-$I$4*(B9-$J$4)))-M9/(1+EXP($I$4*$J$4)),IF($N$7="MGO",M9/(1+EXP(-$I$5*(B9-$J$5)))-M9/(1+EXP($I$5*$J$5)),0))</f>
        <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f t="shared" si="10"/>
        <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f t="shared" si="10"/>
        <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f t="shared" si="10"/>
        <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f t="shared" si="10"/>
        <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f t="shared" si="10"/>
        <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f t="shared" si="10"/>
        <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f t="shared" si="10"/>
        <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f t="shared" si="10"/>
        <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f t="shared" si="10"/>
        <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f t="shared" si="10"/>
        <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f t="shared" si="10"/>
        <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f t="shared" si="10"/>
        <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f t="shared" si="10"/>
        <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f t="shared" si="10"/>
        <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f t="shared" si="10"/>
        <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f t="shared" si="10"/>
        <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f t="shared" si="10"/>
        <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f t="shared" si="10"/>
        <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f t="shared" si="10"/>
        <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f t="shared" si="10"/>
        <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f t="shared" si="10"/>
        <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f t="shared" si="10"/>
        <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f t="shared" si="10"/>
        <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f t="shared" si="10"/>
        <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1A4ED-2AA2-E54E-8610-0EA3732EE681}">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20</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5.6627290395888474</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5.6627290395888474</v>
      </c>
      <c r="N8">
        <f>IF($N$7="LFO",M8/(1+EXP(-$I$4*(B8-$J$4)))-M8/(1+EXP($I$4*$J$4)),IF($N$7="MGO",M8/(1+EXP(-$I$5*(B8-$J$5)))-M8/(1+EXP($I$5*$J$5)),0))</f>
        <v>0</v>
      </c>
      <c r="O8">
        <f>M8-N8</f>
        <v>5.6627290395888474</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5.6627290395888474</v>
      </c>
      <c r="AB8">
        <f>O8/M8*AA8</f>
        <v>5.6627290395888474</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5.781646349420213</v>
      </c>
      <c r="D9">
        <f>IF($E$2=0,0,C9/(1+EXP(-$E$2*(B9-$G$2)))-C9/(1+EXP($E$2*$G$2)))</f>
        <v>4.3164578192577796E-2</v>
      </c>
      <c r="E9">
        <f t="shared" ref="E9:E33" si="4">IF($E$3=0,0,C9/(1+EXP(-$E$3*(B9-$G$3)))-C9/(1+EXP($E$3*$G$3)))</f>
        <v>4.3164578192577796E-2</v>
      </c>
      <c r="F9">
        <f t="shared" ref="F9:F33" si="5">IF($E$4=0,0,C9/(1+EXP(-$E$4*(B9-$G$4)))-C9/(1+EXP($E$4*$G$4)))</f>
        <v>0</v>
      </c>
      <c r="G9" s="9">
        <f t="shared" ref="G9:I33" si="6">D9/$C9</f>
        <v>7.465793579177731E-3</v>
      </c>
      <c r="H9" s="9">
        <f t="shared" si="6"/>
        <v>7.465793579177731E-3</v>
      </c>
      <c r="I9" s="9">
        <f t="shared" si="6"/>
        <v>0</v>
      </c>
      <c r="J9" s="9">
        <f t="shared" ref="J9:J33" si="7">G9*$F$2</f>
        <v>9.7055316529310503E-4</v>
      </c>
      <c r="K9" s="9">
        <f t="shared" ref="K9:K33" si="8">H9*$F$3</f>
        <v>1.4931587158355463E-3</v>
      </c>
      <c r="L9" s="9">
        <f t="shared" ref="L9:L33" si="9">I9*$F$4</f>
        <v>0</v>
      </c>
      <c r="M9">
        <f t="shared" si="0"/>
        <v>5.7674104173202609</v>
      </c>
      <c r="N9">
        <f t="shared" ref="N9:N33" si="10">IF($N$7="LFO",M9/(1+EXP(-$I$4*(B9-$J$4)))-M9/(1+EXP($I$4*$J$4)),IF($N$7="MGO",M9/(1+EXP(-$I$5*(B9-$J$5)))-M9/(1+EXP($I$5*$J$5)),0))</f>
        <v>0.28288970861334373</v>
      </c>
      <c r="O9">
        <f>M9-N9</f>
        <v>5.484520708706917</v>
      </c>
      <c r="P9">
        <f>IF($I$3=0,0,M9/(1+EXP(-$I$3*(B9-$J$3)))-M9/(1+EXP($I$3*$J$3)))</f>
        <v>3.5395120749484185E-2</v>
      </c>
      <c r="Q9" s="9">
        <f t="shared" si="1"/>
        <v>6.137090685134558E-3</v>
      </c>
      <c r="R9">
        <f>VLOOKUP($B$1,dictionary!$A$3:$K$51,3,FALSE)*Q9</f>
        <v>1.2274181370269116E-3</v>
      </c>
      <c r="S9">
        <f>VLOOKUP($B$1,dictionary!$A$3:$K$51,4,FALSE)*Q9</f>
        <v>0</v>
      </c>
      <c r="T9">
        <f>VLOOKUP($B$1,dictionary!$A$3:$K$51,5,FALSE)*Q9</f>
        <v>1.2274181370269116E-3</v>
      </c>
      <c r="U9">
        <f>VLOOKUP($B$1,dictionary!$A$3:$K$51,6,FALSE)*Q9</f>
        <v>2.1479817397970953E-3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5.7320152965707765</v>
      </c>
      <c r="AB9">
        <f t="shared" ref="AB9:AB33" si="11">O9/M9*AA9</f>
        <v>5.4508617077530834</v>
      </c>
      <c r="AC9">
        <f t="shared" ref="AC9:AC33" si="12">N9/M9*AA9</f>
        <v>0.28115358881769237</v>
      </c>
      <c r="AD9">
        <f t="shared" si="3"/>
        <v>7.0790241498968369E-3</v>
      </c>
      <c r="AE9">
        <f t="shared" ref="AE9:AE33" si="13">S9*$O9*$AE$2+S9*$N9*$AE$3</f>
        <v>0</v>
      </c>
      <c r="AF9">
        <f t="shared" ref="AF9:AF33" si="14">T9*$O9*$AF$2+T9*$N9*$AF$3</f>
        <v>7.865582388774264E-3</v>
      </c>
      <c r="AG9">
        <f t="shared" ref="AG9:AG33" si="15">U9*$O9*$AG$2+U9*$N9*$AG$3</f>
        <v>1.4158048299793679E-2</v>
      </c>
      <c r="AH9">
        <f t="shared" ref="AH9:AH33" si="16">V9*$O9*$AH$2+V9*$N9*$AH$3</f>
        <v>0</v>
      </c>
      <c r="AI9">
        <f t="shared" ref="AI9:AI33" si="17">W9*$O9*$AI$2+W9*$N9*$AI$3</f>
        <v>1.8629010920781148E-3</v>
      </c>
      <c r="AJ9">
        <f t="shared" ref="AJ9:AJ33" si="18">X9*$O9*$AJ$2+X9*$N9*$AJ$3</f>
        <v>0</v>
      </c>
      <c r="AK9">
        <f t="shared" ref="AK9:AK33" si="19">Y9*$O9*$AK$2+Y9*$N9*$AK$3</f>
        <v>7.0790241498968369E-3</v>
      </c>
      <c r="AL9">
        <f t="shared" ref="AL9:AL33" si="20">Z9*$O9*$AL$2+Z9*$N9*$AL$3</f>
        <v>0</v>
      </c>
    </row>
    <row r="10" spans="1:51" x14ac:dyDescent="0.2">
      <c r="A10">
        <v>2027</v>
      </c>
      <c r="B10">
        <v>2</v>
      </c>
      <c r="C10">
        <f t="shared" ref="C10:C33" si="21">C9*(1+$I$2)</f>
        <v>5.9030609227580371</v>
      </c>
      <c r="D10">
        <f>IF($E$2=0,0,C10/(1+EXP(-$E$2*(B10-$G$2)))-C10/(1+EXP($E$2*$G$2)))</f>
        <v>8.8221366810028456E-2</v>
      </c>
      <c r="E10">
        <f t="shared" si="4"/>
        <v>8.8221366810028456E-2</v>
      </c>
      <c r="F10">
        <f t="shared" si="5"/>
        <v>0</v>
      </c>
      <c r="G10" s="9">
        <f t="shared" si="6"/>
        <v>1.4945020551949434E-2</v>
      </c>
      <c r="H10" s="9">
        <f t="shared" si="6"/>
        <v>1.4945020551949434E-2</v>
      </c>
      <c r="I10" s="9">
        <f t="shared" si="6"/>
        <v>0</v>
      </c>
      <c r="J10" s="9">
        <f t="shared" si="7"/>
        <v>1.9428526717534264E-3</v>
      </c>
      <c r="K10" s="9">
        <f t="shared" si="8"/>
        <v>2.9890041103898869E-3</v>
      </c>
      <c r="L10" s="9">
        <f t="shared" si="9"/>
        <v>0</v>
      </c>
      <c r="M10">
        <f t="shared" si="0"/>
        <v>5.8739821519343698</v>
      </c>
      <c r="N10">
        <f t="shared" si="10"/>
        <v>0.62631319169266342</v>
      </c>
      <c r="O10">
        <f>M10-N10</f>
        <v>5.2476689602417066</v>
      </c>
      <c r="P10">
        <f t="shared" ref="P10:P33" si="22">IF($I$3=0,0,M10/(1+EXP(-$I$3*(B10-$J$3)))-M10/(1+EXP($I$3*$J$3)))</f>
        <v>9.1693160649191918E-2</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5.7822889912851778</v>
      </c>
      <c r="AB10">
        <f t="shared" si="11"/>
        <v>5.1657525804231597</v>
      </c>
      <c r="AC10">
        <f t="shared" si="12"/>
        <v>0.61653641086201827</v>
      </c>
      <c r="AD10">
        <f t="shared" si="3"/>
        <v>1.8338632129838387E-2</v>
      </c>
      <c r="AE10">
        <f t="shared" si="13"/>
        <v>0</v>
      </c>
      <c r="AF10">
        <f t="shared" si="14"/>
        <v>2.0376257922042649E-2</v>
      </c>
      <c r="AG10">
        <f t="shared" si="15"/>
        <v>3.6677264259676767E-2</v>
      </c>
      <c r="AH10">
        <f t="shared" si="16"/>
        <v>0</v>
      </c>
      <c r="AI10">
        <f t="shared" si="17"/>
        <v>4.8259558236416807E-3</v>
      </c>
      <c r="AJ10">
        <f t="shared" si="18"/>
        <v>0</v>
      </c>
      <c r="AK10">
        <f t="shared" si="19"/>
        <v>1.8338632129838387E-2</v>
      </c>
      <c r="AL10">
        <f t="shared" si="20"/>
        <v>0</v>
      </c>
    </row>
    <row r="11" spans="1:51" x14ac:dyDescent="0.2">
      <c r="A11">
        <v>2028</v>
      </c>
      <c r="B11">
        <v>3</v>
      </c>
      <c r="C11">
        <f t="shared" si="21"/>
        <v>6.0270252021359552</v>
      </c>
      <c r="D11">
        <f t="shared" ref="D11:D33" si="23">IF($E$2=0,0,C11/(1+EXP(-$E$2*(B11-$G$2)))-C11/(1+EXP($E$2*$G$2)))</f>
        <v>0.13521235501997442</v>
      </c>
      <c r="E11">
        <f t="shared" si="4"/>
        <v>0.13521235501997442</v>
      </c>
      <c r="F11">
        <f t="shared" si="5"/>
        <v>0</v>
      </c>
      <c r="G11" s="9">
        <f t="shared" si="6"/>
        <v>2.2434343724339442E-2</v>
      </c>
      <c r="H11" s="9">
        <f t="shared" si="6"/>
        <v>2.2434343724339442E-2</v>
      </c>
      <c r="I11" s="9">
        <f t="shared" si="6"/>
        <v>0</v>
      </c>
      <c r="J11" s="9">
        <f t="shared" si="7"/>
        <v>2.9164646841641274E-3</v>
      </c>
      <c r="K11" s="9">
        <f t="shared" si="8"/>
        <v>4.4868687448678885E-3</v>
      </c>
      <c r="L11" s="9">
        <f t="shared" si="9"/>
        <v>0</v>
      </c>
      <c r="M11">
        <f t="shared" si="0"/>
        <v>5.9824839933910194</v>
      </c>
      <c r="N11">
        <f t="shared" si="10"/>
        <v>1.0284977000057285</v>
      </c>
      <c r="O11">
        <f t="shared" ref="O11:O33" si="24">M11-N11</f>
        <v>4.9539862933852907</v>
      </c>
      <c r="P11">
        <f t="shared" si="22"/>
        <v>0.18009870567843017</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5.802385287712589</v>
      </c>
      <c r="AB11">
        <f t="shared" si="11"/>
        <v>4.8048498276006741</v>
      </c>
      <c r="AC11">
        <f t="shared" si="12"/>
        <v>0.99753546011191463</v>
      </c>
      <c r="AD11">
        <f t="shared" si="3"/>
        <v>3.6019741135686033E-2</v>
      </c>
      <c r="AE11">
        <f t="shared" si="13"/>
        <v>0</v>
      </c>
      <c r="AF11">
        <f t="shared" si="14"/>
        <v>4.0021934595206705E-2</v>
      </c>
      <c r="AG11">
        <f t="shared" si="15"/>
        <v>7.2039482271372066E-2</v>
      </c>
      <c r="AH11">
        <f t="shared" si="16"/>
        <v>0</v>
      </c>
      <c r="AI11">
        <f t="shared" si="17"/>
        <v>9.4788792462331666E-3</v>
      </c>
      <c r="AJ11">
        <f t="shared" si="18"/>
        <v>0</v>
      </c>
      <c r="AK11">
        <f t="shared" si="19"/>
        <v>3.6019741135686033E-2</v>
      </c>
      <c r="AL11">
        <f t="shared" si="20"/>
        <v>0</v>
      </c>
    </row>
    <row r="12" spans="1:51" x14ac:dyDescent="0.2">
      <c r="A12">
        <v>2029</v>
      </c>
      <c r="B12">
        <v>4</v>
      </c>
      <c r="C12">
        <f t="shared" si="21"/>
        <v>6.1535927313808099</v>
      </c>
      <c r="D12">
        <f t="shared" si="23"/>
        <v>0.18417953984306346</v>
      </c>
      <c r="E12">
        <f t="shared" si="4"/>
        <v>0.18417953984306346</v>
      </c>
      <c r="F12">
        <f t="shared" si="5"/>
        <v>0</v>
      </c>
      <c r="G12" s="9">
        <f t="shared" si="6"/>
        <v>2.9930407793129211E-2</v>
      </c>
      <c r="H12" s="9">
        <f t="shared" si="6"/>
        <v>2.9930407793129211E-2</v>
      </c>
      <c r="I12" s="9">
        <f t="shared" si="6"/>
        <v>0</v>
      </c>
      <c r="J12" s="9">
        <f t="shared" si="7"/>
        <v>3.8909530131067977E-3</v>
      </c>
      <c r="K12" s="9">
        <f t="shared" si="8"/>
        <v>5.9860815586258425E-3</v>
      </c>
      <c r="L12" s="9">
        <f t="shared" si="9"/>
        <v>0</v>
      </c>
      <c r="M12">
        <f t="shared" si="0"/>
        <v>6.0929568100197002</v>
      </c>
      <c r="N12">
        <f t="shared" si="10"/>
        <v>1.4813925276498965</v>
      </c>
      <c r="O12">
        <f t="shared" si="24"/>
        <v>4.6115642823698035</v>
      </c>
      <c r="P12">
        <f t="shared" si="22"/>
        <v>0.31675097171490352</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5.7762058383047972</v>
      </c>
      <c r="AB12">
        <f t="shared" si="11"/>
        <v>4.3718255950440925</v>
      </c>
      <c r="AC12">
        <f t="shared" si="12"/>
        <v>1.4043802432607044</v>
      </c>
      <c r="AD12">
        <f t="shared" si="3"/>
        <v>6.3350194342980712E-2</v>
      </c>
      <c r="AE12">
        <f t="shared" si="13"/>
        <v>0</v>
      </c>
      <c r="AF12">
        <f t="shared" si="14"/>
        <v>7.0389104825534121E-2</v>
      </c>
      <c r="AG12">
        <f t="shared" si="15"/>
        <v>0.12670038868596142</v>
      </c>
      <c r="AH12">
        <f t="shared" si="16"/>
        <v>0</v>
      </c>
      <c r="AI12">
        <f t="shared" si="17"/>
        <v>1.6671103774468607E-2</v>
      </c>
      <c r="AJ12">
        <f t="shared" si="18"/>
        <v>0</v>
      </c>
      <c r="AK12">
        <f t="shared" si="19"/>
        <v>6.3350194342980712E-2</v>
      </c>
      <c r="AL12">
        <f t="shared" si="20"/>
        <v>0</v>
      </c>
    </row>
    <row r="13" spans="1:51" x14ac:dyDescent="0.2">
      <c r="A13">
        <v>2030</v>
      </c>
      <c r="B13">
        <v>5</v>
      </c>
      <c r="C13">
        <f t="shared" si="21"/>
        <v>6.2828181787398067</v>
      </c>
      <c r="D13">
        <f t="shared" si="23"/>
        <v>0.23516491275312923</v>
      </c>
      <c r="E13">
        <f t="shared" si="4"/>
        <v>0.23516491275312923</v>
      </c>
      <c r="F13">
        <f t="shared" si="5"/>
        <v>0</v>
      </c>
      <c r="G13" s="9">
        <f t="shared" si="6"/>
        <v>3.742984534374956E-2</v>
      </c>
      <c r="H13" s="9">
        <f t="shared" si="6"/>
        <v>3.742984534374956E-2</v>
      </c>
      <c r="I13" s="9">
        <f t="shared" si="6"/>
        <v>0</v>
      </c>
      <c r="J13" s="9">
        <f t="shared" si="7"/>
        <v>4.8658798946874431E-3</v>
      </c>
      <c r="K13" s="9">
        <f t="shared" si="8"/>
        <v>7.4859690687499123E-3</v>
      </c>
      <c r="L13" s="9">
        <f t="shared" si="9"/>
        <v>0</v>
      </c>
      <c r="M13">
        <f t="shared" si="0"/>
        <v>6.2054426143754551</v>
      </c>
      <c r="N13">
        <f t="shared" si="10"/>
        <v>1.9706901878099998</v>
      </c>
      <c r="O13">
        <f t="shared" si="24"/>
        <v>4.2347524265654553</v>
      </c>
      <c r="P13">
        <f t="shared" si="22"/>
        <v>0.52350679074124939</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5.6819358236342055</v>
      </c>
      <c r="AB13">
        <f t="shared" si="11"/>
        <v>3.8774980306776734</v>
      </c>
      <c r="AC13">
        <f t="shared" si="12"/>
        <v>1.8044377929565321</v>
      </c>
      <c r="AD13">
        <f t="shared" si="3"/>
        <v>0.10470135814824988</v>
      </c>
      <c r="AE13">
        <f t="shared" si="13"/>
        <v>0</v>
      </c>
      <c r="AF13">
        <f t="shared" si="14"/>
        <v>0.1163348423869443</v>
      </c>
      <c r="AG13">
        <f t="shared" si="15"/>
        <v>0.20940271629649981</v>
      </c>
      <c r="AH13">
        <f t="shared" si="16"/>
        <v>0</v>
      </c>
      <c r="AI13">
        <f t="shared" si="17"/>
        <v>2.7552988986381546E-2</v>
      </c>
      <c r="AJ13">
        <f t="shared" si="18"/>
        <v>0</v>
      </c>
      <c r="AK13">
        <f t="shared" si="19"/>
        <v>0.10470135814824988</v>
      </c>
      <c r="AL13">
        <f t="shared" si="20"/>
        <v>0</v>
      </c>
    </row>
    <row r="14" spans="1:51" x14ac:dyDescent="0.2">
      <c r="A14">
        <v>2031</v>
      </c>
      <c r="B14">
        <v>6</v>
      </c>
      <c r="C14">
        <f t="shared" si="21"/>
        <v>6.4147573604933417</v>
      </c>
      <c r="D14">
        <f t="shared" si="23"/>
        <v>0.28821044814834673</v>
      </c>
      <c r="E14">
        <f t="shared" si="4"/>
        <v>0.28821044814834673</v>
      </c>
      <c r="F14">
        <f t="shared" si="5"/>
        <v>0</v>
      </c>
      <c r="G14" s="9">
        <f t="shared" si="6"/>
        <v>4.4929282894369871E-2</v>
      </c>
      <c r="H14" s="9">
        <f t="shared" si="6"/>
        <v>4.4929282894369871E-2</v>
      </c>
      <c r="I14" s="9">
        <f t="shared" si="6"/>
        <v>0</v>
      </c>
      <c r="J14" s="9">
        <f t="shared" si="7"/>
        <v>5.8408067762680833E-3</v>
      </c>
      <c r="K14" s="9">
        <f t="shared" si="8"/>
        <v>8.9858565788739752E-3</v>
      </c>
      <c r="L14" s="9">
        <f t="shared" si="9"/>
        <v>0</v>
      </c>
      <c r="M14">
        <f t="shared" si="0"/>
        <v>6.3199845889120949</v>
      </c>
      <c r="N14">
        <f t="shared" si="10"/>
        <v>2.4775413543851732</v>
      </c>
      <c r="O14">
        <f t="shared" si="24"/>
        <v>3.8424432345269217</v>
      </c>
      <c r="P14">
        <f t="shared" si="22"/>
        <v>0.82705923598724196</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5.4929253529248534</v>
      </c>
      <c r="AB14">
        <f t="shared" si="11"/>
        <v>3.3396052732686612</v>
      </c>
      <c r="AC14">
        <f t="shared" si="12"/>
        <v>2.1533200796561918</v>
      </c>
      <c r="AD14">
        <f t="shared" si="3"/>
        <v>0.16541184719744839</v>
      </c>
      <c r="AE14">
        <f t="shared" si="13"/>
        <v>0</v>
      </c>
      <c r="AF14">
        <f t="shared" si="14"/>
        <v>0.18379094133049823</v>
      </c>
      <c r="AG14">
        <f t="shared" si="15"/>
        <v>0.33082369439489689</v>
      </c>
      <c r="AH14">
        <f t="shared" si="16"/>
        <v>0</v>
      </c>
      <c r="AI14">
        <f t="shared" si="17"/>
        <v>4.3529433473012732E-2</v>
      </c>
      <c r="AJ14">
        <f t="shared" si="18"/>
        <v>0</v>
      </c>
      <c r="AK14">
        <f t="shared" si="19"/>
        <v>0.16541184719744839</v>
      </c>
      <c r="AL14">
        <f t="shared" si="20"/>
        <v>0</v>
      </c>
    </row>
    <row r="15" spans="1:51" x14ac:dyDescent="0.2">
      <c r="A15">
        <v>2032</v>
      </c>
      <c r="B15">
        <v>7</v>
      </c>
      <c r="C15">
        <f t="shared" si="21"/>
        <v>6.5494672650637016</v>
      </c>
      <c r="D15">
        <f t="shared" si="23"/>
        <v>0.34335809379482018</v>
      </c>
      <c r="E15">
        <f t="shared" si="4"/>
        <v>0.34335809379482018</v>
      </c>
      <c r="F15">
        <f t="shared" si="5"/>
        <v>0</v>
      </c>
      <c r="G15" s="9">
        <f t="shared" si="6"/>
        <v>5.2425346963159543E-2</v>
      </c>
      <c r="H15" s="9">
        <f t="shared" si="6"/>
        <v>5.2425346963159543E-2</v>
      </c>
      <c r="I15" s="9">
        <f t="shared" si="6"/>
        <v>0</v>
      </c>
      <c r="J15" s="9">
        <f t="shared" si="7"/>
        <v>6.815295105210741E-3</v>
      </c>
      <c r="K15" s="9">
        <f t="shared" si="8"/>
        <v>1.0485069392631909E-2</v>
      </c>
      <c r="L15" s="9">
        <f t="shared" si="9"/>
        <v>0</v>
      </c>
      <c r="M15">
        <f t="shared" si="0"/>
        <v>6.4366271114586056</v>
      </c>
      <c r="N15">
        <f t="shared" si="10"/>
        <v>2.9816438129831444</v>
      </c>
      <c r="O15">
        <f t="shared" si="24"/>
        <v>3.4549832984754612</v>
      </c>
      <c r="P15">
        <f>IF($I$3=0,0,M15/(1+EXP(-$I$3*(B15-$J$3)))-M15/(1+EXP($I$3*$J$3)))</f>
        <v>1.2543919637719243</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5.182235147686681</v>
      </c>
      <c r="AB15">
        <f t="shared" si="11"/>
        <v>2.7816643055422619</v>
      </c>
      <c r="AC15">
        <f t="shared" si="12"/>
        <v>2.4005708421444192</v>
      </c>
      <c r="AD15">
        <f t="shared" si="3"/>
        <v>0.25087839275438489</v>
      </c>
      <c r="AE15">
        <f t="shared" si="13"/>
        <v>0</v>
      </c>
      <c r="AF15">
        <f t="shared" si="14"/>
        <v>0.27875376972709431</v>
      </c>
      <c r="AG15">
        <f t="shared" si="15"/>
        <v>0.50175678550876979</v>
      </c>
      <c r="AH15">
        <f t="shared" si="16"/>
        <v>0</v>
      </c>
      <c r="AI15">
        <f t="shared" si="17"/>
        <v>6.6020629672206538E-2</v>
      </c>
      <c r="AJ15">
        <f t="shared" si="18"/>
        <v>0</v>
      </c>
      <c r="AK15">
        <f t="shared" si="19"/>
        <v>0.25087839275438489</v>
      </c>
      <c r="AL15">
        <f t="shared" si="20"/>
        <v>0</v>
      </c>
    </row>
    <row r="16" spans="1:51" x14ac:dyDescent="0.2">
      <c r="A16">
        <v>2033</v>
      </c>
      <c r="B16">
        <v>8</v>
      </c>
      <c r="C16">
        <f t="shared" si="21"/>
        <v>6.6870060776300386</v>
      </c>
      <c r="D16">
        <f t="shared" si="23"/>
        <v>0.40064976333561964</v>
      </c>
      <c r="E16">
        <f t="shared" si="4"/>
        <v>0.40064976333561964</v>
      </c>
      <c r="F16">
        <f t="shared" si="5"/>
        <v>0</v>
      </c>
      <c r="G16" s="9">
        <f t="shared" si="6"/>
        <v>5.9914670135549672E-2</v>
      </c>
      <c r="H16" s="9">
        <f t="shared" si="6"/>
        <v>5.9914670135549672E-2</v>
      </c>
      <c r="I16" s="9">
        <f t="shared" si="6"/>
        <v>0</v>
      </c>
      <c r="J16" s="9">
        <f t="shared" si="7"/>
        <v>7.788907117621458E-3</v>
      </c>
      <c r="K16" s="9">
        <f t="shared" si="8"/>
        <v>1.1982934027109935E-2</v>
      </c>
      <c r="L16" s="9">
        <f t="shared" si="9"/>
        <v>0</v>
      </c>
      <c r="M16">
        <f t="shared" si="0"/>
        <v>6.555415780487948</v>
      </c>
      <c r="N16">
        <f t="shared" si="10"/>
        <v>3.4646944311140402</v>
      </c>
      <c r="O16">
        <f t="shared" si="24"/>
        <v>3.0907213493739079</v>
      </c>
      <c r="P16">
        <f t="shared" si="22"/>
        <v>1.8228222147500328</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4.7325935657379148</v>
      </c>
      <c r="AB16">
        <f t="shared" si="11"/>
        <v>2.2313043842425815</v>
      </c>
      <c r="AC16">
        <f t="shared" si="12"/>
        <v>2.5012891814953333</v>
      </c>
      <c r="AD16">
        <f t="shared" si="3"/>
        <v>0.36456444295000656</v>
      </c>
      <c r="AE16">
        <f t="shared" si="13"/>
        <v>0</v>
      </c>
      <c r="AF16">
        <f t="shared" si="14"/>
        <v>0.40507160327778513</v>
      </c>
      <c r="AG16">
        <f t="shared" si="15"/>
        <v>0.72912888590001335</v>
      </c>
      <c r="AH16">
        <f t="shared" si="16"/>
        <v>0</v>
      </c>
      <c r="AI16">
        <f t="shared" si="17"/>
        <v>9.5938011302633311E-2</v>
      </c>
      <c r="AJ16">
        <f t="shared" si="18"/>
        <v>0</v>
      </c>
      <c r="AK16">
        <f t="shared" si="19"/>
        <v>0.36456444295000656</v>
      </c>
      <c r="AL16">
        <f t="shared" si="20"/>
        <v>0</v>
      </c>
    </row>
    <row r="17" spans="1:38" x14ac:dyDescent="0.2">
      <c r="A17">
        <v>2034</v>
      </c>
      <c r="B17">
        <v>9</v>
      </c>
      <c r="C17">
        <f t="shared" si="21"/>
        <v>6.8274332052602684</v>
      </c>
      <c r="D17">
        <f t="shared" si="23"/>
        <v>0.46012733094924663</v>
      </c>
      <c r="E17">
        <f t="shared" si="4"/>
        <v>0.46012733094924663</v>
      </c>
      <c r="F17">
        <f t="shared" si="5"/>
        <v>0</v>
      </c>
      <c r="G17" s="9">
        <f t="shared" si="6"/>
        <v>6.7393897108321277E-2</v>
      </c>
      <c r="H17" s="9">
        <f t="shared" si="6"/>
        <v>6.7393897108321277E-2</v>
      </c>
      <c r="I17" s="9">
        <f t="shared" si="6"/>
        <v>0</v>
      </c>
      <c r="J17" s="9">
        <f t="shared" si="7"/>
        <v>8.761206624081766E-3</v>
      </c>
      <c r="K17" s="9">
        <f t="shared" si="8"/>
        <v>1.3478779421664255E-2</v>
      </c>
      <c r="L17" s="9">
        <f t="shared" si="9"/>
        <v>0</v>
      </c>
      <c r="M17">
        <f t="shared" si="0"/>
        <v>6.6763974401709847</v>
      </c>
      <c r="N17">
        <f t="shared" si="10"/>
        <v>3.9130315970981924</v>
      </c>
      <c r="O17">
        <f t="shared" si="24"/>
        <v>2.7633658430727923</v>
      </c>
      <c r="P17">
        <f t="shared" si="22"/>
        <v>2.5261740261102301</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4.1502234140607541</v>
      </c>
      <c r="AB17">
        <f t="shared" si="11"/>
        <v>1.7177805435205973</v>
      </c>
      <c r="AC17">
        <f t="shared" si="12"/>
        <v>2.4324428705401568</v>
      </c>
      <c r="AD17">
        <f t="shared" si="3"/>
        <v>0.50523480522204611</v>
      </c>
      <c r="AE17">
        <f t="shared" si="13"/>
        <v>0</v>
      </c>
      <c r="AF17">
        <f t="shared" si="14"/>
        <v>0.56137200580227342</v>
      </c>
      <c r="AG17">
        <f t="shared" si="15"/>
        <v>1.0104696104440922</v>
      </c>
      <c r="AH17">
        <f t="shared" si="16"/>
        <v>0</v>
      </c>
      <c r="AI17">
        <f t="shared" si="17"/>
        <v>0.13295652769001212</v>
      </c>
      <c r="AJ17">
        <f t="shared" si="18"/>
        <v>0</v>
      </c>
      <c r="AK17">
        <f t="shared" si="19"/>
        <v>0.50523480522204611</v>
      </c>
      <c r="AL17">
        <f t="shared" si="20"/>
        <v>0</v>
      </c>
    </row>
    <row r="18" spans="1:38" x14ac:dyDescent="0.2">
      <c r="A18">
        <v>2035</v>
      </c>
      <c r="B18">
        <v>10</v>
      </c>
      <c r="C18">
        <f t="shared" si="21"/>
        <v>6.9708093025707338</v>
      </c>
      <c r="D18">
        <f t="shared" si="23"/>
        <v>0.52183262823198628</v>
      </c>
      <c r="E18">
        <f t="shared" si="4"/>
        <v>0.52183262823198628</v>
      </c>
      <c r="F18">
        <f t="shared" si="5"/>
        <v>0</v>
      </c>
      <c r="G18" s="9">
        <f t="shared" si="6"/>
        <v>7.4859690687499078E-2</v>
      </c>
      <c r="H18" s="9">
        <f t="shared" si="6"/>
        <v>7.4859690687499078E-2</v>
      </c>
      <c r="I18" s="9">
        <f t="shared" si="6"/>
        <v>0</v>
      </c>
      <c r="J18" s="9">
        <f t="shared" si="7"/>
        <v>9.731759789374881E-3</v>
      </c>
      <c r="K18" s="9">
        <f t="shared" si="8"/>
        <v>1.4971938137499816E-2</v>
      </c>
      <c r="L18" s="9">
        <f t="shared" si="9"/>
        <v>0</v>
      </c>
      <c r="M18">
        <f t="shared" si="0"/>
        <v>6.79962020521182</v>
      </c>
      <c r="N18">
        <f t="shared" si="10"/>
        <v>4.318771649971719</v>
      </c>
      <c r="O18">
        <f t="shared" si="24"/>
        <v>2.4808485552401009</v>
      </c>
      <c r="P18">
        <f t="shared" si="22"/>
        <v>3.3251030655014255</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3.4745171397103944</v>
      </c>
      <c r="AB18">
        <f t="shared" si="11"/>
        <v>1.2676812183716635</v>
      </c>
      <c r="AC18">
        <f t="shared" si="12"/>
        <v>2.206835921338731</v>
      </c>
      <c r="AD18">
        <f t="shared" si="3"/>
        <v>0.66502061310028504</v>
      </c>
      <c r="AE18">
        <f t="shared" si="13"/>
        <v>0</v>
      </c>
      <c r="AF18">
        <f t="shared" si="14"/>
        <v>0.73891179233365012</v>
      </c>
      <c r="AG18">
        <f t="shared" si="15"/>
        <v>1.3300412262005703</v>
      </c>
      <c r="AH18">
        <f t="shared" si="16"/>
        <v>0</v>
      </c>
      <c r="AI18">
        <f t="shared" si="17"/>
        <v>0.175005424500075</v>
      </c>
      <c r="AJ18">
        <f t="shared" si="18"/>
        <v>0</v>
      </c>
      <c r="AK18">
        <f t="shared" si="19"/>
        <v>0.66502061310028504</v>
      </c>
      <c r="AL18">
        <f t="shared" si="20"/>
        <v>0</v>
      </c>
    </row>
    <row r="19" spans="1:38" x14ac:dyDescent="0.2">
      <c r="A19">
        <v>2036</v>
      </c>
      <c r="B19">
        <v>11</v>
      </c>
      <c r="C19">
        <f t="shared" si="21"/>
        <v>7.1171962979247185</v>
      </c>
      <c r="D19">
        <f t="shared" si="23"/>
        <v>0.58580744336863466</v>
      </c>
      <c r="E19">
        <f t="shared" si="4"/>
        <v>0.58580744336863466</v>
      </c>
      <c r="F19">
        <f t="shared" si="5"/>
        <v>0</v>
      </c>
      <c r="G19" s="9">
        <f t="shared" si="6"/>
        <v>8.2308737717329564E-2</v>
      </c>
      <c r="H19" s="9">
        <f t="shared" si="6"/>
        <v>8.2308737717329564E-2</v>
      </c>
      <c r="I19" s="9">
        <f t="shared" si="6"/>
        <v>0</v>
      </c>
      <c r="J19" s="9">
        <f t="shared" si="7"/>
        <v>1.0700135903252844E-2</v>
      </c>
      <c r="K19" s="9">
        <f t="shared" si="8"/>
        <v>1.6461747543465913E-2</v>
      </c>
      <c r="L19" s="9">
        <f t="shared" si="9"/>
        <v>0</v>
      </c>
      <c r="M19">
        <f t="shared" si="0"/>
        <v>6.9251334854645048</v>
      </c>
      <c r="N19">
        <f t="shared" si="10"/>
        <v>4.6794748224585376</v>
      </c>
      <c r="O19">
        <f t="shared" si="24"/>
        <v>2.2456586630059672</v>
      </c>
      <c r="P19">
        <f t="shared" si="22"/>
        <v>4.1526721622461533</v>
      </c>
      <c r="Q19" s="9">
        <f t="shared" si="1"/>
        <v>0.59965229131862896</v>
      </c>
      <c r="R19">
        <f>VLOOKUP($B$1,dictionary!$A$3:$K$51,3,FALSE)*Q19</f>
        <v>0.11993045826372579</v>
      </c>
      <c r="S19">
        <f>VLOOKUP($B$1,dictionary!$A$3:$K$51,4,FALSE)*Q19</f>
        <v>0</v>
      </c>
      <c r="T19">
        <f>VLOOKUP($B$1,dictionary!$A$3:$K$51,5,FALSE)*Q19</f>
        <v>0.11993045826372579</v>
      </c>
      <c r="U19">
        <f>VLOOKUP($B$1,dictionary!$A$3:$K$51,6,FALSE)*Q19</f>
        <v>0.20987830196152013</v>
      </c>
      <c r="V19">
        <f>VLOOKUP($B$1,dictionary!$A$3:$K$51,7,FALSE)*Q19</f>
        <v>0</v>
      </c>
      <c r="W19">
        <f>VLOOKUP($B$1,dictionary!$A$3:$K$51,8,FALSE)*Q19</f>
        <v>2.9982614565931449E-2</v>
      </c>
      <c r="X19">
        <f>VLOOKUP($B$1,dictionary!$A$3:$K$51,9,FALSE)*Q19</f>
        <v>0</v>
      </c>
      <c r="Y19">
        <f>VLOOKUP($B$1,dictionary!$A$3:$K$51,10,FALSE)*Q19</f>
        <v>0.11993045826372579</v>
      </c>
      <c r="Z19">
        <f>VLOOKUP($B$1,dictionary!$A$3:$K$51,11,FALSE)*Q19</f>
        <v>0</v>
      </c>
      <c r="AA19">
        <f t="shared" si="2"/>
        <v>2.7724613232183515</v>
      </c>
      <c r="AB19">
        <f t="shared" si="11"/>
        <v>0.89904430021491022</v>
      </c>
      <c r="AC19">
        <f t="shared" si="12"/>
        <v>1.8734170230034413</v>
      </c>
      <c r="AD19">
        <f t="shared" si="3"/>
        <v>0.83053443244923075</v>
      </c>
      <c r="AE19">
        <f t="shared" si="13"/>
        <v>0</v>
      </c>
      <c r="AF19">
        <f t="shared" si="14"/>
        <v>0.92281603605470086</v>
      </c>
      <c r="AG19">
        <f t="shared" si="15"/>
        <v>1.6610688648984617</v>
      </c>
      <c r="AH19">
        <f t="shared" si="16"/>
        <v>0</v>
      </c>
      <c r="AI19">
        <f t="shared" si="17"/>
        <v>0.21856169274979753</v>
      </c>
      <c r="AJ19">
        <f t="shared" si="18"/>
        <v>0</v>
      </c>
      <c r="AK19">
        <f t="shared" si="19"/>
        <v>0.83053443244923075</v>
      </c>
      <c r="AL19">
        <f t="shared" si="20"/>
        <v>0</v>
      </c>
    </row>
    <row r="20" spans="1:38" x14ac:dyDescent="0.2">
      <c r="A20">
        <v>2037</v>
      </c>
      <c r="B20">
        <v>12</v>
      </c>
      <c r="C20">
        <f t="shared" si="21"/>
        <v>7.2666574201811374</v>
      </c>
      <c r="D20">
        <f t="shared" si="23"/>
        <v>0.65209352264582465</v>
      </c>
      <c r="E20">
        <f t="shared" si="4"/>
        <v>0.65209352264582465</v>
      </c>
      <c r="F20">
        <f t="shared" si="5"/>
        <v>0</v>
      </c>
      <c r="G20" s="9">
        <f t="shared" si="6"/>
        <v>8.9737754918074814E-2</v>
      </c>
      <c r="H20" s="9">
        <f t="shared" si="6"/>
        <v>8.9737754918074814E-2</v>
      </c>
      <c r="I20" s="9">
        <f t="shared" si="6"/>
        <v>0</v>
      </c>
      <c r="J20" s="9">
        <f t="shared" si="7"/>
        <v>1.1665908139349725E-2</v>
      </c>
      <c r="K20" s="9">
        <f t="shared" si="8"/>
        <v>1.7947550983614963E-2</v>
      </c>
      <c r="L20" s="9">
        <f t="shared" si="9"/>
        <v>0</v>
      </c>
      <c r="M20">
        <f t="shared" si="0"/>
        <v>7.0529880103347047</v>
      </c>
      <c r="N20">
        <f t="shared" si="10"/>
        <v>4.9968844062911577</v>
      </c>
      <c r="O20">
        <f t="shared" si="24"/>
        <v>2.056103604043547</v>
      </c>
      <c r="P20">
        <f>IF($I$3=0,0,M20/(1+EXP(-$I$3*(B20-$J$3)))-M20/(1+EXP($I$3*$J$3)))</f>
        <v>4.9368275433237656</v>
      </c>
      <c r="Q20" s="9">
        <f t="shared" si="1"/>
        <v>0.69996255999441082</v>
      </c>
      <c r="R20">
        <f>VLOOKUP($B$1,dictionary!$A$3:$K$51,3,FALSE)*Q20</f>
        <v>0.13999251199888216</v>
      </c>
      <c r="S20">
        <f>VLOOKUP($B$1,dictionary!$A$3:$K$51,4,FALSE)*Q20</f>
        <v>0</v>
      </c>
      <c r="T20">
        <f>VLOOKUP($B$1,dictionary!$A$3:$K$51,5,FALSE)*Q20</f>
        <v>0.13999251199888216</v>
      </c>
      <c r="U20">
        <f>VLOOKUP($B$1,dictionary!$A$3:$K$51,6,FALSE)*Q20</f>
        <v>0.24498689599804377</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2.1161604670109391</v>
      </c>
      <c r="AB20">
        <f t="shared" si="11"/>
        <v>0.61690806174349155</v>
      </c>
      <c r="AC20">
        <f t="shared" si="12"/>
        <v>1.4992524052674476</v>
      </c>
      <c r="AD20">
        <f t="shared" si="3"/>
        <v>0.98736550866475303</v>
      </c>
      <c r="AE20">
        <f t="shared" si="13"/>
        <v>0</v>
      </c>
      <c r="AF20">
        <f t="shared" si="14"/>
        <v>1.0970727874052812</v>
      </c>
      <c r="AG20">
        <f t="shared" si="15"/>
        <v>1.9747310173295065</v>
      </c>
      <c r="AH20">
        <f t="shared" si="16"/>
        <v>0</v>
      </c>
      <c r="AI20">
        <f t="shared" si="17"/>
        <v>0.25983302859598767</v>
      </c>
      <c r="AJ20">
        <f t="shared" si="18"/>
        <v>0</v>
      </c>
      <c r="AK20">
        <f t="shared" si="19"/>
        <v>0.98736550866475303</v>
      </c>
      <c r="AL20">
        <f t="shared" si="20"/>
        <v>0</v>
      </c>
    </row>
    <row r="21" spans="1:38" x14ac:dyDescent="0.2">
      <c r="A21">
        <v>2038</v>
      </c>
      <c r="B21">
        <v>13</v>
      </c>
      <c r="C21">
        <f t="shared" si="21"/>
        <v>7.419257226004941</v>
      </c>
      <c r="D21">
        <f t="shared" si="23"/>
        <v>0.72073257435160709</v>
      </c>
      <c r="E21">
        <f t="shared" si="4"/>
        <v>0.72073257435160709</v>
      </c>
      <c r="F21">
        <f t="shared" si="5"/>
        <v>0</v>
      </c>
      <c r="G21" s="9">
        <f t="shared" si="6"/>
        <v>9.7143494610942488E-2</v>
      </c>
      <c r="H21" s="9">
        <f t="shared" si="6"/>
        <v>9.7143494610942488E-2</v>
      </c>
      <c r="I21" s="9">
        <f t="shared" si="6"/>
        <v>0</v>
      </c>
      <c r="J21" s="9">
        <f t="shared" si="7"/>
        <v>1.2628654299422525E-2</v>
      </c>
      <c r="K21" s="9">
        <f t="shared" si="8"/>
        <v>1.94286989221885E-2</v>
      </c>
      <c r="L21" s="9">
        <f t="shared" si="9"/>
        <v>0</v>
      </c>
      <c r="M21">
        <f t="shared" si="0"/>
        <v>7.1832358529736755</v>
      </c>
      <c r="N21">
        <f t="shared" si="10"/>
        <v>5.2753811944267133</v>
      </c>
      <c r="O21">
        <f t="shared" si="24"/>
        <v>1.9078546585469622</v>
      </c>
      <c r="P21">
        <f t="shared" si="22"/>
        <v>5.6254986169694483</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1.5577372360042272</v>
      </c>
      <c r="AB21">
        <f t="shared" si="11"/>
        <v>0.41373223757819788</v>
      </c>
      <c r="AC21">
        <f t="shared" si="12"/>
        <v>1.1440049984260292</v>
      </c>
      <c r="AD21">
        <f t="shared" si="3"/>
        <v>1.1250997233938898</v>
      </c>
      <c r="AE21">
        <f t="shared" si="13"/>
        <v>0</v>
      </c>
      <c r="AF21">
        <f t="shared" si="14"/>
        <v>1.2501108037709887</v>
      </c>
      <c r="AG21">
        <f t="shared" si="15"/>
        <v>2.2501994467877795</v>
      </c>
      <c r="AH21">
        <f t="shared" si="16"/>
        <v>0</v>
      </c>
      <c r="AI21">
        <f t="shared" si="17"/>
        <v>0.29607887457733939</v>
      </c>
      <c r="AJ21">
        <f t="shared" si="18"/>
        <v>0</v>
      </c>
      <c r="AK21">
        <f t="shared" si="19"/>
        <v>1.1250997233938898</v>
      </c>
      <c r="AL21">
        <f t="shared" si="20"/>
        <v>0</v>
      </c>
    </row>
    <row r="22" spans="1:38" x14ac:dyDescent="0.2">
      <c r="A22">
        <v>2039</v>
      </c>
      <c r="B22">
        <v>14</v>
      </c>
      <c r="C22">
        <f t="shared" si="21"/>
        <v>7.5750616277510439</v>
      </c>
      <c r="D22">
        <f t="shared" si="23"/>
        <v>0.79176627509425312</v>
      </c>
      <c r="E22">
        <f t="shared" si="4"/>
        <v>0.79176627509425312</v>
      </c>
      <c r="F22">
        <f t="shared" si="5"/>
        <v>0</v>
      </c>
      <c r="G22" s="9">
        <f t="shared" si="6"/>
        <v>0.10452275030920379</v>
      </c>
      <c r="H22" s="9">
        <f t="shared" si="6"/>
        <v>0.10452275030920379</v>
      </c>
      <c r="I22" s="9">
        <f t="shared" si="6"/>
        <v>0</v>
      </c>
      <c r="J22" s="9">
        <f t="shared" si="7"/>
        <v>1.3587957540196493E-2</v>
      </c>
      <c r="K22" s="9">
        <f t="shared" si="8"/>
        <v>2.0904550061840759E-2</v>
      </c>
      <c r="L22" s="9">
        <f t="shared" si="9"/>
        <v>0</v>
      </c>
      <c r="M22">
        <f t="shared" si="0"/>
        <v>7.3159304542754882</v>
      </c>
      <c r="N22">
        <f t="shared" si="10"/>
        <v>5.5206093156380938</v>
      </c>
      <c r="O22">
        <f t="shared" si="24"/>
        <v>1.7953211386373944</v>
      </c>
      <c r="P22">
        <f t="shared" si="22"/>
        <v>6.1977782204080665</v>
      </c>
      <c r="Q22" s="9">
        <f t="shared" si="1"/>
        <v>0.84716199246891899</v>
      </c>
      <c r="R22">
        <f>VLOOKUP($B$1,dictionary!$A$3:$K$51,3,FALSE)*Q22</f>
        <v>0.1694323984937838</v>
      </c>
      <c r="S22">
        <f>VLOOKUP($B$1,dictionary!$A$3:$K$51,4,FALSE)*Q22</f>
        <v>0</v>
      </c>
      <c r="T22">
        <f>VLOOKUP($B$1,dictionary!$A$3:$K$51,5,FALSE)*Q22</f>
        <v>0.1694323984937838</v>
      </c>
      <c r="U22">
        <f>VLOOKUP($B$1,dictionary!$A$3:$K$51,6,FALSE)*Q22</f>
        <v>0.29650669736412161</v>
      </c>
      <c r="V22">
        <f>VLOOKUP($B$1,dictionary!$A$3:$K$51,7,FALSE)*Q22</f>
        <v>0</v>
      </c>
      <c r="W22">
        <f>VLOOKUP($B$1,dictionary!$A$3:$K$51,8,FALSE)*Q22</f>
        <v>4.2358099623445951E-2</v>
      </c>
      <c r="X22">
        <f>VLOOKUP($B$1,dictionary!$A$3:$K$51,9,FALSE)*Q22</f>
        <v>0</v>
      </c>
      <c r="Y22">
        <f>VLOOKUP($B$1,dictionary!$A$3:$K$51,10,FALSE)*Q22</f>
        <v>0.1694323984937838</v>
      </c>
      <c r="Z22">
        <f>VLOOKUP($B$1,dictionary!$A$3:$K$51,11,FALSE)*Q22</f>
        <v>0</v>
      </c>
      <c r="AA22">
        <f t="shared" si="2"/>
        <v>1.1181522338674217</v>
      </c>
      <c r="AB22">
        <f t="shared" si="11"/>
        <v>0.27439330570777093</v>
      </c>
      <c r="AC22">
        <f t="shared" si="12"/>
        <v>0.84375892815965081</v>
      </c>
      <c r="AD22">
        <f t="shared" si="3"/>
        <v>1.2395556440816131</v>
      </c>
      <c r="AE22">
        <f t="shared" si="13"/>
        <v>0</v>
      </c>
      <c r="AF22">
        <f t="shared" si="14"/>
        <v>1.3772840489795701</v>
      </c>
      <c r="AG22">
        <f t="shared" si="15"/>
        <v>2.4791112881632262</v>
      </c>
      <c r="AH22">
        <f t="shared" si="16"/>
        <v>0</v>
      </c>
      <c r="AI22">
        <f t="shared" si="17"/>
        <v>0.32619885370568769</v>
      </c>
      <c r="AJ22">
        <f t="shared" si="18"/>
        <v>0</v>
      </c>
      <c r="AK22">
        <f t="shared" si="19"/>
        <v>1.2395556440816131</v>
      </c>
      <c r="AL22">
        <f t="shared" si="20"/>
        <v>0</v>
      </c>
    </row>
    <row r="23" spans="1:38" x14ac:dyDescent="0.2">
      <c r="A23">
        <v>2040</v>
      </c>
      <c r="B23">
        <v>15</v>
      </c>
      <c r="C23">
        <f t="shared" si="21"/>
        <v>7.7341379219338151</v>
      </c>
      <c r="D23">
        <f t="shared" si="23"/>
        <v>0.86523627856245922</v>
      </c>
      <c r="E23">
        <f t="shared" si="4"/>
        <v>0.86523627856245922</v>
      </c>
      <c r="F23">
        <f t="shared" si="5"/>
        <v>0</v>
      </c>
      <c r="G23" s="9">
        <f t="shared" si="6"/>
        <v>0.11187236215540862</v>
      </c>
      <c r="H23" s="9">
        <f t="shared" si="6"/>
        <v>0.11187236215540862</v>
      </c>
      <c r="I23" s="9">
        <f t="shared" si="6"/>
        <v>0</v>
      </c>
      <c r="J23" s="9">
        <f t="shared" si="7"/>
        <v>1.4543407080203121E-2</v>
      </c>
      <c r="K23" s="9">
        <f t="shared" si="8"/>
        <v>2.2374472431081725E-2</v>
      </c>
      <c r="L23" s="9">
        <f t="shared" si="9"/>
        <v>0</v>
      </c>
      <c r="M23">
        <f t="shared" si="0"/>
        <v>7.4511266466921429</v>
      </c>
      <c r="N23">
        <f t="shared" si="10"/>
        <v>5.7384747778458198</v>
      </c>
      <c r="O23">
        <f t="shared" si="24"/>
        <v>1.712651868846323</v>
      </c>
      <c r="P23">
        <f t="shared" si="22"/>
        <v>6.6588006070340615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0.79232603965808135</v>
      </c>
      <c r="AB23">
        <f t="shared" si="11"/>
        <v>0.18211724708214921</v>
      </c>
      <c r="AC23">
        <f t="shared" si="12"/>
        <v>0.61020879257593208</v>
      </c>
      <c r="AD23">
        <f t="shared" si="3"/>
        <v>1.3317601214068122</v>
      </c>
      <c r="AE23">
        <f t="shared" si="13"/>
        <v>0</v>
      </c>
      <c r="AF23">
        <f t="shared" si="14"/>
        <v>1.4797334682297916</v>
      </c>
      <c r="AG23">
        <f t="shared" si="15"/>
        <v>2.6635202428136244</v>
      </c>
      <c r="AH23">
        <f t="shared" si="16"/>
        <v>0</v>
      </c>
      <c r="AI23">
        <f t="shared" si="17"/>
        <v>0.35046318984389796</v>
      </c>
      <c r="AJ23">
        <f t="shared" si="18"/>
        <v>0</v>
      </c>
      <c r="AK23">
        <f t="shared" si="19"/>
        <v>1.3317601214068122</v>
      </c>
      <c r="AL23">
        <f t="shared" si="20"/>
        <v>0</v>
      </c>
    </row>
    <row r="24" spans="1:38" x14ac:dyDescent="0.2">
      <c r="A24">
        <v>2041</v>
      </c>
      <c r="B24">
        <v>16</v>
      </c>
      <c r="C24">
        <f t="shared" si="21"/>
        <v>7.8965548182944243</v>
      </c>
      <c r="D24">
        <f t="shared" si="23"/>
        <v>0.94118422673835234</v>
      </c>
      <c r="E24">
        <f t="shared" si="4"/>
        <v>0.94118422673835234</v>
      </c>
      <c r="F24">
        <f t="shared" si="5"/>
        <v>0</v>
      </c>
      <c r="G24" s="9">
        <f t="shared" si="6"/>
        <v>0.11918922218558581</v>
      </c>
      <c r="H24" s="9">
        <f t="shared" si="6"/>
        <v>0.11918922218558581</v>
      </c>
      <c r="I24" s="9">
        <f t="shared" si="6"/>
        <v>0</v>
      </c>
      <c r="J24" s="9">
        <f t="shared" si="7"/>
        <v>1.5494598884126156E-2</v>
      </c>
      <c r="K24" s="9">
        <f t="shared" si="8"/>
        <v>2.3837844437117162E-2</v>
      </c>
      <c r="L24" s="9">
        <f t="shared" si="9"/>
        <v>0</v>
      </c>
      <c r="M24">
        <f t="shared" si="0"/>
        <v>7.5888806778846432</v>
      </c>
      <c r="N24">
        <f t="shared" si="10"/>
        <v>5.9345296341571139</v>
      </c>
      <c r="O24">
        <f t="shared" si="24"/>
        <v>1.6543510437275293</v>
      </c>
      <c r="P24">
        <f t="shared" si="22"/>
        <v>7.0276047962438168</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0.56127588164082631</v>
      </c>
      <c r="AB24">
        <f t="shared" si="11"/>
        <v>0.12235629732821381</v>
      </c>
      <c r="AC24">
        <f t="shared" si="12"/>
        <v>0.43891958431261247</v>
      </c>
      <c r="AD24">
        <f t="shared" si="3"/>
        <v>1.4055209592487634</v>
      </c>
      <c r="AE24">
        <f t="shared" si="13"/>
        <v>0</v>
      </c>
      <c r="AF24">
        <f t="shared" si="14"/>
        <v>1.5616899547208485</v>
      </c>
      <c r="AG24">
        <f t="shared" si="15"/>
        <v>2.8110419184975268</v>
      </c>
      <c r="AH24">
        <f t="shared" si="16"/>
        <v>0</v>
      </c>
      <c r="AI24">
        <f t="shared" si="17"/>
        <v>0.36987393664441143</v>
      </c>
      <c r="AJ24">
        <f t="shared" si="18"/>
        <v>0</v>
      </c>
      <c r="AK24">
        <f t="shared" si="19"/>
        <v>1.4055209592487634</v>
      </c>
      <c r="AL24">
        <f t="shared" si="20"/>
        <v>0</v>
      </c>
    </row>
    <row r="25" spans="1:38" x14ac:dyDescent="0.2">
      <c r="A25">
        <v>2042</v>
      </c>
      <c r="B25">
        <v>17</v>
      </c>
      <c r="C25">
        <f t="shared" si="21"/>
        <v>8.0623824694786066</v>
      </c>
      <c r="D25">
        <f t="shared" si="23"/>
        <v>1.0196517635640889</v>
      </c>
      <c r="E25">
        <f t="shared" si="4"/>
        <v>1.0196517635640889</v>
      </c>
      <c r="F25">
        <f t="shared" si="5"/>
        <v>0</v>
      </c>
      <c r="G25" s="9">
        <f t="shared" si="6"/>
        <v>0.12647027940241462</v>
      </c>
      <c r="H25" s="9">
        <f t="shared" si="6"/>
        <v>0.12647027940241462</v>
      </c>
      <c r="I25" s="9">
        <f t="shared" si="6"/>
        <v>0</v>
      </c>
      <c r="J25" s="9">
        <f t="shared" si="7"/>
        <v>1.64411363223139E-2</v>
      </c>
      <c r="K25" s="9">
        <f t="shared" si="8"/>
        <v>2.5294055880482925E-2</v>
      </c>
      <c r="L25" s="9">
        <f t="shared" si="9"/>
        <v>0</v>
      </c>
      <c r="M25">
        <f t="shared" si="0"/>
        <v>7.7292502342316665</v>
      </c>
      <c r="N25">
        <f t="shared" si="10"/>
        <v>6.113662892787703</v>
      </c>
      <c r="O25">
        <f t="shared" si="24"/>
        <v>1.6155873414439634</v>
      </c>
      <c r="P25">
        <f>IF($I$3=0,0,M25/(1+EXP(-$I$3*(B25-$J$3)))-M25/(1+EXP($I$3*$J$3)))</f>
        <v>7.3267246336748419</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0.40252560055682451</v>
      </c>
      <c r="AB25">
        <f t="shared" si="11"/>
        <v>8.4136914339580843E-2</v>
      </c>
      <c r="AC25">
        <f t="shared" si="12"/>
        <v>0.31838868621724364</v>
      </c>
      <c r="AD25">
        <f t="shared" si="3"/>
        <v>1.4653449267349685</v>
      </c>
      <c r="AE25">
        <f t="shared" si="13"/>
        <v>0</v>
      </c>
      <c r="AF25">
        <f t="shared" si="14"/>
        <v>1.6281610297055207</v>
      </c>
      <c r="AG25">
        <f t="shared" si="15"/>
        <v>2.930689853469937</v>
      </c>
      <c r="AH25">
        <f t="shared" si="16"/>
        <v>0</v>
      </c>
      <c r="AI25">
        <f t="shared" si="17"/>
        <v>0.38561708598288641</v>
      </c>
      <c r="AJ25">
        <f t="shared" si="18"/>
        <v>0</v>
      </c>
      <c r="AK25">
        <f t="shared" si="19"/>
        <v>1.4653449267349685</v>
      </c>
      <c r="AL25">
        <f t="shared" si="20"/>
        <v>0</v>
      </c>
    </row>
    <row r="26" spans="1:38" x14ac:dyDescent="0.2">
      <c r="A26">
        <v>2043</v>
      </c>
      <c r="B26">
        <v>18</v>
      </c>
      <c r="C26">
        <f t="shared" si="21"/>
        <v>8.2316925013376565</v>
      </c>
      <c r="D26">
        <f t="shared" si="23"/>
        <v>1.1006805510522883</v>
      </c>
      <c r="E26">
        <f t="shared" si="4"/>
        <v>1.1006805510522883</v>
      </c>
      <c r="F26">
        <f t="shared" si="5"/>
        <v>0</v>
      </c>
      <c r="G26" s="9">
        <f t="shared" si="6"/>
        <v>0.13371254464053739</v>
      </c>
      <c r="H26" s="9">
        <f t="shared" si="6"/>
        <v>0.13371254464053739</v>
      </c>
      <c r="I26" s="9">
        <f t="shared" si="6"/>
        <v>0</v>
      </c>
      <c r="J26" s="9">
        <f t="shared" si="7"/>
        <v>1.738263080326986E-2</v>
      </c>
      <c r="K26" s="9">
        <f t="shared" si="8"/>
        <v>2.6742508928107478E-2</v>
      </c>
      <c r="L26" s="9">
        <f t="shared" si="9"/>
        <v>0</v>
      </c>
      <c r="M26">
        <f t="shared" si="0"/>
        <v>7.8722944642206576</v>
      </c>
      <c r="N26">
        <f t="shared" si="10"/>
        <v>6.279998294028502</v>
      </c>
      <c r="O26">
        <f t="shared" si="24"/>
        <v>1.5922961701921556</v>
      </c>
      <c r="P26">
        <f t="shared" si="22"/>
        <v>7.5764226512710549</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0.29587181294960274</v>
      </c>
      <c r="AB26">
        <f t="shared" si="11"/>
        <v>5.9844757683883441E-2</v>
      </c>
      <c r="AC26">
        <f t="shared" si="12"/>
        <v>0.23602705526571932</v>
      </c>
      <c r="AD26">
        <f t="shared" si="3"/>
        <v>1.5152845302542111</v>
      </c>
      <c r="AE26">
        <f t="shared" si="13"/>
        <v>0</v>
      </c>
      <c r="AF26">
        <f t="shared" si="14"/>
        <v>1.6836494780602345</v>
      </c>
      <c r="AG26">
        <f t="shared" si="15"/>
        <v>3.0305690605084221</v>
      </c>
      <c r="AH26">
        <f t="shared" si="16"/>
        <v>0</v>
      </c>
      <c r="AI26">
        <f t="shared" si="17"/>
        <v>0.39875908690900286</v>
      </c>
      <c r="AJ26">
        <f t="shared" si="18"/>
        <v>0</v>
      </c>
      <c r="AK26">
        <f t="shared" si="19"/>
        <v>1.5152845302542111</v>
      </c>
      <c r="AL26">
        <f t="shared" si="20"/>
        <v>0</v>
      </c>
    </row>
    <row r="27" spans="1:38" x14ac:dyDescent="0.2">
      <c r="A27">
        <v>2044</v>
      </c>
      <c r="B27">
        <v>19</v>
      </c>
      <c r="C27">
        <f t="shared" si="21"/>
        <v>8.4045580438657463</v>
      </c>
      <c r="D27">
        <f t="shared" si="23"/>
        <v>1.1843122878204153</v>
      </c>
      <c r="E27">
        <f t="shared" si="4"/>
        <v>1.1843122878204153</v>
      </c>
      <c r="F27">
        <f t="shared" si="5"/>
        <v>0</v>
      </c>
      <c r="G27" s="9">
        <f t="shared" si="6"/>
        <v>0.14091309520847584</v>
      </c>
      <c r="H27" s="9">
        <f t="shared" si="6"/>
        <v>0.14091309520847584</v>
      </c>
      <c r="I27" s="9">
        <f t="shared" si="6"/>
        <v>0</v>
      </c>
      <c r="J27" s="9">
        <f t="shared" si="7"/>
        <v>1.8318702377101859E-2</v>
      </c>
      <c r="K27" s="9">
        <f t="shared" si="8"/>
        <v>2.8182619041695167E-2</v>
      </c>
      <c r="L27" s="9">
        <f t="shared" si="9"/>
        <v>0</v>
      </c>
      <c r="M27">
        <f t="shared" si="0"/>
        <v>8.0180740017494347</v>
      </c>
      <c r="N27">
        <f t="shared" si="10"/>
        <v>6.4369133726413112</v>
      </c>
      <c r="O27">
        <f t="shared" si="24"/>
        <v>1.5811606291081235</v>
      </c>
      <c r="P27">
        <f t="shared" si="22"/>
        <v>7.7926781163504355</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0.22539588539899924</v>
      </c>
      <c r="AB27">
        <f t="shared" si="11"/>
        <v>4.4447968412128065E-2</v>
      </c>
      <c r="AC27">
        <f t="shared" si="12"/>
        <v>0.18094791698687118</v>
      </c>
      <c r="AD27">
        <f t="shared" si="3"/>
        <v>1.5585356232700873</v>
      </c>
      <c r="AE27">
        <f t="shared" si="13"/>
        <v>0</v>
      </c>
      <c r="AF27">
        <f t="shared" si="14"/>
        <v>1.7317062480778749</v>
      </c>
      <c r="AG27">
        <f t="shared" si="15"/>
        <v>3.1170712465401751</v>
      </c>
      <c r="AH27">
        <f t="shared" si="16"/>
        <v>0</v>
      </c>
      <c r="AI27">
        <f t="shared" si="17"/>
        <v>0.4101409534921282</v>
      </c>
      <c r="AJ27">
        <f t="shared" si="18"/>
        <v>0</v>
      </c>
      <c r="AK27">
        <f t="shared" si="19"/>
        <v>1.5585356232700873</v>
      </c>
      <c r="AL27">
        <f t="shared" si="20"/>
        <v>0</v>
      </c>
    </row>
    <row r="28" spans="1:38" x14ac:dyDescent="0.2">
      <c r="A28">
        <v>2045</v>
      </c>
      <c r="B28">
        <v>20</v>
      </c>
      <c r="C28">
        <f t="shared" si="21"/>
        <v>8.5810537627869259</v>
      </c>
      <c r="D28">
        <f t="shared" si="23"/>
        <v>1.2705887300193495</v>
      </c>
      <c r="E28">
        <f t="shared" si="4"/>
        <v>1.2705887300193495</v>
      </c>
      <c r="F28">
        <f t="shared" si="5"/>
        <v>0</v>
      </c>
      <c r="G28" s="9">
        <f t="shared" si="6"/>
        <v>0.14806907929297158</v>
      </c>
      <c r="H28" s="9">
        <f t="shared" si="6"/>
        <v>0.14806907929297158</v>
      </c>
      <c r="I28" s="9">
        <f t="shared" si="6"/>
        <v>0</v>
      </c>
      <c r="J28" s="9">
        <f t="shared" si="7"/>
        <v>1.9248980308086305E-2</v>
      </c>
      <c r="K28" s="9">
        <f t="shared" si="8"/>
        <v>2.9613815858594319E-2</v>
      </c>
      <c r="L28" s="9">
        <f t="shared" si="9"/>
        <v>0</v>
      </c>
      <c r="M28">
        <f t="shared" si="0"/>
        <v>8.1666509893693036</v>
      </c>
      <c r="N28">
        <f t="shared" si="10"/>
        <v>6.587118878985633</v>
      </c>
      <c r="O28">
        <f t="shared" si="24"/>
        <v>1.5795321103836706</v>
      </c>
      <c r="P28">
        <f t="shared" si="22"/>
        <v>7.9871979375607491</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0.17945305180855442</v>
      </c>
      <c r="AB28">
        <f t="shared" si="11"/>
        <v>3.4708457359930181E-2</v>
      </c>
      <c r="AC28">
        <f t="shared" si="12"/>
        <v>0.14474459444862425</v>
      </c>
      <c r="AD28">
        <f t="shared" si="3"/>
        <v>1.5974395875121499</v>
      </c>
      <c r="AE28">
        <f t="shared" si="13"/>
        <v>0</v>
      </c>
      <c r="AF28">
        <f t="shared" si="14"/>
        <v>1.7749328750135001</v>
      </c>
      <c r="AG28">
        <f t="shared" si="15"/>
        <v>3.1948791750242997</v>
      </c>
      <c r="AH28">
        <f t="shared" si="16"/>
        <v>0</v>
      </c>
      <c r="AI28">
        <f t="shared" si="17"/>
        <v>0.4203788388189868</v>
      </c>
      <c r="AJ28">
        <f t="shared" si="18"/>
        <v>0</v>
      </c>
      <c r="AK28">
        <f t="shared" si="19"/>
        <v>1.5974395875121499</v>
      </c>
      <c r="AL28">
        <f t="shared" si="20"/>
        <v>0</v>
      </c>
    </row>
    <row r="29" spans="1:38" x14ac:dyDescent="0.2">
      <c r="A29">
        <v>2046</v>
      </c>
      <c r="B29">
        <v>21</v>
      </c>
      <c r="C29">
        <f t="shared" si="21"/>
        <v>8.7612558918054511</v>
      </c>
      <c r="D29">
        <f t="shared" si="23"/>
        <v>1.3595517146169458</v>
      </c>
      <c r="E29">
        <f t="shared" si="4"/>
        <v>1.3595517146169458</v>
      </c>
      <c r="F29">
        <f t="shared" si="5"/>
        <v>0</v>
      </c>
      <c r="G29" s="9">
        <f t="shared" si="6"/>
        <v>0.15517772011299855</v>
      </c>
      <c r="H29" s="9">
        <f t="shared" si="6"/>
        <v>0.15517772011299855</v>
      </c>
      <c r="I29" s="9">
        <f t="shared" si="6"/>
        <v>0</v>
      </c>
      <c r="J29" s="9">
        <f t="shared" si="7"/>
        <v>2.0173103614689811E-2</v>
      </c>
      <c r="K29" s="9">
        <f t="shared" si="8"/>
        <v>3.1035544022599712E-2</v>
      </c>
      <c r="L29" s="9">
        <f t="shared" si="9"/>
        <v>0</v>
      </c>
      <c r="M29">
        <f t="shared" si="0"/>
        <v>8.3180891015035581</v>
      </c>
      <c r="N29">
        <f t="shared" si="10"/>
        <v>6.7327603459444809</v>
      </c>
      <c r="O29">
        <f t="shared" si="24"/>
        <v>1.5853287555590772</v>
      </c>
      <c r="P29">
        <f t="shared" si="22"/>
        <v>8.1681927290907357</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0.14989637241282239</v>
      </c>
      <c r="AB29">
        <f t="shared" si="11"/>
        <v>2.8568464059502002E-2</v>
      </c>
      <c r="AC29">
        <f t="shared" si="12"/>
        <v>0.12132790835332039</v>
      </c>
      <c r="AD29">
        <f t="shared" si="3"/>
        <v>1.6336385458181475</v>
      </c>
      <c r="AE29">
        <f t="shared" si="13"/>
        <v>0</v>
      </c>
      <c r="AF29">
        <f t="shared" si="14"/>
        <v>1.8151539397979415</v>
      </c>
      <c r="AG29">
        <f t="shared" si="15"/>
        <v>3.267277091636295</v>
      </c>
      <c r="AH29">
        <f t="shared" si="16"/>
        <v>0</v>
      </c>
      <c r="AI29">
        <f t="shared" si="17"/>
        <v>0.42990488047845982</v>
      </c>
      <c r="AJ29">
        <f t="shared" si="18"/>
        <v>0</v>
      </c>
      <c r="AK29">
        <f t="shared" si="19"/>
        <v>1.6336385458181475</v>
      </c>
      <c r="AL29">
        <f t="shared" si="20"/>
        <v>0</v>
      </c>
    </row>
    <row r="30" spans="1:38" x14ac:dyDescent="0.2">
      <c r="A30">
        <v>2047</v>
      </c>
      <c r="B30">
        <v>22</v>
      </c>
      <c r="C30">
        <f t="shared" si="21"/>
        <v>8.9452422655333645</v>
      </c>
      <c r="D30">
        <f t="shared" si="23"/>
        <v>1.4512431849884901</v>
      </c>
      <c r="E30">
        <f t="shared" si="4"/>
        <v>1.4512431849884901</v>
      </c>
      <c r="F30">
        <f t="shared" si="5"/>
        <v>0</v>
      </c>
      <c r="G30" s="9">
        <f t="shared" si="6"/>
        <v>0.16223631981217884</v>
      </c>
      <c r="H30" s="9">
        <f t="shared" si="6"/>
        <v>0.16223631981217884</v>
      </c>
      <c r="I30" s="9">
        <f t="shared" si="6"/>
        <v>0</v>
      </c>
      <c r="J30" s="9">
        <f t="shared" si="7"/>
        <v>2.1090721575583251E-2</v>
      </c>
      <c r="K30" s="9">
        <f t="shared" si="8"/>
        <v>3.2447263962435767E-2</v>
      </c>
      <c r="L30" s="9">
        <f t="shared" si="9"/>
        <v>0</v>
      </c>
      <c r="M30">
        <f t="shared" si="0"/>
        <v>8.472453567677773</v>
      </c>
      <c r="N30">
        <f t="shared" si="10"/>
        <v>6.8755204009023307</v>
      </c>
      <c r="O30">
        <f t="shared" si="24"/>
        <v>1.5969331667754423</v>
      </c>
      <c r="P30">
        <f t="shared" si="22"/>
        <v>8.3412727408056622</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0.13118082687211086</v>
      </c>
      <c r="AB30">
        <f t="shared" si="11"/>
        <v>2.4725660825842637E-2</v>
      </c>
      <c r="AC30">
        <f t="shared" si="12"/>
        <v>0.10645516604626822</v>
      </c>
      <c r="AD30">
        <f t="shared" si="3"/>
        <v>1.6682545481611326</v>
      </c>
      <c r="AE30">
        <f t="shared" si="13"/>
        <v>0</v>
      </c>
      <c r="AF30">
        <f t="shared" si="14"/>
        <v>1.8536161646234808</v>
      </c>
      <c r="AG30">
        <f t="shared" si="15"/>
        <v>3.3365090963222652</v>
      </c>
      <c r="AH30">
        <f t="shared" si="16"/>
        <v>0</v>
      </c>
      <c r="AI30">
        <f t="shared" si="17"/>
        <v>0.43901435477924539</v>
      </c>
      <c r="AJ30">
        <f t="shared" si="18"/>
        <v>0</v>
      </c>
      <c r="AK30">
        <f t="shared" si="19"/>
        <v>1.6682545481611326</v>
      </c>
      <c r="AL30">
        <f t="shared" si="20"/>
        <v>0</v>
      </c>
    </row>
    <row r="31" spans="1:38" x14ac:dyDescent="0.2">
      <c r="A31">
        <v>2048</v>
      </c>
      <c r="B31">
        <v>23</v>
      </c>
      <c r="C31">
        <f t="shared" si="21"/>
        <v>9.1330923531095642</v>
      </c>
      <c r="D31">
        <f t="shared" si="23"/>
        <v>1.5457052187575453</v>
      </c>
      <c r="E31">
        <f t="shared" si="4"/>
        <v>1.5457052187575453</v>
      </c>
      <c r="F31">
        <f t="shared" si="5"/>
        <v>0</v>
      </c>
      <c r="G31" s="9">
        <f t="shared" si="6"/>
        <v>0.1692422630798511</v>
      </c>
      <c r="H31" s="9">
        <f t="shared" si="6"/>
        <v>0.1692422630798511</v>
      </c>
      <c r="I31" s="9">
        <f t="shared" si="6"/>
        <v>0</v>
      </c>
      <c r="J31" s="9">
        <f t="shared" si="7"/>
        <v>2.2001494200380643E-2</v>
      </c>
      <c r="K31" s="9">
        <f t="shared" si="8"/>
        <v>3.384845261597022E-2</v>
      </c>
      <c r="L31" s="9">
        <f t="shared" si="9"/>
        <v>0</v>
      </c>
      <c r="M31">
        <f t="shared" si="0"/>
        <v>8.629811195800773</v>
      </c>
      <c r="N31">
        <f t="shared" si="10"/>
        <v>7.0167113795931906</v>
      </c>
      <c r="O31">
        <f t="shared" si="24"/>
        <v>1.6130998162075825</v>
      </c>
      <c r="P31">
        <f t="shared" si="22"/>
        <v>8.5102143378416066</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0.11959685795916641</v>
      </c>
      <c r="AB31">
        <f t="shared" si="11"/>
        <v>2.2355259601370015E-2</v>
      </c>
      <c r="AC31">
        <f t="shared" si="12"/>
        <v>9.7241598357796388E-2</v>
      </c>
      <c r="AD31">
        <f t="shared" si="3"/>
        <v>1.7020428675683217</v>
      </c>
      <c r="AE31">
        <f t="shared" si="13"/>
        <v>0</v>
      </c>
      <c r="AF31">
        <f t="shared" si="14"/>
        <v>1.8911587417425797</v>
      </c>
      <c r="AG31">
        <f t="shared" si="15"/>
        <v>3.4040857351366434</v>
      </c>
      <c r="AH31">
        <f t="shared" si="16"/>
        <v>0</v>
      </c>
      <c r="AI31">
        <f t="shared" si="17"/>
        <v>0.44790601778113726</v>
      </c>
      <c r="AJ31">
        <f t="shared" si="18"/>
        <v>0</v>
      </c>
      <c r="AK31">
        <f t="shared" si="19"/>
        <v>1.7020428675683217</v>
      </c>
      <c r="AL31">
        <f t="shared" si="20"/>
        <v>0</v>
      </c>
    </row>
    <row r="32" spans="1:38" x14ac:dyDescent="0.2">
      <c r="A32">
        <v>2049</v>
      </c>
      <c r="B32">
        <v>24</v>
      </c>
      <c r="C32">
        <f t="shared" si="21"/>
        <v>9.3248872925248634</v>
      </c>
      <c r="D32">
        <f t="shared" si="23"/>
        <v>1.642980057822939</v>
      </c>
      <c r="E32">
        <f t="shared" si="4"/>
        <v>1.642980057822939</v>
      </c>
      <c r="F32">
        <f t="shared" si="5"/>
        <v>0</v>
      </c>
      <c r="G32" s="9">
        <f t="shared" si="6"/>
        <v>0.17619302049259147</v>
      </c>
      <c r="H32" s="9">
        <f t="shared" si="6"/>
        <v>0.17619302049259147</v>
      </c>
      <c r="I32" s="9">
        <f t="shared" si="6"/>
        <v>0</v>
      </c>
      <c r="J32" s="9">
        <f t="shared" si="7"/>
        <v>2.2905092664036893E-2</v>
      </c>
      <c r="K32" s="9">
        <f t="shared" si="8"/>
        <v>3.5238604098518297E-2</v>
      </c>
      <c r="L32" s="9">
        <f t="shared" si="9"/>
        <v>0</v>
      </c>
      <c r="M32">
        <f t="shared" si="0"/>
        <v>8.790230395537213</v>
      </c>
      <c r="N32">
        <f t="shared" si="10"/>
        <v>7.1573542866958979</v>
      </c>
      <c r="O32">
        <f t="shared" si="24"/>
        <v>1.6328761088413151</v>
      </c>
      <c r="P32">
        <f t="shared" si="22"/>
        <v>8.6775406828662849</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0.11268971267092809</v>
      </c>
      <c r="AB32">
        <f t="shared" si="11"/>
        <v>2.0933278338867167E-2</v>
      </c>
      <c r="AC32">
        <f t="shared" si="12"/>
        <v>9.1756434332060918E-2</v>
      </c>
      <c r="AD32">
        <f t="shared" si="3"/>
        <v>1.735508136573257</v>
      </c>
      <c r="AE32">
        <f t="shared" si="13"/>
        <v>0</v>
      </c>
      <c r="AF32">
        <f t="shared" si="14"/>
        <v>1.9283423739702856</v>
      </c>
      <c r="AG32">
        <f t="shared" si="15"/>
        <v>3.471016273146514</v>
      </c>
      <c r="AH32">
        <f t="shared" si="16"/>
        <v>0</v>
      </c>
      <c r="AI32">
        <f t="shared" si="17"/>
        <v>0.45671266751927819</v>
      </c>
      <c r="AJ32">
        <f t="shared" si="18"/>
        <v>0</v>
      </c>
      <c r="AK32">
        <f t="shared" si="19"/>
        <v>1.735508136573257</v>
      </c>
      <c r="AL32">
        <f t="shared" si="20"/>
        <v>0</v>
      </c>
    </row>
    <row r="33" spans="1:38" x14ac:dyDescent="0.2">
      <c r="A33">
        <v>2050</v>
      </c>
      <c r="B33">
        <v>25</v>
      </c>
      <c r="C33">
        <f t="shared" si="21"/>
        <v>9.5207099256678838</v>
      </c>
      <c r="D33">
        <f t="shared" si="23"/>
        <v>1.7431101405005007</v>
      </c>
      <c r="E33">
        <f t="shared" si="4"/>
        <v>1.7431101405005007</v>
      </c>
      <c r="F33">
        <f t="shared" si="5"/>
        <v>0</v>
      </c>
      <c r="G33" s="9">
        <f t="shared" si="6"/>
        <v>0.18308615156954491</v>
      </c>
      <c r="H33" s="9">
        <f t="shared" si="6"/>
        <v>0.18308615156954491</v>
      </c>
      <c r="I33" s="9">
        <f t="shared" si="6"/>
        <v>0</v>
      </c>
      <c r="J33" s="9">
        <f t="shared" si="7"/>
        <v>2.3801199704040838E-2</v>
      </c>
      <c r="K33" s="9">
        <f t="shared" si="8"/>
        <v>3.6617230313908983E-2</v>
      </c>
      <c r="L33" s="9">
        <f t="shared" si="9"/>
        <v>0</v>
      </c>
      <c r="M33">
        <f t="shared" si="0"/>
        <v>8.953781201814758</v>
      </c>
      <c r="N33">
        <f t="shared" si="10"/>
        <v>7.2982436492871461</v>
      </c>
      <c r="O33">
        <f t="shared" si="24"/>
        <v>1.6555375525276119</v>
      </c>
      <c r="P33">
        <f t="shared" si="22"/>
        <v>8.8449349823969516</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0.10884621941780637</v>
      </c>
      <c r="AB33">
        <f t="shared" si="11"/>
        <v>2.0125464274279532E-2</v>
      </c>
      <c r="AC33">
        <f t="shared" si="12"/>
        <v>8.8720755143526828E-2</v>
      </c>
      <c r="AD33">
        <f t="shared" si="3"/>
        <v>1.7689869964793905</v>
      </c>
      <c r="AE33">
        <f t="shared" si="13"/>
        <v>0</v>
      </c>
      <c r="AF33">
        <f t="shared" si="14"/>
        <v>1.9655411071993227</v>
      </c>
      <c r="AG33">
        <f t="shared" si="15"/>
        <v>3.537973992958781</v>
      </c>
      <c r="AH33">
        <f t="shared" si="16"/>
        <v>0</v>
      </c>
      <c r="AI33">
        <f t="shared" si="17"/>
        <v>0.46552289381036588</v>
      </c>
      <c r="AJ33">
        <f t="shared" si="18"/>
        <v>0</v>
      </c>
      <c r="AK33">
        <f t="shared" si="19"/>
        <v>1.7689869964793905</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EAFA-E365-F746-AB48-A87D87006AB7}">
  <sheetPr>
    <tabColor theme="4" tint="0.79998168889431442"/>
  </sheetPr>
  <dimension ref="A1:AY37"/>
  <sheetViews>
    <sheetView topLeftCell="D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20</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emissions!N29</f>
        <v>5.6627290395888474</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5.6627290395888474</v>
      </c>
      <c r="N8">
        <f>IF($N$7="LFO",M8/(1+EXP(-$I$4*(B8-$J$4)))-M8/(1+EXP($I$4*$J$4)),IF($N$7="MGO",M8/(1+EXP(-$I$5*(B8-$J$5)))-M8/(1+EXP($I$5*$J$5)),0))</f>
        <v>0</v>
      </c>
      <c r="O8">
        <f>M8-N8</f>
        <v>5.6627290395888474</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5.6627290395888474</v>
      </c>
      <c r="AB8">
        <f>O8/M8*AA8</f>
        <v>5.6627290395888474</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5.781646349420213</v>
      </c>
      <c r="D9">
        <f>IF($E$2=0,0,C9/(1+EXP(-$E$2*(B9-$G$2)))-C9/(1+EXP($E$2*$G$2)))</f>
        <v>4.3164578192577796E-2</v>
      </c>
      <c r="E9">
        <f t="shared" ref="E9:E33" si="4">IF($E$3=0,0,C9/(1+EXP(-$E$3*(B9-$G$3)))-C9/(1+EXP($E$3*$G$3)))</f>
        <v>4.3164578192577796E-2</v>
      </c>
      <c r="F9">
        <f t="shared" ref="F9:F33" si="5">IF($E$4=0,0,C9/(1+EXP(-$E$4*(B9-$G$4)))-C9/(1+EXP($E$4*$G$4)))</f>
        <v>0</v>
      </c>
      <c r="G9" s="9">
        <f t="shared" ref="G9:I33" si="6">D9/$C9</f>
        <v>7.465793579177731E-3</v>
      </c>
      <c r="H9" s="9">
        <f t="shared" si="6"/>
        <v>7.465793579177731E-3</v>
      </c>
      <c r="I9" s="9">
        <f t="shared" si="6"/>
        <v>0</v>
      </c>
      <c r="J9" s="9">
        <f t="shared" ref="J9:J33" si="7">G9*$F$2</f>
        <v>9.7055316529310503E-4</v>
      </c>
      <c r="K9" s="9">
        <f t="shared" ref="K9:K33" si="8">H9*$F$3</f>
        <v>1.4931587158355463E-3</v>
      </c>
      <c r="L9" s="9">
        <f t="shared" ref="L9:L33" si="9">I9*$F$4</f>
        <v>0</v>
      </c>
      <c r="M9">
        <f t="shared" si="0"/>
        <v>5.7674104173202609</v>
      </c>
      <c r="N9">
        <f t="shared" ref="N9:N33" si="10">IF($N$7="LFO",M9/(1+EXP(-$I$4*(B9-$J$4)))-M9/(1+EXP($I$4*$J$4)),IF($N$7="MGO",M9/(1+EXP(-$I$5*(B9-$J$5)))-M9/(1+EXP($I$5*$J$5)),0))</f>
        <v>0.28288970861334373</v>
      </c>
      <c r="O9">
        <f>M9-N9</f>
        <v>5.484520708706917</v>
      </c>
      <c r="P9">
        <f>IF($I$3=0,0,M9/(1+EXP(-$I$3*(B9-$J$3)))-M9/(1+EXP($I$3*$J$3)))</f>
        <v>3.5395120749484185E-2</v>
      </c>
      <c r="Q9" s="9">
        <f t="shared" si="1"/>
        <v>6.137090685134558E-3</v>
      </c>
      <c r="R9">
        <f>VLOOKUP($B$1,dictionary!$A$3:$K$51,3,FALSE)*Q9</f>
        <v>1.2274181370269116E-3</v>
      </c>
      <c r="S9">
        <f>VLOOKUP($B$1,dictionary!$A$3:$K$51,4,FALSE)*Q9</f>
        <v>0</v>
      </c>
      <c r="T9">
        <f>VLOOKUP($B$1,dictionary!$A$3:$K$51,5,FALSE)*Q9</f>
        <v>1.2274181370269116E-3</v>
      </c>
      <c r="U9">
        <f>VLOOKUP($B$1,dictionary!$A$3:$K$51,6,FALSE)*Q9</f>
        <v>2.1479817397970953E-3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5.7320152965707765</v>
      </c>
      <c r="AB9">
        <f t="shared" ref="AB9:AB33" si="11">O9/M9*AA9</f>
        <v>5.4508617077530834</v>
      </c>
      <c r="AC9">
        <f t="shared" ref="AC9:AC33" si="12">N9/M9*AA9</f>
        <v>0.28115358881769237</v>
      </c>
      <c r="AD9">
        <f t="shared" si="3"/>
        <v>7.0790241498968369E-3</v>
      </c>
      <c r="AE9">
        <f t="shared" ref="AE9:AE33" si="13">S9*$O9*$AE$2+S9*$N9*$AE$3</f>
        <v>0</v>
      </c>
      <c r="AF9">
        <f t="shared" ref="AF9:AF33" si="14">T9*$O9*$AF$2+T9*$N9*$AF$3</f>
        <v>7.865582388774264E-3</v>
      </c>
      <c r="AG9">
        <f t="shared" ref="AG9:AG33" si="15">U9*$O9*$AG$2+U9*$N9*$AG$3</f>
        <v>1.4158048299793679E-2</v>
      </c>
      <c r="AH9">
        <f t="shared" ref="AH9:AH33" si="16">V9*$O9*$AH$2+V9*$N9*$AH$3</f>
        <v>0</v>
      </c>
      <c r="AI9">
        <f t="shared" ref="AI9:AI33" si="17">W9*$O9*$AI$2+W9*$N9*$AI$3</f>
        <v>1.8629010920781148E-3</v>
      </c>
      <c r="AJ9">
        <f t="shared" ref="AJ9:AJ33" si="18">X9*$O9*$AJ$2+X9*$N9*$AJ$3</f>
        <v>0</v>
      </c>
      <c r="AK9">
        <f t="shared" ref="AK9:AK33" si="19">Y9*$O9*$AK$2+Y9*$N9*$AK$3</f>
        <v>7.0790241498968369E-3</v>
      </c>
      <c r="AL9">
        <f t="shared" ref="AL9:AL33" si="20">Z9*$O9*$AL$2+Z9*$N9*$AL$3</f>
        <v>0</v>
      </c>
    </row>
    <row r="10" spans="1:51" x14ac:dyDescent="0.2">
      <c r="A10">
        <v>2027</v>
      </c>
      <c r="B10">
        <v>2</v>
      </c>
      <c r="C10">
        <f t="shared" ref="C10:C33" si="21">C9*(1+$I$2)</f>
        <v>5.9030609227580371</v>
      </c>
      <c r="D10">
        <f>IF($E$2=0,0,C10/(1+EXP(-$E$2*(B10-$G$2)))-C10/(1+EXP($E$2*$G$2)))</f>
        <v>8.8221366810028456E-2</v>
      </c>
      <c r="E10">
        <f t="shared" si="4"/>
        <v>8.8221366810028456E-2</v>
      </c>
      <c r="F10">
        <f t="shared" si="5"/>
        <v>0</v>
      </c>
      <c r="G10" s="9">
        <f t="shared" si="6"/>
        <v>1.4945020551949434E-2</v>
      </c>
      <c r="H10" s="9">
        <f t="shared" si="6"/>
        <v>1.4945020551949434E-2</v>
      </c>
      <c r="I10" s="9">
        <f t="shared" si="6"/>
        <v>0</v>
      </c>
      <c r="J10" s="9">
        <f t="shared" si="7"/>
        <v>1.9428526717534264E-3</v>
      </c>
      <c r="K10" s="9">
        <f t="shared" si="8"/>
        <v>2.9890041103898869E-3</v>
      </c>
      <c r="L10" s="9">
        <f t="shared" si="9"/>
        <v>0</v>
      </c>
      <c r="M10">
        <f t="shared" si="0"/>
        <v>5.8739821519343698</v>
      </c>
      <c r="N10">
        <f t="shared" si="10"/>
        <v>0.62631319169266342</v>
      </c>
      <c r="O10">
        <f>M10-N10</f>
        <v>5.2476689602417066</v>
      </c>
      <c r="P10">
        <f t="shared" ref="P10:P33" si="22">IF($I$3=0,0,M10/(1+EXP(-$I$3*(B10-$J$3)))-M10/(1+EXP($I$3*$J$3)))</f>
        <v>9.1693160649191918E-2</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5.7822889912851778</v>
      </c>
      <c r="AB10">
        <f t="shared" si="11"/>
        <v>5.1657525804231597</v>
      </c>
      <c r="AC10">
        <f t="shared" si="12"/>
        <v>0.61653641086201827</v>
      </c>
      <c r="AD10">
        <f t="shared" si="3"/>
        <v>1.8338632129838387E-2</v>
      </c>
      <c r="AE10">
        <f t="shared" si="13"/>
        <v>0</v>
      </c>
      <c r="AF10">
        <f t="shared" si="14"/>
        <v>2.0376257922042649E-2</v>
      </c>
      <c r="AG10">
        <f t="shared" si="15"/>
        <v>3.6677264259676767E-2</v>
      </c>
      <c r="AH10">
        <f t="shared" si="16"/>
        <v>0</v>
      </c>
      <c r="AI10">
        <f t="shared" si="17"/>
        <v>4.8259558236416807E-3</v>
      </c>
      <c r="AJ10">
        <f t="shared" si="18"/>
        <v>0</v>
      </c>
      <c r="AK10">
        <f t="shared" si="19"/>
        <v>1.8338632129838387E-2</v>
      </c>
      <c r="AL10">
        <f t="shared" si="20"/>
        <v>0</v>
      </c>
    </row>
    <row r="11" spans="1:51" x14ac:dyDescent="0.2">
      <c r="A11">
        <v>2028</v>
      </c>
      <c r="B11">
        <v>3</v>
      </c>
      <c r="C11">
        <f t="shared" si="21"/>
        <v>6.0270252021359552</v>
      </c>
      <c r="D11">
        <f t="shared" ref="D11:D33" si="23">IF($E$2=0,0,C11/(1+EXP(-$E$2*(B11-$G$2)))-C11/(1+EXP($E$2*$G$2)))</f>
        <v>0.13521235501997442</v>
      </c>
      <c r="E11">
        <f t="shared" si="4"/>
        <v>0.13521235501997442</v>
      </c>
      <c r="F11">
        <f t="shared" si="5"/>
        <v>0</v>
      </c>
      <c r="G11" s="9">
        <f t="shared" si="6"/>
        <v>2.2434343724339442E-2</v>
      </c>
      <c r="H11" s="9">
        <f t="shared" si="6"/>
        <v>2.2434343724339442E-2</v>
      </c>
      <c r="I11" s="9">
        <f t="shared" si="6"/>
        <v>0</v>
      </c>
      <c r="J11" s="9">
        <f t="shared" si="7"/>
        <v>2.9164646841641274E-3</v>
      </c>
      <c r="K11" s="9">
        <f t="shared" si="8"/>
        <v>4.4868687448678885E-3</v>
      </c>
      <c r="L11" s="9">
        <f t="shared" si="9"/>
        <v>0</v>
      </c>
      <c r="M11">
        <f t="shared" si="0"/>
        <v>5.9824839933910194</v>
      </c>
      <c r="N11">
        <f t="shared" si="10"/>
        <v>1.0284977000057285</v>
      </c>
      <c r="O11">
        <f t="shared" ref="O11:O33" si="24">M11-N11</f>
        <v>4.9539862933852907</v>
      </c>
      <c r="P11">
        <f t="shared" si="22"/>
        <v>0.18009870567843017</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5.802385287712589</v>
      </c>
      <c r="AB11">
        <f t="shared" si="11"/>
        <v>4.8048498276006741</v>
      </c>
      <c r="AC11">
        <f t="shared" si="12"/>
        <v>0.99753546011191463</v>
      </c>
      <c r="AD11">
        <f t="shared" si="3"/>
        <v>3.6019741135686033E-2</v>
      </c>
      <c r="AE11">
        <f t="shared" si="13"/>
        <v>0</v>
      </c>
      <c r="AF11">
        <f t="shared" si="14"/>
        <v>4.0021934595206705E-2</v>
      </c>
      <c r="AG11">
        <f t="shared" si="15"/>
        <v>7.2039482271372066E-2</v>
      </c>
      <c r="AH11">
        <f t="shared" si="16"/>
        <v>0</v>
      </c>
      <c r="AI11">
        <f t="shared" si="17"/>
        <v>9.4788792462331666E-3</v>
      </c>
      <c r="AJ11">
        <f t="shared" si="18"/>
        <v>0</v>
      </c>
      <c r="AK11">
        <f t="shared" si="19"/>
        <v>3.6019741135686033E-2</v>
      </c>
      <c r="AL11">
        <f t="shared" si="20"/>
        <v>0</v>
      </c>
    </row>
    <row r="12" spans="1:51" x14ac:dyDescent="0.2">
      <c r="A12">
        <v>2029</v>
      </c>
      <c r="B12">
        <v>4</v>
      </c>
      <c r="C12">
        <f t="shared" si="21"/>
        <v>6.1535927313808099</v>
      </c>
      <c r="D12">
        <f t="shared" si="23"/>
        <v>0.18417953984306346</v>
      </c>
      <c r="E12">
        <f t="shared" si="4"/>
        <v>0.18417953984306346</v>
      </c>
      <c r="F12">
        <f t="shared" si="5"/>
        <v>0</v>
      </c>
      <c r="G12" s="9">
        <f t="shared" si="6"/>
        <v>2.9930407793129211E-2</v>
      </c>
      <c r="H12" s="9">
        <f t="shared" si="6"/>
        <v>2.9930407793129211E-2</v>
      </c>
      <c r="I12" s="9">
        <f t="shared" si="6"/>
        <v>0</v>
      </c>
      <c r="J12" s="9">
        <f t="shared" si="7"/>
        <v>3.8909530131067977E-3</v>
      </c>
      <c r="K12" s="9">
        <f t="shared" si="8"/>
        <v>5.9860815586258425E-3</v>
      </c>
      <c r="L12" s="9">
        <f t="shared" si="9"/>
        <v>0</v>
      </c>
      <c r="M12">
        <f t="shared" si="0"/>
        <v>6.0929568100197002</v>
      </c>
      <c r="N12">
        <f t="shared" si="10"/>
        <v>1.4813925276498965</v>
      </c>
      <c r="O12">
        <f t="shared" si="24"/>
        <v>4.6115642823698035</v>
      </c>
      <c r="P12">
        <f t="shared" si="22"/>
        <v>0.31675097171490352</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5.7762058383047972</v>
      </c>
      <c r="AB12">
        <f t="shared" si="11"/>
        <v>4.3718255950440925</v>
      </c>
      <c r="AC12">
        <f t="shared" si="12"/>
        <v>1.4043802432607044</v>
      </c>
      <c r="AD12">
        <f t="shared" si="3"/>
        <v>6.3350194342980712E-2</v>
      </c>
      <c r="AE12">
        <f t="shared" si="13"/>
        <v>0</v>
      </c>
      <c r="AF12">
        <f t="shared" si="14"/>
        <v>7.0389104825534121E-2</v>
      </c>
      <c r="AG12">
        <f t="shared" si="15"/>
        <v>0.12670038868596142</v>
      </c>
      <c r="AH12">
        <f t="shared" si="16"/>
        <v>0</v>
      </c>
      <c r="AI12">
        <f t="shared" si="17"/>
        <v>1.6671103774468607E-2</v>
      </c>
      <c r="AJ12">
        <f t="shared" si="18"/>
        <v>0</v>
      </c>
      <c r="AK12">
        <f t="shared" si="19"/>
        <v>6.3350194342980712E-2</v>
      </c>
      <c r="AL12">
        <f t="shared" si="20"/>
        <v>0</v>
      </c>
    </row>
    <row r="13" spans="1:51" x14ac:dyDescent="0.2">
      <c r="A13">
        <v>2030</v>
      </c>
      <c r="B13">
        <v>5</v>
      </c>
      <c r="C13">
        <f t="shared" si="21"/>
        <v>6.2828181787398067</v>
      </c>
      <c r="D13">
        <f t="shared" si="23"/>
        <v>0.23516491275312923</v>
      </c>
      <c r="E13">
        <f t="shared" si="4"/>
        <v>0.23516491275312923</v>
      </c>
      <c r="F13">
        <f t="shared" si="5"/>
        <v>0</v>
      </c>
      <c r="G13" s="9">
        <f t="shared" si="6"/>
        <v>3.742984534374956E-2</v>
      </c>
      <c r="H13" s="9">
        <f t="shared" si="6"/>
        <v>3.742984534374956E-2</v>
      </c>
      <c r="I13" s="9">
        <f t="shared" si="6"/>
        <v>0</v>
      </c>
      <c r="J13" s="9">
        <f t="shared" si="7"/>
        <v>4.8658798946874431E-3</v>
      </c>
      <c r="K13" s="9">
        <f t="shared" si="8"/>
        <v>7.4859690687499123E-3</v>
      </c>
      <c r="L13" s="9">
        <f t="shared" si="9"/>
        <v>0</v>
      </c>
      <c r="M13">
        <f t="shared" si="0"/>
        <v>6.2054426143754551</v>
      </c>
      <c r="N13">
        <f t="shared" si="10"/>
        <v>1.9706901878099998</v>
      </c>
      <c r="O13">
        <f t="shared" si="24"/>
        <v>4.2347524265654553</v>
      </c>
      <c r="P13">
        <f t="shared" si="22"/>
        <v>0.52350679074124939</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5.6819358236342055</v>
      </c>
      <c r="AB13">
        <f t="shared" si="11"/>
        <v>3.8774980306776734</v>
      </c>
      <c r="AC13">
        <f t="shared" si="12"/>
        <v>1.8044377929565321</v>
      </c>
      <c r="AD13">
        <f t="shared" si="3"/>
        <v>0.10470135814824988</v>
      </c>
      <c r="AE13">
        <f t="shared" si="13"/>
        <v>0</v>
      </c>
      <c r="AF13">
        <f t="shared" si="14"/>
        <v>0.1163348423869443</v>
      </c>
      <c r="AG13">
        <f t="shared" si="15"/>
        <v>0.20940271629649981</v>
      </c>
      <c r="AH13">
        <f t="shared" si="16"/>
        <v>0</v>
      </c>
      <c r="AI13">
        <f t="shared" si="17"/>
        <v>2.7552988986381546E-2</v>
      </c>
      <c r="AJ13">
        <f t="shared" si="18"/>
        <v>0</v>
      </c>
      <c r="AK13">
        <f t="shared" si="19"/>
        <v>0.10470135814824988</v>
      </c>
      <c r="AL13">
        <f t="shared" si="20"/>
        <v>0</v>
      </c>
    </row>
    <row r="14" spans="1:51" x14ac:dyDescent="0.2">
      <c r="A14">
        <v>2031</v>
      </c>
      <c r="B14">
        <v>6</v>
      </c>
      <c r="C14">
        <f t="shared" si="21"/>
        <v>6.4147573604933417</v>
      </c>
      <c r="D14">
        <f t="shared" si="23"/>
        <v>0.28821044814834673</v>
      </c>
      <c r="E14">
        <f t="shared" si="4"/>
        <v>0.28821044814834673</v>
      </c>
      <c r="F14">
        <f t="shared" si="5"/>
        <v>0</v>
      </c>
      <c r="G14" s="9">
        <f t="shared" si="6"/>
        <v>4.4929282894369871E-2</v>
      </c>
      <c r="H14" s="9">
        <f t="shared" si="6"/>
        <v>4.4929282894369871E-2</v>
      </c>
      <c r="I14" s="9">
        <f t="shared" si="6"/>
        <v>0</v>
      </c>
      <c r="J14" s="9">
        <f t="shared" si="7"/>
        <v>5.8408067762680833E-3</v>
      </c>
      <c r="K14" s="9">
        <f t="shared" si="8"/>
        <v>8.9858565788739752E-3</v>
      </c>
      <c r="L14" s="9">
        <f t="shared" si="9"/>
        <v>0</v>
      </c>
      <c r="M14">
        <f t="shared" si="0"/>
        <v>6.3199845889120949</v>
      </c>
      <c r="N14">
        <f t="shared" si="10"/>
        <v>2.4775413543851732</v>
      </c>
      <c r="O14">
        <f t="shared" si="24"/>
        <v>3.8424432345269217</v>
      </c>
      <c r="P14">
        <f t="shared" si="22"/>
        <v>0.82705923598724196</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5.4929253529248534</v>
      </c>
      <c r="AB14">
        <f t="shared" si="11"/>
        <v>3.3396052732686612</v>
      </c>
      <c r="AC14">
        <f t="shared" si="12"/>
        <v>2.1533200796561918</v>
      </c>
      <c r="AD14">
        <f t="shared" si="3"/>
        <v>0.16541184719744839</v>
      </c>
      <c r="AE14">
        <f t="shared" si="13"/>
        <v>0</v>
      </c>
      <c r="AF14">
        <f t="shared" si="14"/>
        <v>0.18379094133049823</v>
      </c>
      <c r="AG14">
        <f t="shared" si="15"/>
        <v>0.33082369439489689</v>
      </c>
      <c r="AH14">
        <f t="shared" si="16"/>
        <v>0</v>
      </c>
      <c r="AI14">
        <f t="shared" si="17"/>
        <v>4.3529433473012732E-2</v>
      </c>
      <c r="AJ14">
        <f t="shared" si="18"/>
        <v>0</v>
      </c>
      <c r="AK14">
        <f t="shared" si="19"/>
        <v>0.16541184719744839</v>
      </c>
      <c r="AL14">
        <f t="shared" si="20"/>
        <v>0</v>
      </c>
    </row>
    <row r="15" spans="1:51" x14ac:dyDescent="0.2">
      <c r="A15">
        <v>2032</v>
      </c>
      <c r="B15">
        <v>7</v>
      </c>
      <c r="C15">
        <f t="shared" si="21"/>
        <v>6.5494672650637016</v>
      </c>
      <c r="D15">
        <f t="shared" si="23"/>
        <v>0.34335809379482018</v>
      </c>
      <c r="E15">
        <f t="shared" si="4"/>
        <v>0.34335809379482018</v>
      </c>
      <c r="F15">
        <f t="shared" si="5"/>
        <v>0</v>
      </c>
      <c r="G15" s="9">
        <f t="shared" si="6"/>
        <v>5.2425346963159543E-2</v>
      </c>
      <c r="H15" s="9">
        <f t="shared" si="6"/>
        <v>5.2425346963159543E-2</v>
      </c>
      <c r="I15" s="9">
        <f t="shared" si="6"/>
        <v>0</v>
      </c>
      <c r="J15" s="9">
        <f t="shared" si="7"/>
        <v>6.815295105210741E-3</v>
      </c>
      <c r="K15" s="9">
        <f t="shared" si="8"/>
        <v>1.0485069392631909E-2</v>
      </c>
      <c r="L15" s="9">
        <f t="shared" si="9"/>
        <v>0</v>
      </c>
      <c r="M15">
        <f t="shared" si="0"/>
        <v>6.4366271114586056</v>
      </c>
      <c r="N15">
        <f t="shared" si="10"/>
        <v>2.9816438129831444</v>
      </c>
      <c r="O15">
        <f t="shared" si="24"/>
        <v>3.4549832984754612</v>
      </c>
      <c r="P15">
        <f>IF($I$3=0,0,M15/(1+EXP(-$I$3*(B15-$J$3)))-M15/(1+EXP($I$3*$J$3)))</f>
        <v>1.2543919637719243</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5.182235147686681</v>
      </c>
      <c r="AB15">
        <f t="shared" si="11"/>
        <v>2.7816643055422619</v>
      </c>
      <c r="AC15">
        <f t="shared" si="12"/>
        <v>2.4005708421444192</v>
      </c>
      <c r="AD15">
        <f t="shared" si="3"/>
        <v>0.25087839275438489</v>
      </c>
      <c r="AE15">
        <f t="shared" si="13"/>
        <v>0</v>
      </c>
      <c r="AF15">
        <f t="shared" si="14"/>
        <v>0.27875376972709431</v>
      </c>
      <c r="AG15">
        <f t="shared" si="15"/>
        <v>0.50175678550876979</v>
      </c>
      <c r="AH15">
        <f t="shared" si="16"/>
        <v>0</v>
      </c>
      <c r="AI15">
        <f t="shared" si="17"/>
        <v>6.6020629672206538E-2</v>
      </c>
      <c r="AJ15">
        <f t="shared" si="18"/>
        <v>0</v>
      </c>
      <c r="AK15">
        <f t="shared" si="19"/>
        <v>0.25087839275438489</v>
      </c>
      <c r="AL15">
        <f t="shared" si="20"/>
        <v>0</v>
      </c>
    </row>
    <row r="16" spans="1:51" x14ac:dyDescent="0.2">
      <c r="A16">
        <v>2033</v>
      </c>
      <c r="B16">
        <v>8</v>
      </c>
      <c r="C16">
        <f t="shared" si="21"/>
        <v>6.6870060776300386</v>
      </c>
      <c r="D16">
        <f t="shared" si="23"/>
        <v>0.40064976333561964</v>
      </c>
      <c r="E16">
        <f t="shared" si="4"/>
        <v>0.40064976333561964</v>
      </c>
      <c r="F16">
        <f t="shared" si="5"/>
        <v>0</v>
      </c>
      <c r="G16" s="9">
        <f t="shared" si="6"/>
        <v>5.9914670135549672E-2</v>
      </c>
      <c r="H16" s="9">
        <f t="shared" si="6"/>
        <v>5.9914670135549672E-2</v>
      </c>
      <c r="I16" s="9">
        <f t="shared" si="6"/>
        <v>0</v>
      </c>
      <c r="J16" s="9">
        <f t="shared" si="7"/>
        <v>7.788907117621458E-3</v>
      </c>
      <c r="K16" s="9">
        <f t="shared" si="8"/>
        <v>1.1982934027109935E-2</v>
      </c>
      <c r="L16" s="9">
        <f t="shared" si="9"/>
        <v>0</v>
      </c>
      <c r="M16">
        <f t="shared" si="0"/>
        <v>6.555415780487948</v>
      </c>
      <c r="N16">
        <f t="shared" si="10"/>
        <v>3.4646944311140402</v>
      </c>
      <c r="O16">
        <f t="shared" si="24"/>
        <v>3.0907213493739079</v>
      </c>
      <c r="P16">
        <f t="shared" si="22"/>
        <v>1.8228222147500328</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4.7325935657379148</v>
      </c>
      <c r="AB16">
        <f t="shared" si="11"/>
        <v>2.2313043842425815</v>
      </c>
      <c r="AC16">
        <f t="shared" si="12"/>
        <v>2.5012891814953333</v>
      </c>
      <c r="AD16">
        <f t="shared" si="3"/>
        <v>0.36456444295000656</v>
      </c>
      <c r="AE16">
        <f t="shared" si="13"/>
        <v>0</v>
      </c>
      <c r="AF16">
        <f t="shared" si="14"/>
        <v>0.40507160327778513</v>
      </c>
      <c r="AG16">
        <f t="shared" si="15"/>
        <v>0.72912888590001335</v>
      </c>
      <c r="AH16">
        <f t="shared" si="16"/>
        <v>0</v>
      </c>
      <c r="AI16">
        <f t="shared" si="17"/>
        <v>9.5938011302633311E-2</v>
      </c>
      <c r="AJ16">
        <f t="shared" si="18"/>
        <v>0</v>
      </c>
      <c r="AK16">
        <f t="shared" si="19"/>
        <v>0.36456444295000656</v>
      </c>
      <c r="AL16">
        <f t="shared" si="20"/>
        <v>0</v>
      </c>
    </row>
    <row r="17" spans="1:38" x14ac:dyDescent="0.2">
      <c r="A17">
        <v>2034</v>
      </c>
      <c r="B17">
        <v>9</v>
      </c>
      <c r="C17">
        <f t="shared" si="21"/>
        <v>6.8274332052602684</v>
      </c>
      <c r="D17">
        <f t="shared" si="23"/>
        <v>0.46012733094924663</v>
      </c>
      <c r="E17">
        <f t="shared" si="4"/>
        <v>0.46012733094924663</v>
      </c>
      <c r="F17">
        <f t="shared" si="5"/>
        <v>0</v>
      </c>
      <c r="G17" s="9">
        <f t="shared" si="6"/>
        <v>6.7393897108321277E-2</v>
      </c>
      <c r="H17" s="9">
        <f t="shared" si="6"/>
        <v>6.7393897108321277E-2</v>
      </c>
      <c r="I17" s="9">
        <f t="shared" si="6"/>
        <v>0</v>
      </c>
      <c r="J17" s="9">
        <f t="shared" si="7"/>
        <v>8.761206624081766E-3</v>
      </c>
      <c r="K17" s="9">
        <f t="shared" si="8"/>
        <v>1.3478779421664255E-2</v>
      </c>
      <c r="L17" s="9">
        <f t="shared" si="9"/>
        <v>0</v>
      </c>
      <c r="M17">
        <f t="shared" si="0"/>
        <v>6.6763974401709847</v>
      </c>
      <c r="N17">
        <f t="shared" si="10"/>
        <v>3.9130315970981924</v>
      </c>
      <c r="O17">
        <f t="shared" si="24"/>
        <v>2.7633658430727923</v>
      </c>
      <c r="P17">
        <f t="shared" si="22"/>
        <v>2.5261740261102301</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4.1502234140607541</v>
      </c>
      <c r="AB17">
        <f t="shared" si="11"/>
        <v>1.7177805435205973</v>
      </c>
      <c r="AC17">
        <f t="shared" si="12"/>
        <v>2.4324428705401568</v>
      </c>
      <c r="AD17">
        <f t="shared" si="3"/>
        <v>0.50523480522204611</v>
      </c>
      <c r="AE17">
        <f t="shared" si="13"/>
        <v>0</v>
      </c>
      <c r="AF17">
        <f t="shared" si="14"/>
        <v>0.56137200580227342</v>
      </c>
      <c r="AG17">
        <f t="shared" si="15"/>
        <v>1.0104696104440922</v>
      </c>
      <c r="AH17">
        <f t="shared" si="16"/>
        <v>0</v>
      </c>
      <c r="AI17">
        <f t="shared" si="17"/>
        <v>0.13295652769001212</v>
      </c>
      <c r="AJ17">
        <f t="shared" si="18"/>
        <v>0</v>
      </c>
      <c r="AK17">
        <f t="shared" si="19"/>
        <v>0.50523480522204611</v>
      </c>
      <c r="AL17">
        <f t="shared" si="20"/>
        <v>0</v>
      </c>
    </row>
    <row r="18" spans="1:38" x14ac:dyDescent="0.2">
      <c r="A18">
        <v>2035</v>
      </c>
      <c r="B18">
        <v>10</v>
      </c>
      <c r="C18">
        <f t="shared" si="21"/>
        <v>6.9708093025707338</v>
      </c>
      <c r="D18">
        <f t="shared" si="23"/>
        <v>0.52183262823198628</v>
      </c>
      <c r="E18">
        <f t="shared" si="4"/>
        <v>0.52183262823198628</v>
      </c>
      <c r="F18">
        <f t="shared" si="5"/>
        <v>0</v>
      </c>
      <c r="G18" s="9">
        <f t="shared" si="6"/>
        <v>7.4859690687499078E-2</v>
      </c>
      <c r="H18" s="9">
        <f t="shared" si="6"/>
        <v>7.4859690687499078E-2</v>
      </c>
      <c r="I18" s="9">
        <f t="shared" si="6"/>
        <v>0</v>
      </c>
      <c r="J18" s="9">
        <f t="shared" si="7"/>
        <v>9.731759789374881E-3</v>
      </c>
      <c r="K18" s="9">
        <f t="shared" si="8"/>
        <v>1.4971938137499816E-2</v>
      </c>
      <c r="L18" s="9">
        <f t="shared" si="9"/>
        <v>0</v>
      </c>
      <c r="M18">
        <f t="shared" si="0"/>
        <v>6.79962020521182</v>
      </c>
      <c r="N18">
        <f t="shared" si="10"/>
        <v>4.318771649971719</v>
      </c>
      <c r="O18">
        <f t="shared" si="24"/>
        <v>2.4808485552401009</v>
      </c>
      <c r="P18">
        <f t="shared" si="22"/>
        <v>3.3251030655014255</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3.4745171397103944</v>
      </c>
      <c r="AB18">
        <f t="shared" si="11"/>
        <v>1.2676812183716635</v>
      </c>
      <c r="AC18">
        <f t="shared" si="12"/>
        <v>2.206835921338731</v>
      </c>
      <c r="AD18">
        <f t="shared" si="3"/>
        <v>0.66502061310028504</v>
      </c>
      <c r="AE18">
        <f t="shared" si="13"/>
        <v>0</v>
      </c>
      <c r="AF18">
        <f t="shared" si="14"/>
        <v>0.73891179233365012</v>
      </c>
      <c r="AG18">
        <f t="shared" si="15"/>
        <v>1.3300412262005703</v>
      </c>
      <c r="AH18">
        <f t="shared" si="16"/>
        <v>0</v>
      </c>
      <c r="AI18">
        <f t="shared" si="17"/>
        <v>0.175005424500075</v>
      </c>
      <c r="AJ18">
        <f t="shared" si="18"/>
        <v>0</v>
      </c>
      <c r="AK18">
        <f t="shared" si="19"/>
        <v>0.66502061310028504</v>
      </c>
      <c r="AL18">
        <f t="shared" si="20"/>
        <v>0</v>
      </c>
    </row>
    <row r="19" spans="1:38" x14ac:dyDescent="0.2">
      <c r="A19">
        <v>2036</v>
      </c>
      <c r="B19">
        <v>11</v>
      </c>
      <c r="C19">
        <f t="shared" si="21"/>
        <v>7.1171962979247185</v>
      </c>
      <c r="D19">
        <f t="shared" si="23"/>
        <v>0.58580744336863466</v>
      </c>
      <c r="E19">
        <f t="shared" si="4"/>
        <v>0.58580744336863466</v>
      </c>
      <c r="F19">
        <f t="shared" si="5"/>
        <v>0</v>
      </c>
      <c r="G19" s="9">
        <f t="shared" si="6"/>
        <v>8.2308737717329564E-2</v>
      </c>
      <c r="H19" s="9">
        <f t="shared" si="6"/>
        <v>8.2308737717329564E-2</v>
      </c>
      <c r="I19" s="9">
        <f t="shared" si="6"/>
        <v>0</v>
      </c>
      <c r="J19" s="9">
        <f t="shared" si="7"/>
        <v>1.0700135903252844E-2</v>
      </c>
      <c r="K19" s="9">
        <f t="shared" si="8"/>
        <v>1.6461747543465913E-2</v>
      </c>
      <c r="L19" s="9">
        <f t="shared" si="9"/>
        <v>0</v>
      </c>
      <c r="M19">
        <f t="shared" si="0"/>
        <v>6.9251334854645048</v>
      </c>
      <c r="N19">
        <f t="shared" si="10"/>
        <v>4.6794748224585376</v>
      </c>
      <c r="O19">
        <f t="shared" si="24"/>
        <v>2.2456586630059672</v>
      </c>
      <c r="P19">
        <f t="shared" si="22"/>
        <v>4.1526721622461533</v>
      </c>
      <c r="Q19" s="9">
        <f t="shared" si="1"/>
        <v>0.59965229131862896</v>
      </c>
      <c r="R19">
        <f>VLOOKUP($B$1,dictionary!$A$3:$K$51,3,FALSE)*Q19</f>
        <v>0.11993045826372579</v>
      </c>
      <c r="S19">
        <f>VLOOKUP($B$1,dictionary!$A$3:$K$51,4,FALSE)*Q19</f>
        <v>0</v>
      </c>
      <c r="T19">
        <f>VLOOKUP($B$1,dictionary!$A$3:$K$51,5,FALSE)*Q19</f>
        <v>0.11993045826372579</v>
      </c>
      <c r="U19">
        <f>VLOOKUP($B$1,dictionary!$A$3:$K$51,6,FALSE)*Q19</f>
        <v>0.20987830196152013</v>
      </c>
      <c r="V19">
        <f>VLOOKUP($B$1,dictionary!$A$3:$K$51,7,FALSE)*Q19</f>
        <v>0</v>
      </c>
      <c r="W19">
        <f>VLOOKUP($B$1,dictionary!$A$3:$K$51,8,FALSE)*Q19</f>
        <v>2.9982614565931449E-2</v>
      </c>
      <c r="X19">
        <f>VLOOKUP($B$1,dictionary!$A$3:$K$51,9,FALSE)*Q19</f>
        <v>0</v>
      </c>
      <c r="Y19">
        <f>VLOOKUP($B$1,dictionary!$A$3:$K$51,10,FALSE)*Q19</f>
        <v>0.11993045826372579</v>
      </c>
      <c r="Z19">
        <f>VLOOKUP($B$1,dictionary!$A$3:$K$51,11,FALSE)*Q19</f>
        <v>0</v>
      </c>
      <c r="AA19">
        <f t="shared" si="2"/>
        <v>2.7724613232183515</v>
      </c>
      <c r="AB19">
        <f t="shared" si="11"/>
        <v>0.89904430021491022</v>
      </c>
      <c r="AC19">
        <f t="shared" si="12"/>
        <v>1.8734170230034413</v>
      </c>
      <c r="AD19">
        <f t="shared" si="3"/>
        <v>0.83053443244923075</v>
      </c>
      <c r="AE19">
        <f t="shared" si="13"/>
        <v>0</v>
      </c>
      <c r="AF19">
        <f t="shared" si="14"/>
        <v>0.92281603605470086</v>
      </c>
      <c r="AG19">
        <f t="shared" si="15"/>
        <v>1.6610688648984617</v>
      </c>
      <c r="AH19">
        <f t="shared" si="16"/>
        <v>0</v>
      </c>
      <c r="AI19">
        <f t="shared" si="17"/>
        <v>0.21856169274979753</v>
      </c>
      <c r="AJ19">
        <f t="shared" si="18"/>
        <v>0</v>
      </c>
      <c r="AK19">
        <f t="shared" si="19"/>
        <v>0.83053443244923075</v>
      </c>
      <c r="AL19">
        <f t="shared" si="20"/>
        <v>0</v>
      </c>
    </row>
    <row r="20" spans="1:38" x14ac:dyDescent="0.2">
      <c r="A20">
        <v>2037</v>
      </c>
      <c r="B20">
        <v>12</v>
      </c>
      <c r="C20">
        <f t="shared" si="21"/>
        <v>7.2666574201811374</v>
      </c>
      <c r="D20">
        <f t="shared" si="23"/>
        <v>0.65209352264582465</v>
      </c>
      <c r="E20">
        <f t="shared" si="4"/>
        <v>0.65209352264582465</v>
      </c>
      <c r="F20">
        <f t="shared" si="5"/>
        <v>0</v>
      </c>
      <c r="G20" s="9">
        <f t="shared" si="6"/>
        <v>8.9737754918074814E-2</v>
      </c>
      <c r="H20" s="9">
        <f t="shared" si="6"/>
        <v>8.9737754918074814E-2</v>
      </c>
      <c r="I20" s="9">
        <f t="shared" si="6"/>
        <v>0</v>
      </c>
      <c r="J20" s="9">
        <f t="shared" si="7"/>
        <v>1.1665908139349725E-2</v>
      </c>
      <c r="K20" s="9">
        <f t="shared" si="8"/>
        <v>1.7947550983614963E-2</v>
      </c>
      <c r="L20" s="9">
        <f t="shared" si="9"/>
        <v>0</v>
      </c>
      <c r="M20">
        <f t="shared" si="0"/>
        <v>7.0529880103347047</v>
      </c>
      <c r="N20">
        <f t="shared" si="10"/>
        <v>4.9968844062911577</v>
      </c>
      <c r="O20">
        <f t="shared" si="24"/>
        <v>2.056103604043547</v>
      </c>
      <c r="P20">
        <f>IF($I$3=0,0,M20/(1+EXP(-$I$3*(B20-$J$3)))-M20/(1+EXP($I$3*$J$3)))</f>
        <v>4.9368275433237656</v>
      </c>
      <c r="Q20" s="9">
        <f t="shared" si="1"/>
        <v>0.69996255999441082</v>
      </c>
      <c r="R20">
        <f>VLOOKUP($B$1,dictionary!$A$3:$K$51,3,FALSE)*Q20</f>
        <v>0.13999251199888216</v>
      </c>
      <c r="S20">
        <f>VLOOKUP($B$1,dictionary!$A$3:$K$51,4,FALSE)*Q20</f>
        <v>0</v>
      </c>
      <c r="T20">
        <f>VLOOKUP($B$1,dictionary!$A$3:$K$51,5,FALSE)*Q20</f>
        <v>0.13999251199888216</v>
      </c>
      <c r="U20">
        <f>VLOOKUP($B$1,dictionary!$A$3:$K$51,6,FALSE)*Q20</f>
        <v>0.24498689599804377</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2.1161604670109391</v>
      </c>
      <c r="AB20">
        <f t="shared" si="11"/>
        <v>0.61690806174349155</v>
      </c>
      <c r="AC20">
        <f t="shared" si="12"/>
        <v>1.4992524052674476</v>
      </c>
      <c r="AD20">
        <f t="shared" si="3"/>
        <v>0.98736550866475303</v>
      </c>
      <c r="AE20">
        <f t="shared" si="13"/>
        <v>0</v>
      </c>
      <c r="AF20">
        <f t="shared" si="14"/>
        <v>1.0970727874052812</v>
      </c>
      <c r="AG20">
        <f t="shared" si="15"/>
        <v>1.9747310173295065</v>
      </c>
      <c r="AH20">
        <f t="shared" si="16"/>
        <v>0</v>
      </c>
      <c r="AI20">
        <f t="shared" si="17"/>
        <v>0.25983302859598767</v>
      </c>
      <c r="AJ20">
        <f t="shared" si="18"/>
        <v>0</v>
      </c>
      <c r="AK20">
        <f t="shared" si="19"/>
        <v>0.98736550866475303</v>
      </c>
      <c r="AL20">
        <f t="shared" si="20"/>
        <v>0</v>
      </c>
    </row>
    <row r="21" spans="1:38" x14ac:dyDescent="0.2">
      <c r="A21">
        <v>2038</v>
      </c>
      <c r="B21">
        <v>13</v>
      </c>
      <c r="C21">
        <f t="shared" si="21"/>
        <v>7.419257226004941</v>
      </c>
      <c r="D21">
        <f t="shared" si="23"/>
        <v>0.72073257435160709</v>
      </c>
      <c r="E21">
        <f t="shared" si="4"/>
        <v>0.72073257435160709</v>
      </c>
      <c r="F21">
        <f t="shared" si="5"/>
        <v>0</v>
      </c>
      <c r="G21" s="9">
        <f t="shared" si="6"/>
        <v>9.7143494610942488E-2</v>
      </c>
      <c r="H21" s="9">
        <f t="shared" si="6"/>
        <v>9.7143494610942488E-2</v>
      </c>
      <c r="I21" s="9">
        <f t="shared" si="6"/>
        <v>0</v>
      </c>
      <c r="J21" s="9">
        <f t="shared" si="7"/>
        <v>1.2628654299422525E-2</v>
      </c>
      <c r="K21" s="9">
        <f t="shared" si="8"/>
        <v>1.94286989221885E-2</v>
      </c>
      <c r="L21" s="9">
        <f t="shared" si="9"/>
        <v>0</v>
      </c>
      <c r="M21">
        <f t="shared" si="0"/>
        <v>7.1832358529736755</v>
      </c>
      <c r="N21">
        <f t="shared" si="10"/>
        <v>5.2753811944267133</v>
      </c>
      <c r="O21">
        <f t="shared" si="24"/>
        <v>1.9078546585469622</v>
      </c>
      <c r="P21">
        <f t="shared" si="22"/>
        <v>5.6254986169694483</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1.5577372360042272</v>
      </c>
      <c r="AB21">
        <f t="shared" si="11"/>
        <v>0.41373223757819788</v>
      </c>
      <c r="AC21">
        <f t="shared" si="12"/>
        <v>1.1440049984260292</v>
      </c>
      <c r="AD21">
        <f t="shared" si="3"/>
        <v>1.1250997233938898</v>
      </c>
      <c r="AE21">
        <f t="shared" si="13"/>
        <v>0</v>
      </c>
      <c r="AF21">
        <f t="shared" si="14"/>
        <v>1.2501108037709887</v>
      </c>
      <c r="AG21">
        <f t="shared" si="15"/>
        <v>2.2501994467877795</v>
      </c>
      <c r="AH21">
        <f t="shared" si="16"/>
        <v>0</v>
      </c>
      <c r="AI21">
        <f t="shared" si="17"/>
        <v>0.29607887457733939</v>
      </c>
      <c r="AJ21">
        <f t="shared" si="18"/>
        <v>0</v>
      </c>
      <c r="AK21">
        <f t="shared" si="19"/>
        <v>1.1250997233938898</v>
      </c>
      <c r="AL21">
        <f t="shared" si="20"/>
        <v>0</v>
      </c>
    </row>
    <row r="22" spans="1:38" x14ac:dyDescent="0.2">
      <c r="A22">
        <v>2039</v>
      </c>
      <c r="B22">
        <v>14</v>
      </c>
      <c r="C22">
        <f t="shared" si="21"/>
        <v>7.5750616277510439</v>
      </c>
      <c r="D22">
        <f t="shared" si="23"/>
        <v>0.79176627509425312</v>
      </c>
      <c r="E22">
        <f t="shared" si="4"/>
        <v>0.79176627509425312</v>
      </c>
      <c r="F22">
        <f t="shared" si="5"/>
        <v>0</v>
      </c>
      <c r="G22" s="9">
        <f t="shared" si="6"/>
        <v>0.10452275030920379</v>
      </c>
      <c r="H22" s="9">
        <f t="shared" si="6"/>
        <v>0.10452275030920379</v>
      </c>
      <c r="I22" s="9">
        <f t="shared" si="6"/>
        <v>0</v>
      </c>
      <c r="J22" s="9">
        <f t="shared" si="7"/>
        <v>1.3587957540196493E-2</v>
      </c>
      <c r="K22" s="9">
        <f t="shared" si="8"/>
        <v>2.0904550061840759E-2</v>
      </c>
      <c r="L22" s="9">
        <f t="shared" si="9"/>
        <v>0</v>
      </c>
      <c r="M22">
        <f t="shared" si="0"/>
        <v>7.3159304542754882</v>
      </c>
      <c r="N22">
        <f t="shared" si="10"/>
        <v>5.5206093156380938</v>
      </c>
      <c r="O22">
        <f t="shared" si="24"/>
        <v>1.7953211386373944</v>
      </c>
      <c r="P22">
        <f t="shared" si="22"/>
        <v>6.1977782204080665</v>
      </c>
      <c r="Q22" s="9">
        <f t="shared" si="1"/>
        <v>0.84716199246891899</v>
      </c>
      <c r="R22">
        <f>VLOOKUP($B$1,dictionary!$A$3:$K$51,3,FALSE)*Q22</f>
        <v>0.1694323984937838</v>
      </c>
      <c r="S22">
        <f>VLOOKUP($B$1,dictionary!$A$3:$K$51,4,FALSE)*Q22</f>
        <v>0</v>
      </c>
      <c r="T22">
        <f>VLOOKUP($B$1,dictionary!$A$3:$K$51,5,FALSE)*Q22</f>
        <v>0.1694323984937838</v>
      </c>
      <c r="U22">
        <f>VLOOKUP($B$1,dictionary!$A$3:$K$51,6,FALSE)*Q22</f>
        <v>0.29650669736412161</v>
      </c>
      <c r="V22">
        <f>VLOOKUP($B$1,dictionary!$A$3:$K$51,7,FALSE)*Q22</f>
        <v>0</v>
      </c>
      <c r="W22">
        <f>VLOOKUP($B$1,dictionary!$A$3:$K$51,8,FALSE)*Q22</f>
        <v>4.2358099623445951E-2</v>
      </c>
      <c r="X22">
        <f>VLOOKUP($B$1,dictionary!$A$3:$K$51,9,FALSE)*Q22</f>
        <v>0</v>
      </c>
      <c r="Y22">
        <f>VLOOKUP($B$1,dictionary!$A$3:$K$51,10,FALSE)*Q22</f>
        <v>0.1694323984937838</v>
      </c>
      <c r="Z22">
        <f>VLOOKUP($B$1,dictionary!$A$3:$K$51,11,FALSE)*Q22</f>
        <v>0</v>
      </c>
      <c r="AA22">
        <f t="shared" si="2"/>
        <v>1.1181522338674217</v>
      </c>
      <c r="AB22">
        <f t="shared" si="11"/>
        <v>0.27439330570777093</v>
      </c>
      <c r="AC22">
        <f t="shared" si="12"/>
        <v>0.84375892815965081</v>
      </c>
      <c r="AD22">
        <f t="shared" si="3"/>
        <v>1.2395556440816131</v>
      </c>
      <c r="AE22">
        <f t="shared" si="13"/>
        <v>0</v>
      </c>
      <c r="AF22">
        <f t="shared" si="14"/>
        <v>1.3772840489795701</v>
      </c>
      <c r="AG22">
        <f t="shared" si="15"/>
        <v>2.4791112881632262</v>
      </c>
      <c r="AH22">
        <f t="shared" si="16"/>
        <v>0</v>
      </c>
      <c r="AI22">
        <f t="shared" si="17"/>
        <v>0.32619885370568769</v>
      </c>
      <c r="AJ22">
        <f t="shared" si="18"/>
        <v>0</v>
      </c>
      <c r="AK22">
        <f t="shared" si="19"/>
        <v>1.2395556440816131</v>
      </c>
      <c r="AL22">
        <f t="shared" si="20"/>
        <v>0</v>
      </c>
    </row>
    <row r="23" spans="1:38" x14ac:dyDescent="0.2">
      <c r="A23">
        <v>2040</v>
      </c>
      <c r="B23">
        <v>15</v>
      </c>
      <c r="C23">
        <f t="shared" si="21"/>
        <v>7.7341379219338151</v>
      </c>
      <c r="D23">
        <f t="shared" si="23"/>
        <v>0.86523627856245922</v>
      </c>
      <c r="E23">
        <f t="shared" si="4"/>
        <v>0.86523627856245922</v>
      </c>
      <c r="F23">
        <f t="shared" si="5"/>
        <v>0</v>
      </c>
      <c r="G23" s="9">
        <f t="shared" si="6"/>
        <v>0.11187236215540862</v>
      </c>
      <c r="H23" s="9">
        <f t="shared" si="6"/>
        <v>0.11187236215540862</v>
      </c>
      <c r="I23" s="9">
        <f t="shared" si="6"/>
        <v>0</v>
      </c>
      <c r="J23" s="9">
        <f t="shared" si="7"/>
        <v>1.4543407080203121E-2</v>
      </c>
      <c r="K23" s="9">
        <f t="shared" si="8"/>
        <v>2.2374472431081725E-2</v>
      </c>
      <c r="L23" s="9">
        <f t="shared" si="9"/>
        <v>0</v>
      </c>
      <c r="M23">
        <f t="shared" si="0"/>
        <v>7.4511266466921429</v>
      </c>
      <c r="N23">
        <f t="shared" si="10"/>
        <v>5.7384747778458198</v>
      </c>
      <c r="O23">
        <f t="shared" si="24"/>
        <v>1.712651868846323</v>
      </c>
      <c r="P23">
        <f t="shared" si="22"/>
        <v>6.6588006070340615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0.79232603965808135</v>
      </c>
      <c r="AB23">
        <f t="shared" si="11"/>
        <v>0.18211724708214921</v>
      </c>
      <c r="AC23">
        <f t="shared" si="12"/>
        <v>0.61020879257593208</v>
      </c>
      <c r="AD23">
        <f t="shared" si="3"/>
        <v>1.3317601214068122</v>
      </c>
      <c r="AE23">
        <f t="shared" si="13"/>
        <v>0</v>
      </c>
      <c r="AF23">
        <f t="shared" si="14"/>
        <v>1.4797334682297916</v>
      </c>
      <c r="AG23">
        <f t="shared" si="15"/>
        <v>2.6635202428136244</v>
      </c>
      <c r="AH23">
        <f t="shared" si="16"/>
        <v>0</v>
      </c>
      <c r="AI23">
        <f t="shared" si="17"/>
        <v>0.35046318984389796</v>
      </c>
      <c r="AJ23">
        <f t="shared" si="18"/>
        <v>0</v>
      </c>
      <c r="AK23">
        <f t="shared" si="19"/>
        <v>1.3317601214068122</v>
      </c>
      <c r="AL23">
        <f t="shared" si="20"/>
        <v>0</v>
      </c>
    </row>
    <row r="24" spans="1:38" x14ac:dyDescent="0.2">
      <c r="A24">
        <v>2041</v>
      </c>
      <c r="B24">
        <v>16</v>
      </c>
      <c r="C24">
        <f t="shared" si="21"/>
        <v>7.8965548182944243</v>
      </c>
      <c r="D24">
        <f t="shared" si="23"/>
        <v>0.94118422673835234</v>
      </c>
      <c r="E24">
        <f t="shared" si="4"/>
        <v>0.94118422673835234</v>
      </c>
      <c r="F24">
        <f t="shared" si="5"/>
        <v>0</v>
      </c>
      <c r="G24" s="9">
        <f t="shared" si="6"/>
        <v>0.11918922218558581</v>
      </c>
      <c r="H24" s="9">
        <f t="shared" si="6"/>
        <v>0.11918922218558581</v>
      </c>
      <c r="I24" s="9">
        <f t="shared" si="6"/>
        <v>0</v>
      </c>
      <c r="J24" s="9">
        <f t="shared" si="7"/>
        <v>1.5494598884126156E-2</v>
      </c>
      <c r="K24" s="9">
        <f t="shared" si="8"/>
        <v>2.3837844437117162E-2</v>
      </c>
      <c r="L24" s="9">
        <f t="shared" si="9"/>
        <v>0</v>
      </c>
      <c r="M24">
        <f t="shared" si="0"/>
        <v>7.5888806778846432</v>
      </c>
      <c r="N24">
        <f t="shared" si="10"/>
        <v>5.9345296341571139</v>
      </c>
      <c r="O24">
        <f t="shared" si="24"/>
        <v>1.6543510437275293</v>
      </c>
      <c r="P24">
        <f t="shared" si="22"/>
        <v>7.0276047962438168</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0.56127588164082631</v>
      </c>
      <c r="AB24">
        <f t="shared" si="11"/>
        <v>0.12235629732821381</v>
      </c>
      <c r="AC24">
        <f t="shared" si="12"/>
        <v>0.43891958431261247</v>
      </c>
      <c r="AD24">
        <f t="shared" si="3"/>
        <v>1.4055209592487634</v>
      </c>
      <c r="AE24">
        <f t="shared" si="13"/>
        <v>0</v>
      </c>
      <c r="AF24">
        <f t="shared" si="14"/>
        <v>1.5616899547208485</v>
      </c>
      <c r="AG24">
        <f t="shared" si="15"/>
        <v>2.8110419184975268</v>
      </c>
      <c r="AH24">
        <f t="shared" si="16"/>
        <v>0</v>
      </c>
      <c r="AI24">
        <f t="shared" si="17"/>
        <v>0.36987393664441143</v>
      </c>
      <c r="AJ24">
        <f t="shared" si="18"/>
        <v>0</v>
      </c>
      <c r="AK24">
        <f t="shared" si="19"/>
        <v>1.4055209592487634</v>
      </c>
      <c r="AL24">
        <f t="shared" si="20"/>
        <v>0</v>
      </c>
    </row>
    <row r="25" spans="1:38" x14ac:dyDescent="0.2">
      <c r="A25">
        <v>2042</v>
      </c>
      <c r="B25">
        <v>17</v>
      </c>
      <c r="C25">
        <f t="shared" si="21"/>
        <v>8.0623824694786066</v>
      </c>
      <c r="D25">
        <f t="shared" si="23"/>
        <v>1.0196517635640889</v>
      </c>
      <c r="E25">
        <f t="shared" si="4"/>
        <v>1.0196517635640889</v>
      </c>
      <c r="F25">
        <f t="shared" si="5"/>
        <v>0</v>
      </c>
      <c r="G25" s="9">
        <f t="shared" si="6"/>
        <v>0.12647027940241462</v>
      </c>
      <c r="H25" s="9">
        <f t="shared" si="6"/>
        <v>0.12647027940241462</v>
      </c>
      <c r="I25" s="9">
        <f t="shared" si="6"/>
        <v>0</v>
      </c>
      <c r="J25" s="9">
        <f t="shared" si="7"/>
        <v>1.64411363223139E-2</v>
      </c>
      <c r="K25" s="9">
        <f t="shared" si="8"/>
        <v>2.5294055880482925E-2</v>
      </c>
      <c r="L25" s="9">
        <f t="shared" si="9"/>
        <v>0</v>
      </c>
      <c r="M25">
        <f t="shared" si="0"/>
        <v>7.7292502342316665</v>
      </c>
      <c r="N25">
        <f t="shared" si="10"/>
        <v>6.113662892787703</v>
      </c>
      <c r="O25">
        <f t="shared" si="24"/>
        <v>1.6155873414439634</v>
      </c>
      <c r="P25">
        <f>IF($I$3=0,0,M25/(1+EXP(-$I$3*(B25-$J$3)))-M25/(1+EXP($I$3*$J$3)))</f>
        <v>7.3267246336748419</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0.40252560055682451</v>
      </c>
      <c r="AB25">
        <f t="shared" si="11"/>
        <v>8.4136914339580843E-2</v>
      </c>
      <c r="AC25">
        <f t="shared" si="12"/>
        <v>0.31838868621724364</v>
      </c>
      <c r="AD25">
        <f t="shared" si="3"/>
        <v>1.4653449267349685</v>
      </c>
      <c r="AE25">
        <f t="shared" si="13"/>
        <v>0</v>
      </c>
      <c r="AF25">
        <f t="shared" si="14"/>
        <v>1.6281610297055207</v>
      </c>
      <c r="AG25">
        <f t="shared" si="15"/>
        <v>2.930689853469937</v>
      </c>
      <c r="AH25">
        <f t="shared" si="16"/>
        <v>0</v>
      </c>
      <c r="AI25">
        <f t="shared" si="17"/>
        <v>0.38561708598288641</v>
      </c>
      <c r="AJ25">
        <f t="shared" si="18"/>
        <v>0</v>
      </c>
      <c r="AK25">
        <f t="shared" si="19"/>
        <v>1.4653449267349685</v>
      </c>
      <c r="AL25">
        <f t="shared" si="20"/>
        <v>0</v>
      </c>
    </row>
    <row r="26" spans="1:38" x14ac:dyDescent="0.2">
      <c r="A26">
        <v>2043</v>
      </c>
      <c r="B26">
        <v>18</v>
      </c>
      <c r="C26">
        <f t="shared" si="21"/>
        <v>8.2316925013376565</v>
      </c>
      <c r="D26">
        <f t="shared" si="23"/>
        <v>1.1006805510522883</v>
      </c>
      <c r="E26">
        <f t="shared" si="4"/>
        <v>1.1006805510522883</v>
      </c>
      <c r="F26">
        <f t="shared" si="5"/>
        <v>0</v>
      </c>
      <c r="G26" s="9">
        <f t="shared" si="6"/>
        <v>0.13371254464053739</v>
      </c>
      <c r="H26" s="9">
        <f t="shared" si="6"/>
        <v>0.13371254464053739</v>
      </c>
      <c r="I26" s="9">
        <f t="shared" si="6"/>
        <v>0</v>
      </c>
      <c r="J26" s="9">
        <f t="shared" si="7"/>
        <v>1.738263080326986E-2</v>
      </c>
      <c r="K26" s="9">
        <f t="shared" si="8"/>
        <v>2.6742508928107478E-2</v>
      </c>
      <c r="L26" s="9">
        <f t="shared" si="9"/>
        <v>0</v>
      </c>
      <c r="M26">
        <f t="shared" si="0"/>
        <v>7.8722944642206576</v>
      </c>
      <c r="N26">
        <f t="shared" si="10"/>
        <v>6.279998294028502</v>
      </c>
      <c r="O26">
        <f t="shared" si="24"/>
        <v>1.5922961701921556</v>
      </c>
      <c r="P26">
        <f t="shared" si="22"/>
        <v>7.5764226512710549</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0.29587181294960274</v>
      </c>
      <c r="AB26">
        <f t="shared" si="11"/>
        <v>5.9844757683883441E-2</v>
      </c>
      <c r="AC26">
        <f t="shared" si="12"/>
        <v>0.23602705526571932</v>
      </c>
      <c r="AD26">
        <f t="shared" si="3"/>
        <v>1.5152845302542111</v>
      </c>
      <c r="AE26">
        <f t="shared" si="13"/>
        <v>0</v>
      </c>
      <c r="AF26">
        <f t="shared" si="14"/>
        <v>1.6836494780602345</v>
      </c>
      <c r="AG26">
        <f t="shared" si="15"/>
        <v>3.0305690605084221</v>
      </c>
      <c r="AH26">
        <f t="shared" si="16"/>
        <v>0</v>
      </c>
      <c r="AI26">
        <f t="shared" si="17"/>
        <v>0.39875908690900286</v>
      </c>
      <c r="AJ26">
        <f t="shared" si="18"/>
        <v>0</v>
      </c>
      <c r="AK26">
        <f t="shared" si="19"/>
        <v>1.5152845302542111</v>
      </c>
      <c r="AL26">
        <f t="shared" si="20"/>
        <v>0</v>
      </c>
    </row>
    <row r="27" spans="1:38" x14ac:dyDescent="0.2">
      <c r="A27">
        <v>2044</v>
      </c>
      <c r="B27">
        <v>19</v>
      </c>
      <c r="C27">
        <f t="shared" si="21"/>
        <v>8.4045580438657463</v>
      </c>
      <c r="D27">
        <f t="shared" si="23"/>
        <v>1.1843122878204153</v>
      </c>
      <c r="E27">
        <f t="shared" si="4"/>
        <v>1.1843122878204153</v>
      </c>
      <c r="F27">
        <f t="shared" si="5"/>
        <v>0</v>
      </c>
      <c r="G27" s="9">
        <f t="shared" si="6"/>
        <v>0.14091309520847584</v>
      </c>
      <c r="H27" s="9">
        <f t="shared" si="6"/>
        <v>0.14091309520847584</v>
      </c>
      <c r="I27" s="9">
        <f t="shared" si="6"/>
        <v>0</v>
      </c>
      <c r="J27" s="9">
        <f t="shared" si="7"/>
        <v>1.8318702377101859E-2</v>
      </c>
      <c r="K27" s="9">
        <f t="shared" si="8"/>
        <v>2.8182619041695167E-2</v>
      </c>
      <c r="L27" s="9">
        <f t="shared" si="9"/>
        <v>0</v>
      </c>
      <c r="M27">
        <f t="shared" si="0"/>
        <v>8.0180740017494347</v>
      </c>
      <c r="N27">
        <f t="shared" si="10"/>
        <v>6.4369133726413112</v>
      </c>
      <c r="O27">
        <f t="shared" si="24"/>
        <v>1.5811606291081235</v>
      </c>
      <c r="P27">
        <f t="shared" si="22"/>
        <v>7.7926781163504355</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0.22539588539899924</v>
      </c>
      <c r="AB27">
        <f t="shared" si="11"/>
        <v>4.4447968412128065E-2</v>
      </c>
      <c r="AC27">
        <f t="shared" si="12"/>
        <v>0.18094791698687118</v>
      </c>
      <c r="AD27">
        <f t="shared" si="3"/>
        <v>1.5585356232700873</v>
      </c>
      <c r="AE27">
        <f t="shared" si="13"/>
        <v>0</v>
      </c>
      <c r="AF27">
        <f t="shared" si="14"/>
        <v>1.7317062480778749</v>
      </c>
      <c r="AG27">
        <f t="shared" si="15"/>
        <v>3.1170712465401751</v>
      </c>
      <c r="AH27">
        <f t="shared" si="16"/>
        <v>0</v>
      </c>
      <c r="AI27">
        <f t="shared" si="17"/>
        <v>0.4101409534921282</v>
      </c>
      <c r="AJ27">
        <f t="shared" si="18"/>
        <v>0</v>
      </c>
      <c r="AK27">
        <f t="shared" si="19"/>
        <v>1.5585356232700873</v>
      </c>
      <c r="AL27">
        <f t="shared" si="20"/>
        <v>0</v>
      </c>
    </row>
    <row r="28" spans="1:38" x14ac:dyDescent="0.2">
      <c r="A28">
        <v>2045</v>
      </c>
      <c r="B28">
        <v>20</v>
      </c>
      <c r="C28">
        <f t="shared" si="21"/>
        <v>8.5810537627869259</v>
      </c>
      <c r="D28">
        <f t="shared" si="23"/>
        <v>1.2705887300193495</v>
      </c>
      <c r="E28">
        <f t="shared" si="4"/>
        <v>1.2705887300193495</v>
      </c>
      <c r="F28">
        <f t="shared" si="5"/>
        <v>0</v>
      </c>
      <c r="G28" s="9">
        <f t="shared" si="6"/>
        <v>0.14806907929297158</v>
      </c>
      <c r="H28" s="9">
        <f t="shared" si="6"/>
        <v>0.14806907929297158</v>
      </c>
      <c r="I28" s="9">
        <f t="shared" si="6"/>
        <v>0</v>
      </c>
      <c r="J28" s="9">
        <f t="shared" si="7"/>
        <v>1.9248980308086305E-2</v>
      </c>
      <c r="K28" s="9">
        <f t="shared" si="8"/>
        <v>2.9613815858594319E-2</v>
      </c>
      <c r="L28" s="9">
        <f t="shared" si="9"/>
        <v>0</v>
      </c>
      <c r="M28">
        <f t="shared" si="0"/>
        <v>8.1666509893693036</v>
      </c>
      <c r="N28">
        <f t="shared" si="10"/>
        <v>6.587118878985633</v>
      </c>
      <c r="O28">
        <f t="shared" si="24"/>
        <v>1.5795321103836706</v>
      </c>
      <c r="P28">
        <f t="shared" si="22"/>
        <v>7.9871979375607491</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0.17945305180855442</v>
      </c>
      <c r="AB28">
        <f t="shared" si="11"/>
        <v>3.4708457359930181E-2</v>
      </c>
      <c r="AC28">
        <f t="shared" si="12"/>
        <v>0.14474459444862425</v>
      </c>
      <c r="AD28">
        <f t="shared" si="3"/>
        <v>1.5974395875121499</v>
      </c>
      <c r="AE28">
        <f t="shared" si="13"/>
        <v>0</v>
      </c>
      <c r="AF28">
        <f t="shared" si="14"/>
        <v>1.7749328750135001</v>
      </c>
      <c r="AG28">
        <f t="shared" si="15"/>
        <v>3.1948791750242997</v>
      </c>
      <c r="AH28">
        <f t="shared" si="16"/>
        <v>0</v>
      </c>
      <c r="AI28">
        <f t="shared" si="17"/>
        <v>0.4203788388189868</v>
      </c>
      <c r="AJ28">
        <f t="shared" si="18"/>
        <v>0</v>
      </c>
      <c r="AK28">
        <f t="shared" si="19"/>
        <v>1.5974395875121499</v>
      </c>
      <c r="AL28">
        <f t="shared" si="20"/>
        <v>0</v>
      </c>
    </row>
    <row r="29" spans="1:38" x14ac:dyDescent="0.2">
      <c r="A29">
        <v>2046</v>
      </c>
      <c r="B29">
        <v>21</v>
      </c>
      <c r="C29">
        <f t="shared" si="21"/>
        <v>8.7612558918054511</v>
      </c>
      <c r="D29">
        <f t="shared" si="23"/>
        <v>1.3595517146169458</v>
      </c>
      <c r="E29">
        <f t="shared" si="4"/>
        <v>1.3595517146169458</v>
      </c>
      <c r="F29">
        <f t="shared" si="5"/>
        <v>0</v>
      </c>
      <c r="G29" s="9">
        <f t="shared" si="6"/>
        <v>0.15517772011299855</v>
      </c>
      <c r="H29" s="9">
        <f t="shared" si="6"/>
        <v>0.15517772011299855</v>
      </c>
      <c r="I29" s="9">
        <f t="shared" si="6"/>
        <v>0</v>
      </c>
      <c r="J29" s="9">
        <f t="shared" si="7"/>
        <v>2.0173103614689811E-2</v>
      </c>
      <c r="K29" s="9">
        <f t="shared" si="8"/>
        <v>3.1035544022599712E-2</v>
      </c>
      <c r="L29" s="9">
        <f t="shared" si="9"/>
        <v>0</v>
      </c>
      <c r="M29">
        <f t="shared" si="0"/>
        <v>8.3180891015035581</v>
      </c>
      <c r="N29">
        <f t="shared" si="10"/>
        <v>6.7327603459444809</v>
      </c>
      <c r="O29">
        <f t="shared" si="24"/>
        <v>1.5853287555590772</v>
      </c>
      <c r="P29">
        <f t="shared" si="22"/>
        <v>8.1681927290907357</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0.14989637241282239</v>
      </c>
      <c r="AB29">
        <f t="shared" si="11"/>
        <v>2.8568464059502002E-2</v>
      </c>
      <c r="AC29">
        <f t="shared" si="12"/>
        <v>0.12132790835332039</v>
      </c>
      <c r="AD29">
        <f t="shared" si="3"/>
        <v>1.6336385458181475</v>
      </c>
      <c r="AE29">
        <f t="shared" si="13"/>
        <v>0</v>
      </c>
      <c r="AF29">
        <f t="shared" si="14"/>
        <v>1.8151539397979415</v>
      </c>
      <c r="AG29">
        <f t="shared" si="15"/>
        <v>3.267277091636295</v>
      </c>
      <c r="AH29">
        <f t="shared" si="16"/>
        <v>0</v>
      </c>
      <c r="AI29">
        <f t="shared" si="17"/>
        <v>0.42990488047845982</v>
      </c>
      <c r="AJ29">
        <f t="shared" si="18"/>
        <v>0</v>
      </c>
      <c r="AK29">
        <f t="shared" si="19"/>
        <v>1.6336385458181475</v>
      </c>
      <c r="AL29">
        <f t="shared" si="20"/>
        <v>0</v>
      </c>
    </row>
    <row r="30" spans="1:38" x14ac:dyDescent="0.2">
      <c r="A30">
        <v>2047</v>
      </c>
      <c r="B30">
        <v>22</v>
      </c>
      <c r="C30">
        <f t="shared" si="21"/>
        <v>8.9452422655333645</v>
      </c>
      <c r="D30">
        <f t="shared" si="23"/>
        <v>1.4512431849884901</v>
      </c>
      <c r="E30">
        <f t="shared" si="4"/>
        <v>1.4512431849884901</v>
      </c>
      <c r="F30">
        <f t="shared" si="5"/>
        <v>0</v>
      </c>
      <c r="G30" s="9">
        <f t="shared" si="6"/>
        <v>0.16223631981217884</v>
      </c>
      <c r="H30" s="9">
        <f t="shared" si="6"/>
        <v>0.16223631981217884</v>
      </c>
      <c r="I30" s="9">
        <f t="shared" si="6"/>
        <v>0</v>
      </c>
      <c r="J30" s="9">
        <f t="shared" si="7"/>
        <v>2.1090721575583251E-2</v>
      </c>
      <c r="K30" s="9">
        <f t="shared" si="8"/>
        <v>3.2447263962435767E-2</v>
      </c>
      <c r="L30" s="9">
        <f t="shared" si="9"/>
        <v>0</v>
      </c>
      <c r="M30">
        <f t="shared" si="0"/>
        <v>8.472453567677773</v>
      </c>
      <c r="N30">
        <f t="shared" si="10"/>
        <v>6.8755204009023307</v>
      </c>
      <c r="O30">
        <f t="shared" si="24"/>
        <v>1.5969331667754423</v>
      </c>
      <c r="P30">
        <f t="shared" si="22"/>
        <v>8.3412727408056622</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0.13118082687211086</v>
      </c>
      <c r="AB30">
        <f t="shared" si="11"/>
        <v>2.4725660825842637E-2</v>
      </c>
      <c r="AC30">
        <f t="shared" si="12"/>
        <v>0.10645516604626822</v>
      </c>
      <c r="AD30">
        <f t="shared" si="3"/>
        <v>1.6682545481611326</v>
      </c>
      <c r="AE30">
        <f t="shared" si="13"/>
        <v>0</v>
      </c>
      <c r="AF30">
        <f t="shared" si="14"/>
        <v>1.8536161646234808</v>
      </c>
      <c r="AG30">
        <f t="shared" si="15"/>
        <v>3.3365090963222652</v>
      </c>
      <c r="AH30">
        <f t="shared" si="16"/>
        <v>0</v>
      </c>
      <c r="AI30">
        <f t="shared" si="17"/>
        <v>0.43901435477924539</v>
      </c>
      <c r="AJ30">
        <f t="shared" si="18"/>
        <v>0</v>
      </c>
      <c r="AK30">
        <f t="shared" si="19"/>
        <v>1.6682545481611326</v>
      </c>
      <c r="AL30">
        <f t="shared" si="20"/>
        <v>0</v>
      </c>
    </row>
    <row r="31" spans="1:38" x14ac:dyDescent="0.2">
      <c r="A31">
        <v>2048</v>
      </c>
      <c r="B31">
        <v>23</v>
      </c>
      <c r="C31">
        <f t="shared" si="21"/>
        <v>9.1330923531095642</v>
      </c>
      <c r="D31">
        <f t="shared" si="23"/>
        <v>1.5457052187575453</v>
      </c>
      <c r="E31">
        <f t="shared" si="4"/>
        <v>1.5457052187575453</v>
      </c>
      <c r="F31">
        <f t="shared" si="5"/>
        <v>0</v>
      </c>
      <c r="G31" s="9">
        <f t="shared" si="6"/>
        <v>0.1692422630798511</v>
      </c>
      <c r="H31" s="9">
        <f t="shared" si="6"/>
        <v>0.1692422630798511</v>
      </c>
      <c r="I31" s="9">
        <f t="shared" si="6"/>
        <v>0</v>
      </c>
      <c r="J31" s="9">
        <f t="shared" si="7"/>
        <v>2.2001494200380643E-2</v>
      </c>
      <c r="K31" s="9">
        <f t="shared" si="8"/>
        <v>3.384845261597022E-2</v>
      </c>
      <c r="L31" s="9">
        <f t="shared" si="9"/>
        <v>0</v>
      </c>
      <c r="M31">
        <f t="shared" si="0"/>
        <v>8.629811195800773</v>
      </c>
      <c r="N31">
        <f t="shared" si="10"/>
        <v>7.0167113795931906</v>
      </c>
      <c r="O31">
        <f t="shared" si="24"/>
        <v>1.6130998162075825</v>
      </c>
      <c r="P31">
        <f t="shared" si="22"/>
        <v>8.5102143378416066</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0.11959685795916641</v>
      </c>
      <c r="AB31">
        <f t="shared" si="11"/>
        <v>2.2355259601370015E-2</v>
      </c>
      <c r="AC31">
        <f t="shared" si="12"/>
        <v>9.7241598357796388E-2</v>
      </c>
      <c r="AD31">
        <f t="shared" si="3"/>
        <v>1.7020428675683217</v>
      </c>
      <c r="AE31">
        <f t="shared" si="13"/>
        <v>0</v>
      </c>
      <c r="AF31">
        <f t="shared" si="14"/>
        <v>1.8911587417425797</v>
      </c>
      <c r="AG31">
        <f t="shared" si="15"/>
        <v>3.4040857351366434</v>
      </c>
      <c r="AH31">
        <f t="shared" si="16"/>
        <v>0</v>
      </c>
      <c r="AI31">
        <f t="shared" si="17"/>
        <v>0.44790601778113726</v>
      </c>
      <c r="AJ31">
        <f t="shared" si="18"/>
        <v>0</v>
      </c>
      <c r="AK31">
        <f t="shared" si="19"/>
        <v>1.7020428675683217</v>
      </c>
      <c r="AL31">
        <f t="shared" si="20"/>
        <v>0</v>
      </c>
    </row>
    <row r="32" spans="1:38" x14ac:dyDescent="0.2">
      <c r="A32">
        <v>2049</v>
      </c>
      <c r="B32">
        <v>24</v>
      </c>
      <c r="C32">
        <f t="shared" si="21"/>
        <v>9.3248872925248634</v>
      </c>
      <c r="D32">
        <f t="shared" si="23"/>
        <v>1.642980057822939</v>
      </c>
      <c r="E32">
        <f t="shared" si="4"/>
        <v>1.642980057822939</v>
      </c>
      <c r="F32">
        <f t="shared" si="5"/>
        <v>0</v>
      </c>
      <c r="G32" s="9">
        <f t="shared" si="6"/>
        <v>0.17619302049259147</v>
      </c>
      <c r="H32" s="9">
        <f t="shared" si="6"/>
        <v>0.17619302049259147</v>
      </c>
      <c r="I32" s="9">
        <f t="shared" si="6"/>
        <v>0</v>
      </c>
      <c r="J32" s="9">
        <f t="shared" si="7"/>
        <v>2.2905092664036893E-2</v>
      </c>
      <c r="K32" s="9">
        <f t="shared" si="8"/>
        <v>3.5238604098518297E-2</v>
      </c>
      <c r="L32" s="9">
        <f t="shared" si="9"/>
        <v>0</v>
      </c>
      <c r="M32">
        <f t="shared" si="0"/>
        <v>8.790230395537213</v>
      </c>
      <c r="N32">
        <f t="shared" si="10"/>
        <v>7.1573542866958979</v>
      </c>
      <c r="O32">
        <f t="shared" si="24"/>
        <v>1.6328761088413151</v>
      </c>
      <c r="P32">
        <f t="shared" si="22"/>
        <v>8.6775406828662849</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0.11268971267092809</v>
      </c>
      <c r="AB32">
        <f t="shared" si="11"/>
        <v>2.0933278338867167E-2</v>
      </c>
      <c r="AC32">
        <f t="shared" si="12"/>
        <v>9.1756434332060918E-2</v>
      </c>
      <c r="AD32">
        <f t="shared" si="3"/>
        <v>1.735508136573257</v>
      </c>
      <c r="AE32">
        <f t="shared" si="13"/>
        <v>0</v>
      </c>
      <c r="AF32">
        <f t="shared" si="14"/>
        <v>1.9283423739702856</v>
      </c>
      <c r="AG32">
        <f t="shared" si="15"/>
        <v>3.471016273146514</v>
      </c>
      <c r="AH32">
        <f t="shared" si="16"/>
        <v>0</v>
      </c>
      <c r="AI32">
        <f t="shared" si="17"/>
        <v>0.45671266751927819</v>
      </c>
      <c r="AJ32">
        <f t="shared" si="18"/>
        <v>0</v>
      </c>
      <c r="AK32">
        <f t="shared" si="19"/>
        <v>1.735508136573257</v>
      </c>
      <c r="AL32">
        <f t="shared" si="20"/>
        <v>0</v>
      </c>
    </row>
    <row r="33" spans="1:38" x14ac:dyDescent="0.2">
      <c r="A33">
        <v>2050</v>
      </c>
      <c r="B33">
        <v>25</v>
      </c>
      <c r="C33">
        <f t="shared" si="21"/>
        <v>9.5207099256678838</v>
      </c>
      <c r="D33">
        <f t="shared" si="23"/>
        <v>1.7431101405005007</v>
      </c>
      <c r="E33">
        <f t="shared" si="4"/>
        <v>1.7431101405005007</v>
      </c>
      <c r="F33">
        <f t="shared" si="5"/>
        <v>0</v>
      </c>
      <c r="G33" s="9">
        <f t="shared" si="6"/>
        <v>0.18308615156954491</v>
      </c>
      <c r="H33" s="9">
        <f t="shared" si="6"/>
        <v>0.18308615156954491</v>
      </c>
      <c r="I33" s="9">
        <f t="shared" si="6"/>
        <v>0</v>
      </c>
      <c r="J33" s="9">
        <f t="shared" si="7"/>
        <v>2.3801199704040838E-2</v>
      </c>
      <c r="K33" s="9">
        <f t="shared" si="8"/>
        <v>3.6617230313908983E-2</v>
      </c>
      <c r="L33" s="9">
        <f t="shared" si="9"/>
        <v>0</v>
      </c>
      <c r="M33">
        <f t="shared" si="0"/>
        <v>8.953781201814758</v>
      </c>
      <c r="N33">
        <f t="shared" si="10"/>
        <v>7.2982436492871461</v>
      </c>
      <c r="O33">
        <f t="shared" si="24"/>
        <v>1.6555375525276119</v>
      </c>
      <c r="P33">
        <f t="shared" si="22"/>
        <v>8.8449349823969516</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0.10884621941780637</v>
      </c>
      <c r="AB33">
        <f t="shared" si="11"/>
        <v>2.0125464274279532E-2</v>
      </c>
      <c r="AC33">
        <f t="shared" si="12"/>
        <v>8.8720755143526828E-2</v>
      </c>
      <c r="AD33">
        <f t="shared" si="3"/>
        <v>1.7689869964793905</v>
      </c>
      <c r="AE33">
        <f t="shared" si="13"/>
        <v>0</v>
      </c>
      <c r="AF33">
        <f t="shared" si="14"/>
        <v>1.9655411071993227</v>
      </c>
      <c r="AG33">
        <f t="shared" si="15"/>
        <v>3.537973992958781</v>
      </c>
      <c r="AH33">
        <f t="shared" si="16"/>
        <v>0</v>
      </c>
      <c r="AI33">
        <f t="shared" si="17"/>
        <v>0.46552289381036588</v>
      </c>
      <c r="AJ33">
        <f t="shared" si="18"/>
        <v>0</v>
      </c>
      <c r="AK33">
        <f t="shared" si="19"/>
        <v>1.7689869964793905</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009C1-C9E2-1A4E-8AF6-75A0A7182232}">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25</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1.739706950317417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1.739706950317417</v>
      </c>
      <c r="N8">
        <f>IF($N$7="LFO",M8/(1+EXP(-$I$4*(B8-$J$4)))-M8/(1+EXP($I$4*$J$4)),IF($N$7="MGO",M8/(1+EXP(-$I$5*(B8-$J$5)))-M8/(1+EXP($I$5*$J$5)),0))</f>
        <v>0</v>
      </c>
      <c r="O8">
        <f>M8-N8</f>
        <v>1.739706950317417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1.739706950317417</v>
      </c>
      <c r="AB8">
        <f>O8/M8*AA8</f>
        <v>1.739706950317417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1.7762407962740825</v>
      </c>
      <c r="D9">
        <f>IF($E$2=0,0,C9/(1+EXP(-$E$2*(B9-$G$2)))-C9/(1+EXP($E$2*$G$2)))</f>
        <v>1.3261047131896575E-2</v>
      </c>
      <c r="E9">
        <f t="shared" ref="E9:E33" si="4">IF($E$3=0,0,C9/(1+EXP(-$E$3*(B9-$G$3)))-C9/(1+EXP($E$3*$G$3)))</f>
        <v>1.3261047131896575E-2</v>
      </c>
      <c r="F9">
        <f t="shared" ref="F9:F33" si="5">IF($E$4=0,0,C9/(1+EXP(-$E$4*(B9-$G$4)))-C9/(1+EXP($E$4*$G$4)))</f>
        <v>0</v>
      </c>
      <c r="G9" s="9">
        <f t="shared" ref="G9:I33" si="6">D9/$C9</f>
        <v>7.465793579177725E-3</v>
      </c>
      <c r="H9" s="9">
        <f t="shared" si="6"/>
        <v>7.465793579177725E-3</v>
      </c>
      <c r="I9" s="9">
        <f t="shared" si="6"/>
        <v>0</v>
      </c>
      <c r="J9" s="9">
        <f t="shared" ref="J9:J33" si="7">G9*$F$2</f>
        <v>9.7055316529310427E-4</v>
      </c>
      <c r="K9" s="9">
        <f t="shared" ref="K9:K33" si="8">H9*$F$3</f>
        <v>1.493158715835545E-3</v>
      </c>
      <c r="L9" s="9">
        <f t="shared" ref="L9:L33" si="9">I9*$F$4</f>
        <v>0</v>
      </c>
      <c r="M9">
        <f t="shared" si="0"/>
        <v>1.7718672248308103</v>
      </c>
      <c r="N9">
        <f t="shared" ref="N9:N33" si="10">IF($N$7="LFO",M9/(1+EXP(-$I$4*(B9-$J$4)))-M9/(1+EXP($I$4*$J$4)),IF($N$7="MGO",M9/(1+EXP(-$I$5*(B9-$J$5)))-M9/(1+EXP($I$5*$J$5)),0))</f>
        <v>8.6909542873631063E-2</v>
      </c>
      <c r="O9">
        <f>M9-N9</f>
        <v>1.6849576819571792</v>
      </c>
      <c r="P9">
        <f>IF($I$3=0,0,M9/(1+EXP(-$I$3*(B9-$J$3)))-M9/(1+EXP($I$3*$J$3)))</f>
        <v>1.0874109840804384E-2</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1.760993114990006</v>
      </c>
      <c r="AB9">
        <f t="shared" ref="AB9:AB33" si="11">O9/M9*AA9</f>
        <v>1.6746169438623939</v>
      </c>
      <c r="AC9">
        <f t="shared" ref="AC9:AC33" si="12">N9/M9*AA9</f>
        <v>8.6376171127612006E-2</v>
      </c>
      <c r="AD9">
        <f t="shared" si="3"/>
        <v>2.1748219681608769E-3</v>
      </c>
      <c r="AE9">
        <f t="shared" ref="AE9:AE33" si="13">S9*$O9*$AE$2+S9*$N9*$AE$3</f>
        <v>0</v>
      </c>
      <c r="AF9">
        <f t="shared" ref="AF9:AF33" si="14">T9*$O9*$AF$2+T9*$N9*$AF$3</f>
        <v>2.4164688535120854E-3</v>
      </c>
      <c r="AG9">
        <f t="shared" ref="AG9:AG33" si="15">U9*$O9*$AG$2+U9*$N9*$AG$3</f>
        <v>4.3496439363217539E-3</v>
      </c>
      <c r="AH9">
        <f t="shared" ref="AH9:AH33" si="16">V9*$O9*$AH$2+V9*$N9*$AH$3</f>
        <v>0</v>
      </c>
      <c r="AI9">
        <f t="shared" ref="AI9:AI33" si="17">W9*$O9*$AI$2+W9*$N9*$AI$3</f>
        <v>5.7232157056865188E-4</v>
      </c>
      <c r="AJ9">
        <f t="shared" ref="AJ9:AJ33" si="18">X9*$O9*$AJ$2+X9*$N9*$AJ$3</f>
        <v>0</v>
      </c>
      <c r="AK9">
        <f t="shared" ref="AK9:AK33" si="19">Y9*$O9*$AK$2+Y9*$N9*$AK$3</f>
        <v>2.1748219681608769E-3</v>
      </c>
      <c r="AL9">
        <f t="shared" ref="AL9:AL33" si="20">Z9*$O9*$AL$2+Z9*$N9*$AL$3</f>
        <v>0</v>
      </c>
    </row>
    <row r="10" spans="1:51" x14ac:dyDescent="0.2">
      <c r="A10">
        <v>2027</v>
      </c>
      <c r="B10">
        <v>2</v>
      </c>
      <c r="C10">
        <f t="shared" ref="C10:C33" si="21">C9*(1+$I$2)</f>
        <v>1.813541852995838</v>
      </c>
      <c r="D10">
        <f>IF($E$2=0,0,C10/(1+EXP(-$E$2*(B10-$G$2)))-C10/(1+EXP($E$2*$G$2)))</f>
        <v>2.7103420264843248E-2</v>
      </c>
      <c r="E10">
        <f t="shared" si="4"/>
        <v>2.7103420264843248E-2</v>
      </c>
      <c r="F10">
        <f t="shared" si="5"/>
        <v>0</v>
      </c>
      <c r="G10" s="9">
        <f t="shared" si="6"/>
        <v>1.4945020551949429E-2</v>
      </c>
      <c r="H10" s="9">
        <f t="shared" si="6"/>
        <v>1.4945020551949429E-2</v>
      </c>
      <c r="I10" s="9">
        <f t="shared" si="6"/>
        <v>0</v>
      </c>
      <c r="J10" s="9">
        <f t="shared" si="7"/>
        <v>1.9428526717534258E-3</v>
      </c>
      <c r="K10" s="9">
        <f t="shared" si="8"/>
        <v>2.989004110389886E-3</v>
      </c>
      <c r="L10" s="9">
        <f t="shared" si="9"/>
        <v>0</v>
      </c>
      <c r="M10">
        <f t="shared" si="0"/>
        <v>1.8046082558989347</v>
      </c>
      <c r="N10">
        <f t="shared" si="10"/>
        <v>0.19241630758697292</v>
      </c>
      <c r="O10">
        <f>M10-N10</f>
        <v>1.6121919483119618</v>
      </c>
      <c r="P10">
        <f t="shared" ref="P10:P33" si="22">IF($I$3=0,0,M10/(1+EXP(-$I$3*(B10-$J$3)))-M10/(1+EXP($I$3*$J$3)))</f>
        <v>2.8170026812646645E-2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1.7764382290862881</v>
      </c>
      <c r="AB10">
        <f t="shared" si="11"/>
        <v>1.5870255498636414</v>
      </c>
      <c r="AC10">
        <f t="shared" si="12"/>
        <v>0.18941267922264662</v>
      </c>
      <c r="AD10">
        <f t="shared" si="3"/>
        <v>5.6340053625293296E-3</v>
      </c>
      <c r="AE10">
        <f t="shared" si="13"/>
        <v>0</v>
      </c>
      <c r="AF10">
        <f t="shared" si="14"/>
        <v>6.2600059583659221E-3</v>
      </c>
      <c r="AG10">
        <f t="shared" si="15"/>
        <v>1.1268010725058659E-2</v>
      </c>
      <c r="AH10">
        <f t="shared" si="16"/>
        <v>0</v>
      </c>
      <c r="AI10">
        <f t="shared" si="17"/>
        <v>1.4826329901392972E-3</v>
      </c>
      <c r="AJ10">
        <f t="shared" si="18"/>
        <v>0</v>
      </c>
      <c r="AK10">
        <f t="shared" si="19"/>
        <v>5.6340053625293296E-3</v>
      </c>
      <c r="AL10">
        <f t="shared" si="20"/>
        <v>0</v>
      </c>
    </row>
    <row r="11" spans="1:51" x14ac:dyDescent="0.2">
      <c r="A11">
        <v>2028</v>
      </c>
      <c r="B11">
        <v>3</v>
      </c>
      <c r="C11">
        <f t="shared" si="21"/>
        <v>1.8516262319087504</v>
      </c>
      <c r="D11">
        <f t="shared" ref="D11:D33" si="23">IF($E$2=0,0,C11/(1+EXP(-$E$2*(B11-$G$2)))-C11/(1+EXP($E$2*$G$2)))</f>
        <v>4.154001933564444E-2</v>
      </c>
      <c r="E11">
        <f t="shared" si="4"/>
        <v>4.154001933564444E-2</v>
      </c>
      <c r="F11">
        <f t="shared" si="5"/>
        <v>0</v>
      </c>
      <c r="G11" s="9">
        <f t="shared" si="6"/>
        <v>2.2434343724339483E-2</v>
      </c>
      <c r="H11" s="9">
        <f t="shared" si="6"/>
        <v>2.2434343724339483E-2</v>
      </c>
      <c r="I11" s="9">
        <f t="shared" si="6"/>
        <v>0</v>
      </c>
      <c r="J11" s="9">
        <f t="shared" si="7"/>
        <v>2.916464684164133E-3</v>
      </c>
      <c r="K11" s="9">
        <f t="shared" si="8"/>
        <v>4.4868687448678972E-3</v>
      </c>
      <c r="L11" s="9">
        <f t="shared" si="9"/>
        <v>0</v>
      </c>
      <c r="M11">
        <f t="shared" si="0"/>
        <v>1.8379422555278619</v>
      </c>
      <c r="N11">
        <f t="shared" si="10"/>
        <v>0.3159756690769292</v>
      </c>
      <c r="O11">
        <f t="shared" ref="O11:O33" si="24">M11-N11</f>
        <v>1.5219665864509326</v>
      </c>
      <c r="P11">
        <f t="shared" si="22"/>
        <v>5.5330030418457882E-2</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1.7826122251094041</v>
      </c>
      <c r="AB11">
        <f t="shared" si="11"/>
        <v>1.4761487936062814</v>
      </c>
      <c r="AC11">
        <f t="shared" si="12"/>
        <v>0.30646343150312255</v>
      </c>
      <c r="AD11">
        <f t="shared" si="3"/>
        <v>1.1066006083691576E-2</v>
      </c>
      <c r="AE11">
        <f t="shared" si="13"/>
        <v>0</v>
      </c>
      <c r="AF11">
        <f t="shared" si="14"/>
        <v>1.2295562315212862E-2</v>
      </c>
      <c r="AG11">
        <f t="shared" si="15"/>
        <v>2.2132012167383152E-2</v>
      </c>
      <c r="AH11">
        <f t="shared" si="16"/>
        <v>0</v>
      </c>
      <c r="AI11">
        <f t="shared" si="17"/>
        <v>2.9121068641293621E-3</v>
      </c>
      <c r="AJ11">
        <f t="shared" si="18"/>
        <v>0</v>
      </c>
      <c r="AK11">
        <f t="shared" si="19"/>
        <v>1.1066006083691576E-2</v>
      </c>
      <c r="AL11">
        <f t="shared" si="20"/>
        <v>0</v>
      </c>
    </row>
    <row r="12" spans="1:51" x14ac:dyDescent="0.2">
      <c r="A12">
        <v>2029</v>
      </c>
      <c r="B12">
        <v>4</v>
      </c>
      <c r="C12">
        <f t="shared" si="21"/>
        <v>1.8905103827788341</v>
      </c>
      <c r="D12">
        <f t="shared" si="23"/>
        <v>5.6583746693715242E-2</v>
      </c>
      <c r="E12">
        <f t="shared" si="4"/>
        <v>5.6583746693715242E-2</v>
      </c>
      <c r="F12">
        <f t="shared" si="5"/>
        <v>0</v>
      </c>
      <c r="G12" s="9">
        <f t="shared" si="6"/>
        <v>2.993040779312918E-2</v>
      </c>
      <c r="H12" s="9">
        <f t="shared" si="6"/>
        <v>2.993040779312918E-2</v>
      </c>
      <c r="I12" s="9">
        <f t="shared" si="6"/>
        <v>0</v>
      </c>
      <c r="J12" s="9">
        <f t="shared" si="7"/>
        <v>3.8909530131067934E-3</v>
      </c>
      <c r="K12" s="9">
        <f t="shared" si="8"/>
        <v>5.9860815586258364E-3</v>
      </c>
      <c r="L12" s="9">
        <f t="shared" si="9"/>
        <v>0</v>
      </c>
      <c r="M12">
        <f t="shared" si="0"/>
        <v>1.8718817793098461</v>
      </c>
      <c r="N12">
        <f t="shared" si="10"/>
        <v>0.45511428473503868</v>
      </c>
      <c r="O12">
        <f t="shared" si="24"/>
        <v>1.4167674945748074</v>
      </c>
      <c r="P12">
        <f t="shared" si="22"/>
        <v>9.7312420064553082E-2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1.7745693592452931</v>
      </c>
      <c r="AB12">
        <f t="shared" si="11"/>
        <v>1.3431148338727521</v>
      </c>
      <c r="AC12">
        <f t="shared" si="12"/>
        <v>0.43145452537254114</v>
      </c>
      <c r="AD12">
        <f t="shared" si="3"/>
        <v>1.9462484012910616E-2</v>
      </c>
      <c r="AE12">
        <f t="shared" si="13"/>
        <v>0</v>
      </c>
      <c r="AF12">
        <f t="shared" si="14"/>
        <v>2.162498223656735E-2</v>
      </c>
      <c r="AG12">
        <f t="shared" si="15"/>
        <v>3.8924968025821238E-2</v>
      </c>
      <c r="AH12">
        <f t="shared" si="16"/>
        <v>0</v>
      </c>
      <c r="AI12">
        <f t="shared" si="17"/>
        <v>5.1217063191870034E-3</v>
      </c>
      <c r="AJ12">
        <f t="shared" si="18"/>
        <v>0</v>
      </c>
      <c r="AK12">
        <f t="shared" si="19"/>
        <v>1.9462484012910616E-2</v>
      </c>
      <c r="AL12">
        <f t="shared" si="20"/>
        <v>0</v>
      </c>
    </row>
    <row r="13" spans="1:51" x14ac:dyDescent="0.2">
      <c r="A13">
        <v>2030</v>
      </c>
      <c r="B13">
        <v>5</v>
      </c>
      <c r="C13">
        <f t="shared" si="21"/>
        <v>1.9302111008171894</v>
      </c>
      <c r="D13">
        <f t="shared" si="23"/>
        <v>7.2247502984375989E-2</v>
      </c>
      <c r="E13">
        <f t="shared" si="4"/>
        <v>7.2247502984375989E-2</v>
      </c>
      <c r="F13">
        <f t="shared" si="5"/>
        <v>0</v>
      </c>
      <c r="G13" s="9">
        <f t="shared" si="6"/>
        <v>3.742984534374956E-2</v>
      </c>
      <c r="H13" s="9">
        <f t="shared" si="6"/>
        <v>3.742984534374956E-2</v>
      </c>
      <c r="I13" s="9">
        <f t="shared" si="6"/>
        <v>0</v>
      </c>
      <c r="J13" s="9">
        <f t="shared" si="7"/>
        <v>4.8658798946874431E-3</v>
      </c>
      <c r="K13" s="9">
        <f t="shared" si="8"/>
        <v>7.4859690687499123E-3</v>
      </c>
      <c r="L13" s="9">
        <f t="shared" si="9"/>
        <v>0</v>
      </c>
      <c r="M13">
        <f t="shared" si="0"/>
        <v>1.906439734366788</v>
      </c>
      <c r="N13">
        <f t="shared" si="10"/>
        <v>0.60543660003628186</v>
      </c>
      <c r="O13">
        <f t="shared" si="24"/>
        <v>1.3010031343305062</v>
      </c>
      <c r="P13">
        <f t="shared" si="22"/>
        <v>0.16083206454410248</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1.7456076698226854</v>
      </c>
      <c r="AB13">
        <f t="shared" si="11"/>
        <v>1.1912472284391393</v>
      </c>
      <c r="AC13">
        <f t="shared" si="12"/>
        <v>0.55436044138354623</v>
      </c>
      <c r="AD13">
        <f t="shared" si="3"/>
        <v>3.2166412908820496E-2</v>
      </c>
      <c r="AE13">
        <f t="shared" si="13"/>
        <v>0</v>
      </c>
      <c r="AF13">
        <f t="shared" si="14"/>
        <v>3.5740458787578332E-2</v>
      </c>
      <c r="AG13">
        <f t="shared" si="15"/>
        <v>6.4332825817640993E-2</v>
      </c>
      <c r="AH13">
        <f t="shared" si="16"/>
        <v>0</v>
      </c>
      <c r="AI13">
        <f t="shared" si="17"/>
        <v>8.4648455023211815E-3</v>
      </c>
      <c r="AJ13">
        <f t="shared" si="18"/>
        <v>0</v>
      </c>
      <c r="AK13">
        <f t="shared" si="19"/>
        <v>3.2166412908820496E-2</v>
      </c>
      <c r="AL13">
        <f t="shared" si="20"/>
        <v>0</v>
      </c>
    </row>
    <row r="14" spans="1:51" x14ac:dyDescent="0.2">
      <c r="A14">
        <v>2031</v>
      </c>
      <c r="B14">
        <v>6</v>
      </c>
      <c r="C14">
        <f t="shared" si="21"/>
        <v>1.9707455339343503</v>
      </c>
      <c r="D14">
        <f t="shared" si="23"/>
        <v>8.8544183606952598E-2</v>
      </c>
      <c r="E14">
        <f t="shared" si="4"/>
        <v>8.8544183606952598E-2</v>
      </c>
      <c r="F14">
        <f t="shared" si="5"/>
        <v>0</v>
      </c>
      <c r="G14" s="9">
        <f t="shared" si="6"/>
        <v>4.4929282894369961E-2</v>
      </c>
      <c r="H14" s="9">
        <f t="shared" si="6"/>
        <v>4.4929282894369961E-2</v>
      </c>
      <c r="I14" s="9">
        <f t="shared" si="6"/>
        <v>0</v>
      </c>
      <c r="J14" s="9">
        <f t="shared" si="7"/>
        <v>5.8408067762680954E-3</v>
      </c>
      <c r="K14" s="9">
        <f t="shared" si="8"/>
        <v>8.9858565788739925E-3</v>
      </c>
      <c r="L14" s="9">
        <f t="shared" si="9"/>
        <v>0</v>
      </c>
      <c r="M14">
        <f t="shared" si="0"/>
        <v>1.9416293872375783</v>
      </c>
      <c r="N14">
        <f t="shared" si="10"/>
        <v>0.76115171391560388</v>
      </c>
      <c r="O14">
        <f t="shared" si="24"/>
        <v>1.1804776733219744</v>
      </c>
      <c r="P14">
        <f t="shared" si="22"/>
        <v>0.25408962553427894</v>
      </c>
      <c r="Q14" s="9">
        <f t="shared" si="1"/>
        <v>0.13086412226989458</v>
      </c>
      <c r="R14">
        <f>VLOOKUP($B$1,dictionary!$A$3:$K$51,3,FALSE)*Q14</f>
        <v>2.6172824453978918E-2</v>
      </c>
      <c r="S14">
        <f>VLOOKUP($B$1,dictionary!$A$3:$K$51,4,FALSE)*Q14</f>
        <v>0</v>
      </c>
      <c r="T14">
        <f>VLOOKUP($B$1,dictionary!$A$3:$K$51,5,FALSE)*Q14</f>
        <v>2.6172824453978918E-2</v>
      </c>
      <c r="U14">
        <f>VLOOKUP($B$1,dictionary!$A$3:$K$51,6,FALSE)*Q14</f>
        <v>4.5802442794463098E-2</v>
      </c>
      <c r="V14">
        <f>VLOOKUP($B$1,dictionary!$A$3:$K$51,7,FALSE)*Q14</f>
        <v>0</v>
      </c>
      <c r="W14">
        <f>VLOOKUP($B$1,dictionary!$A$3:$K$51,8,FALSE)*Q14</f>
        <v>6.5432061134947294E-3</v>
      </c>
      <c r="X14">
        <f>VLOOKUP($B$1,dictionary!$A$3:$K$51,9,FALSE)*Q14</f>
        <v>0</v>
      </c>
      <c r="Y14">
        <f>VLOOKUP($B$1,dictionary!$A$3:$K$51,10,FALSE)*Q14</f>
        <v>2.6172824453978918E-2</v>
      </c>
      <c r="Z14">
        <f>VLOOKUP($B$1,dictionary!$A$3:$K$51,11,FALSE)*Q14</f>
        <v>0</v>
      </c>
      <c r="AA14">
        <f t="shared" si="2"/>
        <v>1.6875397617032992</v>
      </c>
      <c r="AB14">
        <f t="shared" si="11"/>
        <v>1.0259954987434867</v>
      </c>
      <c r="AC14">
        <f t="shared" si="12"/>
        <v>0.66154426295981239</v>
      </c>
      <c r="AD14">
        <f t="shared" si="3"/>
        <v>5.0817925106855788E-2</v>
      </c>
      <c r="AE14">
        <f t="shared" si="13"/>
        <v>0</v>
      </c>
      <c r="AF14">
        <f t="shared" si="14"/>
        <v>5.6464361229839777E-2</v>
      </c>
      <c r="AG14">
        <f t="shared" si="15"/>
        <v>0.10163585021371158</v>
      </c>
      <c r="AH14">
        <f t="shared" si="16"/>
        <v>0</v>
      </c>
      <c r="AI14">
        <f t="shared" si="17"/>
        <v>1.3373138186014681E-2</v>
      </c>
      <c r="AJ14">
        <f t="shared" si="18"/>
        <v>0</v>
      </c>
      <c r="AK14">
        <f t="shared" si="19"/>
        <v>5.0817925106855788E-2</v>
      </c>
      <c r="AL14">
        <f t="shared" si="20"/>
        <v>0</v>
      </c>
    </row>
    <row r="15" spans="1:51" x14ac:dyDescent="0.2">
      <c r="A15">
        <v>2032</v>
      </c>
      <c r="B15">
        <v>7</v>
      </c>
      <c r="C15">
        <f t="shared" si="21"/>
        <v>2.0121311901469716</v>
      </c>
      <c r="D15">
        <f t="shared" si="23"/>
        <v>0.10548667577885018</v>
      </c>
      <c r="E15">
        <f t="shared" si="4"/>
        <v>0.10548667577885018</v>
      </c>
      <c r="F15">
        <f t="shared" si="5"/>
        <v>0</v>
      </c>
      <c r="G15" s="9">
        <f t="shared" si="6"/>
        <v>5.2425346963159564E-2</v>
      </c>
      <c r="H15" s="9">
        <f t="shared" si="6"/>
        <v>5.2425346963159564E-2</v>
      </c>
      <c r="I15" s="9">
        <f t="shared" si="6"/>
        <v>0</v>
      </c>
      <c r="J15" s="9">
        <f t="shared" si="7"/>
        <v>6.8152951052107436E-3</v>
      </c>
      <c r="K15" s="9">
        <f t="shared" si="8"/>
        <v>1.0485069392631913E-2</v>
      </c>
      <c r="L15" s="9">
        <f t="shared" si="9"/>
        <v>0</v>
      </c>
      <c r="M15">
        <f t="shared" si="0"/>
        <v>1.9774643717049711</v>
      </c>
      <c r="N15">
        <f t="shared" si="10"/>
        <v>0.91602236811145832</v>
      </c>
      <c r="O15">
        <f t="shared" si="24"/>
        <v>1.0614420035935128</v>
      </c>
      <c r="P15">
        <f>IF($I$3=0,0,M15/(1+EXP(-$I$3*(B15-$J$3)))-M15/(1+EXP($I$3*$J$3)))</f>
        <v>0.3853750378200646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1.5920893338849065</v>
      </c>
      <c r="AB15">
        <f t="shared" si="11"/>
        <v>0.85458454606775769</v>
      </c>
      <c r="AC15">
        <f t="shared" si="12"/>
        <v>0.7375047878171489</v>
      </c>
      <c r="AD15">
        <f t="shared" si="3"/>
        <v>7.7075007564012921E-2</v>
      </c>
      <c r="AE15">
        <f t="shared" si="13"/>
        <v>0</v>
      </c>
      <c r="AF15">
        <f t="shared" si="14"/>
        <v>8.5638897293347699E-2</v>
      </c>
      <c r="AG15">
        <f t="shared" si="15"/>
        <v>0.15415001512802584</v>
      </c>
      <c r="AH15">
        <f t="shared" si="16"/>
        <v>0</v>
      </c>
      <c r="AI15">
        <f t="shared" si="17"/>
        <v>2.0282896727371821E-2</v>
      </c>
      <c r="AJ15">
        <f t="shared" si="18"/>
        <v>0</v>
      </c>
      <c r="AK15">
        <f t="shared" si="19"/>
        <v>7.7075007564012921E-2</v>
      </c>
      <c r="AL15">
        <f t="shared" si="20"/>
        <v>0</v>
      </c>
    </row>
    <row r="16" spans="1:51" x14ac:dyDescent="0.2">
      <c r="A16">
        <v>2033</v>
      </c>
      <c r="B16">
        <v>8</v>
      </c>
      <c r="C16">
        <f t="shared" si="21"/>
        <v>2.0543859451400577</v>
      </c>
      <c r="D16">
        <f t="shared" si="23"/>
        <v>0.12308785623417595</v>
      </c>
      <c r="E16">
        <f t="shared" si="4"/>
        <v>0.12308785623417595</v>
      </c>
      <c r="F16">
        <f t="shared" si="5"/>
        <v>0</v>
      </c>
      <c r="G16" s="9">
        <f t="shared" si="6"/>
        <v>5.9914670135549651E-2</v>
      </c>
      <c r="H16" s="9">
        <f t="shared" si="6"/>
        <v>5.9914670135549651E-2</v>
      </c>
      <c r="I16" s="9">
        <f t="shared" si="6"/>
        <v>0</v>
      </c>
      <c r="J16" s="9">
        <f t="shared" si="7"/>
        <v>7.7889071176214545E-3</v>
      </c>
      <c r="K16" s="9">
        <f t="shared" si="8"/>
        <v>1.1982934027109931E-2</v>
      </c>
      <c r="L16" s="9">
        <f t="shared" si="9"/>
        <v>0</v>
      </c>
      <c r="M16">
        <f t="shared" si="0"/>
        <v>2.0139586965586824</v>
      </c>
      <c r="N16">
        <f t="shared" si="10"/>
        <v>1.0644254634816122</v>
      </c>
      <c r="O16">
        <f t="shared" si="24"/>
        <v>0.94953323307707027</v>
      </c>
      <c r="P16">
        <f t="shared" si="22"/>
        <v>0.56000851427351139</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1.453950182285171</v>
      </c>
      <c r="AB16">
        <f t="shared" si="11"/>
        <v>0.68550264693971452</v>
      </c>
      <c r="AC16">
        <f t="shared" si="12"/>
        <v>0.76844753534545651</v>
      </c>
      <c r="AD16">
        <f t="shared" si="3"/>
        <v>0.11200170285470229</v>
      </c>
      <c r="AE16">
        <f t="shared" si="13"/>
        <v>0</v>
      </c>
      <c r="AF16">
        <f t="shared" si="14"/>
        <v>0.12444633650522477</v>
      </c>
      <c r="AG16">
        <f t="shared" si="15"/>
        <v>0.22400340570940458</v>
      </c>
      <c r="AH16">
        <f t="shared" si="16"/>
        <v>0</v>
      </c>
      <c r="AI16">
        <f t="shared" si="17"/>
        <v>2.947413233018481E-2</v>
      </c>
      <c r="AJ16">
        <f t="shared" si="18"/>
        <v>0</v>
      </c>
      <c r="AK16">
        <f t="shared" si="19"/>
        <v>0.11200170285470229</v>
      </c>
      <c r="AL16">
        <f t="shared" si="20"/>
        <v>0</v>
      </c>
    </row>
    <row r="17" spans="1:38" x14ac:dyDescent="0.2">
      <c r="A17">
        <v>2034</v>
      </c>
      <c r="B17">
        <v>9</v>
      </c>
      <c r="C17">
        <f t="shared" si="21"/>
        <v>2.0975280499879987</v>
      </c>
      <c r="D17">
        <f t="shared" si="23"/>
        <v>0.14136058958270892</v>
      </c>
      <c r="E17">
        <f t="shared" si="4"/>
        <v>0.14136058958270892</v>
      </c>
      <c r="F17">
        <f t="shared" si="5"/>
        <v>0</v>
      </c>
      <c r="G17" s="9">
        <f t="shared" si="6"/>
        <v>6.7393897108321263E-2</v>
      </c>
      <c r="H17" s="9">
        <f t="shared" si="6"/>
        <v>6.7393897108321263E-2</v>
      </c>
      <c r="I17" s="9">
        <f t="shared" si="6"/>
        <v>0</v>
      </c>
      <c r="J17" s="9">
        <f t="shared" si="7"/>
        <v>8.7612066240817642E-3</v>
      </c>
      <c r="K17" s="9">
        <f t="shared" si="8"/>
        <v>1.3478779421664254E-2</v>
      </c>
      <c r="L17" s="9">
        <f t="shared" si="9"/>
        <v>0</v>
      </c>
      <c r="M17">
        <f t="shared" si="0"/>
        <v>2.0511267532924724</v>
      </c>
      <c r="N17">
        <f t="shared" si="10"/>
        <v>1.2021638716405298</v>
      </c>
      <c r="O17">
        <f t="shared" si="24"/>
        <v>0.84896288165194256</v>
      </c>
      <c r="P17">
        <f t="shared" si="22"/>
        <v>0.77609267196270304</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1.2750340813297694</v>
      </c>
      <c r="AB17">
        <f t="shared" si="11"/>
        <v>0.5277375501794791</v>
      </c>
      <c r="AC17">
        <f t="shared" si="12"/>
        <v>0.74729653115029016</v>
      </c>
      <c r="AD17">
        <f t="shared" si="3"/>
        <v>0.15521853439254063</v>
      </c>
      <c r="AE17">
        <f t="shared" si="13"/>
        <v>0</v>
      </c>
      <c r="AF17">
        <f t="shared" si="14"/>
        <v>0.17246503821393405</v>
      </c>
      <c r="AG17">
        <f t="shared" si="15"/>
        <v>0.3104370687850812</v>
      </c>
      <c r="AH17">
        <f t="shared" si="16"/>
        <v>0</v>
      </c>
      <c r="AI17">
        <f t="shared" si="17"/>
        <v>4.0846982734879113E-2</v>
      </c>
      <c r="AJ17">
        <f t="shared" si="18"/>
        <v>0</v>
      </c>
      <c r="AK17">
        <f t="shared" si="19"/>
        <v>0.15521853439254063</v>
      </c>
      <c r="AL17">
        <f t="shared" si="20"/>
        <v>0</v>
      </c>
    </row>
    <row r="18" spans="1:38" x14ac:dyDescent="0.2">
      <c r="A18">
        <v>2035</v>
      </c>
      <c r="B18">
        <v>10</v>
      </c>
      <c r="C18">
        <f t="shared" si="21"/>
        <v>2.1415761390377464</v>
      </c>
      <c r="D18">
        <f t="shared" si="23"/>
        <v>0.16031772735209415</v>
      </c>
      <c r="E18">
        <f t="shared" si="4"/>
        <v>0.16031772735209415</v>
      </c>
      <c r="F18">
        <f t="shared" si="5"/>
        <v>0</v>
      </c>
      <c r="G18" s="9">
        <f t="shared" si="6"/>
        <v>7.485969068749905E-2</v>
      </c>
      <c r="H18" s="9">
        <f t="shared" si="6"/>
        <v>7.485969068749905E-2</v>
      </c>
      <c r="I18" s="9">
        <f t="shared" si="6"/>
        <v>0</v>
      </c>
      <c r="J18" s="9">
        <f t="shared" si="7"/>
        <v>9.7317597893748775E-3</v>
      </c>
      <c r="K18" s="9">
        <f t="shared" si="8"/>
        <v>1.4971938137499811E-2</v>
      </c>
      <c r="L18" s="9">
        <f t="shared" si="9"/>
        <v>0</v>
      </c>
      <c r="M18">
        <f t="shared" si="0"/>
        <v>2.0889833237340687</v>
      </c>
      <c r="N18">
        <f t="shared" si="10"/>
        <v>1.3268155696242072</v>
      </c>
      <c r="O18">
        <f t="shared" si="24"/>
        <v>0.76216775410986148</v>
      </c>
      <c r="P18">
        <f t="shared" si="22"/>
        <v>1.0215401219329023</v>
      </c>
      <c r="Q18" s="9">
        <f t="shared" si="1"/>
        <v>0.48901305736940687</v>
      </c>
      <c r="R18">
        <f>VLOOKUP($B$1,dictionary!$A$3:$K$51,3,FALSE)*Q18</f>
        <v>9.7802611473881376E-2</v>
      </c>
      <c r="S18">
        <f>VLOOKUP($B$1,dictionary!$A$3:$K$51,4,FALSE)*Q18</f>
        <v>0</v>
      </c>
      <c r="T18">
        <f>VLOOKUP($B$1,dictionary!$A$3:$K$51,5,FALSE)*Q18</f>
        <v>9.7802611473881376E-2</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1.0674432018011664</v>
      </c>
      <c r="AB18">
        <f t="shared" si="11"/>
        <v>0.38945777044422386</v>
      </c>
      <c r="AC18">
        <f t="shared" si="12"/>
        <v>0.67798543135694256</v>
      </c>
      <c r="AD18">
        <f t="shared" si="3"/>
        <v>0.20430802438658047</v>
      </c>
      <c r="AE18">
        <f t="shared" si="13"/>
        <v>0</v>
      </c>
      <c r="AF18">
        <f t="shared" si="14"/>
        <v>0.22700891598508943</v>
      </c>
      <c r="AG18">
        <f t="shared" si="15"/>
        <v>0.40861604877316093</v>
      </c>
      <c r="AH18">
        <f t="shared" si="16"/>
        <v>0</v>
      </c>
      <c r="AI18">
        <f t="shared" si="17"/>
        <v>5.3765269575415914E-2</v>
      </c>
      <c r="AJ18">
        <f t="shared" si="18"/>
        <v>0</v>
      </c>
      <c r="AK18">
        <f t="shared" si="19"/>
        <v>0.20430802438658047</v>
      </c>
      <c r="AL18">
        <f t="shared" si="20"/>
        <v>0</v>
      </c>
    </row>
    <row r="19" spans="1:38" x14ac:dyDescent="0.2">
      <c r="A19">
        <v>2036</v>
      </c>
      <c r="B19">
        <v>11</v>
      </c>
      <c r="C19">
        <f t="shared" si="21"/>
        <v>2.1865492379575389</v>
      </c>
      <c r="D19">
        <f t="shared" si="23"/>
        <v>0.17997210773307404</v>
      </c>
      <c r="E19">
        <f t="shared" si="4"/>
        <v>0.17997210773307404</v>
      </c>
      <c r="F19">
        <f t="shared" si="5"/>
        <v>0</v>
      </c>
      <c r="G19" s="9">
        <f t="shared" si="6"/>
        <v>8.2308737717329633E-2</v>
      </c>
      <c r="H19" s="9">
        <f t="shared" si="6"/>
        <v>8.2308737717329633E-2</v>
      </c>
      <c r="I19" s="9">
        <f t="shared" si="6"/>
        <v>0</v>
      </c>
      <c r="J19" s="9">
        <f t="shared" si="7"/>
        <v>1.0700135903252852E-2</v>
      </c>
      <c r="K19" s="9">
        <f t="shared" si="8"/>
        <v>1.6461747543465927E-2</v>
      </c>
      <c r="L19" s="9">
        <f t="shared" si="9"/>
        <v>0</v>
      </c>
      <c r="M19">
        <f t="shared" si="0"/>
        <v>2.1275435876079323</v>
      </c>
      <c r="N19">
        <f t="shared" si="10"/>
        <v>1.4376310106933112</v>
      </c>
      <c r="O19">
        <f t="shared" si="24"/>
        <v>0.68991257691462105</v>
      </c>
      <c r="P19">
        <f t="shared" si="22"/>
        <v>1.2757863871893524</v>
      </c>
      <c r="Q19" s="9">
        <f t="shared" si="1"/>
        <v>0.59965229131862874</v>
      </c>
      <c r="R19">
        <f>VLOOKUP($B$1,dictionary!$A$3:$K$51,3,FALSE)*Q19</f>
        <v>0.11993045826372575</v>
      </c>
      <c r="S19">
        <f>VLOOKUP($B$1,dictionary!$A$3:$K$51,4,FALSE)*Q19</f>
        <v>0</v>
      </c>
      <c r="T19">
        <f>VLOOKUP($B$1,dictionary!$A$3:$K$51,5,FALSE)*Q19</f>
        <v>0.11993045826372575</v>
      </c>
      <c r="U19">
        <f>VLOOKUP($B$1,dictionary!$A$3:$K$51,6,FALSE)*Q19</f>
        <v>0.20987830196152005</v>
      </c>
      <c r="V19">
        <f>VLOOKUP($B$1,dictionary!$A$3:$K$51,7,FALSE)*Q19</f>
        <v>0</v>
      </c>
      <c r="W19">
        <f>VLOOKUP($B$1,dictionary!$A$3:$K$51,8,FALSE)*Q19</f>
        <v>2.9982614565931438E-2</v>
      </c>
      <c r="X19">
        <f>VLOOKUP($B$1,dictionary!$A$3:$K$51,9,FALSE)*Q19</f>
        <v>0</v>
      </c>
      <c r="Y19">
        <f>VLOOKUP($B$1,dictionary!$A$3:$K$51,10,FALSE)*Q19</f>
        <v>0.11993045826372575</v>
      </c>
      <c r="Z19">
        <f>VLOOKUP($B$1,dictionary!$A$3:$K$51,11,FALSE)*Q19</f>
        <v>0</v>
      </c>
      <c r="AA19">
        <f t="shared" si="2"/>
        <v>0.85175720041857983</v>
      </c>
      <c r="AB19">
        <f t="shared" si="11"/>
        <v>0.27620491935822883</v>
      </c>
      <c r="AC19">
        <f t="shared" si="12"/>
        <v>0.57555228106035095</v>
      </c>
      <c r="AD19">
        <f t="shared" si="3"/>
        <v>0.25515727743787048</v>
      </c>
      <c r="AE19">
        <f t="shared" si="13"/>
        <v>0</v>
      </c>
      <c r="AF19">
        <f t="shared" si="14"/>
        <v>0.28350808604207833</v>
      </c>
      <c r="AG19">
        <f t="shared" si="15"/>
        <v>0.51031455487574096</v>
      </c>
      <c r="AH19">
        <f t="shared" si="16"/>
        <v>0</v>
      </c>
      <c r="AI19">
        <f t="shared" si="17"/>
        <v>6.7146651957334325E-2</v>
      </c>
      <c r="AJ19">
        <f t="shared" si="18"/>
        <v>0</v>
      </c>
      <c r="AK19">
        <f t="shared" si="19"/>
        <v>0.25515727743787048</v>
      </c>
      <c r="AL19">
        <f t="shared" si="20"/>
        <v>0</v>
      </c>
    </row>
    <row r="20" spans="1:38" x14ac:dyDescent="0.2">
      <c r="A20">
        <v>2037</v>
      </c>
      <c r="B20">
        <v>12</v>
      </c>
      <c r="C20">
        <f t="shared" si="21"/>
        <v>2.2324667719546469</v>
      </c>
      <c r="D20">
        <f t="shared" si="23"/>
        <v>0.2003365560444117</v>
      </c>
      <c r="E20">
        <f t="shared" si="4"/>
        <v>0.2003365560444117</v>
      </c>
      <c r="F20">
        <f t="shared" si="5"/>
        <v>0</v>
      </c>
      <c r="G20" s="9">
        <f t="shared" si="6"/>
        <v>8.97377549180748E-2</v>
      </c>
      <c r="H20" s="9">
        <f t="shared" si="6"/>
        <v>8.97377549180748E-2</v>
      </c>
      <c r="I20" s="9">
        <f t="shared" si="6"/>
        <v>0</v>
      </c>
      <c r="J20" s="9">
        <f t="shared" si="7"/>
        <v>1.1665908139349724E-2</v>
      </c>
      <c r="K20" s="9">
        <f t="shared" si="8"/>
        <v>1.794755098361496E-2</v>
      </c>
      <c r="L20" s="9">
        <f t="shared" si="9"/>
        <v>0</v>
      </c>
      <c r="M20">
        <f t="shared" si="0"/>
        <v>2.1668231300319443</v>
      </c>
      <c r="N20">
        <f t="shared" si="10"/>
        <v>1.5351457699605249</v>
      </c>
      <c r="O20">
        <f t="shared" si="24"/>
        <v>0.63167736007141939</v>
      </c>
      <c r="P20">
        <f>IF($I$3=0,0,M20/(1+EXP(-$I$3*(B20-$J$3)))-M20/(1+EXP($I$3*$J$3)))</f>
        <v>1.5166950651522617</v>
      </c>
      <c r="Q20" s="9">
        <f t="shared" si="1"/>
        <v>0.69996255999441082</v>
      </c>
      <c r="R20">
        <f>VLOOKUP($B$1,dictionary!$A$3:$K$51,3,FALSE)*Q20</f>
        <v>0.13999251199888216</v>
      </c>
      <c r="S20">
        <f>VLOOKUP($B$1,dictionary!$A$3:$K$51,4,FALSE)*Q20</f>
        <v>0</v>
      </c>
      <c r="T20">
        <f>VLOOKUP($B$1,dictionary!$A$3:$K$51,5,FALSE)*Q20</f>
        <v>0.13999251199888216</v>
      </c>
      <c r="U20">
        <f>VLOOKUP($B$1,dictionary!$A$3:$K$51,6,FALSE)*Q20</f>
        <v>0.24498689599804377</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0.65012806487968255</v>
      </c>
      <c r="AB20">
        <f t="shared" si="11"/>
        <v>0.18952685802531749</v>
      </c>
      <c r="AC20">
        <f t="shared" si="12"/>
        <v>0.46060120685436506</v>
      </c>
      <c r="AD20">
        <f t="shared" si="3"/>
        <v>0.30333901303045235</v>
      </c>
      <c r="AE20">
        <f t="shared" si="13"/>
        <v>0</v>
      </c>
      <c r="AF20">
        <f t="shared" si="14"/>
        <v>0.33704334781161371</v>
      </c>
      <c r="AG20">
        <f t="shared" si="15"/>
        <v>0.60667802606090482</v>
      </c>
      <c r="AH20">
        <f t="shared" si="16"/>
        <v>0</v>
      </c>
      <c r="AI20">
        <f t="shared" si="17"/>
        <v>7.9826056060645356E-2</v>
      </c>
      <c r="AJ20">
        <f t="shared" si="18"/>
        <v>0</v>
      </c>
      <c r="AK20">
        <f t="shared" si="19"/>
        <v>0.30333901303045235</v>
      </c>
      <c r="AL20">
        <f t="shared" si="20"/>
        <v>0</v>
      </c>
    </row>
    <row r="21" spans="1:38" x14ac:dyDescent="0.2">
      <c r="A21">
        <v>2038</v>
      </c>
      <c r="B21">
        <v>13</v>
      </c>
      <c r="C21">
        <f t="shared" si="21"/>
        <v>2.2793485741656943</v>
      </c>
      <c r="D21">
        <f t="shared" si="23"/>
        <v>0.22142388593092455</v>
      </c>
      <c r="E21">
        <f t="shared" si="4"/>
        <v>0.22142388593092455</v>
      </c>
      <c r="F21">
        <f t="shared" si="5"/>
        <v>0</v>
      </c>
      <c r="G21" s="9">
        <f t="shared" si="6"/>
        <v>9.7143494610942474E-2</v>
      </c>
      <c r="H21" s="9">
        <f t="shared" si="6"/>
        <v>9.7143494610942474E-2</v>
      </c>
      <c r="I21" s="9">
        <f t="shared" si="6"/>
        <v>0</v>
      </c>
      <c r="J21" s="9">
        <f t="shared" si="7"/>
        <v>1.2628654299422523E-2</v>
      </c>
      <c r="K21" s="9">
        <f t="shared" si="8"/>
        <v>1.9428698922188497E-2</v>
      </c>
      <c r="L21" s="9">
        <f t="shared" si="9"/>
        <v>0</v>
      </c>
      <c r="M21">
        <f t="shared" si="0"/>
        <v>2.2068379489503007</v>
      </c>
      <c r="N21">
        <f t="shared" si="10"/>
        <v>1.6207057172179837</v>
      </c>
      <c r="O21">
        <f t="shared" si="24"/>
        <v>0.58613223173231699</v>
      </c>
      <c r="P21">
        <f t="shared" si="22"/>
        <v>1.7282689979553294</v>
      </c>
      <c r="Q21" s="9">
        <f t="shared" si="1"/>
        <v>0.78314268556845945</v>
      </c>
      <c r="R21">
        <f>VLOOKUP($B$1,dictionary!$A$3:$K$51,3,FALSE)*Q21</f>
        <v>0.1566285371136919</v>
      </c>
      <c r="S21">
        <f>VLOOKUP($B$1,dictionary!$A$3:$K$51,4,FALSE)*Q21</f>
        <v>0</v>
      </c>
      <c r="T21">
        <f>VLOOKUP($B$1,dictionary!$A$3:$K$51,5,FALSE)*Q21</f>
        <v>0.1566285371136919</v>
      </c>
      <c r="U21">
        <f>VLOOKUP($B$1,dictionary!$A$3:$K$51,6,FALSE)*Q21</f>
        <v>0.27409993994896081</v>
      </c>
      <c r="V21">
        <f>VLOOKUP($B$1,dictionary!$A$3:$K$51,7,FALSE)*Q21</f>
        <v>0</v>
      </c>
      <c r="W21">
        <f>VLOOKUP($B$1,dictionary!$A$3:$K$51,8,FALSE)*Q21</f>
        <v>3.9157134278422975E-2</v>
      </c>
      <c r="X21">
        <f>VLOOKUP($B$1,dictionary!$A$3:$K$51,9,FALSE)*Q21</f>
        <v>0</v>
      </c>
      <c r="Y21">
        <f>VLOOKUP($B$1,dictionary!$A$3:$K$51,10,FALSE)*Q21</f>
        <v>0.1566285371136919</v>
      </c>
      <c r="Z21">
        <f>VLOOKUP($B$1,dictionary!$A$3:$K$51,11,FALSE)*Q21</f>
        <v>0</v>
      </c>
      <c r="AA21">
        <f t="shared" si="2"/>
        <v>0.47856895099497132</v>
      </c>
      <c r="AB21">
        <f t="shared" si="11"/>
        <v>0.12710706167523564</v>
      </c>
      <c r="AC21">
        <f t="shared" si="12"/>
        <v>0.35146188931973571</v>
      </c>
      <c r="AD21">
        <f t="shared" si="3"/>
        <v>0.3456537995910659</v>
      </c>
      <c r="AE21">
        <f t="shared" si="13"/>
        <v>0</v>
      </c>
      <c r="AF21">
        <f t="shared" si="14"/>
        <v>0.38405977732340663</v>
      </c>
      <c r="AG21">
        <f t="shared" si="15"/>
        <v>0.6913075991821318</v>
      </c>
      <c r="AH21">
        <f t="shared" si="16"/>
        <v>0</v>
      </c>
      <c r="AI21">
        <f t="shared" si="17"/>
        <v>9.0961526208175228E-2</v>
      </c>
      <c r="AJ21">
        <f t="shared" si="18"/>
        <v>0</v>
      </c>
      <c r="AK21">
        <f t="shared" si="19"/>
        <v>0.3456537995910659</v>
      </c>
      <c r="AL21">
        <f t="shared" si="20"/>
        <v>0</v>
      </c>
    </row>
    <row r="22" spans="1:38" x14ac:dyDescent="0.2">
      <c r="A22">
        <v>2039</v>
      </c>
      <c r="B22">
        <v>14</v>
      </c>
      <c r="C22">
        <f t="shared" si="21"/>
        <v>2.3272148942231734</v>
      </c>
      <c r="D22">
        <f t="shared" si="23"/>
        <v>0.24324690130474891</v>
      </c>
      <c r="E22">
        <f t="shared" si="4"/>
        <v>0.24324690130474891</v>
      </c>
      <c r="F22">
        <f t="shared" si="5"/>
        <v>0</v>
      </c>
      <c r="G22" s="9">
        <f t="shared" si="6"/>
        <v>0.10452275030920381</v>
      </c>
      <c r="H22" s="9">
        <f t="shared" si="6"/>
        <v>0.10452275030920381</v>
      </c>
      <c r="I22" s="9">
        <f t="shared" si="6"/>
        <v>0</v>
      </c>
      <c r="J22" s="9">
        <f t="shared" si="7"/>
        <v>1.3587957540196496E-2</v>
      </c>
      <c r="K22" s="9">
        <f t="shared" si="8"/>
        <v>2.0904550061840763E-2</v>
      </c>
      <c r="L22" s="9">
        <f t="shared" si="9"/>
        <v>0</v>
      </c>
      <c r="M22">
        <f t="shared" si="0"/>
        <v>2.247604462505949</v>
      </c>
      <c r="N22">
        <f t="shared" si="10"/>
        <v>1.6960448450311163</v>
      </c>
      <c r="O22">
        <f t="shared" si="24"/>
        <v>0.55155961747483273</v>
      </c>
      <c r="P22">
        <f t="shared" si="22"/>
        <v>1.9040850747385738</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0.34351938776737523</v>
      </c>
      <c r="AB22">
        <f t="shared" si="11"/>
        <v>8.4299272969458564E-2</v>
      </c>
      <c r="AC22">
        <f t="shared" si="12"/>
        <v>0.25922011479791668</v>
      </c>
      <c r="AD22">
        <f t="shared" si="3"/>
        <v>0.38081701494771475</v>
      </c>
      <c r="AE22">
        <f t="shared" si="13"/>
        <v>0</v>
      </c>
      <c r="AF22">
        <f t="shared" si="14"/>
        <v>0.42313001660857197</v>
      </c>
      <c r="AG22">
        <f t="shared" si="15"/>
        <v>0.76163402989542961</v>
      </c>
      <c r="AH22">
        <f t="shared" si="16"/>
        <v>0</v>
      </c>
      <c r="AI22">
        <f t="shared" si="17"/>
        <v>0.10021500393360915</v>
      </c>
      <c r="AJ22">
        <f t="shared" si="18"/>
        <v>0</v>
      </c>
      <c r="AK22">
        <f t="shared" si="19"/>
        <v>0.38081701494771475</v>
      </c>
      <c r="AL22">
        <f t="shared" si="20"/>
        <v>0</v>
      </c>
    </row>
    <row r="23" spans="1:38" x14ac:dyDescent="0.2">
      <c r="A23">
        <v>2040</v>
      </c>
      <c r="B23">
        <v>15</v>
      </c>
      <c r="C23">
        <f t="shared" si="21"/>
        <v>2.3760864070018597</v>
      </c>
      <c r="D23">
        <f t="shared" si="23"/>
        <v>0.26581839903665561</v>
      </c>
      <c r="E23">
        <f t="shared" si="4"/>
        <v>0.26581839903665561</v>
      </c>
      <c r="F23">
        <f t="shared" si="5"/>
        <v>0</v>
      </c>
      <c r="G23" s="9">
        <f t="shared" si="6"/>
        <v>0.11187236215540858</v>
      </c>
      <c r="H23" s="9">
        <f t="shared" si="6"/>
        <v>0.11187236215540858</v>
      </c>
      <c r="I23" s="9">
        <f t="shared" si="6"/>
        <v>0</v>
      </c>
      <c r="J23" s="9">
        <f t="shared" si="7"/>
        <v>1.4543407080203116E-2</v>
      </c>
      <c r="K23" s="9">
        <f t="shared" si="8"/>
        <v>2.2374472431081718E-2</v>
      </c>
      <c r="L23" s="9">
        <f t="shared" si="9"/>
        <v>0</v>
      </c>
      <c r="M23">
        <f t="shared" si="0"/>
        <v>2.2891395163570829</v>
      </c>
      <c r="N23">
        <f t="shared" si="10"/>
        <v>1.7629776006313054</v>
      </c>
      <c r="O23">
        <f t="shared" si="24"/>
        <v>0.52616191572577753</v>
      </c>
      <c r="P23">
        <f t="shared" si="22"/>
        <v>2.0457206438533899</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0.24341887250369298</v>
      </c>
      <c r="AB23">
        <f t="shared" si="11"/>
        <v>5.5950167897225289E-2</v>
      </c>
      <c r="AC23">
        <f t="shared" si="12"/>
        <v>0.1874687046064677</v>
      </c>
      <c r="AD23">
        <f t="shared" si="3"/>
        <v>0.40914412877067802</v>
      </c>
      <c r="AE23">
        <f t="shared" si="13"/>
        <v>0</v>
      </c>
      <c r="AF23">
        <f t="shared" si="14"/>
        <v>0.45460458752297561</v>
      </c>
      <c r="AG23">
        <f t="shared" si="15"/>
        <v>0.81828825754135603</v>
      </c>
      <c r="AH23">
        <f t="shared" si="16"/>
        <v>0</v>
      </c>
      <c r="AI23">
        <f t="shared" si="17"/>
        <v>0.10766950757123106</v>
      </c>
      <c r="AJ23">
        <f t="shared" si="18"/>
        <v>0</v>
      </c>
      <c r="AK23">
        <f t="shared" si="19"/>
        <v>0.40914412877067802</v>
      </c>
      <c r="AL23">
        <f t="shared" si="20"/>
        <v>0</v>
      </c>
    </row>
    <row r="24" spans="1:38" x14ac:dyDescent="0.2">
      <c r="A24">
        <v>2041</v>
      </c>
      <c r="B24">
        <v>16</v>
      </c>
      <c r="C24">
        <f t="shared" si="21"/>
        <v>2.4259842215488985</v>
      </c>
      <c r="D24">
        <f t="shared" si="23"/>
        <v>0.28915117240091703</v>
      </c>
      <c r="E24">
        <f t="shared" si="4"/>
        <v>0.28915117240091703</v>
      </c>
      <c r="F24">
        <f t="shared" si="5"/>
        <v>0</v>
      </c>
      <c r="G24" s="9">
        <f t="shared" si="6"/>
        <v>0.11918922218558578</v>
      </c>
      <c r="H24" s="9">
        <f t="shared" si="6"/>
        <v>0.11918922218558578</v>
      </c>
      <c r="I24" s="9">
        <f t="shared" si="6"/>
        <v>0</v>
      </c>
      <c r="J24" s="9">
        <f t="shared" si="7"/>
        <v>1.5494598884126153E-2</v>
      </c>
      <c r="K24" s="9">
        <f t="shared" si="8"/>
        <v>2.3837844437117159E-2</v>
      </c>
      <c r="L24" s="9">
        <f t="shared" si="9"/>
        <v>0</v>
      </c>
      <c r="M24">
        <f t="shared" si="0"/>
        <v>2.3314603909432416</v>
      </c>
      <c r="N24">
        <f t="shared" si="10"/>
        <v>1.8232096890437521</v>
      </c>
      <c r="O24">
        <f t="shared" si="24"/>
        <v>0.50825070189948951</v>
      </c>
      <c r="P24">
        <f t="shared" si="22"/>
        <v>2.1590248840507948</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0.1724355068924468</v>
      </c>
      <c r="AB24">
        <f t="shared" si="11"/>
        <v>3.7590373720663359E-2</v>
      </c>
      <c r="AC24">
        <f t="shared" si="12"/>
        <v>0.13484513317178345</v>
      </c>
      <c r="AD24">
        <f t="shared" si="3"/>
        <v>0.43180497681015906</v>
      </c>
      <c r="AE24">
        <f t="shared" si="13"/>
        <v>0</v>
      </c>
      <c r="AF24">
        <f t="shared" si="14"/>
        <v>0.4797833075668434</v>
      </c>
      <c r="AG24">
        <f t="shared" si="15"/>
        <v>0.86360995362031812</v>
      </c>
      <c r="AH24">
        <f t="shared" si="16"/>
        <v>0</v>
      </c>
      <c r="AI24">
        <f t="shared" si="17"/>
        <v>0.11363288863425236</v>
      </c>
      <c r="AJ24">
        <f t="shared" si="18"/>
        <v>0</v>
      </c>
      <c r="AK24">
        <f t="shared" si="19"/>
        <v>0.43180497681015906</v>
      </c>
      <c r="AL24">
        <f t="shared" si="20"/>
        <v>0</v>
      </c>
    </row>
    <row r="25" spans="1:38" x14ac:dyDescent="0.2">
      <c r="A25">
        <v>2042</v>
      </c>
      <c r="B25">
        <v>17</v>
      </c>
      <c r="C25">
        <f t="shared" si="21"/>
        <v>2.4769298902014252</v>
      </c>
      <c r="D25">
        <f t="shared" si="23"/>
        <v>0.31325801527396635</v>
      </c>
      <c r="E25">
        <f t="shared" si="4"/>
        <v>0.31325801527396635</v>
      </c>
      <c r="F25">
        <f t="shared" si="5"/>
        <v>0</v>
      </c>
      <c r="G25" s="9">
        <f t="shared" si="6"/>
        <v>0.12647027940241459</v>
      </c>
      <c r="H25" s="9">
        <f t="shared" si="6"/>
        <v>0.12647027940241459</v>
      </c>
      <c r="I25" s="9">
        <f t="shared" si="6"/>
        <v>0</v>
      </c>
      <c r="J25" s="9">
        <f t="shared" si="7"/>
        <v>1.6441136322313896E-2</v>
      </c>
      <c r="K25" s="9">
        <f t="shared" si="8"/>
        <v>2.5294055880482919E-2</v>
      </c>
      <c r="L25" s="9">
        <f t="shared" si="9"/>
        <v>0</v>
      </c>
      <c r="M25">
        <f t="shared" si="0"/>
        <v>2.3745848087076515</v>
      </c>
      <c r="N25">
        <f t="shared" si="10"/>
        <v>1.8782431142516209</v>
      </c>
      <c r="O25">
        <f t="shared" si="24"/>
        <v>0.4963416944560306</v>
      </c>
      <c r="P25">
        <f>IF($I$3=0,0,M25/(1+EXP(-$I$3*(B25-$J$3)))-M25/(1+EXP($I$3*$J$3)))</f>
        <v>2.2509206566576987</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0.12366415204995285</v>
      </c>
      <c r="AB25">
        <f t="shared" si="11"/>
        <v>2.584859237154271E-2</v>
      </c>
      <c r="AC25">
        <f t="shared" si="12"/>
        <v>9.781555967841013E-2</v>
      </c>
      <c r="AD25">
        <f t="shared" si="3"/>
        <v>0.45018413133153978</v>
      </c>
      <c r="AE25">
        <f t="shared" si="13"/>
        <v>0</v>
      </c>
      <c r="AF25">
        <f t="shared" si="14"/>
        <v>0.5002045903683775</v>
      </c>
      <c r="AG25">
        <f t="shared" si="15"/>
        <v>0.90036826266307957</v>
      </c>
      <c r="AH25">
        <f t="shared" si="16"/>
        <v>0</v>
      </c>
      <c r="AI25">
        <f t="shared" si="17"/>
        <v>0.11846950824514205</v>
      </c>
      <c r="AJ25">
        <f t="shared" si="18"/>
        <v>0</v>
      </c>
      <c r="AK25">
        <f t="shared" si="19"/>
        <v>0.45018413133153978</v>
      </c>
      <c r="AL25">
        <f t="shared" si="20"/>
        <v>0</v>
      </c>
    </row>
    <row r="26" spans="1:38" x14ac:dyDescent="0.2">
      <c r="A26">
        <v>2043</v>
      </c>
      <c r="B26">
        <v>18</v>
      </c>
      <c r="C26">
        <f t="shared" si="21"/>
        <v>2.5289454178956547</v>
      </c>
      <c r="D26">
        <f t="shared" si="23"/>
        <v>0.33815172708385521</v>
      </c>
      <c r="E26">
        <f t="shared" si="4"/>
        <v>0.33815172708385521</v>
      </c>
      <c r="F26">
        <f t="shared" si="5"/>
        <v>0</v>
      </c>
      <c r="G26" s="9">
        <f t="shared" si="6"/>
        <v>0.13371254464053739</v>
      </c>
      <c r="H26" s="9">
        <f t="shared" si="6"/>
        <v>0.13371254464053739</v>
      </c>
      <c r="I26" s="9">
        <f t="shared" si="6"/>
        <v>0</v>
      </c>
      <c r="J26" s="9">
        <f t="shared" si="7"/>
        <v>1.738263080326986E-2</v>
      </c>
      <c r="K26" s="9">
        <f t="shared" si="8"/>
        <v>2.6742508928107478E-2</v>
      </c>
      <c r="L26" s="9">
        <f t="shared" si="9"/>
        <v>0</v>
      </c>
      <c r="M26">
        <f t="shared" si="0"/>
        <v>2.4185309412834601</v>
      </c>
      <c r="N26">
        <f t="shared" si="10"/>
        <v>1.9293447741755552</v>
      </c>
      <c r="O26">
        <f t="shared" si="24"/>
        <v>0.48918616710790497</v>
      </c>
      <c r="P26">
        <f t="shared" si="22"/>
        <v>2.3276330286704963</v>
      </c>
      <c r="Q26" s="9">
        <f t="shared" si="1"/>
        <v>0.96241606379254074</v>
      </c>
      <c r="R26">
        <f>VLOOKUP($B$1,dictionary!$A$3:$K$51,3,FALSE)*Q26</f>
        <v>0.19248321275850816</v>
      </c>
      <c r="S26">
        <f>VLOOKUP($B$1,dictionary!$A$3:$K$51,4,FALSE)*Q26</f>
        <v>0</v>
      </c>
      <c r="T26">
        <f>VLOOKUP($B$1,dictionary!$A$3:$K$51,5,FALSE)*Q26</f>
        <v>0.19248321275850816</v>
      </c>
      <c r="U26">
        <f>VLOOKUP($B$1,dictionary!$A$3:$K$51,6,FALSE)*Q26</f>
        <v>0.33684562232738924</v>
      </c>
      <c r="V26">
        <f>VLOOKUP($B$1,dictionary!$A$3:$K$51,7,FALSE)*Q26</f>
        <v>0</v>
      </c>
      <c r="W26">
        <f>VLOOKUP($B$1,dictionary!$A$3:$K$51,8,FALSE)*Q26</f>
        <v>4.812080318962704E-2</v>
      </c>
      <c r="X26">
        <f>VLOOKUP($B$1,dictionary!$A$3:$K$51,9,FALSE)*Q26</f>
        <v>0</v>
      </c>
      <c r="Y26">
        <f>VLOOKUP($B$1,dictionary!$A$3:$K$51,10,FALSE)*Q26</f>
        <v>0.19248321275850816</v>
      </c>
      <c r="Z26">
        <f>VLOOKUP($B$1,dictionary!$A$3:$K$51,11,FALSE)*Q26</f>
        <v>0</v>
      </c>
      <c r="AA26">
        <f t="shared" si="2"/>
        <v>9.0897912612963871E-2</v>
      </c>
      <c r="AB26">
        <f t="shared" si="11"/>
        <v>1.8385541698154987E-2</v>
      </c>
      <c r="AC26">
        <f t="shared" si="12"/>
        <v>7.2512370914808888E-2</v>
      </c>
      <c r="AD26">
        <f t="shared" si="3"/>
        <v>0.46552660573409926</v>
      </c>
      <c r="AE26">
        <f t="shared" si="13"/>
        <v>0</v>
      </c>
      <c r="AF26">
        <f t="shared" si="14"/>
        <v>0.51725178414899919</v>
      </c>
      <c r="AG26">
        <f t="shared" si="15"/>
        <v>0.93105321146819864</v>
      </c>
      <c r="AH26">
        <f t="shared" si="16"/>
        <v>0</v>
      </c>
      <c r="AI26">
        <f t="shared" si="17"/>
        <v>0.12250700150897349</v>
      </c>
      <c r="AJ26">
        <f t="shared" si="18"/>
        <v>0</v>
      </c>
      <c r="AK26">
        <f t="shared" si="19"/>
        <v>0.46552660573409926</v>
      </c>
      <c r="AL26">
        <f t="shared" si="20"/>
        <v>0</v>
      </c>
    </row>
    <row r="27" spans="1:38" x14ac:dyDescent="0.2">
      <c r="A27">
        <v>2044</v>
      </c>
      <c r="B27">
        <v>19</v>
      </c>
      <c r="C27">
        <f t="shared" si="21"/>
        <v>2.5820532716714633</v>
      </c>
      <c r="D27">
        <f t="shared" si="23"/>
        <v>0.36384511850439738</v>
      </c>
      <c r="E27">
        <f t="shared" si="4"/>
        <v>0.36384511850439738</v>
      </c>
      <c r="F27">
        <f t="shared" si="5"/>
        <v>0</v>
      </c>
      <c r="G27" s="9">
        <f t="shared" si="6"/>
        <v>0.14091309520847581</v>
      </c>
      <c r="H27" s="9">
        <f t="shared" si="6"/>
        <v>0.14091309520847581</v>
      </c>
      <c r="I27" s="9">
        <f t="shared" si="6"/>
        <v>0</v>
      </c>
      <c r="J27" s="9">
        <f t="shared" si="7"/>
        <v>1.8318702377101856E-2</v>
      </c>
      <c r="K27" s="9">
        <f t="shared" si="8"/>
        <v>2.8182619041695164E-2</v>
      </c>
      <c r="L27" s="9">
        <f t="shared" si="9"/>
        <v>0</v>
      </c>
      <c r="M27">
        <f t="shared" si="0"/>
        <v>2.4633174166524605</v>
      </c>
      <c r="N27">
        <f t="shared" si="10"/>
        <v>1.9775523170341001</v>
      </c>
      <c r="O27">
        <f t="shared" si="24"/>
        <v>0.48576509961836045</v>
      </c>
      <c r="P27">
        <f t="shared" si="22"/>
        <v>2.3940711600047897</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6.9246256647670812E-2</v>
      </c>
      <c r="AB27">
        <f t="shared" si="11"/>
        <v>1.3655331030933937E-2</v>
      </c>
      <c r="AC27">
        <f t="shared" si="12"/>
        <v>5.5590925616736876E-2</v>
      </c>
      <c r="AD27">
        <f t="shared" si="3"/>
        <v>0.47881423200095796</v>
      </c>
      <c r="AE27">
        <f t="shared" si="13"/>
        <v>0</v>
      </c>
      <c r="AF27">
        <f t="shared" si="14"/>
        <v>0.53201581333439774</v>
      </c>
      <c r="AG27">
        <f t="shared" si="15"/>
        <v>0.95762846400191592</v>
      </c>
      <c r="AH27">
        <f t="shared" si="16"/>
        <v>0</v>
      </c>
      <c r="AI27">
        <f t="shared" si="17"/>
        <v>0.12600374526340999</v>
      </c>
      <c r="AJ27">
        <f t="shared" si="18"/>
        <v>0</v>
      </c>
      <c r="AK27">
        <f t="shared" si="19"/>
        <v>0.47881423200095796</v>
      </c>
      <c r="AL27">
        <f t="shared" si="20"/>
        <v>0</v>
      </c>
    </row>
    <row r="28" spans="1:38" x14ac:dyDescent="0.2">
      <c r="A28">
        <v>2045</v>
      </c>
      <c r="B28">
        <v>20</v>
      </c>
      <c r="C28">
        <f t="shared" si="21"/>
        <v>2.6362763903765636</v>
      </c>
      <c r="D28">
        <f t="shared" si="23"/>
        <v>0.39035101788485616</v>
      </c>
      <c r="E28">
        <f t="shared" si="4"/>
        <v>0.39035101788485616</v>
      </c>
      <c r="F28">
        <f t="shared" si="5"/>
        <v>0</v>
      </c>
      <c r="G28" s="9">
        <f t="shared" si="6"/>
        <v>0.14806907929297153</v>
      </c>
      <c r="H28" s="9">
        <f t="shared" si="6"/>
        <v>0.14806907929297153</v>
      </c>
      <c r="I28" s="9">
        <f t="shared" si="6"/>
        <v>0</v>
      </c>
      <c r="J28" s="9">
        <f t="shared" si="7"/>
        <v>1.9248980308086298E-2</v>
      </c>
      <c r="K28" s="9">
        <f t="shared" si="8"/>
        <v>2.9613815858594308E-2</v>
      </c>
      <c r="L28" s="9">
        <f t="shared" si="9"/>
        <v>0</v>
      </c>
      <c r="M28">
        <f t="shared" si="0"/>
        <v>2.5089633262858624</v>
      </c>
      <c r="N28">
        <f t="shared" si="10"/>
        <v>2.0236985411490607</v>
      </c>
      <c r="O28">
        <f t="shared" si="24"/>
        <v>0.48526478513680171</v>
      </c>
      <c r="P28">
        <f t="shared" si="22"/>
        <v>2.4538316540295324</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5.5131672256329978E-2</v>
      </c>
      <c r="AB28">
        <f t="shared" si="11"/>
        <v>1.0663152709890326E-2</v>
      </c>
      <c r="AC28">
        <f t="shared" si="12"/>
        <v>4.4468519546439655E-2</v>
      </c>
      <c r="AD28">
        <f t="shared" si="3"/>
        <v>0.49076633080590648</v>
      </c>
      <c r="AE28">
        <f t="shared" si="13"/>
        <v>0</v>
      </c>
      <c r="AF28">
        <f t="shared" si="14"/>
        <v>0.54529592311767394</v>
      </c>
      <c r="AG28">
        <f t="shared" si="15"/>
        <v>0.98153266161181307</v>
      </c>
      <c r="AH28">
        <f t="shared" si="16"/>
        <v>0</v>
      </c>
      <c r="AI28">
        <f t="shared" si="17"/>
        <v>0.12914903442260697</v>
      </c>
      <c r="AJ28">
        <f t="shared" si="18"/>
        <v>0</v>
      </c>
      <c r="AK28">
        <f t="shared" si="19"/>
        <v>0.49076633080590648</v>
      </c>
      <c r="AL28">
        <f t="shared" si="20"/>
        <v>0</v>
      </c>
    </row>
    <row r="29" spans="1:38" x14ac:dyDescent="0.2">
      <c r="A29">
        <v>2046</v>
      </c>
      <c r="B29">
        <v>21</v>
      </c>
      <c r="C29">
        <f t="shared" si="21"/>
        <v>2.691638194574471</v>
      </c>
      <c r="D29">
        <f t="shared" si="23"/>
        <v>0.41768227840313377</v>
      </c>
      <c r="E29">
        <f t="shared" si="4"/>
        <v>0.41768227840313377</v>
      </c>
      <c r="F29">
        <f t="shared" si="5"/>
        <v>0</v>
      </c>
      <c r="G29" s="9">
        <f t="shared" si="6"/>
        <v>0.15517772011299846</v>
      </c>
      <c r="H29" s="9">
        <f t="shared" si="6"/>
        <v>0.15517772011299846</v>
      </c>
      <c r="I29" s="9">
        <f t="shared" si="6"/>
        <v>0</v>
      </c>
      <c r="J29" s="9">
        <f t="shared" si="7"/>
        <v>2.01731036146898E-2</v>
      </c>
      <c r="K29" s="9">
        <f t="shared" si="8"/>
        <v>3.1035544022599695E-2</v>
      </c>
      <c r="L29" s="9">
        <f t="shared" si="9"/>
        <v>0</v>
      </c>
      <c r="M29">
        <f t="shared" si="0"/>
        <v>2.5554882322774861</v>
      </c>
      <c r="N29">
        <f t="shared" si="10"/>
        <v>2.068442598396258</v>
      </c>
      <c r="O29">
        <f t="shared" si="24"/>
        <v>0.48704563388122812</v>
      </c>
      <c r="P29">
        <f t="shared" si="22"/>
        <v>2.5094369804710093</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4.6051251806476845E-2</v>
      </c>
      <c r="AB29">
        <f t="shared" si="11"/>
        <v>8.7768203522974094E-3</v>
      </c>
      <c r="AC29">
        <f t="shared" si="12"/>
        <v>3.7274431454179441E-2</v>
      </c>
      <c r="AD29">
        <f t="shared" si="3"/>
        <v>0.50188739609420185</v>
      </c>
      <c r="AE29">
        <f t="shared" si="13"/>
        <v>0</v>
      </c>
      <c r="AF29">
        <f t="shared" si="14"/>
        <v>0.55765266232689104</v>
      </c>
      <c r="AG29">
        <f t="shared" si="15"/>
        <v>1.0037747921884039</v>
      </c>
      <c r="AH29">
        <f t="shared" si="16"/>
        <v>0</v>
      </c>
      <c r="AI29">
        <f t="shared" si="17"/>
        <v>0.13207563055110574</v>
      </c>
      <c r="AJ29">
        <f t="shared" si="18"/>
        <v>0</v>
      </c>
      <c r="AK29">
        <f t="shared" si="19"/>
        <v>0.50188739609420185</v>
      </c>
      <c r="AL29">
        <f t="shared" si="20"/>
        <v>0</v>
      </c>
    </row>
    <row r="30" spans="1:38" x14ac:dyDescent="0.2">
      <c r="A30">
        <v>2047</v>
      </c>
      <c r="B30">
        <v>22</v>
      </c>
      <c r="C30">
        <f t="shared" si="21"/>
        <v>2.7481625966605345</v>
      </c>
      <c r="D30">
        <f t="shared" si="23"/>
        <v>0.44585178592768626</v>
      </c>
      <c r="E30">
        <f t="shared" si="4"/>
        <v>0.44585178592768626</v>
      </c>
      <c r="F30">
        <f t="shared" si="5"/>
        <v>0</v>
      </c>
      <c r="G30" s="9">
        <f t="shared" si="6"/>
        <v>0.16223631981217881</v>
      </c>
      <c r="H30" s="9">
        <f t="shared" si="6"/>
        <v>0.16223631981217881</v>
      </c>
      <c r="I30" s="9">
        <f t="shared" si="6"/>
        <v>0</v>
      </c>
      <c r="J30" s="9">
        <f t="shared" si="7"/>
        <v>2.1090721575583248E-2</v>
      </c>
      <c r="K30" s="9">
        <f t="shared" si="8"/>
        <v>3.2447263962435767E-2</v>
      </c>
      <c r="L30" s="9">
        <f t="shared" si="9"/>
        <v>0</v>
      </c>
      <c r="M30">
        <f t="shared" si="0"/>
        <v>2.6029121744805934</v>
      </c>
      <c r="N30">
        <f t="shared" si="10"/>
        <v>2.1123014265516487</v>
      </c>
      <c r="O30">
        <f t="shared" si="24"/>
        <v>0.49061074792894477</v>
      </c>
      <c r="P30">
        <f t="shared" si="22"/>
        <v>2.5626107235966984</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4.0301450883895029E-2</v>
      </c>
      <c r="AB30">
        <f t="shared" si="11"/>
        <v>7.596232079829934E-3</v>
      </c>
      <c r="AC30">
        <f t="shared" si="12"/>
        <v>3.2705218804065093E-2</v>
      </c>
      <c r="AD30">
        <f t="shared" si="3"/>
        <v>0.51252214471933977</v>
      </c>
      <c r="AE30">
        <f t="shared" si="13"/>
        <v>0</v>
      </c>
      <c r="AF30">
        <f t="shared" si="14"/>
        <v>0.56946904968815526</v>
      </c>
      <c r="AG30">
        <f t="shared" si="15"/>
        <v>1.0250442894386795</v>
      </c>
      <c r="AH30">
        <f t="shared" si="16"/>
        <v>0</v>
      </c>
      <c r="AI30">
        <f t="shared" si="17"/>
        <v>0.13487424861035255</v>
      </c>
      <c r="AJ30">
        <f t="shared" si="18"/>
        <v>0</v>
      </c>
      <c r="AK30">
        <f t="shared" si="19"/>
        <v>0.51252214471933977</v>
      </c>
      <c r="AL30">
        <f t="shared" si="20"/>
        <v>0</v>
      </c>
    </row>
    <row r="31" spans="1:38" x14ac:dyDescent="0.2">
      <c r="A31">
        <v>2048</v>
      </c>
      <c r="B31">
        <v>23</v>
      </c>
      <c r="C31">
        <f t="shared" si="21"/>
        <v>2.8058740111904057</v>
      </c>
      <c r="D31">
        <f t="shared" si="23"/>
        <v>0.47487246757080381</v>
      </c>
      <c r="E31">
        <f t="shared" si="4"/>
        <v>0.47487246757080381</v>
      </c>
      <c r="F31">
        <f t="shared" si="5"/>
        <v>0</v>
      </c>
      <c r="G31" s="9">
        <f t="shared" si="6"/>
        <v>0.16924226307985113</v>
      </c>
      <c r="H31" s="9">
        <f t="shared" si="6"/>
        <v>0.16924226307985113</v>
      </c>
      <c r="I31" s="9">
        <f t="shared" si="6"/>
        <v>0</v>
      </c>
      <c r="J31" s="9">
        <f t="shared" si="7"/>
        <v>2.2001494200380646E-2</v>
      </c>
      <c r="K31" s="9">
        <f t="shared" si="8"/>
        <v>3.3848452615970227E-2</v>
      </c>
      <c r="L31" s="9">
        <f t="shared" si="9"/>
        <v>0</v>
      </c>
      <c r="M31">
        <f t="shared" si="0"/>
        <v>2.6512556776602763</v>
      </c>
      <c r="N31">
        <f t="shared" si="10"/>
        <v>2.1556782021722674</v>
      </c>
      <c r="O31">
        <f t="shared" si="24"/>
        <v>0.4955774754880089</v>
      </c>
      <c r="P31">
        <f t="shared" si="22"/>
        <v>2.614513060527603</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3.6742617132673239E-2</v>
      </c>
      <c r="AB31">
        <f t="shared" si="11"/>
        <v>6.8679960197206933E-3</v>
      </c>
      <c r="AC31">
        <f t="shared" si="12"/>
        <v>2.9874621112952544E-2</v>
      </c>
      <c r="AD31">
        <f t="shared" si="3"/>
        <v>0.52290261210552058</v>
      </c>
      <c r="AE31">
        <f t="shared" si="13"/>
        <v>0</v>
      </c>
      <c r="AF31">
        <f t="shared" si="14"/>
        <v>0.58100290233946739</v>
      </c>
      <c r="AG31">
        <f t="shared" si="15"/>
        <v>1.0458052242110412</v>
      </c>
      <c r="AH31">
        <f t="shared" si="16"/>
        <v>0</v>
      </c>
      <c r="AI31">
        <f t="shared" si="17"/>
        <v>0.13760595055408437</v>
      </c>
      <c r="AJ31">
        <f t="shared" si="18"/>
        <v>0</v>
      </c>
      <c r="AK31">
        <f t="shared" si="19"/>
        <v>0.52290261210552058</v>
      </c>
      <c r="AL31">
        <f t="shared" si="20"/>
        <v>0</v>
      </c>
    </row>
    <row r="32" spans="1:38" x14ac:dyDescent="0.2">
      <c r="A32">
        <v>2049</v>
      </c>
      <c r="B32">
        <v>24</v>
      </c>
      <c r="C32">
        <f t="shared" si="21"/>
        <v>2.864797365425404</v>
      </c>
      <c r="D32">
        <f t="shared" si="23"/>
        <v>0.50475730091352</v>
      </c>
      <c r="E32">
        <f t="shared" si="4"/>
        <v>0.50475730091352</v>
      </c>
      <c r="F32">
        <f t="shared" si="5"/>
        <v>0</v>
      </c>
      <c r="G32" s="9">
        <f t="shared" si="6"/>
        <v>0.17619302049259139</v>
      </c>
      <c r="H32" s="9">
        <f t="shared" si="6"/>
        <v>0.17619302049259139</v>
      </c>
      <c r="I32" s="9">
        <f t="shared" si="6"/>
        <v>0</v>
      </c>
      <c r="J32" s="9">
        <f t="shared" si="7"/>
        <v>2.2905092664036883E-2</v>
      </c>
      <c r="K32" s="9">
        <f t="shared" si="8"/>
        <v>3.5238604098518277E-2</v>
      </c>
      <c r="L32" s="9">
        <f t="shared" si="9"/>
        <v>0</v>
      </c>
      <c r="M32">
        <f t="shared" si="0"/>
        <v>2.700539758673997</v>
      </c>
      <c r="N32">
        <f t="shared" si="10"/>
        <v>2.198886598916816</v>
      </c>
      <c r="O32">
        <f t="shared" si="24"/>
        <v>0.50165315975718094</v>
      </c>
      <c r="P32">
        <f t="shared" si="22"/>
        <v>2.6659191587843862</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3.4620599889610748E-2</v>
      </c>
      <c r="AB32">
        <f t="shared" si="11"/>
        <v>6.4311340988514251E-3</v>
      </c>
      <c r="AC32">
        <f t="shared" si="12"/>
        <v>2.8189465790759323E-2</v>
      </c>
      <c r="AD32">
        <f t="shared" si="3"/>
        <v>0.53318383175687734</v>
      </c>
      <c r="AE32">
        <f t="shared" si="13"/>
        <v>0</v>
      </c>
      <c r="AF32">
        <f t="shared" si="14"/>
        <v>0.59242647972986373</v>
      </c>
      <c r="AG32">
        <f t="shared" si="15"/>
        <v>1.0663676635137544</v>
      </c>
      <c r="AH32">
        <f t="shared" si="16"/>
        <v>0</v>
      </c>
      <c r="AI32">
        <f t="shared" si="17"/>
        <v>0.14031153467286245</v>
      </c>
      <c r="AJ32">
        <f t="shared" si="18"/>
        <v>0</v>
      </c>
      <c r="AK32">
        <f t="shared" si="19"/>
        <v>0.53318383175687734</v>
      </c>
      <c r="AL32">
        <f t="shared" si="20"/>
        <v>0</v>
      </c>
    </row>
    <row r="33" spans="1:38" x14ac:dyDescent="0.2">
      <c r="A33">
        <v>2050</v>
      </c>
      <c r="B33">
        <v>25</v>
      </c>
      <c r="C33">
        <f t="shared" si="21"/>
        <v>2.9249581100993374</v>
      </c>
      <c r="D33">
        <f t="shared" si="23"/>
        <v>0.53551932388021695</v>
      </c>
      <c r="E33">
        <f t="shared" si="4"/>
        <v>0.53551932388021695</v>
      </c>
      <c r="F33">
        <f t="shared" si="5"/>
        <v>0</v>
      </c>
      <c r="G33" s="9">
        <f t="shared" si="6"/>
        <v>0.18308615156954491</v>
      </c>
      <c r="H33" s="9">
        <f t="shared" si="6"/>
        <v>0.18308615156954491</v>
      </c>
      <c r="I33" s="9">
        <f t="shared" si="6"/>
        <v>0</v>
      </c>
      <c r="J33" s="9">
        <f t="shared" si="7"/>
        <v>2.3801199704040838E-2</v>
      </c>
      <c r="K33" s="9">
        <f t="shared" si="8"/>
        <v>3.6617230313908983E-2</v>
      </c>
      <c r="L33" s="9">
        <f t="shared" si="9"/>
        <v>0</v>
      </c>
      <c r="M33">
        <f t="shared" si="0"/>
        <v>2.750785933693475</v>
      </c>
      <c r="N33">
        <f t="shared" si="10"/>
        <v>2.2421707118616903</v>
      </c>
      <c r="O33">
        <f t="shared" si="24"/>
        <v>0.50861522183178476</v>
      </c>
      <c r="P33">
        <f t="shared" si="22"/>
        <v>2.7173461340645169</v>
      </c>
      <c r="Q33" s="9">
        <f t="shared" si="1"/>
        <v>0.98784354710435118</v>
      </c>
      <c r="R33">
        <f>VLOOKUP($B$1,dictionary!$A$3:$K$51,3,FALSE)*Q33</f>
        <v>0.19756870942087024</v>
      </c>
      <c r="S33">
        <f>VLOOKUP($B$1,dictionary!$A$3:$K$51,4,FALSE)*Q33</f>
        <v>0</v>
      </c>
      <c r="T33">
        <f>VLOOKUP($B$1,dictionary!$A$3:$K$51,5,FALSE)*Q33</f>
        <v>0.19756870942087024</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0.19756870942087024</v>
      </c>
      <c r="Z33">
        <f>VLOOKUP($B$1,dictionary!$A$3:$K$51,11,FALSE)*Q33</f>
        <v>0</v>
      </c>
      <c r="AA33">
        <f t="shared" si="2"/>
        <v>3.3439799628958156E-2</v>
      </c>
      <c r="AB33">
        <f t="shared" si="11"/>
        <v>6.1829569862080786E-3</v>
      </c>
      <c r="AC33">
        <f t="shared" si="12"/>
        <v>2.7256842642750075E-2</v>
      </c>
      <c r="AD33">
        <f t="shared" si="3"/>
        <v>0.54346922681290333</v>
      </c>
      <c r="AE33">
        <f t="shared" si="13"/>
        <v>0</v>
      </c>
      <c r="AF33">
        <f t="shared" si="14"/>
        <v>0.60385469645878154</v>
      </c>
      <c r="AG33">
        <f t="shared" si="15"/>
        <v>1.0869384536258069</v>
      </c>
      <c r="AH33">
        <f t="shared" si="16"/>
        <v>0</v>
      </c>
      <c r="AI33">
        <f t="shared" si="17"/>
        <v>0.14301821758234298</v>
      </c>
      <c r="AJ33">
        <f t="shared" si="18"/>
        <v>0</v>
      </c>
      <c r="AK33">
        <f t="shared" si="19"/>
        <v>0.54346922681290333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CD146-FA95-274C-A0AC-40B3A4232912}">
  <sheetPr>
    <tabColor theme="4" tint="0.79998168889431442"/>
  </sheetPr>
  <dimension ref="A1:AY37"/>
  <sheetViews>
    <sheetView topLeftCell="K1" zoomScale="93" zoomScaleNormal="125" workbookViewId="0">
      <selection activeCell="C8" sqref="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25</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emissions!N30</f>
        <v>1.739706950317417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1.739706950317417</v>
      </c>
      <c r="N8">
        <f>IF($N$7="LFO",M8/(1+EXP(-$I$4*(B8-$J$4)))-M8/(1+EXP($I$4*$J$4)),IF($N$7="MGO",M8/(1+EXP(-$I$5*(B8-$J$5)))-M8/(1+EXP($I$5*$J$5)),0))</f>
        <v>0</v>
      </c>
      <c r="O8">
        <f>M8-N8</f>
        <v>1.739706950317417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1.739706950317417</v>
      </c>
      <c r="AB8">
        <f>O8/M8*AA8</f>
        <v>1.739706950317417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1.7762407962740825</v>
      </c>
      <c r="D9">
        <f>IF($E$2=0,0,C9/(1+EXP(-$E$2*(B9-$G$2)))-C9/(1+EXP($E$2*$G$2)))</f>
        <v>1.3261047131896575E-2</v>
      </c>
      <c r="E9">
        <f t="shared" ref="E9:E33" si="4">IF($E$3=0,0,C9/(1+EXP(-$E$3*(B9-$G$3)))-C9/(1+EXP($E$3*$G$3)))</f>
        <v>1.3261047131896575E-2</v>
      </c>
      <c r="F9">
        <f t="shared" ref="F9:F33" si="5">IF($E$4=0,0,C9/(1+EXP(-$E$4*(B9-$G$4)))-C9/(1+EXP($E$4*$G$4)))</f>
        <v>0</v>
      </c>
      <c r="G9" s="9">
        <f t="shared" ref="G9:I33" si="6">D9/$C9</f>
        <v>7.465793579177725E-3</v>
      </c>
      <c r="H9" s="9">
        <f t="shared" si="6"/>
        <v>7.465793579177725E-3</v>
      </c>
      <c r="I9" s="9">
        <f t="shared" si="6"/>
        <v>0</v>
      </c>
      <c r="J9" s="9">
        <f t="shared" ref="J9:J33" si="7">G9*$F$2</f>
        <v>9.7055316529310427E-4</v>
      </c>
      <c r="K9" s="9">
        <f t="shared" ref="K9:K33" si="8">H9*$F$3</f>
        <v>1.493158715835545E-3</v>
      </c>
      <c r="L9" s="9">
        <f t="shared" ref="L9:L33" si="9">I9*$F$4</f>
        <v>0</v>
      </c>
      <c r="M9">
        <f t="shared" si="0"/>
        <v>1.7718672248308103</v>
      </c>
      <c r="N9">
        <f t="shared" ref="N9:N33" si="10">IF($N$7="LFO",M9/(1+EXP(-$I$4*(B9-$J$4)))-M9/(1+EXP($I$4*$J$4)),IF($N$7="MGO",M9/(1+EXP(-$I$5*(B9-$J$5)))-M9/(1+EXP($I$5*$J$5)),0))</f>
        <v>8.6909542873631063E-2</v>
      </c>
      <c r="O9">
        <f>M9-N9</f>
        <v>1.6849576819571792</v>
      </c>
      <c r="P9">
        <f>IF($I$3=0,0,M9/(1+EXP(-$I$3*(B9-$J$3)))-M9/(1+EXP($I$3*$J$3)))</f>
        <v>1.0874109840804384E-2</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1.760993114990006</v>
      </c>
      <c r="AB9">
        <f t="shared" ref="AB9:AB33" si="11">O9/M9*AA9</f>
        <v>1.6746169438623939</v>
      </c>
      <c r="AC9">
        <f t="shared" ref="AC9:AC33" si="12">N9/M9*AA9</f>
        <v>8.6376171127612006E-2</v>
      </c>
      <c r="AD9">
        <f t="shared" si="3"/>
        <v>2.1748219681608769E-3</v>
      </c>
      <c r="AE9">
        <f t="shared" ref="AE9:AE33" si="13">S9*$O9*$AE$2+S9*$N9*$AE$3</f>
        <v>0</v>
      </c>
      <c r="AF9">
        <f t="shared" ref="AF9:AF33" si="14">T9*$O9*$AF$2+T9*$N9*$AF$3</f>
        <v>2.4164688535120854E-3</v>
      </c>
      <c r="AG9">
        <f t="shared" ref="AG9:AG33" si="15">U9*$O9*$AG$2+U9*$N9*$AG$3</f>
        <v>4.3496439363217539E-3</v>
      </c>
      <c r="AH9">
        <f t="shared" ref="AH9:AH33" si="16">V9*$O9*$AH$2+V9*$N9*$AH$3</f>
        <v>0</v>
      </c>
      <c r="AI9">
        <f t="shared" ref="AI9:AI33" si="17">W9*$O9*$AI$2+W9*$N9*$AI$3</f>
        <v>5.7232157056865188E-4</v>
      </c>
      <c r="AJ9">
        <f t="shared" ref="AJ9:AJ33" si="18">X9*$O9*$AJ$2+X9*$N9*$AJ$3</f>
        <v>0</v>
      </c>
      <c r="AK9">
        <f t="shared" ref="AK9:AK33" si="19">Y9*$O9*$AK$2+Y9*$N9*$AK$3</f>
        <v>2.1748219681608769E-3</v>
      </c>
      <c r="AL9">
        <f t="shared" ref="AL9:AL33" si="20">Z9*$O9*$AL$2+Z9*$N9*$AL$3</f>
        <v>0</v>
      </c>
    </row>
    <row r="10" spans="1:51" x14ac:dyDescent="0.2">
      <c r="A10">
        <v>2027</v>
      </c>
      <c r="B10">
        <v>2</v>
      </c>
      <c r="C10">
        <f t="shared" ref="C10:C33" si="21">C9*(1+$I$2)</f>
        <v>1.813541852995838</v>
      </c>
      <c r="D10">
        <f>IF($E$2=0,0,C10/(1+EXP(-$E$2*(B10-$G$2)))-C10/(1+EXP($E$2*$G$2)))</f>
        <v>2.7103420264843248E-2</v>
      </c>
      <c r="E10">
        <f t="shared" si="4"/>
        <v>2.7103420264843248E-2</v>
      </c>
      <c r="F10">
        <f t="shared" si="5"/>
        <v>0</v>
      </c>
      <c r="G10" s="9">
        <f t="shared" si="6"/>
        <v>1.4945020551949429E-2</v>
      </c>
      <c r="H10" s="9">
        <f t="shared" si="6"/>
        <v>1.4945020551949429E-2</v>
      </c>
      <c r="I10" s="9">
        <f t="shared" si="6"/>
        <v>0</v>
      </c>
      <c r="J10" s="9">
        <f t="shared" si="7"/>
        <v>1.9428526717534258E-3</v>
      </c>
      <c r="K10" s="9">
        <f t="shared" si="8"/>
        <v>2.989004110389886E-3</v>
      </c>
      <c r="L10" s="9">
        <f t="shared" si="9"/>
        <v>0</v>
      </c>
      <c r="M10">
        <f t="shared" si="0"/>
        <v>1.8046082558989347</v>
      </c>
      <c r="N10">
        <f t="shared" si="10"/>
        <v>0.19241630758697292</v>
      </c>
      <c r="O10">
        <f>M10-N10</f>
        <v>1.6121919483119618</v>
      </c>
      <c r="P10">
        <f t="shared" ref="P10:P33" si="22">IF($I$3=0,0,M10/(1+EXP(-$I$3*(B10-$J$3)))-M10/(1+EXP($I$3*$J$3)))</f>
        <v>2.8170026812646645E-2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1.7764382290862881</v>
      </c>
      <c r="AB10">
        <f t="shared" si="11"/>
        <v>1.5870255498636414</v>
      </c>
      <c r="AC10">
        <f t="shared" si="12"/>
        <v>0.18941267922264662</v>
      </c>
      <c r="AD10">
        <f t="shared" si="3"/>
        <v>5.6340053625293296E-3</v>
      </c>
      <c r="AE10">
        <f t="shared" si="13"/>
        <v>0</v>
      </c>
      <c r="AF10">
        <f t="shared" si="14"/>
        <v>6.2600059583659221E-3</v>
      </c>
      <c r="AG10">
        <f t="shared" si="15"/>
        <v>1.1268010725058659E-2</v>
      </c>
      <c r="AH10">
        <f t="shared" si="16"/>
        <v>0</v>
      </c>
      <c r="AI10">
        <f t="shared" si="17"/>
        <v>1.4826329901392972E-3</v>
      </c>
      <c r="AJ10">
        <f t="shared" si="18"/>
        <v>0</v>
      </c>
      <c r="AK10">
        <f t="shared" si="19"/>
        <v>5.6340053625293296E-3</v>
      </c>
      <c r="AL10">
        <f t="shared" si="20"/>
        <v>0</v>
      </c>
    </row>
    <row r="11" spans="1:51" x14ac:dyDescent="0.2">
      <c r="A11">
        <v>2028</v>
      </c>
      <c r="B11">
        <v>3</v>
      </c>
      <c r="C11">
        <f t="shared" si="21"/>
        <v>1.8516262319087504</v>
      </c>
      <c r="D11">
        <f t="shared" ref="D11:D33" si="23">IF($E$2=0,0,C11/(1+EXP(-$E$2*(B11-$G$2)))-C11/(1+EXP($E$2*$G$2)))</f>
        <v>4.154001933564444E-2</v>
      </c>
      <c r="E11">
        <f t="shared" si="4"/>
        <v>4.154001933564444E-2</v>
      </c>
      <c r="F11">
        <f t="shared" si="5"/>
        <v>0</v>
      </c>
      <c r="G11" s="9">
        <f t="shared" si="6"/>
        <v>2.2434343724339483E-2</v>
      </c>
      <c r="H11" s="9">
        <f t="shared" si="6"/>
        <v>2.2434343724339483E-2</v>
      </c>
      <c r="I11" s="9">
        <f t="shared" si="6"/>
        <v>0</v>
      </c>
      <c r="J11" s="9">
        <f t="shared" si="7"/>
        <v>2.916464684164133E-3</v>
      </c>
      <c r="K11" s="9">
        <f t="shared" si="8"/>
        <v>4.4868687448678972E-3</v>
      </c>
      <c r="L11" s="9">
        <f t="shared" si="9"/>
        <v>0</v>
      </c>
      <c r="M11">
        <f t="shared" si="0"/>
        <v>1.8379422555278619</v>
      </c>
      <c r="N11">
        <f t="shared" si="10"/>
        <v>0.3159756690769292</v>
      </c>
      <c r="O11">
        <f t="shared" ref="O11:O33" si="24">M11-N11</f>
        <v>1.5219665864509326</v>
      </c>
      <c r="P11">
        <f t="shared" si="22"/>
        <v>5.5330030418457882E-2</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1.7826122251094041</v>
      </c>
      <c r="AB11">
        <f t="shared" si="11"/>
        <v>1.4761487936062814</v>
      </c>
      <c r="AC11">
        <f t="shared" si="12"/>
        <v>0.30646343150312255</v>
      </c>
      <c r="AD11">
        <f t="shared" si="3"/>
        <v>1.1066006083691576E-2</v>
      </c>
      <c r="AE11">
        <f t="shared" si="13"/>
        <v>0</v>
      </c>
      <c r="AF11">
        <f t="shared" si="14"/>
        <v>1.2295562315212862E-2</v>
      </c>
      <c r="AG11">
        <f t="shared" si="15"/>
        <v>2.2132012167383152E-2</v>
      </c>
      <c r="AH11">
        <f t="shared" si="16"/>
        <v>0</v>
      </c>
      <c r="AI11">
        <f t="shared" si="17"/>
        <v>2.9121068641293621E-3</v>
      </c>
      <c r="AJ11">
        <f t="shared" si="18"/>
        <v>0</v>
      </c>
      <c r="AK11">
        <f t="shared" si="19"/>
        <v>1.1066006083691576E-2</v>
      </c>
      <c r="AL11">
        <f t="shared" si="20"/>
        <v>0</v>
      </c>
    </row>
    <row r="12" spans="1:51" x14ac:dyDescent="0.2">
      <c r="A12">
        <v>2029</v>
      </c>
      <c r="B12">
        <v>4</v>
      </c>
      <c r="C12">
        <f t="shared" si="21"/>
        <v>1.8905103827788341</v>
      </c>
      <c r="D12">
        <f t="shared" si="23"/>
        <v>5.6583746693715242E-2</v>
      </c>
      <c r="E12">
        <f t="shared" si="4"/>
        <v>5.6583746693715242E-2</v>
      </c>
      <c r="F12">
        <f t="shared" si="5"/>
        <v>0</v>
      </c>
      <c r="G12" s="9">
        <f t="shared" si="6"/>
        <v>2.993040779312918E-2</v>
      </c>
      <c r="H12" s="9">
        <f t="shared" si="6"/>
        <v>2.993040779312918E-2</v>
      </c>
      <c r="I12" s="9">
        <f t="shared" si="6"/>
        <v>0</v>
      </c>
      <c r="J12" s="9">
        <f t="shared" si="7"/>
        <v>3.8909530131067934E-3</v>
      </c>
      <c r="K12" s="9">
        <f t="shared" si="8"/>
        <v>5.9860815586258364E-3</v>
      </c>
      <c r="L12" s="9">
        <f t="shared" si="9"/>
        <v>0</v>
      </c>
      <c r="M12">
        <f t="shared" si="0"/>
        <v>1.8718817793098461</v>
      </c>
      <c r="N12">
        <f t="shared" si="10"/>
        <v>0.45511428473503868</v>
      </c>
      <c r="O12">
        <f t="shared" si="24"/>
        <v>1.4167674945748074</v>
      </c>
      <c r="P12">
        <f t="shared" si="22"/>
        <v>9.7312420064553082E-2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1.7745693592452931</v>
      </c>
      <c r="AB12">
        <f t="shared" si="11"/>
        <v>1.3431148338727521</v>
      </c>
      <c r="AC12">
        <f t="shared" si="12"/>
        <v>0.43145452537254114</v>
      </c>
      <c r="AD12">
        <f t="shared" si="3"/>
        <v>1.9462484012910616E-2</v>
      </c>
      <c r="AE12">
        <f t="shared" si="13"/>
        <v>0</v>
      </c>
      <c r="AF12">
        <f t="shared" si="14"/>
        <v>2.162498223656735E-2</v>
      </c>
      <c r="AG12">
        <f t="shared" si="15"/>
        <v>3.8924968025821238E-2</v>
      </c>
      <c r="AH12">
        <f t="shared" si="16"/>
        <v>0</v>
      </c>
      <c r="AI12">
        <f t="shared" si="17"/>
        <v>5.1217063191870034E-3</v>
      </c>
      <c r="AJ12">
        <f t="shared" si="18"/>
        <v>0</v>
      </c>
      <c r="AK12">
        <f t="shared" si="19"/>
        <v>1.9462484012910616E-2</v>
      </c>
      <c r="AL12">
        <f t="shared" si="20"/>
        <v>0</v>
      </c>
    </row>
    <row r="13" spans="1:51" x14ac:dyDescent="0.2">
      <c r="A13">
        <v>2030</v>
      </c>
      <c r="B13">
        <v>5</v>
      </c>
      <c r="C13">
        <f t="shared" si="21"/>
        <v>1.9302111008171894</v>
      </c>
      <c r="D13">
        <f t="shared" si="23"/>
        <v>7.2247502984375989E-2</v>
      </c>
      <c r="E13">
        <f t="shared" si="4"/>
        <v>7.2247502984375989E-2</v>
      </c>
      <c r="F13">
        <f t="shared" si="5"/>
        <v>0</v>
      </c>
      <c r="G13" s="9">
        <f t="shared" si="6"/>
        <v>3.742984534374956E-2</v>
      </c>
      <c r="H13" s="9">
        <f t="shared" si="6"/>
        <v>3.742984534374956E-2</v>
      </c>
      <c r="I13" s="9">
        <f t="shared" si="6"/>
        <v>0</v>
      </c>
      <c r="J13" s="9">
        <f t="shared" si="7"/>
        <v>4.8658798946874431E-3</v>
      </c>
      <c r="K13" s="9">
        <f t="shared" si="8"/>
        <v>7.4859690687499123E-3</v>
      </c>
      <c r="L13" s="9">
        <f t="shared" si="9"/>
        <v>0</v>
      </c>
      <c r="M13">
        <f t="shared" si="0"/>
        <v>1.906439734366788</v>
      </c>
      <c r="N13">
        <f t="shared" si="10"/>
        <v>0.60543660003628186</v>
      </c>
      <c r="O13">
        <f t="shared" si="24"/>
        <v>1.3010031343305062</v>
      </c>
      <c r="P13">
        <f t="shared" si="22"/>
        <v>0.16083206454410248</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1.7456076698226854</v>
      </c>
      <c r="AB13">
        <f t="shared" si="11"/>
        <v>1.1912472284391393</v>
      </c>
      <c r="AC13">
        <f t="shared" si="12"/>
        <v>0.55436044138354623</v>
      </c>
      <c r="AD13">
        <f t="shared" si="3"/>
        <v>3.2166412908820496E-2</v>
      </c>
      <c r="AE13">
        <f t="shared" si="13"/>
        <v>0</v>
      </c>
      <c r="AF13">
        <f t="shared" si="14"/>
        <v>3.5740458787578332E-2</v>
      </c>
      <c r="AG13">
        <f t="shared" si="15"/>
        <v>6.4332825817640993E-2</v>
      </c>
      <c r="AH13">
        <f t="shared" si="16"/>
        <v>0</v>
      </c>
      <c r="AI13">
        <f t="shared" si="17"/>
        <v>8.4648455023211815E-3</v>
      </c>
      <c r="AJ13">
        <f t="shared" si="18"/>
        <v>0</v>
      </c>
      <c r="AK13">
        <f t="shared" si="19"/>
        <v>3.2166412908820496E-2</v>
      </c>
      <c r="AL13">
        <f t="shared" si="20"/>
        <v>0</v>
      </c>
    </row>
    <row r="14" spans="1:51" x14ac:dyDescent="0.2">
      <c r="A14">
        <v>2031</v>
      </c>
      <c r="B14">
        <v>6</v>
      </c>
      <c r="C14">
        <f t="shared" si="21"/>
        <v>1.9707455339343503</v>
      </c>
      <c r="D14">
        <f t="shared" si="23"/>
        <v>8.8544183606952598E-2</v>
      </c>
      <c r="E14">
        <f t="shared" si="4"/>
        <v>8.8544183606952598E-2</v>
      </c>
      <c r="F14">
        <f t="shared" si="5"/>
        <v>0</v>
      </c>
      <c r="G14" s="9">
        <f t="shared" si="6"/>
        <v>4.4929282894369961E-2</v>
      </c>
      <c r="H14" s="9">
        <f t="shared" si="6"/>
        <v>4.4929282894369961E-2</v>
      </c>
      <c r="I14" s="9">
        <f t="shared" si="6"/>
        <v>0</v>
      </c>
      <c r="J14" s="9">
        <f t="shared" si="7"/>
        <v>5.8408067762680954E-3</v>
      </c>
      <c r="K14" s="9">
        <f t="shared" si="8"/>
        <v>8.9858565788739925E-3</v>
      </c>
      <c r="L14" s="9">
        <f t="shared" si="9"/>
        <v>0</v>
      </c>
      <c r="M14">
        <f t="shared" si="0"/>
        <v>1.9416293872375783</v>
      </c>
      <c r="N14">
        <f t="shared" si="10"/>
        <v>0.76115171391560388</v>
      </c>
      <c r="O14">
        <f t="shared" si="24"/>
        <v>1.1804776733219744</v>
      </c>
      <c r="P14">
        <f t="shared" si="22"/>
        <v>0.25408962553427894</v>
      </c>
      <c r="Q14" s="9">
        <f t="shared" si="1"/>
        <v>0.13086412226989458</v>
      </c>
      <c r="R14">
        <f>VLOOKUP($B$1,dictionary!$A$3:$K$51,3,FALSE)*Q14</f>
        <v>2.6172824453978918E-2</v>
      </c>
      <c r="S14">
        <f>VLOOKUP($B$1,dictionary!$A$3:$K$51,4,FALSE)*Q14</f>
        <v>0</v>
      </c>
      <c r="T14">
        <f>VLOOKUP($B$1,dictionary!$A$3:$K$51,5,FALSE)*Q14</f>
        <v>2.6172824453978918E-2</v>
      </c>
      <c r="U14">
        <f>VLOOKUP($B$1,dictionary!$A$3:$K$51,6,FALSE)*Q14</f>
        <v>4.5802442794463098E-2</v>
      </c>
      <c r="V14">
        <f>VLOOKUP($B$1,dictionary!$A$3:$K$51,7,FALSE)*Q14</f>
        <v>0</v>
      </c>
      <c r="W14">
        <f>VLOOKUP($B$1,dictionary!$A$3:$K$51,8,FALSE)*Q14</f>
        <v>6.5432061134947294E-3</v>
      </c>
      <c r="X14">
        <f>VLOOKUP($B$1,dictionary!$A$3:$K$51,9,FALSE)*Q14</f>
        <v>0</v>
      </c>
      <c r="Y14">
        <f>VLOOKUP($B$1,dictionary!$A$3:$K$51,10,FALSE)*Q14</f>
        <v>2.6172824453978918E-2</v>
      </c>
      <c r="Z14">
        <f>VLOOKUP($B$1,dictionary!$A$3:$K$51,11,FALSE)*Q14</f>
        <v>0</v>
      </c>
      <c r="AA14">
        <f t="shared" si="2"/>
        <v>1.6875397617032992</v>
      </c>
      <c r="AB14">
        <f t="shared" si="11"/>
        <v>1.0259954987434867</v>
      </c>
      <c r="AC14">
        <f t="shared" si="12"/>
        <v>0.66154426295981239</v>
      </c>
      <c r="AD14">
        <f t="shared" si="3"/>
        <v>5.0817925106855788E-2</v>
      </c>
      <c r="AE14">
        <f t="shared" si="13"/>
        <v>0</v>
      </c>
      <c r="AF14">
        <f t="shared" si="14"/>
        <v>5.6464361229839777E-2</v>
      </c>
      <c r="AG14">
        <f t="shared" si="15"/>
        <v>0.10163585021371158</v>
      </c>
      <c r="AH14">
        <f t="shared" si="16"/>
        <v>0</v>
      </c>
      <c r="AI14">
        <f t="shared" si="17"/>
        <v>1.3373138186014681E-2</v>
      </c>
      <c r="AJ14">
        <f t="shared" si="18"/>
        <v>0</v>
      </c>
      <c r="AK14">
        <f t="shared" si="19"/>
        <v>5.0817925106855788E-2</v>
      </c>
      <c r="AL14">
        <f t="shared" si="20"/>
        <v>0</v>
      </c>
    </row>
    <row r="15" spans="1:51" x14ac:dyDescent="0.2">
      <c r="A15">
        <v>2032</v>
      </c>
      <c r="B15">
        <v>7</v>
      </c>
      <c r="C15">
        <f t="shared" si="21"/>
        <v>2.0121311901469716</v>
      </c>
      <c r="D15">
        <f t="shared" si="23"/>
        <v>0.10548667577885018</v>
      </c>
      <c r="E15">
        <f t="shared" si="4"/>
        <v>0.10548667577885018</v>
      </c>
      <c r="F15">
        <f t="shared" si="5"/>
        <v>0</v>
      </c>
      <c r="G15" s="9">
        <f t="shared" si="6"/>
        <v>5.2425346963159564E-2</v>
      </c>
      <c r="H15" s="9">
        <f t="shared" si="6"/>
        <v>5.2425346963159564E-2</v>
      </c>
      <c r="I15" s="9">
        <f t="shared" si="6"/>
        <v>0</v>
      </c>
      <c r="J15" s="9">
        <f t="shared" si="7"/>
        <v>6.8152951052107436E-3</v>
      </c>
      <c r="K15" s="9">
        <f t="shared" si="8"/>
        <v>1.0485069392631913E-2</v>
      </c>
      <c r="L15" s="9">
        <f t="shared" si="9"/>
        <v>0</v>
      </c>
      <c r="M15">
        <f t="shared" si="0"/>
        <v>1.9774643717049711</v>
      </c>
      <c r="N15">
        <f t="shared" si="10"/>
        <v>0.91602236811145832</v>
      </c>
      <c r="O15">
        <f t="shared" si="24"/>
        <v>1.0614420035935128</v>
      </c>
      <c r="P15">
        <f>IF($I$3=0,0,M15/(1+EXP(-$I$3*(B15-$J$3)))-M15/(1+EXP($I$3*$J$3)))</f>
        <v>0.3853750378200646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1.5920893338849065</v>
      </c>
      <c r="AB15">
        <f t="shared" si="11"/>
        <v>0.85458454606775769</v>
      </c>
      <c r="AC15">
        <f t="shared" si="12"/>
        <v>0.7375047878171489</v>
      </c>
      <c r="AD15">
        <f t="shared" si="3"/>
        <v>7.7075007564012921E-2</v>
      </c>
      <c r="AE15">
        <f t="shared" si="13"/>
        <v>0</v>
      </c>
      <c r="AF15">
        <f t="shared" si="14"/>
        <v>8.5638897293347699E-2</v>
      </c>
      <c r="AG15">
        <f t="shared" si="15"/>
        <v>0.15415001512802584</v>
      </c>
      <c r="AH15">
        <f t="shared" si="16"/>
        <v>0</v>
      </c>
      <c r="AI15">
        <f t="shared" si="17"/>
        <v>2.0282896727371821E-2</v>
      </c>
      <c r="AJ15">
        <f t="shared" si="18"/>
        <v>0</v>
      </c>
      <c r="AK15">
        <f t="shared" si="19"/>
        <v>7.7075007564012921E-2</v>
      </c>
      <c r="AL15">
        <f t="shared" si="20"/>
        <v>0</v>
      </c>
    </row>
    <row r="16" spans="1:51" x14ac:dyDescent="0.2">
      <c r="A16">
        <v>2033</v>
      </c>
      <c r="B16">
        <v>8</v>
      </c>
      <c r="C16">
        <f t="shared" si="21"/>
        <v>2.0543859451400577</v>
      </c>
      <c r="D16">
        <f t="shared" si="23"/>
        <v>0.12308785623417595</v>
      </c>
      <c r="E16">
        <f t="shared" si="4"/>
        <v>0.12308785623417595</v>
      </c>
      <c r="F16">
        <f t="shared" si="5"/>
        <v>0</v>
      </c>
      <c r="G16" s="9">
        <f t="shared" si="6"/>
        <v>5.9914670135549651E-2</v>
      </c>
      <c r="H16" s="9">
        <f t="shared" si="6"/>
        <v>5.9914670135549651E-2</v>
      </c>
      <c r="I16" s="9">
        <f t="shared" si="6"/>
        <v>0</v>
      </c>
      <c r="J16" s="9">
        <f t="shared" si="7"/>
        <v>7.7889071176214545E-3</v>
      </c>
      <c r="K16" s="9">
        <f t="shared" si="8"/>
        <v>1.1982934027109931E-2</v>
      </c>
      <c r="L16" s="9">
        <f t="shared" si="9"/>
        <v>0</v>
      </c>
      <c r="M16">
        <f t="shared" si="0"/>
        <v>2.0139586965586824</v>
      </c>
      <c r="N16">
        <f t="shared" si="10"/>
        <v>1.0644254634816122</v>
      </c>
      <c r="O16">
        <f t="shared" si="24"/>
        <v>0.94953323307707027</v>
      </c>
      <c r="P16">
        <f t="shared" si="22"/>
        <v>0.56000851427351139</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1.453950182285171</v>
      </c>
      <c r="AB16">
        <f t="shared" si="11"/>
        <v>0.68550264693971452</v>
      </c>
      <c r="AC16">
        <f t="shared" si="12"/>
        <v>0.76844753534545651</v>
      </c>
      <c r="AD16">
        <f t="shared" si="3"/>
        <v>0.11200170285470229</v>
      </c>
      <c r="AE16">
        <f t="shared" si="13"/>
        <v>0</v>
      </c>
      <c r="AF16">
        <f t="shared" si="14"/>
        <v>0.12444633650522477</v>
      </c>
      <c r="AG16">
        <f t="shared" si="15"/>
        <v>0.22400340570940458</v>
      </c>
      <c r="AH16">
        <f t="shared" si="16"/>
        <v>0</v>
      </c>
      <c r="AI16">
        <f t="shared" si="17"/>
        <v>2.947413233018481E-2</v>
      </c>
      <c r="AJ16">
        <f t="shared" si="18"/>
        <v>0</v>
      </c>
      <c r="AK16">
        <f t="shared" si="19"/>
        <v>0.11200170285470229</v>
      </c>
      <c r="AL16">
        <f t="shared" si="20"/>
        <v>0</v>
      </c>
    </row>
    <row r="17" spans="1:38" x14ac:dyDescent="0.2">
      <c r="A17">
        <v>2034</v>
      </c>
      <c r="B17">
        <v>9</v>
      </c>
      <c r="C17">
        <f t="shared" si="21"/>
        <v>2.0975280499879987</v>
      </c>
      <c r="D17">
        <f t="shared" si="23"/>
        <v>0.14136058958270892</v>
      </c>
      <c r="E17">
        <f t="shared" si="4"/>
        <v>0.14136058958270892</v>
      </c>
      <c r="F17">
        <f t="shared" si="5"/>
        <v>0</v>
      </c>
      <c r="G17" s="9">
        <f t="shared" si="6"/>
        <v>6.7393897108321263E-2</v>
      </c>
      <c r="H17" s="9">
        <f t="shared" si="6"/>
        <v>6.7393897108321263E-2</v>
      </c>
      <c r="I17" s="9">
        <f t="shared" si="6"/>
        <v>0</v>
      </c>
      <c r="J17" s="9">
        <f t="shared" si="7"/>
        <v>8.7612066240817642E-3</v>
      </c>
      <c r="K17" s="9">
        <f t="shared" si="8"/>
        <v>1.3478779421664254E-2</v>
      </c>
      <c r="L17" s="9">
        <f t="shared" si="9"/>
        <v>0</v>
      </c>
      <c r="M17">
        <f t="shared" si="0"/>
        <v>2.0511267532924724</v>
      </c>
      <c r="N17">
        <f t="shared" si="10"/>
        <v>1.2021638716405298</v>
      </c>
      <c r="O17">
        <f t="shared" si="24"/>
        <v>0.84896288165194256</v>
      </c>
      <c r="P17">
        <f t="shared" si="22"/>
        <v>0.77609267196270304</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1.2750340813297694</v>
      </c>
      <c r="AB17">
        <f t="shared" si="11"/>
        <v>0.5277375501794791</v>
      </c>
      <c r="AC17">
        <f t="shared" si="12"/>
        <v>0.74729653115029016</v>
      </c>
      <c r="AD17">
        <f t="shared" si="3"/>
        <v>0.15521853439254063</v>
      </c>
      <c r="AE17">
        <f t="shared" si="13"/>
        <v>0</v>
      </c>
      <c r="AF17">
        <f t="shared" si="14"/>
        <v>0.17246503821393405</v>
      </c>
      <c r="AG17">
        <f t="shared" si="15"/>
        <v>0.3104370687850812</v>
      </c>
      <c r="AH17">
        <f t="shared" si="16"/>
        <v>0</v>
      </c>
      <c r="AI17">
        <f t="shared" si="17"/>
        <v>4.0846982734879113E-2</v>
      </c>
      <c r="AJ17">
        <f t="shared" si="18"/>
        <v>0</v>
      </c>
      <c r="AK17">
        <f t="shared" si="19"/>
        <v>0.15521853439254063</v>
      </c>
      <c r="AL17">
        <f t="shared" si="20"/>
        <v>0</v>
      </c>
    </row>
    <row r="18" spans="1:38" x14ac:dyDescent="0.2">
      <c r="A18">
        <v>2035</v>
      </c>
      <c r="B18">
        <v>10</v>
      </c>
      <c r="C18">
        <f t="shared" si="21"/>
        <v>2.1415761390377464</v>
      </c>
      <c r="D18">
        <f t="shared" si="23"/>
        <v>0.16031772735209415</v>
      </c>
      <c r="E18">
        <f t="shared" si="4"/>
        <v>0.16031772735209415</v>
      </c>
      <c r="F18">
        <f t="shared" si="5"/>
        <v>0</v>
      </c>
      <c r="G18" s="9">
        <f t="shared" si="6"/>
        <v>7.485969068749905E-2</v>
      </c>
      <c r="H18" s="9">
        <f t="shared" si="6"/>
        <v>7.485969068749905E-2</v>
      </c>
      <c r="I18" s="9">
        <f t="shared" si="6"/>
        <v>0</v>
      </c>
      <c r="J18" s="9">
        <f t="shared" si="7"/>
        <v>9.7317597893748775E-3</v>
      </c>
      <c r="K18" s="9">
        <f t="shared" si="8"/>
        <v>1.4971938137499811E-2</v>
      </c>
      <c r="L18" s="9">
        <f t="shared" si="9"/>
        <v>0</v>
      </c>
      <c r="M18">
        <f t="shared" si="0"/>
        <v>2.0889833237340687</v>
      </c>
      <c r="N18">
        <f t="shared" si="10"/>
        <v>1.3268155696242072</v>
      </c>
      <c r="O18">
        <f t="shared" si="24"/>
        <v>0.76216775410986148</v>
      </c>
      <c r="P18">
        <f t="shared" si="22"/>
        <v>1.0215401219329023</v>
      </c>
      <c r="Q18" s="9">
        <f t="shared" si="1"/>
        <v>0.48901305736940687</v>
      </c>
      <c r="R18">
        <f>VLOOKUP($B$1,dictionary!$A$3:$K$51,3,FALSE)*Q18</f>
        <v>9.7802611473881376E-2</v>
      </c>
      <c r="S18">
        <f>VLOOKUP($B$1,dictionary!$A$3:$K$51,4,FALSE)*Q18</f>
        <v>0</v>
      </c>
      <c r="T18">
        <f>VLOOKUP($B$1,dictionary!$A$3:$K$51,5,FALSE)*Q18</f>
        <v>9.7802611473881376E-2</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1.0674432018011664</v>
      </c>
      <c r="AB18">
        <f t="shared" si="11"/>
        <v>0.38945777044422386</v>
      </c>
      <c r="AC18">
        <f t="shared" si="12"/>
        <v>0.67798543135694256</v>
      </c>
      <c r="AD18">
        <f t="shared" si="3"/>
        <v>0.20430802438658047</v>
      </c>
      <c r="AE18">
        <f t="shared" si="13"/>
        <v>0</v>
      </c>
      <c r="AF18">
        <f t="shared" si="14"/>
        <v>0.22700891598508943</v>
      </c>
      <c r="AG18">
        <f t="shared" si="15"/>
        <v>0.40861604877316093</v>
      </c>
      <c r="AH18">
        <f t="shared" si="16"/>
        <v>0</v>
      </c>
      <c r="AI18">
        <f t="shared" si="17"/>
        <v>5.3765269575415914E-2</v>
      </c>
      <c r="AJ18">
        <f t="shared" si="18"/>
        <v>0</v>
      </c>
      <c r="AK18">
        <f t="shared" si="19"/>
        <v>0.20430802438658047</v>
      </c>
      <c r="AL18">
        <f t="shared" si="20"/>
        <v>0</v>
      </c>
    </row>
    <row r="19" spans="1:38" x14ac:dyDescent="0.2">
      <c r="A19">
        <v>2036</v>
      </c>
      <c r="B19">
        <v>11</v>
      </c>
      <c r="C19">
        <f t="shared" si="21"/>
        <v>2.1865492379575389</v>
      </c>
      <c r="D19">
        <f t="shared" si="23"/>
        <v>0.17997210773307404</v>
      </c>
      <c r="E19">
        <f t="shared" si="4"/>
        <v>0.17997210773307404</v>
      </c>
      <c r="F19">
        <f t="shared" si="5"/>
        <v>0</v>
      </c>
      <c r="G19" s="9">
        <f t="shared" si="6"/>
        <v>8.2308737717329633E-2</v>
      </c>
      <c r="H19" s="9">
        <f t="shared" si="6"/>
        <v>8.2308737717329633E-2</v>
      </c>
      <c r="I19" s="9">
        <f t="shared" si="6"/>
        <v>0</v>
      </c>
      <c r="J19" s="9">
        <f t="shared" si="7"/>
        <v>1.0700135903252852E-2</v>
      </c>
      <c r="K19" s="9">
        <f t="shared" si="8"/>
        <v>1.6461747543465927E-2</v>
      </c>
      <c r="L19" s="9">
        <f t="shared" si="9"/>
        <v>0</v>
      </c>
      <c r="M19">
        <f t="shared" si="0"/>
        <v>2.1275435876079323</v>
      </c>
      <c r="N19">
        <f t="shared" si="10"/>
        <v>1.4376310106933112</v>
      </c>
      <c r="O19">
        <f t="shared" si="24"/>
        <v>0.68991257691462105</v>
      </c>
      <c r="P19">
        <f t="shared" si="22"/>
        <v>1.2757863871893524</v>
      </c>
      <c r="Q19" s="9">
        <f t="shared" si="1"/>
        <v>0.59965229131862874</v>
      </c>
      <c r="R19">
        <f>VLOOKUP($B$1,dictionary!$A$3:$K$51,3,FALSE)*Q19</f>
        <v>0.11993045826372575</v>
      </c>
      <c r="S19">
        <f>VLOOKUP($B$1,dictionary!$A$3:$K$51,4,FALSE)*Q19</f>
        <v>0</v>
      </c>
      <c r="T19">
        <f>VLOOKUP($B$1,dictionary!$A$3:$K$51,5,FALSE)*Q19</f>
        <v>0.11993045826372575</v>
      </c>
      <c r="U19">
        <f>VLOOKUP($B$1,dictionary!$A$3:$K$51,6,FALSE)*Q19</f>
        <v>0.20987830196152005</v>
      </c>
      <c r="V19">
        <f>VLOOKUP($B$1,dictionary!$A$3:$K$51,7,FALSE)*Q19</f>
        <v>0</v>
      </c>
      <c r="W19">
        <f>VLOOKUP($B$1,dictionary!$A$3:$K$51,8,FALSE)*Q19</f>
        <v>2.9982614565931438E-2</v>
      </c>
      <c r="X19">
        <f>VLOOKUP($B$1,dictionary!$A$3:$K$51,9,FALSE)*Q19</f>
        <v>0</v>
      </c>
      <c r="Y19">
        <f>VLOOKUP($B$1,dictionary!$A$3:$K$51,10,FALSE)*Q19</f>
        <v>0.11993045826372575</v>
      </c>
      <c r="Z19">
        <f>VLOOKUP($B$1,dictionary!$A$3:$K$51,11,FALSE)*Q19</f>
        <v>0</v>
      </c>
      <c r="AA19">
        <f t="shared" si="2"/>
        <v>0.85175720041857983</v>
      </c>
      <c r="AB19">
        <f t="shared" si="11"/>
        <v>0.27620491935822883</v>
      </c>
      <c r="AC19">
        <f t="shared" si="12"/>
        <v>0.57555228106035095</v>
      </c>
      <c r="AD19">
        <f t="shared" si="3"/>
        <v>0.25515727743787048</v>
      </c>
      <c r="AE19">
        <f t="shared" si="13"/>
        <v>0</v>
      </c>
      <c r="AF19">
        <f t="shared" si="14"/>
        <v>0.28350808604207833</v>
      </c>
      <c r="AG19">
        <f t="shared" si="15"/>
        <v>0.51031455487574096</v>
      </c>
      <c r="AH19">
        <f t="shared" si="16"/>
        <v>0</v>
      </c>
      <c r="AI19">
        <f t="shared" si="17"/>
        <v>6.7146651957334325E-2</v>
      </c>
      <c r="AJ19">
        <f t="shared" si="18"/>
        <v>0</v>
      </c>
      <c r="AK19">
        <f t="shared" si="19"/>
        <v>0.25515727743787048</v>
      </c>
      <c r="AL19">
        <f t="shared" si="20"/>
        <v>0</v>
      </c>
    </row>
    <row r="20" spans="1:38" x14ac:dyDescent="0.2">
      <c r="A20">
        <v>2037</v>
      </c>
      <c r="B20">
        <v>12</v>
      </c>
      <c r="C20">
        <f t="shared" si="21"/>
        <v>2.2324667719546469</v>
      </c>
      <c r="D20">
        <f t="shared" si="23"/>
        <v>0.2003365560444117</v>
      </c>
      <c r="E20">
        <f t="shared" si="4"/>
        <v>0.2003365560444117</v>
      </c>
      <c r="F20">
        <f t="shared" si="5"/>
        <v>0</v>
      </c>
      <c r="G20" s="9">
        <f t="shared" si="6"/>
        <v>8.97377549180748E-2</v>
      </c>
      <c r="H20" s="9">
        <f t="shared" si="6"/>
        <v>8.97377549180748E-2</v>
      </c>
      <c r="I20" s="9">
        <f t="shared" si="6"/>
        <v>0</v>
      </c>
      <c r="J20" s="9">
        <f t="shared" si="7"/>
        <v>1.1665908139349724E-2</v>
      </c>
      <c r="K20" s="9">
        <f t="shared" si="8"/>
        <v>1.794755098361496E-2</v>
      </c>
      <c r="L20" s="9">
        <f t="shared" si="9"/>
        <v>0</v>
      </c>
      <c r="M20">
        <f t="shared" si="0"/>
        <v>2.1668231300319443</v>
      </c>
      <c r="N20">
        <f t="shared" si="10"/>
        <v>1.5351457699605249</v>
      </c>
      <c r="O20">
        <f t="shared" si="24"/>
        <v>0.63167736007141939</v>
      </c>
      <c r="P20">
        <f>IF($I$3=0,0,M20/(1+EXP(-$I$3*(B20-$J$3)))-M20/(1+EXP($I$3*$J$3)))</f>
        <v>1.5166950651522617</v>
      </c>
      <c r="Q20" s="9">
        <f t="shared" si="1"/>
        <v>0.69996255999441082</v>
      </c>
      <c r="R20">
        <f>VLOOKUP($B$1,dictionary!$A$3:$K$51,3,FALSE)*Q20</f>
        <v>0.13999251199888216</v>
      </c>
      <c r="S20">
        <f>VLOOKUP($B$1,dictionary!$A$3:$K$51,4,FALSE)*Q20</f>
        <v>0</v>
      </c>
      <c r="T20">
        <f>VLOOKUP($B$1,dictionary!$A$3:$K$51,5,FALSE)*Q20</f>
        <v>0.13999251199888216</v>
      </c>
      <c r="U20">
        <f>VLOOKUP($B$1,dictionary!$A$3:$K$51,6,FALSE)*Q20</f>
        <v>0.24498689599804377</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0.65012806487968255</v>
      </c>
      <c r="AB20">
        <f t="shared" si="11"/>
        <v>0.18952685802531749</v>
      </c>
      <c r="AC20">
        <f t="shared" si="12"/>
        <v>0.46060120685436506</v>
      </c>
      <c r="AD20">
        <f t="shared" si="3"/>
        <v>0.30333901303045235</v>
      </c>
      <c r="AE20">
        <f t="shared" si="13"/>
        <v>0</v>
      </c>
      <c r="AF20">
        <f t="shared" si="14"/>
        <v>0.33704334781161371</v>
      </c>
      <c r="AG20">
        <f t="shared" si="15"/>
        <v>0.60667802606090482</v>
      </c>
      <c r="AH20">
        <f t="shared" si="16"/>
        <v>0</v>
      </c>
      <c r="AI20">
        <f t="shared" si="17"/>
        <v>7.9826056060645356E-2</v>
      </c>
      <c r="AJ20">
        <f t="shared" si="18"/>
        <v>0</v>
      </c>
      <c r="AK20">
        <f t="shared" si="19"/>
        <v>0.30333901303045235</v>
      </c>
      <c r="AL20">
        <f t="shared" si="20"/>
        <v>0</v>
      </c>
    </row>
    <row r="21" spans="1:38" x14ac:dyDescent="0.2">
      <c r="A21">
        <v>2038</v>
      </c>
      <c r="B21">
        <v>13</v>
      </c>
      <c r="C21">
        <f t="shared" si="21"/>
        <v>2.2793485741656943</v>
      </c>
      <c r="D21">
        <f t="shared" si="23"/>
        <v>0.22142388593092455</v>
      </c>
      <c r="E21">
        <f t="shared" si="4"/>
        <v>0.22142388593092455</v>
      </c>
      <c r="F21">
        <f t="shared" si="5"/>
        <v>0</v>
      </c>
      <c r="G21" s="9">
        <f t="shared" si="6"/>
        <v>9.7143494610942474E-2</v>
      </c>
      <c r="H21" s="9">
        <f t="shared" si="6"/>
        <v>9.7143494610942474E-2</v>
      </c>
      <c r="I21" s="9">
        <f t="shared" si="6"/>
        <v>0</v>
      </c>
      <c r="J21" s="9">
        <f t="shared" si="7"/>
        <v>1.2628654299422523E-2</v>
      </c>
      <c r="K21" s="9">
        <f t="shared" si="8"/>
        <v>1.9428698922188497E-2</v>
      </c>
      <c r="L21" s="9">
        <f t="shared" si="9"/>
        <v>0</v>
      </c>
      <c r="M21">
        <f t="shared" si="0"/>
        <v>2.2068379489503007</v>
      </c>
      <c r="N21">
        <f t="shared" si="10"/>
        <v>1.6207057172179837</v>
      </c>
      <c r="O21">
        <f t="shared" si="24"/>
        <v>0.58613223173231699</v>
      </c>
      <c r="P21">
        <f t="shared" si="22"/>
        <v>1.7282689979553294</v>
      </c>
      <c r="Q21" s="9">
        <f t="shared" si="1"/>
        <v>0.78314268556845945</v>
      </c>
      <c r="R21">
        <f>VLOOKUP($B$1,dictionary!$A$3:$K$51,3,FALSE)*Q21</f>
        <v>0.1566285371136919</v>
      </c>
      <c r="S21">
        <f>VLOOKUP($B$1,dictionary!$A$3:$K$51,4,FALSE)*Q21</f>
        <v>0</v>
      </c>
      <c r="T21">
        <f>VLOOKUP($B$1,dictionary!$A$3:$K$51,5,FALSE)*Q21</f>
        <v>0.1566285371136919</v>
      </c>
      <c r="U21">
        <f>VLOOKUP($B$1,dictionary!$A$3:$K$51,6,FALSE)*Q21</f>
        <v>0.27409993994896081</v>
      </c>
      <c r="V21">
        <f>VLOOKUP($B$1,dictionary!$A$3:$K$51,7,FALSE)*Q21</f>
        <v>0</v>
      </c>
      <c r="W21">
        <f>VLOOKUP($B$1,dictionary!$A$3:$K$51,8,FALSE)*Q21</f>
        <v>3.9157134278422975E-2</v>
      </c>
      <c r="X21">
        <f>VLOOKUP($B$1,dictionary!$A$3:$K$51,9,FALSE)*Q21</f>
        <v>0</v>
      </c>
      <c r="Y21">
        <f>VLOOKUP($B$1,dictionary!$A$3:$K$51,10,FALSE)*Q21</f>
        <v>0.1566285371136919</v>
      </c>
      <c r="Z21">
        <f>VLOOKUP($B$1,dictionary!$A$3:$K$51,11,FALSE)*Q21</f>
        <v>0</v>
      </c>
      <c r="AA21">
        <f t="shared" si="2"/>
        <v>0.47856895099497132</v>
      </c>
      <c r="AB21">
        <f t="shared" si="11"/>
        <v>0.12710706167523564</v>
      </c>
      <c r="AC21">
        <f t="shared" si="12"/>
        <v>0.35146188931973571</v>
      </c>
      <c r="AD21">
        <f t="shared" si="3"/>
        <v>0.3456537995910659</v>
      </c>
      <c r="AE21">
        <f t="shared" si="13"/>
        <v>0</v>
      </c>
      <c r="AF21">
        <f t="shared" si="14"/>
        <v>0.38405977732340663</v>
      </c>
      <c r="AG21">
        <f t="shared" si="15"/>
        <v>0.6913075991821318</v>
      </c>
      <c r="AH21">
        <f t="shared" si="16"/>
        <v>0</v>
      </c>
      <c r="AI21">
        <f t="shared" si="17"/>
        <v>9.0961526208175228E-2</v>
      </c>
      <c r="AJ21">
        <f t="shared" si="18"/>
        <v>0</v>
      </c>
      <c r="AK21">
        <f t="shared" si="19"/>
        <v>0.3456537995910659</v>
      </c>
      <c r="AL21">
        <f t="shared" si="20"/>
        <v>0</v>
      </c>
    </row>
    <row r="22" spans="1:38" x14ac:dyDescent="0.2">
      <c r="A22">
        <v>2039</v>
      </c>
      <c r="B22">
        <v>14</v>
      </c>
      <c r="C22">
        <f t="shared" si="21"/>
        <v>2.3272148942231734</v>
      </c>
      <c r="D22">
        <f t="shared" si="23"/>
        <v>0.24324690130474891</v>
      </c>
      <c r="E22">
        <f t="shared" si="4"/>
        <v>0.24324690130474891</v>
      </c>
      <c r="F22">
        <f t="shared" si="5"/>
        <v>0</v>
      </c>
      <c r="G22" s="9">
        <f t="shared" si="6"/>
        <v>0.10452275030920381</v>
      </c>
      <c r="H22" s="9">
        <f t="shared" si="6"/>
        <v>0.10452275030920381</v>
      </c>
      <c r="I22" s="9">
        <f t="shared" si="6"/>
        <v>0</v>
      </c>
      <c r="J22" s="9">
        <f t="shared" si="7"/>
        <v>1.3587957540196496E-2</v>
      </c>
      <c r="K22" s="9">
        <f t="shared" si="8"/>
        <v>2.0904550061840763E-2</v>
      </c>
      <c r="L22" s="9">
        <f t="shared" si="9"/>
        <v>0</v>
      </c>
      <c r="M22">
        <f t="shared" si="0"/>
        <v>2.247604462505949</v>
      </c>
      <c r="N22">
        <f t="shared" si="10"/>
        <v>1.6960448450311163</v>
      </c>
      <c r="O22">
        <f t="shared" si="24"/>
        <v>0.55155961747483273</v>
      </c>
      <c r="P22">
        <f t="shared" si="22"/>
        <v>1.9040850747385738</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0.34351938776737523</v>
      </c>
      <c r="AB22">
        <f t="shared" si="11"/>
        <v>8.4299272969458564E-2</v>
      </c>
      <c r="AC22">
        <f t="shared" si="12"/>
        <v>0.25922011479791668</v>
      </c>
      <c r="AD22">
        <f t="shared" si="3"/>
        <v>0.38081701494771475</v>
      </c>
      <c r="AE22">
        <f t="shared" si="13"/>
        <v>0</v>
      </c>
      <c r="AF22">
        <f t="shared" si="14"/>
        <v>0.42313001660857197</v>
      </c>
      <c r="AG22">
        <f t="shared" si="15"/>
        <v>0.76163402989542961</v>
      </c>
      <c r="AH22">
        <f t="shared" si="16"/>
        <v>0</v>
      </c>
      <c r="AI22">
        <f t="shared" si="17"/>
        <v>0.10021500393360915</v>
      </c>
      <c r="AJ22">
        <f t="shared" si="18"/>
        <v>0</v>
      </c>
      <c r="AK22">
        <f t="shared" si="19"/>
        <v>0.38081701494771475</v>
      </c>
      <c r="AL22">
        <f t="shared" si="20"/>
        <v>0</v>
      </c>
    </row>
    <row r="23" spans="1:38" x14ac:dyDescent="0.2">
      <c r="A23">
        <v>2040</v>
      </c>
      <c r="B23">
        <v>15</v>
      </c>
      <c r="C23">
        <f t="shared" si="21"/>
        <v>2.3760864070018597</v>
      </c>
      <c r="D23">
        <f t="shared" si="23"/>
        <v>0.26581839903665561</v>
      </c>
      <c r="E23">
        <f t="shared" si="4"/>
        <v>0.26581839903665561</v>
      </c>
      <c r="F23">
        <f t="shared" si="5"/>
        <v>0</v>
      </c>
      <c r="G23" s="9">
        <f t="shared" si="6"/>
        <v>0.11187236215540858</v>
      </c>
      <c r="H23" s="9">
        <f t="shared" si="6"/>
        <v>0.11187236215540858</v>
      </c>
      <c r="I23" s="9">
        <f t="shared" si="6"/>
        <v>0</v>
      </c>
      <c r="J23" s="9">
        <f t="shared" si="7"/>
        <v>1.4543407080203116E-2</v>
      </c>
      <c r="K23" s="9">
        <f t="shared" si="8"/>
        <v>2.2374472431081718E-2</v>
      </c>
      <c r="L23" s="9">
        <f t="shared" si="9"/>
        <v>0</v>
      </c>
      <c r="M23">
        <f t="shared" si="0"/>
        <v>2.2891395163570829</v>
      </c>
      <c r="N23">
        <f t="shared" si="10"/>
        <v>1.7629776006313054</v>
      </c>
      <c r="O23">
        <f t="shared" si="24"/>
        <v>0.52616191572577753</v>
      </c>
      <c r="P23">
        <f t="shared" si="22"/>
        <v>2.0457206438533899</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0.24341887250369298</v>
      </c>
      <c r="AB23">
        <f t="shared" si="11"/>
        <v>5.5950167897225289E-2</v>
      </c>
      <c r="AC23">
        <f t="shared" si="12"/>
        <v>0.1874687046064677</v>
      </c>
      <c r="AD23">
        <f t="shared" si="3"/>
        <v>0.40914412877067802</v>
      </c>
      <c r="AE23">
        <f t="shared" si="13"/>
        <v>0</v>
      </c>
      <c r="AF23">
        <f t="shared" si="14"/>
        <v>0.45460458752297561</v>
      </c>
      <c r="AG23">
        <f t="shared" si="15"/>
        <v>0.81828825754135603</v>
      </c>
      <c r="AH23">
        <f t="shared" si="16"/>
        <v>0</v>
      </c>
      <c r="AI23">
        <f t="shared" si="17"/>
        <v>0.10766950757123106</v>
      </c>
      <c r="AJ23">
        <f t="shared" si="18"/>
        <v>0</v>
      </c>
      <c r="AK23">
        <f t="shared" si="19"/>
        <v>0.40914412877067802</v>
      </c>
      <c r="AL23">
        <f t="shared" si="20"/>
        <v>0</v>
      </c>
    </row>
    <row r="24" spans="1:38" x14ac:dyDescent="0.2">
      <c r="A24">
        <v>2041</v>
      </c>
      <c r="B24">
        <v>16</v>
      </c>
      <c r="C24">
        <f t="shared" si="21"/>
        <v>2.4259842215488985</v>
      </c>
      <c r="D24">
        <f t="shared" si="23"/>
        <v>0.28915117240091703</v>
      </c>
      <c r="E24">
        <f t="shared" si="4"/>
        <v>0.28915117240091703</v>
      </c>
      <c r="F24">
        <f t="shared" si="5"/>
        <v>0</v>
      </c>
      <c r="G24" s="9">
        <f t="shared" si="6"/>
        <v>0.11918922218558578</v>
      </c>
      <c r="H24" s="9">
        <f t="shared" si="6"/>
        <v>0.11918922218558578</v>
      </c>
      <c r="I24" s="9">
        <f t="shared" si="6"/>
        <v>0</v>
      </c>
      <c r="J24" s="9">
        <f t="shared" si="7"/>
        <v>1.5494598884126153E-2</v>
      </c>
      <c r="K24" s="9">
        <f t="shared" si="8"/>
        <v>2.3837844437117159E-2</v>
      </c>
      <c r="L24" s="9">
        <f t="shared" si="9"/>
        <v>0</v>
      </c>
      <c r="M24">
        <f t="shared" si="0"/>
        <v>2.3314603909432416</v>
      </c>
      <c r="N24">
        <f t="shared" si="10"/>
        <v>1.8232096890437521</v>
      </c>
      <c r="O24">
        <f t="shared" si="24"/>
        <v>0.50825070189948951</v>
      </c>
      <c r="P24">
        <f t="shared" si="22"/>
        <v>2.1590248840507948</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0.1724355068924468</v>
      </c>
      <c r="AB24">
        <f t="shared" si="11"/>
        <v>3.7590373720663359E-2</v>
      </c>
      <c r="AC24">
        <f t="shared" si="12"/>
        <v>0.13484513317178345</v>
      </c>
      <c r="AD24">
        <f t="shared" si="3"/>
        <v>0.43180497681015906</v>
      </c>
      <c r="AE24">
        <f t="shared" si="13"/>
        <v>0</v>
      </c>
      <c r="AF24">
        <f t="shared" si="14"/>
        <v>0.4797833075668434</v>
      </c>
      <c r="AG24">
        <f t="shared" si="15"/>
        <v>0.86360995362031812</v>
      </c>
      <c r="AH24">
        <f t="shared" si="16"/>
        <v>0</v>
      </c>
      <c r="AI24">
        <f t="shared" si="17"/>
        <v>0.11363288863425236</v>
      </c>
      <c r="AJ24">
        <f t="shared" si="18"/>
        <v>0</v>
      </c>
      <c r="AK24">
        <f t="shared" si="19"/>
        <v>0.43180497681015906</v>
      </c>
      <c r="AL24">
        <f t="shared" si="20"/>
        <v>0</v>
      </c>
    </row>
    <row r="25" spans="1:38" x14ac:dyDescent="0.2">
      <c r="A25">
        <v>2042</v>
      </c>
      <c r="B25">
        <v>17</v>
      </c>
      <c r="C25">
        <f t="shared" si="21"/>
        <v>2.4769298902014252</v>
      </c>
      <c r="D25">
        <f t="shared" si="23"/>
        <v>0.31325801527396635</v>
      </c>
      <c r="E25">
        <f t="shared" si="4"/>
        <v>0.31325801527396635</v>
      </c>
      <c r="F25">
        <f t="shared" si="5"/>
        <v>0</v>
      </c>
      <c r="G25" s="9">
        <f t="shared" si="6"/>
        <v>0.12647027940241459</v>
      </c>
      <c r="H25" s="9">
        <f t="shared" si="6"/>
        <v>0.12647027940241459</v>
      </c>
      <c r="I25" s="9">
        <f t="shared" si="6"/>
        <v>0</v>
      </c>
      <c r="J25" s="9">
        <f t="shared" si="7"/>
        <v>1.6441136322313896E-2</v>
      </c>
      <c r="K25" s="9">
        <f t="shared" si="8"/>
        <v>2.5294055880482919E-2</v>
      </c>
      <c r="L25" s="9">
        <f t="shared" si="9"/>
        <v>0</v>
      </c>
      <c r="M25">
        <f t="shared" si="0"/>
        <v>2.3745848087076515</v>
      </c>
      <c r="N25">
        <f t="shared" si="10"/>
        <v>1.8782431142516209</v>
      </c>
      <c r="O25">
        <f t="shared" si="24"/>
        <v>0.4963416944560306</v>
      </c>
      <c r="P25">
        <f>IF($I$3=0,0,M25/(1+EXP(-$I$3*(B25-$J$3)))-M25/(1+EXP($I$3*$J$3)))</f>
        <v>2.2509206566576987</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0.12366415204995285</v>
      </c>
      <c r="AB25">
        <f t="shared" si="11"/>
        <v>2.584859237154271E-2</v>
      </c>
      <c r="AC25">
        <f t="shared" si="12"/>
        <v>9.781555967841013E-2</v>
      </c>
      <c r="AD25">
        <f t="shared" si="3"/>
        <v>0.45018413133153978</v>
      </c>
      <c r="AE25">
        <f t="shared" si="13"/>
        <v>0</v>
      </c>
      <c r="AF25">
        <f t="shared" si="14"/>
        <v>0.5002045903683775</v>
      </c>
      <c r="AG25">
        <f t="shared" si="15"/>
        <v>0.90036826266307957</v>
      </c>
      <c r="AH25">
        <f t="shared" si="16"/>
        <v>0</v>
      </c>
      <c r="AI25">
        <f t="shared" si="17"/>
        <v>0.11846950824514205</v>
      </c>
      <c r="AJ25">
        <f t="shared" si="18"/>
        <v>0</v>
      </c>
      <c r="AK25">
        <f t="shared" si="19"/>
        <v>0.45018413133153978</v>
      </c>
      <c r="AL25">
        <f t="shared" si="20"/>
        <v>0</v>
      </c>
    </row>
    <row r="26" spans="1:38" x14ac:dyDescent="0.2">
      <c r="A26">
        <v>2043</v>
      </c>
      <c r="B26">
        <v>18</v>
      </c>
      <c r="C26">
        <f t="shared" si="21"/>
        <v>2.5289454178956547</v>
      </c>
      <c r="D26">
        <f t="shared" si="23"/>
        <v>0.33815172708385521</v>
      </c>
      <c r="E26">
        <f t="shared" si="4"/>
        <v>0.33815172708385521</v>
      </c>
      <c r="F26">
        <f t="shared" si="5"/>
        <v>0</v>
      </c>
      <c r="G26" s="9">
        <f t="shared" si="6"/>
        <v>0.13371254464053739</v>
      </c>
      <c r="H26" s="9">
        <f t="shared" si="6"/>
        <v>0.13371254464053739</v>
      </c>
      <c r="I26" s="9">
        <f t="shared" si="6"/>
        <v>0</v>
      </c>
      <c r="J26" s="9">
        <f t="shared" si="7"/>
        <v>1.738263080326986E-2</v>
      </c>
      <c r="K26" s="9">
        <f t="shared" si="8"/>
        <v>2.6742508928107478E-2</v>
      </c>
      <c r="L26" s="9">
        <f t="shared" si="9"/>
        <v>0</v>
      </c>
      <c r="M26">
        <f t="shared" si="0"/>
        <v>2.4185309412834601</v>
      </c>
      <c r="N26">
        <f t="shared" si="10"/>
        <v>1.9293447741755552</v>
      </c>
      <c r="O26">
        <f t="shared" si="24"/>
        <v>0.48918616710790497</v>
      </c>
      <c r="P26">
        <f t="shared" si="22"/>
        <v>2.3276330286704963</v>
      </c>
      <c r="Q26" s="9">
        <f t="shared" si="1"/>
        <v>0.96241606379254074</v>
      </c>
      <c r="R26">
        <f>VLOOKUP($B$1,dictionary!$A$3:$K$51,3,FALSE)*Q26</f>
        <v>0.19248321275850816</v>
      </c>
      <c r="S26">
        <f>VLOOKUP($B$1,dictionary!$A$3:$K$51,4,FALSE)*Q26</f>
        <v>0</v>
      </c>
      <c r="T26">
        <f>VLOOKUP($B$1,dictionary!$A$3:$K$51,5,FALSE)*Q26</f>
        <v>0.19248321275850816</v>
      </c>
      <c r="U26">
        <f>VLOOKUP($B$1,dictionary!$A$3:$K$51,6,FALSE)*Q26</f>
        <v>0.33684562232738924</v>
      </c>
      <c r="V26">
        <f>VLOOKUP($B$1,dictionary!$A$3:$K$51,7,FALSE)*Q26</f>
        <v>0</v>
      </c>
      <c r="W26">
        <f>VLOOKUP($B$1,dictionary!$A$3:$K$51,8,FALSE)*Q26</f>
        <v>4.812080318962704E-2</v>
      </c>
      <c r="X26">
        <f>VLOOKUP($B$1,dictionary!$A$3:$K$51,9,FALSE)*Q26</f>
        <v>0</v>
      </c>
      <c r="Y26">
        <f>VLOOKUP($B$1,dictionary!$A$3:$K$51,10,FALSE)*Q26</f>
        <v>0.19248321275850816</v>
      </c>
      <c r="Z26">
        <f>VLOOKUP($B$1,dictionary!$A$3:$K$51,11,FALSE)*Q26</f>
        <v>0</v>
      </c>
      <c r="AA26">
        <f t="shared" si="2"/>
        <v>9.0897912612963871E-2</v>
      </c>
      <c r="AB26">
        <f t="shared" si="11"/>
        <v>1.8385541698154987E-2</v>
      </c>
      <c r="AC26">
        <f t="shared" si="12"/>
        <v>7.2512370914808888E-2</v>
      </c>
      <c r="AD26">
        <f t="shared" si="3"/>
        <v>0.46552660573409926</v>
      </c>
      <c r="AE26">
        <f t="shared" si="13"/>
        <v>0</v>
      </c>
      <c r="AF26">
        <f t="shared" si="14"/>
        <v>0.51725178414899919</v>
      </c>
      <c r="AG26">
        <f t="shared" si="15"/>
        <v>0.93105321146819864</v>
      </c>
      <c r="AH26">
        <f t="shared" si="16"/>
        <v>0</v>
      </c>
      <c r="AI26">
        <f t="shared" si="17"/>
        <v>0.12250700150897349</v>
      </c>
      <c r="AJ26">
        <f t="shared" si="18"/>
        <v>0</v>
      </c>
      <c r="AK26">
        <f t="shared" si="19"/>
        <v>0.46552660573409926</v>
      </c>
      <c r="AL26">
        <f t="shared" si="20"/>
        <v>0</v>
      </c>
    </row>
    <row r="27" spans="1:38" x14ac:dyDescent="0.2">
      <c r="A27">
        <v>2044</v>
      </c>
      <c r="B27">
        <v>19</v>
      </c>
      <c r="C27">
        <f t="shared" si="21"/>
        <v>2.5820532716714633</v>
      </c>
      <c r="D27">
        <f t="shared" si="23"/>
        <v>0.36384511850439738</v>
      </c>
      <c r="E27">
        <f t="shared" si="4"/>
        <v>0.36384511850439738</v>
      </c>
      <c r="F27">
        <f t="shared" si="5"/>
        <v>0</v>
      </c>
      <c r="G27" s="9">
        <f t="shared" si="6"/>
        <v>0.14091309520847581</v>
      </c>
      <c r="H27" s="9">
        <f t="shared" si="6"/>
        <v>0.14091309520847581</v>
      </c>
      <c r="I27" s="9">
        <f t="shared" si="6"/>
        <v>0</v>
      </c>
      <c r="J27" s="9">
        <f t="shared" si="7"/>
        <v>1.8318702377101856E-2</v>
      </c>
      <c r="K27" s="9">
        <f t="shared" si="8"/>
        <v>2.8182619041695164E-2</v>
      </c>
      <c r="L27" s="9">
        <f t="shared" si="9"/>
        <v>0</v>
      </c>
      <c r="M27">
        <f t="shared" si="0"/>
        <v>2.4633174166524605</v>
      </c>
      <c r="N27">
        <f t="shared" si="10"/>
        <v>1.9775523170341001</v>
      </c>
      <c r="O27">
        <f t="shared" si="24"/>
        <v>0.48576509961836045</v>
      </c>
      <c r="P27">
        <f t="shared" si="22"/>
        <v>2.3940711600047897</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6.9246256647670812E-2</v>
      </c>
      <c r="AB27">
        <f t="shared" si="11"/>
        <v>1.3655331030933937E-2</v>
      </c>
      <c r="AC27">
        <f t="shared" si="12"/>
        <v>5.5590925616736876E-2</v>
      </c>
      <c r="AD27">
        <f t="shared" si="3"/>
        <v>0.47881423200095796</v>
      </c>
      <c r="AE27">
        <f t="shared" si="13"/>
        <v>0</v>
      </c>
      <c r="AF27">
        <f t="shared" si="14"/>
        <v>0.53201581333439774</v>
      </c>
      <c r="AG27">
        <f t="shared" si="15"/>
        <v>0.95762846400191592</v>
      </c>
      <c r="AH27">
        <f t="shared" si="16"/>
        <v>0</v>
      </c>
      <c r="AI27">
        <f t="shared" si="17"/>
        <v>0.12600374526340999</v>
      </c>
      <c r="AJ27">
        <f t="shared" si="18"/>
        <v>0</v>
      </c>
      <c r="AK27">
        <f t="shared" si="19"/>
        <v>0.47881423200095796</v>
      </c>
      <c r="AL27">
        <f t="shared" si="20"/>
        <v>0</v>
      </c>
    </row>
    <row r="28" spans="1:38" x14ac:dyDescent="0.2">
      <c r="A28">
        <v>2045</v>
      </c>
      <c r="B28">
        <v>20</v>
      </c>
      <c r="C28">
        <f t="shared" si="21"/>
        <v>2.6362763903765636</v>
      </c>
      <c r="D28">
        <f t="shared" si="23"/>
        <v>0.39035101788485616</v>
      </c>
      <c r="E28">
        <f t="shared" si="4"/>
        <v>0.39035101788485616</v>
      </c>
      <c r="F28">
        <f t="shared" si="5"/>
        <v>0</v>
      </c>
      <c r="G28" s="9">
        <f t="shared" si="6"/>
        <v>0.14806907929297153</v>
      </c>
      <c r="H28" s="9">
        <f t="shared" si="6"/>
        <v>0.14806907929297153</v>
      </c>
      <c r="I28" s="9">
        <f t="shared" si="6"/>
        <v>0</v>
      </c>
      <c r="J28" s="9">
        <f t="shared" si="7"/>
        <v>1.9248980308086298E-2</v>
      </c>
      <c r="K28" s="9">
        <f t="shared" si="8"/>
        <v>2.9613815858594308E-2</v>
      </c>
      <c r="L28" s="9">
        <f t="shared" si="9"/>
        <v>0</v>
      </c>
      <c r="M28">
        <f t="shared" si="0"/>
        <v>2.5089633262858624</v>
      </c>
      <c r="N28">
        <f t="shared" si="10"/>
        <v>2.0236985411490607</v>
      </c>
      <c r="O28">
        <f t="shared" si="24"/>
        <v>0.48526478513680171</v>
      </c>
      <c r="P28">
        <f t="shared" si="22"/>
        <v>2.4538316540295324</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5.5131672256329978E-2</v>
      </c>
      <c r="AB28">
        <f t="shared" si="11"/>
        <v>1.0663152709890326E-2</v>
      </c>
      <c r="AC28">
        <f t="shared" si="12"/>
        <v>4.4468519546439655E-2</v>
      </c>
      <c r="AD28">
        <f t="shared" si="3"/>
        <v>0.49076633080590648</v>
      </c>
      <c r="AE28">
        <f t="shared" si="13"/>
        <v>0</v>
      </c>
      <c r="AF28">
        <f t="shared" si="14"/>
        <v>0.54529592311767394</v>
      </c>
      <c r="AG28">
        <f t="shared" si="15"/>
        <v>0.98153266161181307</v>
      </c>
      <c r="AH28">
        <f t="shared" si="16"/>
        <v>0</v>
      </c>
      <c r="AI28">
        <f t="shared" si="17"/>
        <v>0.12914903442260697</v>
      </c>
      <c r="AJ28">
        <f t="shared" si="18"/>
        <v>0</v>
      </c>
      <c r="AK28">
        <f t="shared" si="19"/>
        <v>0.49076633080590648</v>
      </c>
      <c r="AL28">
        <f t="shared" si="20"/>
        <v>0</v>
      </c>
    </row>
    <row r="29" spans="1:38" x14ac:dyDescent="0.2">
      <c r="A29">
        <v>2046</v>
      </c>
      <c r="B29">
        <v>21</v>
      </c>
      <c r="C29">
        <f t="shared" si="21"/>
        <v>2.691638194574471</v>
      </c>
      <c r="D29">
        <f t="shared" si="23"/>
        <v>0.41768227840313377</v>
      </c>
      <c r="E29">
        <f t="shared" si="4"/>
        <v>0.41768227840313377</v>
      </c>
      <c r="F29">
        <f t="shared" si="5"/>
        <v>0</v>
      </c>
      <c r="G29" s="9">
        <f t="shared" si="6"/>
        <v>0.15517772011299846</v>
      </c>
      <c r="H29" s="9">
        <f t="shared" si="6"/>
        <v>0.15517772011299846</v>
      </c>
      <c r="I29" s="9">
        <f t="shared" si="6"/>
        <v>0</v>
      </c>
      <c r="J29" s="9">
        <f t="shared" si="7"/>
        <v>2.01731036146898E-2</v>
      </c>
      <c r="K29" s="9">
        <f t="shared" si="8"/>
        <v>3.1035544022599695E-2</v>
      </c>
      <c r="L29" s="9">
        <f t="shared" si="9"/>
        <v>0</v>
      </c>
      <c r="M29">
        <f t="shared" si="0"/>
        <v>2.5554882322774861</v>
      </c>
      <c r="N29">
        <f t="shared" si="10"/>
        <v>2.068442598396258</v>
      </c>
      <c r="O29">
        <f t="shared" si="24"/>
        <v>0.48704563388122812</v>
      </c>
      <c r="P29">
        <f t="shared" si="22"/>
        <v>2.5094369804710093</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4.6051251806476845E-2</v>
      </c>
      <c r="AB29">
        <f t="shared" si="11"/>
        <v>8.7768203522974094E-3</v>
      </c>
      <c r="AC29">
        <f t="shared" si="12"/>
        <v>3.7274431454179441E-2</v>
      </c>
      <c r="AD29">
        <f t="shared" si="3"/>
        <v>0.50188739609420185</v>
      </c>
      <c r="AE29">
        <f t="shared" si="13"/>
        <v>0</v>
      </c>
      <c r="AF29">
        <f t="shared" si="14"/>
        <v>0.55765266232689104</v>
      </c>
      <c r="AG29">
        <f t="shared" si="15"/>
        <v>1.0037747921884039</v>
      </c>
      <c r="AH29">
        <f t="shared" si="16"/>
        <v>0</v>
      </c>
      <c r="AI29">
        <f t="shared" si="17"/>
        <v>0.13207563055110574</v>
      </c>
      <c r="AJ29">
        <f t="shared" si="18"/>
        <v>0</v>
      </c>
      <c r="AK29">
        <f t="shared" si="19"/>
        <v>0.50188739609420185</v>
      </c>
      <c r="AL29">
        <f t="shared" si="20"/>
        <v>0</v>
      </c>
    </row>
    <row r="30" spans="1:38" x14ac:dyDescent="0.2">
      <c r="A30">
        <v>2047</v>
      </c>
      <c r="B30">
        <v>22</v>
      </c>
      <c r="C30">
        <f t="shared" si="21"/>
        <v>2.7481625966605345</v>
      </c>
      <c r="D30">
        <f t="shared" si="23"/>
        <v>0.44585178592768626</v>
      </c>
      <c r="E30">
        <f t="shared" si="4"/>
        <v>0.44585178592768626</v>
      </c>
      <c r="F30">
        <f t="shared" si="5"/>
        <v>0</v>
      </c>
      <c r="G30" s="9">
        <f t="shared" si="6"/>
        <v>0.16223631981217881</v>
      </c>
      <c r="H30" s="9">
        <f t="shared" si="6"/>
        <v>0.16223631981217881</v>
      </c>
      <c r="I30" s="9">
        <f t="shared" si="6"/>
        <v>0</v>
      </c>
      <c r="J30" s="9">
        <f t="shared" si="7"/>
        <v>2.1090721575583248E-2</v>
      </c>
      <c r="K30" s="9">
        <f t="shared" si="8"/>
        <v>3.2447263962435767E-2</v>
      </c>
      <c r="L30" s="9">
        <f t="shared" si="9"/>
        <v>0</v>
      </c>
      <c r="M30">
        <f t="shared" si="0"/>
        <v>2.6029121744805934</v>
      </c>
      <c r="N30">
        <f t="shared" si="10"/>
        <v>2.1123014265516487</v>
      </c>
      <c r="O30">
        <f t="shared" si="24"/>
        <v>0.49061074792894477</v>
      </c>
      <c r="P30">
        <f t="shared" si="22"/>
        <v>2.5626107235966984</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4.0301450883895029E-2</v>
      </c>
      <c r="AB30">
        <f t="shared" si="11"/>
        <v>7.596232079829934E-3</v>
      </c>
      <c r="AC30">
        <f t="shared" si="12"/>
        <v>3.2705218804065093E-2</v>
      </c>
      <c r="AD30">
        <f t="shared" si="3"/>
        <v>0.51252214471933977</v>
      </c>
      <c r="AE30">
        <f t="shared" si="13"/>
        <v>0</v>
      </c>
      <c r="AF30">
        <f t="shared" si="14"/>
        <v>0.56946904968815526</v>
      </c>
      <c r="AG30">
        <f t="shared" si="15"/>
        <v>1.0250442894386795</v>
      </c>
      <c r="AH30">
        <f t="shared" si="16"/>
        <v>0</v>
      </c>
      <c r="AI30">
        <f t="shared" si="17"/>
        <v>0.13487424861035255</v>
      </c>
      <c r="AJ30">
        <f t="shared" si="18"/>
        <v>0</v>
      </c>
      <c r="AK30">
        <f t="shared" si="19"/>
        <v>0.51252214471933977</v>
      </c>
      <c r="AL30">
        <f t="shared" si="20"/>
        <v>0</v>
      </c>
    </row>
    <row r="31" spans="1:38" x14ac:dyDescent="0.2">
      <c r="A31">
        <v>2048</v>
      </c>
      <c r="B31">
        <v>23</v>
      </c>
      <c r="C31">
        <f t="shared" si="21"/>
        <v>2.8058740111904057</v>
      </c>
      <c r="D31">
        <f t="shared" si="23"/>
        <v>0.47487246757080381</v>
      </c>
      <c r="E31">
        <f t="shared" si="4"/>
        <v>0.47487246757080381</v>
      </c>
      <c r="F31">
        <f t="shared" si="5"/>
        <v>0</v>
      </c>
      <c r="G31" s="9">
        <f t="shared" si="6"/>
        <v>0.16924226307985113</v>
      </c>
      <c r="H31" s="9">
        <f t="shared" si="6"/>
        <v>0.16924226307985113</v>
      </c>
      <c r="I31" s="9">
        <f t="shared" si="6"/>
        <v>0</v>
      </c>
      <c r="J31" s="9">
        <f t="shared" si="7"/>
        <v>2.2001494200380646E-2</v>
      </c>
      <c r="K31" s="9">
        <f t="shared" si="8"/>
        <v>3.3848452615970227E-2</v>
      </c>
      <c r="L31" s="9">
        <f t="shared" si="9"/>
        <v>0</v>
      </c>
      <c r="M31">
        <f t="shared" si="0"/>
        <v>2.6512556776602763</v>
      </c>
      <c r="N31">
        <f t="shared" si="10"/>
        <v>2.1556782021722674</v>
      </c>
      <c r="O31">
        <f t="shared" si="24"/>
        <v>0.4955774754880089</v>
      </c>
      <c r="P31">
        <f t="shared" si="22"/>
        <v>2.614513060527603</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3.6742617132673239E-2</v>
      </c>
      <c r="AB31">
        <f t="shared" si="11"/>
        <v>6.8679960197206933E-3</v>
      </c>
      <c r="AC31">
        <f t="shared" si="12"/>
        <v>2.9874621112952544E-2</v>
      </c>
      <c r="AD31">
        <f t="shared" si="3"/>
        <v>0.52290261210552058</v>
      </c>
      <c r="AE31">
        <f t="shared" si="13"/>
        <v>0</v>
      </c>
      <c r="AF31">
        <f t="shared" si="14"/>
        <v>0.58100290233946739</v>
      </c>
      <c r="AG31">
        <f t="shared" si="15"/>
        <v>1.0458052242110412</v>
      </c>
      <c r="AH31">
        <f t="shared" si="16"/>
        <v>0</v>
      </c>
      <c r="AI31">
        <f t="shared" si="17"/>
        <v>0.13760595055408437</v>
      </c>
      <c r="AJ31">
        <f t="shared" si="18"/>
        <v>0</v>
      </c>
      <c r="AK31">
        <f t="shared" si="19"/>
        <v>0.52290261210552058</v>
      </c>
      <c r="AL31">
        <f t="shared" si="20"/>
        <v>0</v>
      </c>
    </row>
    <row r="32" spans="1:38" x14ac:dyDescent="0.2">
      <c r="A32">
        <v>2049</v>
      </c>
      <c r="B32">
        <v>24</v>
      </c>
      <c r="C32">
        <f t="shared" si="21"/>
        <v>2.864797365425404</v>
      </c>
      <c r="D32">
        <f t="shared" si="23"/>
        <v>0.50475730091352</v>
      </c>
      <c r="E32">
        <f t="shared" si="4"/>
        <v>0.50475730091352</v>
      </c>
      <c r="F32">
        <f t="shared" si="5"/>
        <v>0</v>
      </c>
      <c r="G32" s="9">
        <f t="shared" si="6"/>
        <v>0.17619302049259139</v>
      </c>
      <c r="H32" s="9">
        <f t="shared" si="6"/>
        <v>0.17619302049259139</v>
      </c>
      <c r="I32" s="9">
        <f t="shared" si="6"/>
        <v>0</v>
      </c>
      <c r="J32" s="9">
        <f t="shared" si="7"/>
        <v>2.2905092664036883E-2</v>
      </c>
      <c r="K32" s="9">
        <f t="shared" si="8"/>
        <v>3.5238604098518277E-2</v>
      </c>
      <c r="L32" s="9">
        <f t="shared" si="9"/>
        <v>0</v>
      </c>
      <c r="M32">
        <f t="shared" si="0"/>
        <v>2.700539758673997</v>
      </c>
      <c r="N32">
        <f t="shared" si="10"/>
        <v>2.198886598916816</v>
      </c>
      <c r="O32">
        <f t="shared" si="24"/>
        <v>0.50165315975718094</v>
      </c>
      <c r="P32">
        <f t="shared" si="22"/>
        <v>2.6659191587843862</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3.4620599889610748E-2</v>
      </c>
      <c r="AB32">
        <f t="shared" si="11"/>
        <v>6.4311340988514251E-3</v>
      </c>
      <c r="AC32">
        <f t="shared" si="12"/>
        <v>2.8189465790759323E-2</v>
      </c>
      <c r="AD32">
        <f t="shared" si="3"/>
        <v>0.53318383175687734</v>
      </c>
      <c r="AE32">
        <f t="shared" si="13"/>
        <v>0</v>
      </c>
      <c r="AF32">
        <f t="shared" si="14"/>
        <v>0.59242647972986373</v>
      </c>
      <c r="AG32">
        <f t="shared" si="15"/>
        <v>1.0663676635137544</v>
      </c>
      <c r="AH32">
        <f t="shared" si="16"/>
        <v>0</v>
      </c>
      <c r="AI32">
        <f t="shared" si="17"/>
        <v>0.14031153467286245</v>
      </c>
      <c r="AJ32">
        <f t="shared" si="18"/>
        <v>0</v>
      </c>
      <c r="AK32">
        <f t="shared" si="19"/>
        <v>0.53318383175687734</v>
      </c>
      <c r="AL32">
        <f t="shared" si="20"/>
        <v>0</v>
      </c>
    </row>
    <row r="33" spans="1:38" x14ac:dyDescent="0.2">
      <c r="A33">
        <v>2050</v>
      </c>
      <c r="B33">
        <v>25</v>
      </c>
      <c r="C33">
        <f t="shared" si="21"/>
        <v>2.9249581100993374</v>
      </c>
      <c r="D33">
        <f t="shared" si="23"/>
        <v>0.53551932388021695</v>
      </c>
      <c r="E33">
        <f t="shared" si="4"/>
        <v>0.53551932388021695</v>
      </c>
      <c r="F33">
        <f t="shared" si="5"/>
        <v>0</v>
      </c>
      <c r="G33" s="9">
        <f t="shared" si="6"/>
        <v>0.18308615156954491</v>
      </c>
      <c r="H33" s="9">
        <f t="shared" si="6"/>
        <v>0.18308615156954491</v>
      </c>
      <c r="I33" s="9">
        <f t="shared" si="6"/>
        <v>0</v>
      </c>
      <c r="J33" s="9">
        <f t="shared" si="7"/>
        <v>2.3801199704040838E-2</v>
      </c>
      <c r="K33" s="9">
        <f t="shared" si="8"/>
        <v>3.6617230313908983E-2</v>
      </c>
      <c r="L33" s="9">
        <f t="shared" si="9"/>
        <v>0</v>
      </c>
      <c r="M33">
        <f t="shared" si="0"/>
        <v>2.750785933693475</v>
      </c>
      <c r="N33">
        <f t="shared" si="10"/>
        <v>2.2421707118616903</v>
      </c>
      <c r="O33">
        <f t="shared" si="24"/>
        <v>0.50861522183178476</v>
      </c>
      <c r="P33">
        <f t="shared" si="22"/>
        <v>2.7173461340645169</v>
      </c>
      <c r="Q33" s="9">
        <f t="shared" si="1"/>
        <v>0.98784354710435118</v>
      </c>
      <c r="R33">
        <f>VLOOKUP($B$1,dictionary!$A$3:$K$51,3,FALSE)*Q33</f>
        <v>0.19756870942087024</v>
      </c>
      <c r="S33">
        <f>VLOOKUP($B$1,dictionary!$A$3:$K$51,4,FALSE)*Q33</f>
        <v>0</v>
      </c>
      <c r="T33">
        <f>VLOOKUP($B$1,dictionary!$A$3:$K$51,5,FALSE)*Q33</f>
        <v>0.19756870942087024</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0.19756870942087024</v>
      </c>
      <c r="Z33">
        <f>VLOOKUP($B$1,dictionary!$A$3:$K$51,11,FALSE)*Q33</f>
        <v>0</v>
      </c>
      <c r="AA33">
        <f t="shared" si="2"/>
        <v>3.3439799628958156E-2</v>
      </c>
      <c r="AB33">
        <f t="shared" si="11"/>
        <v>6.1829569862080786E-3</v>
      </c>
      <c r="AC33">
        <f t="shared" si="12"/>
        <v>2.7256842642750075E-2</v>
      </c>
      <c r="AD33">
        <f t="shared" si="3"/>
        <v>0.54346922681290333</v>
      </c>
      <c r="AE33">
        <f t="shared" si="13"/>
        <v>0</v>
      </c>
      <c r="AF33">
        <f t="shared" si="14"/>
        <v>0.60385469645878154</v>
      </c>
      <c r="AG33">
        <f t="shared" si="15"/>
        <v>1.0869384536258069</v>
      </c>
      <c r="AH33">
        <f t="shared" si="16"/>
        <v>0</v>
      </c>
      <c r="AI33">
        <f t="shared" si="17"/>
        <v>0.14301821758234298</v>
      </c>
      <c r="AJ33">
        <f t="shared" si="18"/>
        <v>0</v>
      </c>
      <c r="AK33">
        <f t="shared" si="19"/>
        <v>0.54346922681290333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DBD1D-7FC0-3848-A8F2-DF360734FFDE}">
  <sheetPr>
    <tabColor theme="4" tint="0.79998168889431442"/>
  </sheetPr>
  <dimension ref="A1:AY37"/>
  <sheetViews>
    <sheetView topLeftCell="N1"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29</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5.0618200188849336</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5.0618200188849336</v>
      </c>
      <c r="N8">
        <f>IF($N$7="LFO",M8/(1+EXP(-$I$4*(B8-$J$4)))-M8/(1+EXP($I$4*$J$4)),IF($N$7="MGO",M8/(1+EXP(-$I$5*(B8-$J$5)))-M8/(1+EXP($I$5*$J$5)),0))</f>
        <v>0</v>
      </c>
      <c r="O8">
        <f>M8-N8</f>
        <v>5.0618200188849336</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5.0618200188849336</v>
      </c>
      <c r="AB8">
        <f>O8/M8*AA8</f>
        <v>5.0618200188849336</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5.168118239281517</v>
      </c>
      <c r="D9">
        <f>IF($E$2=0,0,C9/(1+EXP(-$E$2*(B9-$G$2)))-C9/(1+EXP($E$2*$G$2)))</f>
        <v>3.858410396725942E-2</v>
      </c>
      <c r="E9">
        <f t="shared" ref="E9:E33" si="4">IF($E$3=0,0,C9/(1+EXP(-$E$3*(B9-$G$3)))-C9/(1+EXP($E$3*$G$3)))</f>
        <v>3.858410396725942E-2</v>
      </c>
      <c r="F9">
        <f t="shared" ref="F9:F33" si="5">IF($E$4=0,0,C9/(1+EXP(-$E$4*(B9-$G$4)))-C9/(1+EXP($E$4*$G$4)))</f>
        <v>0</v>
      </c>
      <c r="G9" s="9">
        <f t="shared" ref="G9:I33" si="6">D9/$C9</f>
        <v>7.4657935791777597E-3</v>
      </c>
      <c r="H9" s="9">
        <f t="shared" si="6"/>
        <v>7.4657935791777597E-3</v>
      </c>
      <c r="I9" s="9">
        <f t="shared" si="6"/>
        <v>0</v>
      </c>
      <c r="J9" s="9">
        <f t="shared" ref="J9:J33" si="7">G9*$F$2</f>
        <v>9.7055316529310882E-4</v>
      </c>
      <c r="K9" s="9">
        <f t="shared" ref="K9:K33" si="8">H9*$F$3</f>
        <v>1.4931587158355519E-3</v>
      </c>
      <c r="L9" s="9">
        <f t="shared" ref="L9:L33" si="9">I9*$F$4</f>
        <v>0</v>
      </c>
      <c r="M9">
        <f t="shared" si="0"/>
        <v>5.1553929745571683</v>
      </c>
      <c r="N9">
        <f t="shared" ref="N9:N33" si="10">IF($N$7="LFO",M9/(1+EXP(-$I$4*(B9-$J$4)))-M9/(1+EXP($I$4*$J$4)),IF($N$7="MGO",M9/(1+EXP(-$I$5*(B9-$J$5)))-M9/(1+EXP($I$5*$J$5)),0))</f>
        <v>0.25287044112206314</v>
      </c>
      <c r="O9">
        <f>M9-N9</f>
        <v>4.9025225334351052</v>
      </c>
      <c r="P9">
        <f>IF($I$3=0,0,M9/(1+EXP(-$I$3*(B9-$J$3)))-M9/(1+EXP($I$3*$J$3)))</f>
        <v>3.1639114202362935E-2</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5.123753860354805</v>
      </c>
      <c r="AB9">
        <f t="shared" ref="AB9:AB33" si="11">O9/M9*AA9</f>
        <v>4.8724353080614984</v>
      </c>
      <c r="AC9">
        <f t="shared" ref="AC9:AC33" si="12">N9/M9*AA9</f>
        <v>0.25131855229330702</v>
      </c>
      <c r="AD9">
        <f t="shared" si="3"/>
        <v>6.3278228404725885E-3</v>
      </c>
      <c r="AE9">
        <f t="shared" ref="AE9:AE33" si="13">S9*$O9*$AE$2+S9*$N9*$AE$3</f>
        <v>0</v>
      </c>
      <c r="AF9">
        <f t="shared" ref="AF9:AF33" si="14">T9*$O9*$AF$2+T9*$N9*$AF$3</f>
        <v>7.0309142671917653E-3</v>
      </c>
      <c r="AG9">
        <f t="shared" ref="AG9:AG33" si="15">U9*$O9*$AG$2+U9*$N9*$AG$3</f>
        <v>1.2655645680945175E-2</v>
      </c>
      <c r="AH9">
        <f t="shared" ref="AH9:AH33" si="16">V9*$O9*$AH$2+V9*$N9*$AH$3</f>
        <v>0</v>
      </c>
      <c r="AI9">
        <f t="shared" ref="AI9:AI33" si="17">W9*$O9*$AI$2+W9*$N9*$AI$3</f>
        <v>1.6652165369664704E-3</v>
      </c>
      <c r="AJ9">
        <f t="shared" ref="AJ9:AJ33" si="18">X9*$O9*$AJ$2+X9*$N9*$AJ$3</f>
        <v>0</v>
      </c>
      <c r="AK9">
        <f t="shared" ref="AK9:AK33" si="19">Y9*$O9*$AK$2+Y9*$N9*$AK$3</f>
        <v>6.3278228404725885E-3</v>
      </c>
      <c r="AL9">
        <f t="shared" ref="AL9:AL33" si="20">Z9*$O9*$AL$2+Z9*$N9*$AL$3</f>
        <v>0</v>
      </c>
    </row>
    <row r="10" spans="1:51" x14ac:dyDescent="0.2">
      <c r="A10">
        <v>2027</v>
      </c>
      <c r="B10">
        <v>2</v>
      </c>
      <c r="C10">
        <f t="shared" ref="C10:C33" si="21">C9*(1+$I$2)</f>
        <v>5.2766487223064287</v>
      </c>
      <c r="D10">
        <f>IF($E$2=0,0,C10/(1+EXP(-$E$2*(B10-$G$2)))-C10/(1+EXP($E$2*$G$2)))</f>
        <v>7.8859623600287421E-2</v>
      </c>
      <c r="E10">
        <f t="shared" si="4"/>
        <v>7.8859623600287421E-2</v>
      </c>
      <c r="F10">
        <f t="shared" si="5"/>
        <v>0</v>
      </c>
      <c r="G10" s="9">
        <f t="shared" si="6"/>
        <v>1.4945020551949456E-2</v>
      </c>
      <c r="H10" s="9">
        <f t="shared" si="6"/>
        <v>1.4945020551949456E-2</v>
      </c>
      <c r="I10" s="9">
        <f t="shared" si="6"/>
        <v>0</v>
      </c>
      <c r="J10" s="9">
        <f t="shared" si="7"/>
        <v>1.9428526717534295E-3</v>
      </c>
      <c r="K10" s="9">
        <f t="shared" si="8"/>
        <v>2.9890041103898916E-3</v>
      </c>
      <c r="L10" s="9">
        <f t="shared" si="9"/>
        <v>0</v>
      </c>
      <c r="M10">
        <f t="shared" si="0"/>
        <v>5.2506556890444145</v>
      </c>
      <c r="N10">
        <f t="shared" si="10"/>
        <v>0.55985102406238851</v>
      </c>
      <c r="O10">
        <f>M10-N10</f>
        <v>4.6908046649820259</v>
      </c>
      <c r="P10">
        <f t="shared" ref="P10:P33" si="22">IF($I$3=0,0,M10/(1+EXP(-$I$3*(B10-$J$3)))-M10/(1+EXP($I$3*$J$3)))</f>
        <v>8.1963002807319746E-2</v>
      </c>
      <c r="Q10" s="9">
        <f t="shared" si="1"/>
        <v>1.5610050946272672E-2</v>
      </c>
      <c r="R10">
        <f>VLOOKUP($B$1,dictionary!$A$3:$K$51,3,FALSE)*Q10</f>
        <v>3.1220101892545345E-3</v>
      </c>
      <c r="S10">
        <f>VLOOKUP($B$1,dictionary!$A$3:$K$51,4,FALSE)*Q10</f>
        <v>0</v>
      </c>
      <c r="T10">
        <f>VLOOKUP($B$1,dictionary!$A$3:$K$51,5,FALSE)*Q10</f>
        <v>3.1220101892545345E-3</v>
      </c>
      <c r="U10">
        <f>VLOOKUP($B$1,dictionary!$A$3:$K$51,6,FALSE)*Q10</f>
        <v>5.4635178311954347E-3</v>
      </c>
      <c r="V10">
        <f>VLOOKUP($B$1,dictionary!$A$3:$K$51,7,FALSE)*Q10</f>
        <v>0</v>
      </c>
      <c r="W10">
        <f>VLOOKUP($B$1,dictionary!$A$3:$K$51,8,FALSE)*Q10</f>
        <v>7.8050254731363363E-4</v>
      </c>
      <c r="X10">
        <f>VLOOKUP($B$1,dictionary!$A$3:$K$51,9,FALSE)*Q10</f>
        <v>0</v>
      </c>
      <c r="Y10">
        <f>VLOOKUP($B$1,dictionary!$A$3:$K$51,10,FALSE)*Q10</f>
        <v>3.1220101892545345E-3</v>
      </c>
      <c r="Z10">
        <f>VLOOKUP($B$1,dictionary!$A$3:$K$51,11,FALSE)*Q10</f>
        <v>0</v>
      </c>
      <c r="AA10">
        <f t="shared" si="2"/>
        <v>5.1686926862370948</v>
      </c>
      <c r="AB10">
        <f t="shared" si="11"/>
        <v>4.6175809651826425</v>
      </c>
      <c r="AC10">
        <f t="shared" si="12"/>
        <v>0.55111172105445172</v>
      </c>
      <c r="AD10">
        <f t="shared" si="3"/>
        <v>1.6392600561463952E-2</v>
      </c>
      <c r="AE10">
        <f t="shared" si="13"/>
        <v>0</v>
      </c>
      <c r="AF10">
        <f t="shared" si="14"/>
        <v>1.8214000623848835E-2</v>
      </c>
      <c r="AG10">
        <f t="shared" si="15"/>
        <v>3.2785201122927904E-2</v>
      </c>
      <c r="AH10">
        <f t="shared" si="16"/>
        <v>0</v>
      </c>
      <c r="AI10">
        <f t="shared" si="17"/>
        <v>4.3138422530168289E-3</v>
      </c>
      <c r="AJ10">
        <f t="shared" si="18"/>
        <v>0</v>
      </c>
      <c r="AK10">
        <f t="shared" si="19"/>
        <v>1.6392600561463952E-2</v>
      </c>
      <c r="AL10">
        <f t="shared" si="20"/>
        <v>0</v>
      </c>
    </row>
    <row r="11" spans="1:51" x14ac:dyDescent="0.2">
      <c r="A11">
        <v>2028</v>
      </c>
      <c r="B11">
        <v>3</v>
      </c>
      <c r="C11">
        <f t="shared" si="21"/>
        <v>5.3874583454748635</v>
      </c>
      <c r="D11">
        <f t="shared" ref="D11:D33" si="23">IF($E$2=0,0,C11/(1+EXP(-$E$2*(B11-$G$2)))-C11/(1+EXP($E$2*$G$2)))</f>
        <v>0.12086409232294404</v>
      </c>
      <c r="E11">
        <f t="shared" si="4"/>
        <v>0.12086409232294404</v>
      </c>
      <c r="F11">
        <f t="shared" si="5"/>
        <v>0</v>
      </c>
      <c r="G11" s="9">
        <f t="shared" si="6"/>
        <v>2.2434343724339421E-2</v>
      </c>
      <c r="H11" s="9">
        <f t="shared" si="6"/>
        <v>2.2434343724339421E-2</v>
      </c>
      <c r="I11" s="9">
        <f t="shared" si="6"/>
        <v>0</v>
      </c>
      <c r="J11" s="9">
        <f t="shared" si="7"/>
        <v>2.9164646841641248E-3</v>
      </c>
      <c r="K11" s="9">
        <f t="shared" si="8"/>
        <v>4.4868687448678841E-3</v>
      </c>
      <c r="L11" s="9">
        <f t="shared" si="9"/>
        <v>0</v>
      </c>
      <c r="M11">
        <f t="shared" si="0"/>
        <v>5.3476436941796601</v>
      </c>
      <c r="N11">
        <f t="shared" si="10"/>
        <v>0.91935711754347038</v>
      </c>
      <c r="O11">
        <f t="shared" ref="O11:O33" si="24">M11-N11</f>
        <v>4.4282865766361894</v>
      </c>
      <c r="P11">
        <f t="shared" si="22"/>
        <v>0.16098726027769356</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5.186656433901967</v>
      </c>
      <c r="AB11">
        <f t="shared" si="11"/>
        <v>4.2949759515335746</v>
      </c>
      <c r="AC11">
        <f t="shared" si="12"/>
        <v>0.89168048236839181</v>
      </c>
      <c r="AD11">
        <f t="shared" si="3"/>
        <v>3.2197452055538714E-2</v>
      </c>
      <c r="AE11">
        <f t="shared" si="13"/>
        <v>0</v>
      </c>
      <c r="AF11">
        <f t="shared" si="14"/>
        <v>3.5774946728376347E-2</v>
      </c>
      <c r="AG11">
        <f t="shared" si="15"/>
        <v>6.4394904111077414E-2</v>
      </c>
      <c r="AH11">
        <f t="shared" si="16"/>
        <v>0</v>
      </c>
      <c r="AI11">
        <f t="shared" si="17"/>
        <v>8.473013698825976E-3</v>
      </c>
      <c r="AJ11">
        <f t="shared" si="18"/>
        <v>0</v>
      </c>
      <c r="AK11">
        <f t="shared" si="19"/>
        <v>3.2197452055538714E-2</v>
      </c>
      <c r="AL11">
        <f t="shared" si="20"/>
        <v>0</v>
      </c>
    </row>
    <row r="12" spans="1:51" x14ac:dyDescent="0.2">
      <c r="A12">
        <v>2029</v>
      </c>
      <c r="B12">
        <v>4</v>
      </c>
      <c r="C12">
        <f t="shared" si="21"/>
        <v>5.5005949707298347</v>
      </c>
      <c r="D12">
        <f t="shared" si="23"/>
        <v>0.16463505057877947</v>
      </c>
      <c r="E12">
        <f t="shared" si="4"/>
        <v>0.16463505057877947</v>
      </c>
      <c r="F12">
        <f t="shared" si="5"/>
        <v>0</v>
      </c>
      <c r="G12" s="9">
        <f t="shared" si="6"/>
        <v>2.993040779312919E-2</v>
      </c>
      <c r="H12" s="9">
        <f t="shared" si="6"/>
        <v>2.993040779312919E-2</v>
      </c>
      <c r="I12" s="9">
        <f t="shared" si="6"/>
        <v>0</v>
      </c>
      <c r="J12" s="9">
        <f t="shared" si="7"/>
        <v>3.8909530131067947E-3</v>
      </c>
      <c r="K12" s="9">
        <f t="shared" si="8"/>
        <v>5.9860815586258382E-3</v>
      </c>
      <c r="L12" s="9">
        <f t="shared" si="9"/>
        <v>0</v>
      </c>
      <c r="M12">
        <f t="shared" si="0"/>
        <v>5.4463935214880603</v>
      </c>
      <c r="N12">
        <f t="shared" si="10"/>
        <v>1.3241923284447394</v>
      </c>
      <c r="O12">
        <f t="shared" si="24"/>
        <v>4.1222011930433204</v>
      </c>
      <c r="P12">
        <f t="shared" si="22"/>
        <v>0.28313846529096282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5.1632550561970971</v>
      </c>
      <c r="AB12">
        <f t="shared" si="11"/>
        <v>3.9079027375949571</v>
      </c>
      <c r="AC12">
        <f t="shared" si="12"/>
        <v>1.2553523186021396</v>
      </c>
      <c r="AD12">
        <f t="shared" si="3"/>
        <v>5.6627693058192562E-2</v>
      </c>
      <c r="AE12">
        <f t="shared" si="13"/>
        <v>0</v>
      </c>
      <c r="AF12">
        <f t="shared" si="14"/>
        <v>6.29196589535473E-2</v>
      </c>
      <c r="AG12">
        <f t="shared" si="15"/>
        <v>0.11325538611638514</v>
      </c>
      <c r="AH12">
        <f t="shared" si="16"/>
        <v>0</v>
      </c>
      <c r="AI12">
        <f t="shared" si="17"/>
        <v>1.4902024488998042E-2</v>
      </c>
      <c r="AJ12">
        <f t="shared" si="18"/>
        <v>0</v>
      </c>
      <c r="AK12">
        <f t="shared" si="19"/>
        <v>5.6627693058192562E-2</v>
      </c>
      <c r="AL12">
        <f t="shared" si="20"/>
        <v>0</v>
      </c>
    </row>
    <row r="13" spans="1:51" x14ac:dyDescent="0.2">
      <c r="A13">
        <v>2030</v>
      </c>
      <c r="B13">
        <v>5</v>
      </c>
      <c r="C13">
        <f t="shared" si="21"/>
        <v>5.616107465115161</v>
      </c>
      <c r="D13">
        <f t="shared" si="23"/>
        <v>0.21021003385313763</v>
      </c>
      <c r="E13">
        <f t="shared" si="4"/>
        <v>0.21021003385313763</v>
      </c>
      <c r="F13">
        <f t="shared" si="5"/>
        <v>0</v>
      </c>
      <c r="G13" s="9">
        <f t="shared" si="6"/>
        <v>3.7429845343749518E-2</v>
      </c>
      <c r="H13" s="9">
        <f t="shared" si="6"/>
        <v>3.7429845343749518E-2</v>
      </c>
      <c r="I13" s="9">
        <f t="shared" si="6"/>
        <v>0</v>
      </c>
      <c r="J13" s="9">
        <f t="shared" si="7"/>
        <v>4.8658798946874379E-3</v>
      </c>
      <c r="K13" s="9">
        <f t="shared" si="8"/>
        <v>7.4859690687499036E-3</v>
      </c>
      <c r="L13" s="9">
        <f t="shared" si="9"/>
        <v>0</v>
      </c>
      <c r="M13">
        <f t="shared" si="0"/>
        <v>5.546942725299103</v>
      </c>
      <c r="N13">
        <f t="shared" si="10"/>
        <v>1.7615674304630049</v>
      </c>
      <c r="O13">
        <f t="shared" si="24"/>
        <v>3.7853752948360979</v>
      </c>
      <c r="P13">
        <f t="shared" si="22"/>
        <v>0.46795407918523008</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5.0789886461138734</v>
      </c>
      <c r="AB13">
        <f t="shared" si="11"/>
        <v>3.4660314872307967</v>
      </c>
      <c r="AC13">
        <f t="shared" si="12"/>
        <v>1.6129571588830767</v>
      </c>
      <c r="AD13">
        <f t="shared" si="3"/>
        <v>9.3590815837046024E-2</v>
      </c>
      <c r="AE13">
        <f t="shared" si="13"/>
        <v>0</v>
      </c>
      <c r="AF13">
        <f t="shared" si="14"/>
        <v>0.10398979537449557</v>
      </c>
      <c r="AG13">
        <f t="shared" si="15"/>
        <v>0.18718163167409202</v>
      </c>
      <c r="AH13">
        <f t="shared" si="16"/>
        <v>0</v>
      </c>
      <c r="AI13">
        <f t="shared" si="17"/>
        <v>2.4629162062380527E-2</v>
      </c>
      <c r="AJ13">
        <f t="shared" si="18"/>
        <v>0</v>
      </c>
      <c r="AK13">
        <f t="shared" si="19"/>
        <v>9.3590815837046024E-2</v>
      </c>
      <c r="AL13">
        <f t="shared" si="20"/>
        <v>0</v>
      </c>
    </row>
    <row r="14" spans="1:51" x14ac:dyDescent="0.2">
      <c r="A14">
        <v>2031</v>
      </c>
      <c r="B14">
        <v>6</v>
      </c>
      <c r="C14">
        <f t="shared" si="21"/>
        <v>5.7340457218825787</v>
      </c>
      <c r="D14">
        <f t="shared" si="23"/>
        <v>0.25762656236771386</v>
      </c>
      <c r="E14">
        <f t="shared" si="4"/>
        <v>0.25762656236771386</v>
      </c>
      <c r="F14">
        <f t="shared" si="5"/>
        <v>0</v>
      </c>
      <c r="G14" s="9">
        <f t="shared" si="6"/>
        <v>4.4929282894369905E-2</v>
      </c>
      <c r="H14" s="9">
        <f t="shared" si="6"/>
        <v>4.4929282894369905E-2</v>
      </c>
      <c r="I14" s="9">
        <f t="shared" si="6"/>
        <v>0</v>
      </c>
      <c r="J14" s="9">
        <f t="shared" si="7"/>
        <v>5.8408067762680876E-3</v>
      </c>
      <c r="K14" s="9">
        <f t="shared" si="8"/>
        <v>8.9858565788739821E-3</v>
      </c>
      <c r="L14" s="9">
        <f t="shared" si="9"/>
        <v>0</v>
      </c>
      <c r="M14">
        <f t="shared" si="0"/>
        <v>5.6493299056954784</v>
      </c>
      <c r="N14">
        <f t="shared" si="10"/>
        <v>2.214633322125672</v>
      </c>
      <c r="O14">
        <f t="shared" si="24"/>
        <v>3.4346965835698064</v>
      </c>
      <c r="P14">
        <f t="shared" si="22"/>
        <v>0.73929459952190524</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4.9100353061735733</v>
      </c>
      <c r="AB14">
        <f t="shared" si="11"/>
        <v>2.9852180298975379</v>
      </c>
      <c r="AC14">
        <f t="shared" si="12"/>
        <v>1.9248172762760352</v>
      </c>
      <c r="AD14">
        <f t="shared" si="3"/>
        <v>0.14785891990438105</v>
      </c>
      <c r="AE14">
        <f t="shared" si="13"/>
        <v>0</v>
      </c>
      <c r="AF14">
        <f t="shared" si="14"/>
        <v>0.1642876887826456</v>
      </c>
      <c r="AG14">
        <f t="shared" si="15"/>
        <v>0.29571783980876215</v>
      </c>
      <c r="AH14">
        <f t="shared" si="16"/>
        <v>0</v>
      </c>
      <c r="AI14">
        <f t="shared" si="17"/>
        <v>3.8910242080100271E-2</v>
      </c>
      <c r="AJ14">
        <f t="shared" si="18"/>
        <v>0</v>
      </c>
      <c r="AK14">
        <f t="shared" si="19"/>
        <v>0.14785891990438105</v>
      </c>
      <c r="AL14">
        <f t="shared" si="20"/>
        <v>0</v>
      </c>
    </row>
    <row r="15" spans="1:51" x14ac:dyDescent="0.2">
      <c r="A15">
        <v>2032</v>
      </c>
      <c r="B15">
        <v>7</v>
      </c>
      <c r="C15">
        <f t="shared" si="21"/>
        <v>5.8544606820421121</v>
      </c>
      <c r="D15">
        <f t="shared" si="23"/>
        <v>0.30692213253823342</v>
      </c>
      <c r="E15">
        <f t="shared" si="4"/>
        <v>0.30692213253823342</v>
      </c>
      <c r="F15">
        <f t="shared" si="5"/>
        <v>0</v>
      </c>
      <c r="G15" s="9">
        <f t="shared" si="6"/>
        <v>5.242534696315955E-2</v>
      </c>
      <c r="H15" s="9">
        <f t="shared" si="6"/>
        <v>5.242534696315955E-2</v>
      </c>
      <c r="I15" s="9">
        <f t="shared" si="6"/>
        <v>0</v>
      </c>
      <c r="J15" s="9">
        <f t="shared" si="7"/>
        <v>6.8152951052107419E-3</v>
      </c>
      <c r="K15" s="9">
        <f t="shared" si="8"/>
        <v>1.0485069392631911E-2</v>
      </c>
      <c r="L15" s="9">
        <f t="shared" si="9"/>
        <v>0</v>
      </c>
      <c r="M15">
        <f t="shared" si="0"/>
        <v>5.7535947312860083</v>
      </c>
      <c r="N15">
        <f t="shared" si="10"/>
        <v>2.6652421890979801</v>
      </c>
      <c r="O15">
        <f t="shared" si="24"/>
        <v>3.0883525421880282</v>
      </c>
      <c r="P15">
        <f>IF($I$3=0,0,M15/(1+EXP(-$I$3*(B15-$J$3)))-M15/(1+EXP($I$3*$J$3)))</f>
        <v>1.1212802712894996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4.6323144599965085</v>
      </c>
      <c r="AB15">
        <f t="shared" si="11"/>
        <v>2.4864838082794445</v>
      </c>
      <c r="AC15">
        <f t="shared" si="12"/>
        <v>2.145830651717064</v>
      </c>
      <c r="AD15">
        <f t="shared" si="3"/>
        <v>0.22425605425789991</v>
      </c>
      <c r="AE15">
        <f t="shared" si="13"/>
        <v>0</v>
      </c>
      <c r="AF15">
        <f t="shared" si="14"/>
        <v>0.24917339361988883</v>
      </c>
      <c r="AG15">
        <f t="shared" si="15"/>
        <v>0.44851210851579981</v>
      </c>
      <c r="AH15">
        <f t="shared" si="16"/>
        <v>0</v>
      </c>
      <c r="AI15">
        <f t="shared" si="17"/>
        <v>5.9014751120499975E-2</v>
      </c>
      <c r="AJ15">
        <f t="shared" si="18"/>
        <v>0</v>
      </c>
      <c r="AK15">
        <f t="shared" si="19"/>
        <v>0.22425605425789991</v>
      </c>
      <c r="AL15">
        <f t="shared" si="20"/>
        <v>0</v>
      </c>
    </row>
    <row r="16" spans="1:51" x14ac:dyDescent="0.2">
      <c r="A16">
        <v>2033</v>
      </c>
      <c r="B16">
        <v>8</v>
      </c>
      <c r="C16">
        <f t="shared" si="21"/>
        <v>5.9774043563649961</v>
      </c>
      <c r="D16">
        <f t="shared" si="23"/>
        <v>0.35813421027840642</v>
      </c>
      <c r="E16">
        <f t="shared" si="4"/>
        <v>0.35813421027840642</v>
      </c>
      <c r="F16">
        <f t="shared" si="5"/>
        <v>0</v>
      </c>
      <c r="G16" s="9">
        <f t="shared" si="6"/>
        <v>5.9914670135549686E-2</v>
      </c>
      <c r="H16" s="9">
        <f t="shared" si="6"/>
        <v>5.9914670135549686E-2</v>
      </c>
      <c r="I16" s="9">
        <f t="shared" si="6"/>
        <v>0</v>
      </c>
      <c r="J16" s="9">
        <f t="shared" si="7"/>
        <v>7.7889071176214597E-3</v>
      </c>
      <c r="K16" s="9">
        <f t="shared" si="8"/>
        <v>1.1982934027109938E-2</v>
      </c>
      <c r="L16" s="9">
        <f t="shared" si="9"/>
        <v>0</v>
      </c>
      <c r="M16">
        <f t="shared" si="0"/>
        <v>5.8597779617930223</v>
      </c>
      <c r="N16">
        <f t="shared" si="10"/>
        <v>3.0970331633606731</v>
      </c>
      <c r="O16">
        <f t="shared" si="24"/>
        <v>2.7627447984323492</v>
      </c>
      <c r="P16">
        <f t="shared" si="22"/>
        <v>1.6293906900690796</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4.2303872717239432</v>
      </c>
      <c r="AB16">
        <f t="shared" si="11"/>
        <v>1.9945261589286416</v>
      </c>
      <c r="AC16">
        <f t="shared" si="12"/>
        <v>2.2358611127953014</v>
      </c>
      <c r="AD16">
        <f t="shared" si="3"/>
        <v>0.32587813801381593</v>
      </c>
      <c r="AE16">
        <f t="shared" si="13"/>
        <v>0</v>
      </c>
      <c r="AF16">
        <f t="shared" si="14"/>
        <v>0.36208682001535109</v>
      </c>
      <c r="AG16">
        <f t="shared" si="15"/>
        <v>0.65175627602763186</v>
      </c>
      <c r="AH16">
        <f t="shared" si="16"/>
        <v>0</v>
      </c>
      <c r="AI16">
        <f t="shared" si="17"/>
        <v>8.5757404740477869E-2</v>
      </c>
      <c r="AJ16">
        <f t="shared" si="18"/>
        <v>0</v>
      </c>
      <c r="AK16">
        <f t="shared" si="19"/>
        <v>0.32587813801381593</v>
      </c>
      <c r="AL16">
        <f t="shared" si="20"/>
        <v>0</v>
      </c>
    </row>
    <row r="17" spans="1:38" x14ac:dyDescent="0.2">
      <c r="A17">
        <v>2034</v>
      </c>
      <c r="B17">
        <v>9</v>
      </c>
      <c r="C17">
        <f t="shared" si="21"/>
        <v>6.1029298478486602</v>
      </c>
      <c r="D17">
        <f t="shared" si="23"/>
        <v>0.41130022622521567</v>
      </c>
      <c r="E17">
        <f t="shared" si="4"/>
        <v>0.41130022622521567</v>
      </c>
      <c r="F17">
        <f t="shared" si="5"/>
        <v>0</v>
      </c>
      <c r="G17" s="9">
        <f t="shared" si="6"/>
        <v>6.7393897108321318E-2</v>
      </c>
      <c r="H17" s="9">
        <f t="shared" si="6"/>
        <v>6.7393897108321318E-2</v>
      </c>
      <c r="I17" s="9">
        <f t="shared" si="6"/>
        <v>0</v>
      </c>
      <c r="J17" s="9">
        <f t="shared" si="7"/>
        <v>8.7612066240817712E-3</v>
      </c>
      <c r="K17" s="9">
        <f t="shared" si="8"/>
        <v>1.3478779421664264E-2</v>
      </c>
      <c r="L17" s="9">
        <f t="shared" si="9"/>
        <v>0</v>
      </c>
      <c r="M17">
        <f t="shared" si="0"/>
        <v>5.9679214704476369</v>
      </c>
      <c r="N17">
        <f t="shared" si="10"/>
        <v>3.4977943557332987</v>
      </c>
      <c r="O17">
        <f t="shared" si="24"/>
        <v>2.4701271147143382</v>
      </c>
      <c r="P17">
        <f t="shared" si="22"/>
        <v>2.258105264644684</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3.7098162058029529</v>
      </c>
      <c r="AB17">
        <f t="shared" si="11"/>
        <v>1.5354956739860046</v>
      </c>
      <c r="AC17">
        <f t="shared" si="12"/>
        <v>2.1743205318169485</v>
      </c>
      <c r="AD17">
        <f t="shared" si="3"/>
        <v>0.45162105292893684</v>
      </c>
      <c r="AE17">
        <f t="shared" si="13"/>
        <v>0</v>
      </c>
      <c r="AF17">
        <f t="shared" si="14"/>
        <v>0.50180116992104096</v>
      </c>
      <c r="AG17">
        <f t="shared" si="15"/>
        <v>0.90324210585787368</v>
      </c>
      <c r="AH17">
        <f t="shared" si="16"/>
        <v>0</v>
      </c>
      <c r="AI17">
        <f t="shared" si="17"/>
        <v>0.11884764550761495</v>
      </c>
      <c r="AJ17">
        <f t="shared" si="18"/>
        <v>0</v>
      </c>
      <c r="AK17">
        <f t="shared" si="19"/>
        <v>0.45162105292893684</v>
      </c>
      <c r="AL17">
        <f t="shared" si="20"/>
        <v>0</v>
      </c>
    </row>
    <row r="18" spans="1:38" x14ac:dyDescent="0.2">
      <c r="A18">
        <v>2035</v>
      </c>
      <c r="B18">
        <v>10</v>
      </c>
      <c r="C18">
        <f t="shared" si="21"/>
        <v>6.2310913746534817</v>
      </c>
      <c r="D18">
        <f t="shared" si="23"/>
        <v>0.46645757295210277</v>
      </c>
      <c r="E18">
        <f t="shared" si="4"/>
        <v>0.46645757295210277</v>
      </c>
      <c r="F18">
        <f t="shared" si="5"/>
        <v>0</v>
      </c>
      <c r="G18" s="9">
        <f t="shared" si="6"/>
        <v>7.4859690687499036E-2</v>
      </c>
      <c r="H18" s="9">
        <f t="shared" si="6"/>
        <v>7.4859690687499036E-2</v>
      </c>
      <c r="I18" s="9">
        <f t="shared" si="6"/>
        <v>0</v>
      </c>
      <c r="J18" s="9">
        <f t="shared" si="7"/>
        <v>9.7317597893748758E-3</v>
      </c>
      <c r="K18" s="9">
        <f t="shared" si="8"/>
        <v>1.4971938137499807E-2</v>
      </c>
      <c r="L18" s="9">
        <f t="shared" si="9"/>
        <v>0</v>
      </c>
      <c r="M18">
        <f t="shared" si="0"/>
        <v>6.0780682661896694</v>
      </c>
      <c r="N18">
        <f t="shared" si="10"/>
        <v>3.8604786918087837</v>
      </c>
      <c r="O18">
        <f t="shared" si="24"/>
        <v>2.2175895743808858</v>
      </c>
      <c r="P18">
        <f t="shared" si="22"/>
        <v>2.97225474574938</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3.1058135204402895</v>
      </c>
      <c r="AB18">
        <f t="shared" si="11"/>
        <v>1.1331593166223672</v>
      </c>
      <c r="AC18">
        <f t="shared" si="12"/>
        <v>1.9726542038179222</v>
      </c>
      <c r="AD18">
        <f t="shared" si="3"/>
        <v>0.59445094914987595</v>
      </c>
      <c r="AE18">
        <f t="shared" si="13"/>
        <v>0</v>
      </c>
      <c r="AF18">
        <f t="shared" si="14"/>
        <v>0.6605010546109733</v>
      </c>
      <c r="AG18">
        <f t="shared" si="15"/>
        <v>1.1889018982997521</v>
      </c>
      <c r="AH18">
        <f t="shared" si="16"/>
        <v>0</v>
      </c>
      <c r="AI18">
        <f t="shared" si="17"/>
        <v>0.15643446030259894</v>
      </c>
      <c r="AJ18">
        <f t="shared" si="18"/>
        <v>0</v>
      </c>
      <c r="AK18">
        <f t="shared" si="19"/>
        <v>0.59445094914987595</v>
      </c>
      <c r="AL18">
        <f t="shared" si="20"/>
        <v>0</v>
      </c>
    </row>
    <row r="19" spans="1:38" x14ac:dyDescent="0.2">
      <c r="A19">
        <v>2036</v>
      </c>
      <c r="B19">
        <v>11</v>
      </c>
      <c r="C19">
        <f t="shared" si="21"/>
        <v>6.3619442935212041</v>
      </c>
      <c r="D19">
        <f t="shared" si="23"/>
        <v>0.5236436042276984</v>
      </c>
      <c r="E19">
        <f t="shared" si="4"/>
        <v>0.5236436042276984</v>
      </c>
      <c r="F19">
        <f t="shared" si="5"/>
        <v>0</v>
      </c>
      <c r="G19" s="9">
        <f t="shared" si="6"/>
        <v>8.2308737717329578E-2</v>
      </c>
      <c r="H19" s="9">
        <f t="shared" si="6"/>
        <v>8.2308737717329578E-2</v>
      </c>
      <c r="I19" s="9">
        <f t="shared" si="6"/>
        <v>0</v>
      </c>
      <c r="J19" s="9">
        <f t="shared" si="7"/>
        <v>1.0700135903252845E-2</v>
      </c>
      <c r="K19" s="9">
        <f t="shared" si="8"/>
        <v>1.6461747543465917E-2</v>
      </c>
      <c r="L19" s="9">
        <f t="shared" si="9"/>
        <v>0</v>
      </c>
      <c r="M19">
        <f t="shared" si="0"/>
        <v>6.1902625156720843</v>
      </c>
      <c r="N19">
        <f t="shared" si="10"/>
        <v>4.1829053038900943</v>
      </c>
      <c r="O19">
        <f t="shared" si="24"/>
        <v>2.00735721178199</v>
      </c>
      <c r="P19">
        <f t="shared" si="22"/>
        <v>3.7120051013865849</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2.4782574142854994</v>
      </c>
      <c r="AB19">
        <f t="shared" si="11"/>
        <v>0.80364086024194559</v>
      </c>
      <c r="AC19">
        <f t="shared" si="12"/>
        <v>1.6746165540435536</v>
      </c>
      <c r="AD19">
        <f t="shared" si="3"/>
        <v>0.74240102027731703</v>
      </c>
      <c r="AE19">
        <f t="shared" si="13"/>
        <v>0</v>
      </c>
      <c r="AF19">
        <f t="shared" si="14"/>
        <v>0.82489002253035226</v>
      </c>
      <c r="AG19">
        <f t="shared" si="15"/>
        <v>1.4848020405546341</v>
      </c>
      <c r="AH19">
        <f t="shared" si="16"/>
        <v>0</v>
      </c>
      <c r="AI19">
        <f t="shared" si="17"/>
        <v>0.19536868954666237</v>
      </c>
      <c r="AJ19">
        <f t="shared" si="18"/>
        <v>0</v>
      </c>
      <c r="AK19">
        <f t="shared" si="19"/>
        <v>0.74240102027731703</v>
      </c>
      <c r="AL19">
        <f t="shared" si="20"/>
        <v>0</v>
      </c>
    </row>
    <row r="20" spans="1:38" x14ac:dyDescent="0.2">
      <c r="A20">
        <v>2037</v>
      </c>
      <c r="B20">
        <v>12</v>
      </c>
      <c r="C20">
        <f t="shared" si="21"/>
        <v>6.4955451236851491</v>
      </c>
      <c r="D20">
        <f t="shared" si="23"/>
        <v>0.58289563636855402</v>
      </c>
      <c r="E20">
        <f t="shared" si="4"/>
        <v>0.58289563636855402</v>
      </c>
      <c r="F20">
        <f t="shared" si="5"/>
        <v>0</v>
      </c>
      <c r="G20" s="9">
        <f t="shared" si="6"/>
        <v>8.9737754918074841E-2</v>
      </c>
      <c r="H20" s="9">
        <f t="shared" si="6"/>
        <v>8.9737754918074841E-2</v>
      </c>
      <c r="I20" s="9">
        <f t="shared" si="6"/>
        <v>0</v>
      </c>
      <c r="J20" s="9">
        <f t="shared" si="7"/>
        <v>1.1665908139349731E-2</v>
      </c>
      <c r="K20" s="9">
        <f t="shared" si="8"/>
        <v>1.794755098361497E-2</v>
      </c>
      <c r="L20" s="9">
        <f t="shared" si="9"/>
        <v>0</v>
      </c>
      <c r="M20">
        <f t="shared" si="0"/>
        <v>6.3045495650732661</v>
      </c>
      <c r="N20">
        <f t="shared" si="10"/>
        <v>4.4666324916819624</v>
      </c>
      <c r="O20">
        <f t="shared" si="24"/>
        <v>1.8379170733913037</v>
      </c>
      <c r="P20">
        <f>IF($I$3=0,0,M20/(1+EXP(-$I$3*(B20-$J$3)))-M20/(1+EXP($I$3*$J$3)))</f>
        <v>4.4129486531803321</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1.891600911892934</v>
      </c>
      <c r="AB20">
        <f t="shared" si="11"/>
        <v>0.55144393364289146</v>
      </c>
      <c r="AC20">
        <f t="shared" si="12"/>
        <v>1.3401569782500424</v>
      </c>
      <c r="AD20">
        <f t="shared" si="3"/>
        <v>0.88258973063606638</v>
      </c>
      <c r="AE20">
        <f t="shared" si="13"/>
        <v>0</v>
      </c>
      <c r="AF20">
        <f t="shared" si="14"/>
        <v>0.9806552562622961</v>
      </c>
      <c r="AG20">
        <f t="shared" si="15"/>
        <v>1.7651794612721328</v>
      </c>
      <c r="AH20">
        <f t="shared" si="16"/>
        <v>0</v>
      </c>
      <c r="AI20">
        <f t="shared" si="17"/>
        <v>0.2322604554305438</v>
      </c>
      <c r="AJ20">
        <f t="shared" si="18"/>
        <v>0</v>
      </c>
      <c r="AK20">
        <f t="shared" si="19"/>
        <v>0.88258973063606638</v>
      </c>
      <c r="AL20">
        <f t="shared" si="20"/>
        <v>0</v>
      </c>
    </row>
    <row r="21" spans="1:38" x14ac:dyDescent="0.2">
      <c r="A21">
        <v>2038</v>
      </c>
      <c r="B21">
        <v>13</v>
      </c>
      <c r="C21">
        <f t="shared" si="21"/>
        <v>6.6319515712825368</v>
      </c>
      <c r="D21">
        <f t="shared" si="23"/>
        <v>0.64425095172491664</v>
      </c>
      <c r="E21">
        <f t="shared" si="4"/>
        <v>0.64425095172491664</v>
      </c>
      <c r="F21">
        <f t="shared" si="5"/>
        <v>0</v>
      </c>
      <c r="G21" s="9">
        <f t="shared" si="6"/>
        <v>9.7143494610942488E-2</v>
      </c>
      <c r="H21" s="9">
        <f t="shared" si="6"/>
        <v>9.7143494610942488E-2</v>
      </c>
      <c r="I21" s="9">
        <f t="shared" si="6"/>
        <v>0</v>
      </c>
      <c r="J21" s="9">
        <f t="shared" si="7"/>
        <v>1.2628654299422525E-2</v>
      </c>
      <c r="K21" s="9">
        <f t="shared" si="8"/>
        <v>1.94286989221885E-2</v>
      </c>
      <c r="L21" s="9">
        <f t="shared" si="9"/>
        <v>0</v>
      </c>
      <c r="M21">
        <f t="shared" si="0"/>
        <v>6.4209759617235962</v>
      </c>
      <c r="N21">
        <f t="shared" si="10"/>
        <v>4.7155761736989383</v>
      </c>
      <c r="O21">
        <f t="shared" si="24"/>
        <v>1.7053997880246579</v>
      </c>
      <c r="P21">
        <f t="shared" si="22"/>
        <v>5.0285403586347392</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1.3924356030888569</v>
      </c>
      <c r="AB21">
        <f t="shared" si="11"/>
        <v>0.3698284180631457</v>
      </c>
      <c r="AC21">
        <f t="shared" si="12"/>
        <v>1.0226071850257112</v>
      </c>
      <c r="AD21">
        <f t="shared" si="3"/>
        <v>1.005708071726948</v>
      </c>
      <c r="AE21">
        <f t="shared" si="13"/>
        <v>0</v>
      </c>
      <c r="AF21">
        <f t="shared" si="14"/>
        <v>1.1174534130299423</v>
      </c>
      <c r="AG21">
        <f t="shared" si="15"/>
        <v>2.011416143453896</v>
      </c>
      <c r="AH21">
        <f t="shared" si="16"/>
        <v>0</v>
      </c>
      <c r="AI21">
        <f t="shared" si="17"/>
        <v>0.2646600188755126</v>
      </c>
      <c r="AJ21">
        <f t="shared" si="18"/>
        <v>0</v>
      </c>
      <c r="AK21">
        <f t="shared" si="19"/>
        <v>1.005708071726948</v>
      </c>
      <c r="AL21">
        <f t="shared" si="20"/>
        <v>0</v>
      </c>
    </row>
    <row r="22" spans="1:38" x14ac:dyDescent="0.2">
      <c r="A22">
        <v>2039</v>
      </c>
      <c r="B22">
        <v>14</v>
      </c>
      <c r="C22">
        <f t="shared" si="21"/>
        <v>6.7712225542794693</v>
      </c>
      <c r="D22">
        <f t="shared" si="23"/>
        <v>0.70774680432900272</v>
      </c>
      <c r="E22">
        <f t="shared" si="4"/>
        <v>0.70774680432900272</v>
      </c>
      <c r="F22">
        <f t="shared" si="5"/>
        <v>0</v>
      </c>
      <c r="G22" s="9">
        <f t="shared" si="6"/>
        <v>0.10452275030920388</v>
      </c>
      <c r="H22" s="9">
        <f t="shared" si="6"/>
        <v>0.10452275030920388</v>
      </c>
      <c r="I22" s="9">
        <f t="shared" si="6"/>
        <v>0</v>
      </c>
      <c r="J22" s="9">
        <f t="shared" si="7"/>
        <v>1.3587957540196505E-2</v>
      </c>
      <c r="K22" s="9">
        <f t="shared" si="8"/>
        <v>2.0904550061840776E-2</v>
      </c>
      <c r="L22" s="9">
        <f t="shared" si="9"/>
        <v>0</v>
      </c>
      <c r="M22">
        <f t="shared" si="0"/>
        <v>6.539589475556185</v>
      </c>
      <c r="N22">
        <f t="shared" si="10"/>
        <v>4.9347815434885263</v>
      </c>
      <c r="O22">
        <f t="shared" si="24"/>
        <v>1.6048079320676587</v>
      </c>
      <c r="P22">
        <f t="shared" si="22"/>
        <v>5.5400916500409521</v>
      </c>
      <c r="Q22" s="9">
        <f t="shared" si="1"/>
        <v>0.84716199246891921</v>
      </c>
      <c r="R22">
        <f>VLOOKUP($B$1,dictionary!$A$3:$K$51,3,FALSE)*Q22</f>
        <v>0.16943239849378386</v>
      </c>
      <c r="S22">
        <f>VLOOKUP($B$1,dictionary!$A$3:$K$51,4,FALSE)*Q22</f>
        <v>0</v>
      </c>
      <c r="T22">
        <f>VLOOKUP($B$1,dictionary!$A$3:$K$51,5,FALSE)*Q22</f>
        <v>0.16943239849378386</v>
      </c>
      <c r="U22">
        <f>VLOOKUP($B$1,dictionary!$A$3:$K$51,6,FALSE)*Q22</f>
        <v>0.29650669736412172</v>
      </c>
      <c r="V22">
        <f>VLOOKUP($B$1,dictionary!$A$3:$K$51,7,FALSE)*Q22</f>
        <v>0</v>
      </c>
      <c r="W22">
        <f>VLOOKUP($B$1,dictionary!$A$3:$K$51,8,FALSE)*Q22</f>
        <v>4.2358099623445965E-2</v>
      </c>
      <c r="X22">
        <f>VLOOKUP($B$1,dictionary!$A$3:$K$51,9,FALSE)*Q22</f>
        <v>0</v>
      </c>
      <c r="Y22">
        <f>VLOOKUP($B$1,dictionary!$A$3:$K$51,10,FALSE)*Q22</f>
        <v>0.16943239849378386</v>
      </c>
      <c r="Z22">
        <f>VLOOKUP($B$1,dictionary!$A$3:$K$51,11,FALSE)*Q22</f>
        <v>0</v>
      </c>
      <c r="AA22">
        <f t="shared" si="2"/>
        <v>0.99949782551523292</v>
      </c>
      <c r="AB22">
        <f t="shared" si="11"/>
        <v>0.24527564680729502</v>
      </c>
      <c r="AC22">
        <f t="shared" si="12"/>
        <v>0.75422217870793784</v>
      </c>
      <c r="AD22">
        <f t="shared" si="3"/>
        <v>1.1080183300081905</v>
      </c>
      <c r="AE22">
        <f t="shared" si="13"/>
        <v>0</v>
      </c>
      <c r="AF22">
        <f t="shared" si="14"/>
        <v>1.2311314777868785</v>
      </c>
      <c r="AG22">
        <f t="shared" si="15"/>
        <v>2.216036660016381</v>
      </c>
      <c r="AH22">
        <f t="shared" si="16"/>
        <v>0</v>
      </c>
      <c r="AI22">
        <f t="shared" si="17"/>
        <v>0.29158377105478694</v>
      </c>
      <c r="AJ22">
        <f t="shared" si="18"/>
        <v>0</v>
      </c>
      <c r="AK22">
        <f t="shared" si="19"/>
        <v>1.1080183300081905</v>
      </c>
      <c r="AL22">
        <f t="shared" si="20"/>
        <v>0</v>
      </c>
    </row>
    <row r="23" spans="1:38" x14ac:dyDescent="0.2">
      <c r="A23">
        <v>2040</v>
      </c>
      <c r="B23">
        <v>15</v>
      </c>
      <c r="C23">
        <f t="shared" si="21"/>
        <v>6.9134182279193377</v>
      </c>
      <c r="D23">
        <f t="shared" si="23"/>
        <v>0.77342042772559516</v>
      </c>
      <c r="E23">
        <f t="shared" si="4"/>
        <v>0.77342042772559516</v>
      </c>
      <c r="F23">
        <f t="shared" si="5"/>
        <v>0</v>
      </c>
      <c r="G23" s="9">
        <f t="shared" si="6"/>
        <v>0.11187236215540858</v>
      </c>
      <c r="H23" s="9">
        <f t="shared" si="6"/>
        <v>0.11187236215540858</v>
      </c>
      <c r="I23" s="9">
        <f t="shared" si="6"/>
        <v>0</v>
      </c>
      <c r="J23" s="9">
        <f t="shared" si="7"/>
        <v>1.4543407080203116E-2</v>
      </c>
      <c r="K23" s="9">
        <f t="shared" si="8"/>
        <v>2.2374472431081718E-2</v>
      </c>
      <c r="L23" s="9">
        <f t="shared" si="9"/>
        <v>0</v>
      </c>
      <c r="M23">
        <f t="shared" si="0"/>
        <v>6.6604391203948028</v>
      </c>
      <c r="N23">
        <f t="shared" si="10"/>
        <v>5.1295278840456859</v>
      </c>
      <c r="O23">
        <f t="shared" si="24"/>
        <v>1.5309112363491169</v>
      </c>
      <c r="P23">
        <f t="shared" si="22"/>
        <v>5.9521919517617272</v>
      </c>
      <c r="Q23" s="9">
        <f t="shared" si="1"/>
        <v>0.89366359247029736</v>
      </c>
      <c r="R23">
        <f>VLOOKUP($B$1,dictionary!$A$3:$K$51,3,FALSE)*Q23</f>
        <v>0.17873271849405947</v>
      </c>
      <c r="S23">
        <f>VLOOKUP($B$1,dictionary!$A$3:$K$51,4,FALSE)*Q23</f>
        <v>0</v>
      </c>
      <c r="T23">
        <f>VLOOKUP($B$1,dictionary!$A$3:$K$51,5,FALSE)*Q23</f>
        <v>0.17873271849405947</v>
      </c>
      <c r="U23">
        <f>VLOOKUP($B$1,dictionary!$A$3:$K$51,6,FALSE)*Q23</f>
        <v>0.31278225736460408</v>
      </c>
      <c r="V23">
        <f>VLOOKUP($B$1,dictionary!$A$3:$K$51,7,FALSE)*Q23</f>
        <v>0</v>
      </c>
      <c r="W23">
        <f>VLOOKUP($B$1,dictionary!$A$3:$K$51,8,FALSE)*Q23</f>
        <v>4.4683179623514868E-2</v>
      </c>
      <c r="X23">
        <f>VLOOKUP($B$1,dictionary!$A$3:$K$51,9,FALSE)*Q23</f>
        <v>0</v>
      </c>
      <c r="Y23">
        <f>VLOOKUP($B$1,dictionary!$A$3:$K$51,10,FALSE)*Q23</f>
        <v>0.17873271849405947</v>
      </c>
      <c r="Z23">
        <f>VLOOKUP($B$1,dictionary!$A$3:$K$51,11,FALSE)*Q23</f>
        <v>0</v>
      </c>
      <c r="AA23">
        <f t="shared" si="2"/>
        <v>0.70824716863307557</v>
      </c>
      <c r="AB23">
        <f t="shared" si="11"/>
        <v>0.16279160112022051</v>
      </c>
      <c r="AC23">
        <f t="shared" si="12"/>
        <v>0.54545556751285507</v>
      </c>
      <c r="AD23">
        <f t="shared" si="3"/>
        <v>1.1904383903523454</v>
      </c>
      <c r="AE23">
        <f t="shared" si="13"/>
        <v>0</v>
      </c>
      <c r="AF23">
        <f t="shared" si="14"/>
        <v>1.3227093226137172</v>
      </c>
      <c r="AG23">
        <f t="shared" si="15"/>
        <v>2.3808767807046909</v>
      </c>
      <c r="AH23">
        <f t="shared" si="16"/>
        <v>0</v>
      </c>
      <c r="AI23">
        <f t="shared" si="17"/>
        <v>0.31327326061903826</v>
      </c>
      <c r="AJ23">
        <f t="shared" si="18"/>
        <v>0</v>
      </c>
      <c r="AK23">
        <f t="shared" si="19"/>
        <v>1.1904383903523454</v>
      </c>
      <c r="AL23">
        <f t="shared" si="20"/>
        <v>0</v>
      </c>
    </row>
    <row r="24" spans="1:38" x14ac:dyDescent="0.2">
      <c r="A24">
        <v>2041</v>
      </c>
      <c r="B24">
        <v>16</v>
      </c>
      <c r="C24">
        <f t="shared" si="21"/>
        <v>7.0586000107056428</v>
      </c>
      <c r="D24">
        <f t="shared" si="23"/>
        <v>0.84130904499517323</v>
      </c>
      <c r="E24">
        <f t="shared" si="4"/>
        <v>0.84130904499517323</v>
      </c>
      <c r="F24">
        <f t="shared" si="5"/>
        <v>0</v>
      </c>
      <c r="G24" s="9">
        <f t="shared" si="6"/>
        <v>0.11918922218558581</v>
      </c>
      <c r="H24" s="9">
        <f t="shared" si="6"/>
        <v>0.11918922218558581</v>
      </c>
      <c r="I24" s="9">
        <f t="shared" si="6"/>
        <v>0</v>
      </c>
      <c r="J24" s="9">
        <f t="shared" si="7"/>
        <v>1.5494598884126156E-2</v>
      </c>
      <c r="K24" s="9">
        <f t="shared" si="8"/>
        <v>2.3837844437117162E-2</v>
      </c>
      <c r="L24" s="9">
        <f t="shared" si="9"/>
        <v>0</v>
      </c>
      <c r="M24">
        <f t="shared" si="0"/>
        <v>6.7835751750951934</v>
      </c>
      <c r="N24">
        <f t="shared" si="10"/>
        <v>5.3047780840001906</v>
      </c>
      <c r="O24">
        <f t="shared" si="24"/>
        <v>1.4787970910950028</v>
      </c>
      <c r="P24">
        <f t="shared" si="22"/>
        <v>6.2818599289754342</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0.50171524611975915</v>
      </c>
      <c r="AB24">
        <f t="shared" si="11"/>
        <v>0.10937227455572521</v>
      </c>
      <c r="AC24">
        <f t="shared" si="12"/>
        <v>0.39234297156403392</v>
      </c>
      <c r="AD24">
        <f t="shared" si="3"/>
        <v>1.256371985795087</v>
      </c>
      <c r="AE24">
        <f t="shared" si="13"/>
        <v>0</v>
      </c>
      <c r="AF24">
        <f t="shared" si="14"/>
        <v>1.3959688731056523</v>
      </c>
      <c r="AG24">
        <f t="shared" si="15"/>
        <v>2.512743971590174</v>
      </c>
      <c r="AH24">
        <f t="shared" si="16"/>
        <v>0</v>
      </c>
      <c r="AI24">
        <f t="shared" si="17"/>
        <v>0.33062420678818077</v>
      </c>
      <c r="AJ24">
        <f t="shared" si="18"/>
        <v>0</v>
      </c>
      <c r="AK24">
        <f t="shared" si="19"/>
        <v>1.256371985795087</v>
      </c>
      <c r="AL24">
        <f t="shared" si="20"/>
        <v>0</v>
      </c>
    </row>
    <row r="25" spans="1:38" x14ac:dyDescent="0.2">
      <c r="A25">
        <v>2042</v>
      </c>
      <c r="B25">
        <v>17</v>
      </c>
      <c r="C25">
        <f t="shared" si="21"/>
        <v>7.206830610930461</v>
      </c>
      <c r="D25">
        <f t="shared" si="23"/>
        <v>0.91144988097024981</v>
      </c>
      <c r="E25">
        <f t="shared" si="4"/>
        <v>0.91144988097024981</v>
      </c>
      <c r="F25">
        <f t="shared" si="5"/>
        <v>0</v>
      </c>
      <c r="G25" s="9">
        <f t="shared" si="6"/>
        <v>0.12647027940241462</v>
      </c>
      <c r="H25" s="9">
        <f t="shared" si="6"/>
        <v>0.12647027940241462</v>
      </c>
      <c r="I25" s="9">
        <f t="shared" si="6"/>
        <v>0</v>
      </c>
      <c r="J25" s="9">
        <f t="shared" si="7"/>
        <v>1.64411363223139E-2</v>
      </c>
      <c r="K25" s="9">
        <f t="shared" si="8"/>
        <v>2.5294055880482925E-2</v>
      </c>
      <c r="L25" s="9">
        <f t="shared" si="9"/>
        <v>0</v>
      </c>
      <c r="M25">
        <f t="shared" si="0"/>
        <v>6.9090492045590759</v>
      </c>
      <c r="N25">
        <f t="shared" si="10"/>
        <v>5.4649023470975884</v>
      </c>
      <c r="O25">
        <f t="shared" si="24"/>
        <v>1.4441468574614875</v>
      </c>
      <c r="P25">
        <f>IF($I$3=0,0,M25/(1+EXP(-$I$3*(B25-$J$3)))-M25/(1+EXP($I$3*$J$3)))</f>
        <v>6.5492382143514023</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0.3598109902076736</v>
      </c>
      <c r="AB25">
        <f t="shared" si="11"/>
        <v>7.5208598955357878E-2</v>
      </c>
      <c r="AC25">
        <f t="shared" si="12"/>
        <v>0.28460239125231573</v>
      </c>
      <c r="AD25">
        <f t="shared" si="3"/>
        <v>1.3098476428702805</v>
      </c>
      <c r="AE25">
        <f t="shared" si="13"/>
        <v>0</v>
      </c>
      <c r="AF25">
        <f t="shared" si="14"/>
        <v>1.4553862698558675</v>
      </c>
      <c r="AG25">
        <f t="shared" si="15"/>
        <v>2.6196952857405611</v>
      </c>
      <c r="AH25">
        <f t="shared" si="16"/>
        <v>0</v>
      </c>
      <c r="AI25">
        <f t="shared" si="17"/>
        <v>0.34469674812375806</v>
      </c>
      <c r="AJ25">
        <f t="shared" si="18"/>
        <v>0</v>
      </c>
      <c r="AK25">
        <f t="shared" si="19"/>
        <v>1.3098476428702805</v>
      </c>
      <c r="AL25">
        <f t="shared" si="20"/>
        <v>0</v>
      </c>
    </row>
    <row r="26" spans="1:38" x14ac:dyDescent="0.2">
      <c r="A26">
        <v>2043</v>
      </c>
      <c r="B26">
        <v>18</v>
      </c>
      <c r="C26">
        <f t="shared" si="21"/>
        <v>7.35817405376</v>
      </c>
      <c r="D26">
        <f t="shared" si="23"/>
        <v>0.98388017663622751</v>
      </c>
      <c r="E26">
        <f t="shared" si="4"/>
        <v>0.98388017663622751</v>
      </c>
      <c r="F26">
        <f t="shared" si="5"/>
        <v>0</v>
      </c>
      <c r="G26" s="9">
        <f t="shared" si="6"/>
        <v>0.13371254464053733</v>
      </c>
      <c r="H26" s="9">
        <f t="shared" si="6"/>
        <v>0.13371254464053733</v>
      </c>
      <c r="I26" s="9">
        <f t="shared" si="6"/>
        <v>0</v>
      </c>
      <c r="J26" s="9">
        <f t="shared" si="7"/>
        <v>1.7382630803269853E-2</v>
      </c>
      <c r="K26" s="9">
        <f t="shared" si="8"/>
        <v>2.6742508928107468E-2</v>
      </c>
      <c r="L26" s="9">
        <f t="shared" si="9"/>
        <v>0</v>
      </c>
      <c r="M26">
        <f t="shared" si="0"/>
        <v>7.0369140806430694</v>
      </c>
      <c r="N26">
        <f t="shared" si="10"/>
        <v>5.6135868167170404</v>
      </c>
      <c r="O26">
        <f t="shared" si="24"/>
        <v>1.423327263926029</v>
      </c>
      <c r="P26">
        <f t="shared" si="22"/>
        <v>6.7724391507388093</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0.26447492990426014</v>
      </c>
      <c r="AB26">
        <f t="shared" si="11"/>
        <v>5.349424108973324E-2</v>
      </c>
      <c r="AC26">
        <f t="shared" si="12"/>
        <v>0.21098068881452689</v>
      </c>
      <c r="AD26">
        <f t="shared" si="3"/>
        <v>1.3544878301477619</v>
      </c>
      <c r="AE26">
        <f t="shared" si="13"/>
        <v>0</v>
      </c>
      <c r="AF26">
        <f t="shared" si="14"/>
        <v>1.5049864779419577</v>
      </c>
      <c r="AG26">
        <f t="shared" si="15"/>
        <v>2.7089756602955237</v>
      </c>
      <c r="AH26">
        <f t="shared" si="16"/>
        <v>0</v>
      </c>
      <c r="AI26">
        <f t="shared" si="17"/>
        <v>0.35644416582835836</v>
      </c>
      <c r="AJ26">
        <f t="shared" si="18"/>
        <v>0</v>
      </c>
      <c r="AK26">
        <f t="shared" si="19"/>
        <v>1.3544878301477619</v>
      </c>
      <c r="AL26">
        <f t="shared" si="20"/>
        <v>0</v>
      </c>
    </row>
    <row r="27" spans="1:38" x14ac:dyDescent="0.2">
      <c r="A27">
        <v>2044</v>
      </c>
      <c r="B27">
        <v>19</v>
      </c>
      <c r="C27">
        <f t="shared" si="21"/>
        <v>7.512695708888959</v>
      </c>
      <c r="D27">
        <f t="shared" si="23"/>
        <v>1.0586372056989779</v>
      </c>
      <c r="E27">
        <f t="shared" si="4"/>
        <v>1.0586372056989779</v>
      </c>
      <c r="F27">
        <f t="shared" si="5"/>
        <v>0</v>
      </c>
      <c r="G27" s="9">
        <f t="shared" si="6"/>
        <v>0.14091309520847586</v>
      </c>
      <c r="H27" s="9">
        <f t="shared" si="6"/>
        <v>0.14091309520847586</v>
      </c>
      <c r="I27" s="9">
        <f t="shared" si="6"/>
        <v>0</v>
      </c>
      <c r="J27" s="9">
        <f t="shared" si="7"/>
        <v>1.8318702377101863E-2</v>
      </c>
      <c r="K27" s="9">
        <f t="shared" si="8"/>
        <v>2.8182619041695174E-2</v>
      </c>
      <c r="L27" s="9">
        <f t="shared" si="9"/>
        <v>0</v>
      </c>
      <c r="M27">
        <f t="shared" si="0"/>
        <v>7.1672240029876013</v>
      </c>
      <c r="N27">
        <f t="shared" si="10"/>
        <v>5.7538506154321718</v>
      </c>
      <c r="O27">
        <f t="shared" si="24"/>
        <v>1.4133733875554295</v>
      </c>
      <c r="P27">
        <f t="shared" si="22"/>
        <v>6.9657463414377236</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0.20147766154987767</v>
      </c>
      <c r="AB27">
        <f t="shared" si="11"/>
        <v>3.9731305300740649E-2</v>
      </c>
      <c r="AC27">
        <f t="shared" si="12"/>
        <v>0.16174635624913702</v>
      </c>
      <c r="AD27">
        <f t="shared" si="3"/>
        <v>1.3931492682875448</v>
      </c>
      <c r="AE27">
        <f t="shared" si="13"/>
        <v>0</v>
      </c>
      <c r="AF27">
        <f t="shared" si="14"/>
        <v>1.5479436314306054</v>
      </c>
      <c r="AG27">
        <f t="shared" si="15"/>
        <v>2.7862985365750896</v>
      </c>
      <c r="AH27">
        <f t="shared" si="16"/>
        <v>0</v>
      </c>
      <c r="AI27">
        <f t="shared" si="17"/>
        <v>0.36661822849672232</v>
      </c>
      <c r="AJ27">
        <f t="shared" si="18"/>
        <v>0</v>
      </c>
      <c r="AK27">
        <f t="shared" si="19"/>
        <v>1.3931492682875448</v>
      </c>
      <c r="AL27">
        <f t="shared" si="20"/>
        <v>0</v>
      </c>
    </row>
    <row r="28" spans="1:38" x14ac:dyDescent="0.2">
      <c r="A28">
        <v>2045</v>
      </c>
      <c r="B28">
        <v>20</v>
      </c>
      <c r="C28">
        <f t="shared" si="21"/>
        <v>7.670462318775626</v>
      </c>
      <c r="D28">
        <f t="shared" si="23"/>
        <v>1.1357582932925387</v>
      </c>
      <c r="E28">
        <f t="shared" si="4"/>
        <v>1.1357582932925387</v>
      </c>
      <c r="F28">
        <f t="shared" si="5"/>
        <v>0</v>
      </c>
      <c r="G28" s="9">
        <f t="shared" si="6"/>
        <v>0.14806907929297158</v>
      </c>
      <c r="H28" s="9">
        <f t="shared" si="6"/>
        <v>0.14806907929297158</v>
      </c>
      <c r="I28" s="9">
        <f t="shared" si="6"/>
        <v>0</v>
      </c>
      <c r="J28" s="9">
        <f t="shared" si="7"/>
        <v>1.9248980308086305E-2</v>
      </c>
      <c r="K28" s="9">
        <f t="shared" si="8"/>
        <v>2.9613815858594319E-2</v>
      </c>
      <c r="L28" s="9">
        <f t="shared" si="9"/>
        <v>0</v>
      </c>
      <c r="M28">
        <f t="shared" si="0"/>
        <v>7.300034519793555</v>
      </c>
      <c r="N28">
        <f t="shared" si="10"/>
        <v>5.888116838245411</v>
      </c>
      <c r="O28">
        <f t="shared" si="24"/>
        <v>1.411917681548144</v>
      </c>
      <c r="P28">
        <f t="shared" si="22"/>
        <v>7.139624398852912</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0.160410120940643</v>
      </c>
      <c r="AB28">
        <f t="shared" si="11"/>
        <v>3.1025317132579128E-2</v>
      </c>
      <c r="AC28">
        <f t="shared" si="12"/>
        <v>0.12938480380806386</v>
      </c>
      <c r="AD28">
        <f t="shared" si="3"/>
        <v>1.4279248797705824</v>
      </c>
      <c r="AE28">
        <f t="shared" si="13"/>
        <v>0</v>
      </c>
      <c r="AF28">
        <f t="shared" si="14"/>
        <v>1.5865831997450917</v>
      </c>
      <c r="AG28">
        <f t="shared" si="15"/>
        <v>2.8558497595411647</v>
      </c>
      <c r="AH28">
        <f t="shared" si="16"/>
        <v>0</v>
      </c>
      <c r="AI28">
        <f t="shared" si="17"/>
        <v>0.3757697052027848</v>
      </c>
      <c r="AJ28">
        <f t="shared" si="18"/>
        <v>0</v>
      </c>
      <c r="AK28">
        <f t="shared" si="19"/>
        <v>1.4279248797705824</v>
      </c>
      <c r="AL28">
        <f t="shared" si="20"/>
        <v>0</v>
      </c>
    </row>
    <row r="29" spans="1:38" x14ac:dyDescent="0.2">
      <c r="A29">
        <v>2046</v>
      </c>
      <c r="B29">
        <v>21</v>
      </c>
      <c r="C29">
        <f t="shared" si="21"/>
        <v>7.8315420274699132</v>
      </c>
      <c r="D29">
        <f t="shared" si="23"/>
        <v>1.2152808367919112</v>
      </c>
      <c r="E29">
        <f t="shared" si="4"/>
        <v>1.2152808367919112</v>
      </c>
      <c r="F29">
        <f t="shared" si="5"/>
        <v>0</v>
      </c>
      <c r="G29" s="9">
        <f t="shared" si="6"/>
        <v>0.15517772011299852</v>
      </c>
      <c r="H29" s="9">
        <f t="shared" si="6"/>
        <v>0.15517772011299852</v>
      </c>
      <c r="I29" s="9">
        <f t="shared" si="6"/>
        <v>0</v>
      </c>
      <c r="J29" s="9">
        <f t="shared" si="7"/>
        <v>2.0173103614689807E-2</v>
      </c>
      <c r="K29" s="9">
        <f t="shared" si="8"/>
        <v>3.1035544022599705E-2</v>
      </c>
      <c r="L29" s="9">
        <f t="shared" si="9"/>
        <v>0</v>
      </c>
      <c r="M29">
        <f t="shared" si="0"/>
        <v>7.4354025485768931</v>
      </c>
      <c r="N29">
        <f t="shared" si="10"/>
        <v>6.0183033415864919</v>
      </c>
      <c r="O29">
        <f t="shared" si="24"/>
        <v>1.4170992069904012</v>
      </c>
      <c r="P29">
        <f t="shared" si="22"/>
        <v>7.3014126554824239</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0.13398989309446918</v>
      </c>
      <c r="AB29">
        <f t="shared" si="11"/>
        <v>2.5536878468704106E-2</v>
      </c>
      <c r="AC29">
        <f t="shared" si="12"/>
        <v>0.10845301462576508</v>
      </c>
      <c r="AD29">
        <f t="shared" si="3"/>
        <v>1.4602825310964849</v>
      </c>
      <c r="AE29">
        <f t="shared" si="13"/>
        <v>0</v>
      </c>
      <c r="AF29">
        <f t="shared" si="14"/>
        <v>1.6225361456627609</v>
      </c>
      <c r="AG29">
        <f t="shared" si="15"/>
        <v>2.9205650621929697</v>
      </c>
      <c r="AH29">
        <f t="shared" si="16"/>
        <v>0</v>
      </c>
      <c r="AI29">
        <f t="shared" si="17"/>
        <v>0.38428487660433813</v>
      </c>
      <c r="AJ29">
        <f t="shared" si="18"/>
        <v>0</v>
      </c>
      <c r="AK29">
        <f t="shared" si="19"/>
        <v>1.4602825310964849</v>
      </c>
      <c r="AL29">
        <f t="shared" si="20"/>
        <v>0</v>
      </c>
    </row>
    <row r="30" spans="1:38" x14ac:dyDescent="0.2">
      <c r="A30">
        <v>2047</v>
      </c>
      <c r="B30">
        <v>22</v>
      </c>
      <c r="C30">
        <f t="shared" si="21"/>
        <v>7.9960044100467806</v>
      </c>
      <c r="D30">
        <f t="shared" si="23"/>
        <v>1.297242328687942</v>
      </c>
      <c r="E30">
        <f t="shared" si="4"/>
        <v>1.297242328687942</v>
      </c>
      <c r="F30">
        <f t="shared" si="5"/>
        <v>0</v>
      </c>
      <c r="G30" s="9">
        <f t="shared" si="6"/>
        <v>0.16223631981217884</v>
      </c>
      <c r="H30" s="9">
        <f t="shared" si="6"/>
        <v>0.16223631981217884</v>
      </c>
      <c r="I30" s="9">
        <f t="shared" si="6"/>
        <v>0</v>
      </c>
      <c r="J30" s="9">
        <f t="shared" si="7"/>
        <v>2.1090721575583251E-2</v>
      </c>
      <c r="K30" s="9">
        <f t="shared" si="8"/>
        <v>3.2447263962435767E-2</v>
      </c>
      <c r="L30" s="9">
        <f t="shared" si="9"/>
        <v>0</v>
      </c>
      <c r="M30">
        <f t="shared" si="0"/>
        <v>7.5733863969338433</v>
      </c>
      <c r="N30">
        <f t="shared" si="10"/>
        <v>6.1459141983007699</v>
      </c>
      <c r="O30">
        <f t="shared" si="24"/>
        <v>1.4274721986330734</v>
      </c>
      <c r="P30">
        <f t="shared" si="22"/>
        <v>7.4561260210774458</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0.11726037585639748</v>
      </c>
      <c r="AB30">
        <f t="shared" si="11"/>
        <v>2.2101860087851852E-2</v>
      </c>
      <c r="AC30">
        <f t="shared" si="12"/>
        <v>9.5158515768545615E-2</v>
      </c>
      <c r="AD30">
        <f t="shared" si="3"/>
        <v>1.491225204215489</v>
      </c>
      <c r="AE30">
        <f t="shared" si="13"/>
        <v>0</v>
      </c>
      <c r="AF30">
        <f t="shared" si="14"/>
        <v>1.6569168935727658</v>
      </c>
      <c r="AG30">
        <f t="shared" si="15"/>
        <v>2.9824504084309789</v>
      </c>
      <c r="AH30">
        <f t="shared" si="16"/>
        <v>0</v>
      </c>
      <c r="AI30">
        <f t="shared" si="17"/>
        <v>0.39242768531986555</v>
      </c>
      <c r="AJ30">
        <f t="shared" si="18"/>
        <v>0</v>
      </c>
      <c r="AK30">
        <f t="shared" si="19"/>
        <v>1.491225204215489</v>
      </c>
      <c r="AL30">
        <f t="shared" si="20"/>
        <v>0</v>
      </c>
    </row>
    <row r="31" spans="1:38" x14ac:dyDescent="0.2">
      <c r="A31">
        <v>2048</v>
      </c>
      <c r="B31">
        <v>23</v>
      </c>
      <c r="C31">
        <f t="shared" si="21"/>
        <v>8.1639205026577617</v>
      </c>
      <c r="D31">
        <f t="shared" si="23"/>
        <v>1.3816803814737959</v>
      </c>
      <c r="E31">
        <f t="shared" si="4"/>
        <v>1.3816803814737959</v>
      </c>
      <c r="F31">
        <f t="shared" si="5"/>
        <v>0</v>
      </c>
      <c r="G31" s="9">
        <f t="shared" si="6"/>
        <v>0.16924226307985119</v>
      </c>
      <c r="H31" s="9">
        <f t="shared" si="6"/>
        <v>0.16924226307985119</v>
      </c>
      <c r="I31" s="9">
        <f t="shared" si="6"/>
        <v>0</v>
      </c>
      <c r="J31" s="9">
        <f t="shared" si="7"/>
        <v>2.2001494200380656E-2</v>
      </c>
      <c r="K31" s="9">
        <f t="shared" si="8"/>
        <v>3.3848452615970241E-2</v>
      </c>
      <c r="L31" s="9">
        <f t="shared" si="9"/>
        <v>0</v>
      </c>
      <c r="M31">
        <f t="shared" si="0"/>
        <v>7.7140457833513638</v>
      </c>
      <c r="N31">
        <f t="shared" si="10"/>
        <v>6.2721224836393237</v>
      </c>
      <c r="O31">
        <f t="shared" si="24"/>
        <v>1.4419232997120401</v>
      </c>
      <c r="P31">
        <f t="shared" si="22"/>
        <v>7.6071401261000329</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0.10690565725133094</v>
      </c>
      <c r="AB31">
        <f t="shared" si="11"/>
        <v>1.9982997559388767E-2</v>
      </c>
      <c r="AC31">
        <f t="shared" si="12"/>
        <v>8.6922659691942183E-2</v>
      </c>
      <c r="AD31">
        <f t="shared" si="3"/>
        <v>1.5214280252200065</v>
      </c>
      <c r="AE31">
        <f t="shared" si="13"/>
        <v>0</v>
      </c>
      <c r="AF31">
        <f t="shared" si="14"/>
        <v>1.6904755835777852</v>
      </c>
      <c r="AG31">
        <f t="shared" si="15"/>
        <v>3.0428560504400135</v>
      </c>
      <c r="AH31">
        <f t="shared" si="16"/>
        <v>0</v>
      </c>
      <c r="AI31">
        <f t="shared" si="17"/>
        <v>0.40037579611052804</v>
      </c>
      <c r="AJ31">
        <f t="shared" si="18"/>
        <v>0</v>
      </c>
      <c r="AK31">
        <f t="shared" si="19"/>
        <v>1.5214280252200065</v>
      </c>
      <c r="AL31">
        <f t="shared" si="20"/>
        <v>0</v>
      </c>
    </row>
    <row r="32" spans="1:38" x14ac:dyDescent="0.2">
      <c r="A32">
        <v>2049</v>
      </c>
      <c r="B32">
        <v>24</v>
      </c>
      <c r="C32">
        <f t="shared" si="21"/>
        <v>8.3353628332135745</v>
      </c>
      <c r="D32">
        <f t="shared" si="23"/>
        <v>1.4686327544855837</v>
      </c>
      <c r="E32">
        <f t="shared" si="4"/>
        <v>1.4686327544855837</v>
      </c>
      <c r="F32">
        <f t="shared" si="5"/>
        <v>0</v>
      </c>
      <c r="G32" s="9">
        <f t="shared" si="6"/>
        <v>0.17619302049259136</v>
      </c>
      <c r="H32" s="9">
        <f t="shared" si="6"/>
        <v>0.17619302049259136</v>
      </c>
      <c r="I32" s="9">
        <f t="shared" si="6"/>
        <v>0</v>
      </c>
      <c r="J32" s="9">
        <f t="shared" si="7"/>
        <v>2.2905092664036879E-2</v>
      </c>
      <c r="K32" s="9">
        <f t="shared" si="8"/>
        <v>3.5238604098518277E-2</v>
      </c>
      <c r="L32" s="9">
        <f t="shared" si="9"/>
        <v>0</v>
      </c>
      <c r="M32">
        <f t="shared" si="0"/>
        <v>7.8574418580995191</v>
      </c>
      <c r="N32">
        <f t="shared" si="10"/>
        <v>6.3978408568317588</v>
      </c>
      <c r="O32">
        <f t="shared" si="24"/>
        <v>1.4596010012677603</v>
      </c>
      <c r="P32">
        <f t="shared" si="22"/>
        <v>7.7567103840112743</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0.10073147408824479</v>
      </c>
      <c r="AB32">
        <f t="shared" si="11"/>
        <v>1.8711911980210459E-2</v>
      </c>
      <c r="AC32">
        <f t="shared" si="12"/>
        <v>8.2019562108034322E-2</v>
      </c>
      <c r="AD32">
        <f t="shared" si="3"/>
        <v>1.5513420768022552</v>
      </c>
      <c r="AE32">
        <f t="shared" si="13"/>
        <v>0</v>
      </c>
      <c r="AF32">
        <f t="shared" si="14"/>
        <v>1.7237134186691727</v>
      </c>
      <c r="AG32">
        <f t="shared" si="15"/>
        <v>3.1026841536045096</v>
      </c>
      <c r="AH32">
        <f t="shared" si="16"/>
        <v>0</v>
      </c>
      <c r="AI32">
        <f t="shared" si="17"/>
        <v>0.40824791494796187</v>
      </c>
      <c r="AJ32">
        <f t="shared" si="18"/>
        <v>0</v>
      </c>
      <c r="AK32">
        <f t="shared" si="19"/>
        <v>1.5513420768022552</v>
      </c>
      <c r="AL32">
        <f t="shared" si="20"/>
        <v>0</v>
      </c>
    </row>
    <row r="33" spans="1:38" x14ac:dyDescent="0.2">
      <c r="A33">
        <v>2050</v>
      </c>
      <c r="B33">
        <v>25</v>
      </c>
      <c r="C33">
        <f t="shared" si="21"/>
        <v>8.5104054527110584</v>
      </c>
      <c r="D33">
        <f t="shared" si="23"/>
        <v>1.5581373826333387</v>
      </c>
      <c r="E33">
        <f t="shared" si="4"/>
        <v>1.5581373826333387</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8.0036372242441356</v>
      </c>
      <c r="N33">
        <f t="shared" si="10"/>
        <v>6.523779532517378</v>
      </c>
      <c r="O33">
        <f t="shared" si="24"/>
        <v>1.4798576917267576</v>
      </c>
      <c r="P33">
        <f t="shared" si="22"/>
        <v>7.906341385333751</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9.7295838910384624E-2</v>
      </c>
      <c r="AB33">
        <f t="shared" si="11"/>
        <v>1.7989820321739795E-2</v>
      </c>
      <c r="AC33">
        <f t="shared" si="12"/>
        <v>7.9306018588644833E-2</v>
      </c>
      <c r="AD33">
        <f t="shared" si="3"/>
        <v>1.5812682770667503</v>
      </c>
      <c r="AE33">
        <f t="shared" si="13"/>
        <v>0</v>
      </c>
      <c r="AF33">
        <f t="shared" si="14"/>
        <v>1.7569647522963892</v>
      </c>
      <c r="AG33">
        <f t="shared" si="15"/>
        <v>3.1625365541335007</v>
      </c>
      <c r="AH33">
        <f t="shared" si="16"/>
        <v>0</v>
      </c>
      <c r="AI33">
        <f t="shared" si="17"/>
        <v>0.4161232308070395</v>
      </c>
      <c r="AJ33">
        <f t="shared" si="18"/>
        <v>0</v>
      </c>
      <c r="AK33">
        <f t="shared" si="19"/>
        <v>1.5812682770667503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F07B3-BE28-B547-97DC-D236FCD7E2A7}">
  <sheetPr>
    <tabColor theme="4" tint="0.79998168889431442"/>
  </sheetPr>
  <dimension ref="A1:AY37"/>
  <sheetViews>
    <sheetView topLeftCell="G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29</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emissions!N31</f>
        <v>5.0618200188849336</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5.0618200188849336</v>
      </c>
      <c r="N8">
        <f>IF($N$7="LFO",M8/(1+EXP(-$I$4*(B8-$J$4)))-M8/(1+EXP($I$4*$J$4)),IF($N$7="MGO",M8/(1+EXP(-$I$5*(B8-$J$5)))-M8/(1+EXP($I$5*$J$5)),0))</f>
        <v>0</v>
      </c>
      <c r="O8">
        <f>M8-N8</f>
        <v>5.0618200188849336</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5.0618200188849336</v>
      </c>
      <c r="AB8">
        <f>O8/M8*AA8</f>
        <v>5.0618200188849336</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5.168118239281517</v>
      </c>
      <c r="D9">
        <f>IF($E$2=0,0,C9/(1+EXP(-$E$2*(B9-$G$2)))-C9/(1+EXP($E$2*$G$2)))</f>
        <v>3.858410396725942E-2</v>
      </c>
      <c r="E9">
        <f t="shared" ref="E9:E33" si="4">IF($E$3=0,0,C9/(1+EXP(-$E$3*(B9-$G$3)))-C9/(1+EXP($E$3*$G$3)))</f>
        <v>3.858410396725942E-2</v>
      </c>
      <c r="F9">
        <f t="shared" ref="F9:F33" si="5">IF($E$4=0,0,C9/(1+EXP(-$E$4*(B9-$G$4)))-C9/(1+EXP($E$4*$G$4)))</f>
        <v>0</v>
      </c>
      <c r="G9" s="9">
        <f t="shared" ref="G9:I33" si="6">D9/$C9</f>
        <v>7.4657935791777597E-3</v>
      </c>
      <c r="H9" s="9">
        <f t="shared" si="6"/>
        <v>7.4657935791777597E-3</v>
      </c>
      <c r="I9" s="9">
        <f t="shared" si="6"/>
        <v>0</v>
      </c>
      <c r="J9" s="9">
        <f t="shared" ref="J9:J33" si="7">G9*$F$2</f>
        <v>9.7055316529310882E-4</v>
      </c>
      <c r="K9" s="9">
        <f t="shared" ref="K9:K33" si="8">H9*$F$3</f>
        <v>1.4931587158355519E-3</v>
      </c>
      <c r="L9" s="9">
        <f t="shared" ref="L9:L33" si="9">I9*$F$4</f>
        <v>0</v>
      </c>
      <c r="M9">
        <f t="shared" si="0"/>
        <v>5.1553929745571683</v>
      </c>
      <c r="N9">
        <f t="shared" ref="N9:N33" si="10">IF($N$7="LFO",M9/(1+EXP(-$I$4*(B9-$J$4)))-M9/(1+EXP($I$4*$J$4)),IF($N$7="MGO",M9/(1+EXP(-$I$5*(B9-$J$5)))-M9/(1+EXP($I$5*$J$5)),0))</f>
        <v>0.25287044112206314</v>
      </c>
      <c r="O9">
        <f>M9-N9</f>
        <v>4.9025225334351052</v>
      </c>
      <c r="P9">
        <f>IF($I$3=0,0,M9/(1+EXP(-$I$3*(B9-$J$3)))-M9/(1+EXP($I$3*$J$3)))</f>
        <v>3.1639114202362935E-2</v>
      </c>
      <c r="Q9" s="9">
        <f t="shared" si="1"/>
        <v>6.1370906851345572E-3</v>
      </c>
      <c r="R9">
        <f>VLOOKUP($B$1,dictionary!$A$3:$K$51,3,FALSE)*Q9</f>
        <v>1.2274181370269116E-3</v>
      </c>
      <c r="S9">
        <f>VLOOKUP($B$1,dictionary!$A$3:$K$51,4,FALSE)*Q9</f>
        <v>0</v>
      </c>
      <c r="T9">
        <f>VLOOKUP($B$1,dictionary!$A$3:$K$51,5,FALSE)*Q9</f>
        <v>1.2274181370269116E-3</v>
      </c>
      <c r="U9">
        <f>VLOOKUP($B$1,dictionary!$A$3:$K$51,6,FALSE)*Q9</f>
        <v>2.1479817397970949E-3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5.123753860354805</v>
      </c>
      <c r="AB9">
        <f t="shared" ref="AB9:AB33" si="11">O9/M9*AA9</f>
        <v>4.8724353080614984</v>
      </c>
      <c r="AC9">
        <f t="shared" ref="AC9:AC33" si="12">N9/M9*AA9</f>
        <v>0.25131855229330702</v>
      </c>
      <c r="AD9">
        <f t="shared" si="3"/>
        <v>6.3278228404725885E-3</v>
      </c>
      <c r="AE9">
        <f t="shared" ref="AE9:AE33" si="13">S9*$O9*$AE$2+S9*$N9*$AE$3</f>
        <v>0</v>
      </c>
      <c r="AF9">
        <f t="shared" ref="AF9:AF33" si="14">T9*$O9*$AF$2+T9*$N9*$AF$3</f>
        <v>7.0309142671917653E-3</v>
      </c>
      <c r="AG9">
        <f t="shared" ref="AG9:AG33" si="15">U9*$O9*$AG$2+U9*$N9*$AG$3</f>
        <v>1.2655645680945175E-2</v>
      </c>
      <c r="AH9">
        <f t="shared" ref="AH9:AH33" si="16">V9*$O9*$AH$2+V9*$N9*$AH$3</f>
        <v>0</v>
      </c>
      <c r="AI9">
        <f t="shared" ref="AI9:AI33" si="17">W9*$O9*$AI$2+W9*$N9*$AI$3</f>
        <v>1.6652165369664704E-3</v>
      </c>
      <c r="AJ9">
        <f t="shared" ref="AJ9:AJ33" si="18">X9*$O9*$AJ$2+X9*$N9*$AJ$3</f>
        <v>0</v>
      </c>
      <c r="AK9">
        <f t="shared" ref="AK9:AK33" si="19">Y9*$O9*$AK$2+Y9*$N9*$AK$3</f>
        <v>6.3278228404725885E-3</v>
      </c>
      <c r="AL9">
        <f t="shared" ref="AL9:AL33" si="20">Z9*$O9*$AL$2+Z9*$N9*$AL$3</f>
        <v>0</v>
      </c>
    </row>
    <row r="10" spans="1:51" x14ac:dyDescent="0.2">
      <c r="A10">
        <v>2027</v>
      </c>
      <c r="B10">
        <v>2</v>
      </c>
      <c r="C10">
        <f t="shared" ref="C10:C33" si="21">C9*(1+$I$2)</f>
        <v>5.2766487223064287</v>
      </c>
      <c r="D10">
        <f>IF($E$2=0,0,C10/(1+EXP(-$E$2*(B10-$G$2)))-C10/(1+EXP($E$2*$G$2)))</f>
        <v>7.8859623600287421E-2</v>
      </c>
      <c r="E10">
        <f t="shared" si="4"/>
        <v>7.8859623600287421E-2</v>
      </c>
      <c r="F10">
        <f t="shared" si="5"/>
        <v>0</v>
      </c>
      <c r="G10" s="9">
        <f t="shared" si="6"/>
        <v>1.4945020551949456E-2</v>
      </c>
      <c r="H10" s="9">
        <f t="shared" si="6"/>
        <v>1.4945020551949456E-2</v>
      </c>
      <c r="I10" s="9">
        <f t="shared" si="6"/>
        <v>0</v>
      </c>
      <c r="J10" s="9">
        <f t="shared" si="7"/>
        <v>1.9428526717534295E-3</v>
      </c>
      <c r="K10" s="9">
        <f t="shared" si="8"/>
        <v>2.9890041103898916E-3</v>
      </c>
      <c r="L10" s="9">
        <f t="shared" si="9"/>
        <v>0</v>
      </c>
      <c r="M10">
        <f t="shared" si="0"/>
        <v>5.2506556890444145</v>
      </c>
      <c r="N10">
        <f t="shared" si="10"/>
        <v>0.55985102406238851</v>
      </c>
      <c r="O10">
        <f>M10-N10</f>
        <v>4.6908046649820259</v>
      </c>
      <c r="P10">
        <f t="shared" ref="P10:P33" si="22">IF($I$3=0,0,M10/(1+EXP(-$I$3*(B10-$J$3)))-M10/(1+EXP($I$3*$J$3)))</f>
        <v>8.1963002807319746E-2</v>
      </c>
      <c r="Q10" s="9">
        <f t="shared" si="1"/>
        <v>1.5610050946272672E-2</v>
      </c>
      <c r="R10">
        <f>VLOOKUP($B$1,dictionary!$A$3:$K$51,3,FALSE)*Q10</f>
        <v>3.1220101892545345E-3</v>
      </c>
      <c r="S10">
        <f>VLOOKUP($B$1,dictionary!$A$3:$K$51,4,FALSE)*Q10</f>
        <v>0</v>
      </c>
      <c r="T10">
        <f>VLOOKUP($B$1,dictionary!$A$3:$K$51,5,FALSE)*Q10</f>
        <v>3.1220101892545345E-3</v>
      </c>
      <c r="U10">
        <f>VLOOKUP($B$1,dictionary!$A$3:$K$51,6,FALSE)*Q10</f>
        <v>5.4635178311954347E-3</v>
      </c>
      <c r="V10">
        <f>VLOOKUP($B$1,dictionary!$A$3:$K$51,7,FALSE)*Q10</f>
        <v>0</v>
      </c>
      <c r="W10">
        <f>VLOOKUP($B$1,dictionary!$A$3:$K$51,8,FALSE)*Q10</f>
        <v>7.8050254731363363E-4</v>
      </c>
      <c r="X10">
        <f>VLOOKUP($B$1,dictionary!$A$3:$K$51,9,FALSE)*Q10</f>
        <v>0</v>
      </c>
      <c r="Y10">
        <f>VLOOKUP($B$1,dictionary!$A$3:$K$51,10,FALSE)*Q10</f>
        <v>3.1220101892545345E-3</v>
      </c>
      <c r="Z10">
        <f>VLOOKUP($B$1,dictionary!$A$3:$K$51,11,FALSE)*Q10</f>
        <v>0</v>
      </c>
      <c r="AA10">
        <f t="shared" si="2"/>
        <v>5.1686926862370948</v>
      </c>
      <c r="AB10">
        <f t="shared" si="11"/>
        <v>4.6175809651826425</v>
      </c>
      <c r="AC10">
        <f t="shared" si="12"/>
        <v>0.55111172105445172</v>
      </c>
      <c r="AD10">
        <f t="shared" si="3"/>
        <v>1.6392600561463952E-2</v>
      </c>
      <c r="AE10">
        <f t="shared" si="13"/>
        <v>0</v>
      </c>
      <c r="AF10">
        <f t="shared" si="14"/>
        <v>1.8214000623848835E-2</v>
      </c>
      <c r="AG10">
        <f t="shared" si="15"/>
        <v>3.2785201122927904E-2</v>
      </c>
      <c r="AH10">
        <f t="shared" si="16"/>
        <v>0</v>
      </c>
      <c r="AI10">
        <f t="shared" si="17"/>
        <v>4.3138422530168289E-3</v>
      </c>
      <c r="AJ10">
        <f t="shared" si="18"/>
        <v>0</v>
      </c>
      <c r="AK10">
        <f t="shared" si="19"/>
        <v>1.6392600561463952E-2</v>
      </c>
      <c r="AL10">
        <f t="shared" si="20"/>
        <v>0</v>
      </c>
    </row>
    <row r="11" spans="1:51" x14ac:dyDescent="0.2">
      <c r="A11">
        <v>2028</v>
      </c>
      <c r="B11">
        <v>3</v>
      </c>
      <c r="C11">
        <f t="shared" si="21"/>
        <v>5.3874583454748635</v>
      </c>
      <c r="D11">
        <f t="shared" ref="D11:D33" si="23">IF($E$2=0,0,C11/(1+EXP(-$E$2*(B11-$G$2)))-C11/(1+EXP($E$2*$G$2)))</f>
        <v>0.12086409232294404</v>
      </c>
      <c r="E11">
        <f t="shared" si="4"/>
        <v>0.12086409232294404</v>
      </c>
      <c r="F11">
        <f t="shared" si="5"/>
        <v>0</v>
      </c>
      <c r="G11" s="9">
        <f t="shared" si="6"/>
        <v>2.2434343724339421E-2</v>
      </c>
      <c r="H11" s="9">
        <f t="shared" si="6"/>
        <v>2.2434343724339421E-2</v>
      </c>
      <c r="I11" s="9">
        <f t="shared" si="6"/>
        <v>0</v>
      </c>
      <c r="J11" s="9">
        <f t="shared" si="7"/>
        <v>2.9164646841641248E-3</v>
      </c>
      <c r="K11" s="9">
        <f t="shared" si="8"/>
        <v>4.4868687448678841E-3</v>
      </c>
      <c r="L11" s="9">
        <f t="shared" si="9"/>
        <v>0</v>
      </c>
      <c r="M11">
        <f t="shared" si="0"/>
        <v>5.3476436941796601</v>
      </c>
      <c r="N11">
        <f t="shared" si="10"/>
        <v>0.91935711754347038</v>
      </c>
      <c r="O11">
        <f t="shared" ref="O11:O33" si="24">M11-N11</f>
        <v>4.4282865766361894</v>
      </c>
      <c r="P11">
        <f t="shared" si="22"/>
        <v>0.16098726027769356</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5.186656433901967</v>
      </c>
      <c r="AB11">
        <f t="shared" si="11"/>
        <v>4.2949759515335746</v>
      </c>
      <c r="AC11">
        <f t="shared" si="12"/>
        <v>0.89168048236839181</v>
      </c>
      <c r="AD11">
        <f t="shared" si="3"/>
        <v>3.2197452055538714E-2</v>
      </c>
      <c r="AE11">
        <f t="shared" si="13"/>
        <v>0</v>
      </c>
      <c r="AF11">
        <f t="shared" si="14"/>
        <v>3.5774946728376347E-2</v>
      </c>
      <c r="AG11">
        <f t="shared" si="15"/>
        <v>6.4394904111077414E-2</v>
      </c>
      <c r="AH11">
        <f t="shared" si="16"/>
        <v>0</v>
      </c>
      <c r="AI11">
        <f t="shared" si="17"/>
        <v>8.473013698825976E-3</v>
      </c>
      <c r="AJ11">
        <f t="shared" si="18"/>
        <v>0</v>
      </c>
      <c r="AK11">
        <f t="shared" si="19"/>
        <v>3.2197452055538714E-2</v>
      </c>
      <c r="AL11">
        <f t="shared" si="20"/>
        <v>0</v>
      </c>
    </row>
    <row r="12" spans="1:51" x14ac:dyDescent="0.2">
      <c r="A12">
        <v>2029</v>
      </c>
      <c r="B12">
        <v>4</v>
      </c>
      <c r="C12">
        <f t="shared" si="21"/>
        <v>5.5005949707298347</v>
      </c>
      <c r="D12">
        <f t="shared" si="23"/>
        <v>0.16463505057877947</v>
      </c>
      <c r="E12">
        <f t="shared" si="4"/>
        <v>0.16463505057877947</v>
      </c>
      <c r="F12">
        <f t="shared" si="5"/>
        <v>0</v>
      </c>
      <c r="G12" s="9">
        <f t="shared" si="6"/>
        <v>2.993040779312919E-2</v>
      </c>
      <c r="H12" s="9">
        <f t="shared" si="6"/>
        <v>2.993040779312919E-2</v>
      </c>
      <c r="I12" s="9">
        <f t="shared" si="6"/>
        <v>0</v>
      </c>
      <c r="J12" s="9">
        <f t="shared" si="7"/>
        <v>3.8909530131067947E-3</v>
      </c>
      <c r="K12" s="9">
        <f t="shared" si="8"/>
        <v>5.9860815586258382E-3</v>
      </c>
      <c r="L12" s="9">
        <f t="shared" si="9"/>
        <v>0</v>
      </c>
      <c r="M12">
        <f t="shared" si="0"/>
        <v>5.4463935214880603</v>
      </c>
      <c r="N12">
        <f t="shared" si="10"/>
        <v>1.3241923284447394</v>
      </c>
      <c r="O12">
        <f t="shared" si="24"/>
        <v>4.1222011930433204</v>
      </c>
      <c r="P12">
        <f t="shared" si="22"/>
        <v>0.28313846529096282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5.1632550561970971</v>
      </c>
      <c r="AB12">
        <f t="shared" si="11"/>
        <v>3.9079027375949571</v>
      </c>
      <c r="AC12">
        <f t="shared" si="12"/>
        <v>1.2553523186021396</v>
      </c>
      <c r="AD12">
        <f t="shared" si="3"/>
        <v>5.6627693058192562E-2</v>
      </c>
      <c r="AE12">
        <f t="shared" si="13"/>
        <v>0</v>
      </c>
      <c r="AF12">
        <f t="shared" si="14"/>
        <v>6.29196589535473E-2</v>
      </c>
      <c r="AG12">
        <f t="shared" si="15"/>
        <v>0.11325538611638514</v>
      </c>
      <c r="AH12">
        <f t="shared" si="16"/>
        <v>0</v>
      </c>
      <c r="AI12">
        <f t="shared" si="17"/>
        <v>1.4902024488998042E-2</v>
      </c>
      <c r="AJ12">
        <f t="shared" si="18"/>
        <v>0</v>
      </c>
      <c r="AK12">
        <f t="shared" si="19"/>
        <v>5.6627693058192562E-2</v>
      </c>
      <c r="AL12">
        <f t="shared" si="20"/>
        <v>0</v>
      </c>
    </row>
    <row r="13" spans="1:51" x14ac:dyDescent="0.2">
      <c r="A13">
        <v>2030</v>
      </c>
      <c r="B13">
        <v>5</v>
      </c>
      <c r="C13">
        <f t="shared" si="21"/>
        <v>5.616107465115161</v>
      </c>
      <c r="D13">
        <f t="shared" si="23"/>
        <v>0.21021003385313763</v>
      </c>
      <c r="E13">
        <f t="shared" si="4"/>
        <v>0.21021003385313763</v>
      </c>
      <c r="F13">
        <f t="shared" si="5"/>
        <v>0</v>
      </c>
      <c r="G13" s="9">
        <f t="shared" si="6"/>
        <v>3.7429845343749518E-2</v>
      </c>
      <c r="H13" s="9">
        <f t="shared" si="6"/>
        <v>3.7429845343749518E-2</v>
      </c>
      <c r="I13" s="9">
        <f t="shared" si="6"/>
        <v>0</v>
      </c>
      <c r="J13" s="9">
        <f t="shared" si="7"/>
        <v>4.8658798946874379E-3</v>
      </c>
      <c r="K13" s="9">
        <f t="shared" si="8"/>
        <v>7.4859690687499036E-3</v>
      </c>
      <c r="L13" s="9">
        <f t="shared" si="9"/>
        <v>0</v>
      </c>
      <c r="M13">
        <f t="shared" si="0"/>
        <v>5.546942725299103</v>
      </c>
      <c r="N13">
        <f t="shared" si="10"/>
        <v>1.7615674304630049</v>
      </c>
      <c r="O13">
        <f t="shared" si="24"/>
        <v>3.7853752948360979</v>
      </c>
      <c r="P13">
        <f t="shared" si="22"/>
        <v>0.46795407918523008</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5.0789886461138734</v>
      </c>
      <c r="AB13">
        <f t="shared" si="11"/>
        <v>3.4660314872307967</v>
      </c>
      <c r="AC13">
        <f t="shared" si="12"/>
        <v>1.6129571588830767</v>
      </c>
      <c r="AD13">
        <f t="shared" si="3"/>
        <v>9.3590815837046024E-2</v>
      </c>
      <c r="AE13">
        <f t="shared" si="13"/>
        <v>0</v>
      </c>
      <c r="AF13">
        <f t="shared" si="14"/>
        <v>0.10398979537449557</v>
      </c>
      <c r="AG13">
        <f t="shared" si="15"/>
        <v>0.18718163167409202</v>
      </c>
      <c r="AH13">
        <f t="shared" si="16"/>
        <v>0</v>
      </c>
      <c r="AI13">
        <f t="shared" si="17"/>
        <v>2.4629162062380527E-2</v>
      </c>
      <c r="AJ13">
        <f t="shared" si="18"/>
        <v>0</v>
      </c>
      <c r="AK13">
        <f t="shared" si="19"/>
        <v>9.3590815837046024E-2</v>
      </c>
      <c r="AL13">
        <f t="shared" si="20"/>
        <v>0</v>
      </c>
    </row>
    <row r="14" spans="1:51" x14ac:dyDescent="0.2">
      <c r="A14">
        <v>2031</v>
      </c>
      <c r="B14">
        <v>6</v>
      </c>
      <c r="C14">
        <f t="shared" si="21"/>
        <v>5.7340457218825787</v>
      </c>
      <c r="D14">
        <f t="shared" si="23"/>
        <v>0.25762656236771386</v>
      </c>
      <c r="E14">
        <f t="shared" si="4"/>
        <v>0.25762656236771386</v>
      </c>
      <c r="F14">
        <f t="shared" si="5"/>
        <v>0</v>
      </c>
      <c r="G14" s="9">
        <f t="shared" si="6"/>
        <v>4.4929282894369905E-2</v>
      </c>
      <c r="H14" s="9">
        <f t="shared" si="6"/>
        <v>4.4929282894369905E-2</v>
      </c>
      <c r="I14" s="9">
        <f t="shared" si="6"/>
        <v>0</v>
      </c>
      <c r="J14" s="9">
        <f t="shared" si="7"/>
        <v>5.8408067762680876E-3</v>
      </c>
      <c r="K14" s="9">
        <f t="shared" si="8"/>
        <v>8.9858565788739821E-3</v>
      </c>
      <c r="L14" s="9">
        <f t="shared" si="9"/>
        <v>0</v>
      </c>
      <c r="M14">
        <f t="shared" si="0"/>
        <v>5.6493299056954784</v>
      </c>
      <c r="N14">
        <f t="shared" si="10"/>
        <v>2.214633322125672</v>
      </c>
      <c r="O14">
        <f t="shared" si="24"/>
        <v>3.4346965835698064</v>
      </c>
      <c r="P14">
        <f t="shared" si="22"/>
        <v>0.73929459952190524</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4.9100353061735733</v>
      </c>
      <c r="AB14">
        <f t="shared" si="11"/>
        <v>2.9852180298975379</v>
      </c>
      <c r="AC14">
        <f t="shared" si="12"/>
        <v>1.9248172762760352</v>
      </c>
      <c r="AD14">
        <f t="shared" si="3"/>
        <v>0.14785891990438105</v>
      </c>
      <c r="AE14">
        <f t="shared" si="13"/>
        <v>0</v>
      </c>
      <c r="AF14">
        <f t="shared" si="14"/>
        <v>0.1642876887826456</v>
      </c>
      <c r="AG14">
        <f t="shared" si="15"/>
        <v>0.29571783980876215</v>
      </c>
      <c r="AH14">
        <f t="shared" si="16"/>
        <v>0</v>
      </c>
      <c r="AI14">
        <f t="shared" si="17"/>
        <v>3.8910242080100271E-2</v>
      </c>
      <c r="AJ14">
        <f t="shared" si="18"/>
        <v>0</v>
      </c>
      <c r="AK14">
        <f t="shared" si="19"/>
        <v>0.14785891990438105</v>
      </c>
      <c r="AL14">
        <f t="shared" si="20"/>
        <v>0</v>
      </c>
    </row>
    <row r="15" spans="1:51" x14ac:dyDescent="0.2">
      <c r="A15">
        <v>2032</v>
      </c>
      <c r="B15">
        <v>7</v>
      </c>
      <c r="C15">
        <f t="shared" si="21"/>
        <v>5.8544606820421121</v>
      </c>
      <c r="D15">
        <f t="shared" si="23"/>
        <v>0.30692213253823342</v>
      </c>
      <c r="E15">
        <f t="shared" si="4"/>
        <v>0.30692213253823342</v>
      </c>
      <c r="F15">
        <f t="shared" si="5"/>
        <v>0</v>
      </c>
      <c r="G15" s="9">
        <f t="shared" si="6"/>
        <v>5.242534696315955E-2</v>
      </c>
      <c r="H15" s="9">
        <f t="shared" si="6"/>
        <v>5.242534696315955E-2</v>
      </c>
      <c r="I15" s="9">
        <f t="shared" si="6"/>
        <v>0</v>
      </c>
      <c r="J15" s="9">
        <f t="shared" si="7"/>
        <v>6.8152951052107419E-3</v>
      </c>
      <c r="K15" s="9">
        <f t="shared" si="8"/>
        <v>1.0485069392631911E-2</v>
      </c>
      <c r="L15" s="9">
        <f t="shared" si="9"/>
        <v>0</v>
      </c>
      <c r="M15">
        <f t="shared" si="0"/>
        <v>5.7535947312860083</v>
      </c>
      <c r="N15">
        <f t="shared" si="10"/>
        <v>2.6652421890979801</v>
      </c>
      <c r="O15">
        <f t="shared" si="24"/>
        <v>3.0883525421880282</v>
      </c>
      <c r="P15">
        <f>IF($I$3=0,0,M15/(1+EXP(-$I$3*(B15-$J$3)))-M15/(1+EXP($I$3*$J$3)))</f>
        <v>1.1212802712894996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4.6323144599965085</v>
      </c>
      <c r="AB15">
        <f t="shared" si="11"/>
        <v>2.4864838082794445</v>
      </c>
      <c r="AC15">
        <f t="shared" si="12"/>
        <v>2.145830651717064</v>
      </c>
      <c r="AD15">
        <f t="shared" si="3"/>
        <v>0.22425605425789991</v>
      </c>
      <c r="AE15">
        <f t="shared" si="13"/>
        <v>0</v>
      </c>
      <c r="AF15">
        <f t="shared" si="14"/>
        <v>0.24917339361988883</v>
      </c>
      <c r="AG15">
        <f t="shared" si="15"/>
        <v>0.44851210851579981</v>
      </c>
      <c r="AH15">
        <f t="shared" si="16"/>
        <v>0</v>
      </c>
      <c r="AI15">
        <f t="shared" si="17"/>
        <v>5.9014751120499975E-2</v>
      </c>
      <c r="AJ15">
        <f t="shared" si="18"/>
        <v>0</v>
      </c>
      <c r="AK15">
        <f t="shared" si="19"/>
        <v>0.22425605425789991</v>
      </c>
      <c r="AL15">
        <f t="shared" si="20"/>
        <v>0</v>
      </c>
    </row>
    <row r="16" spans="1:51" x14ac:dyDescent="0.2">
      <c r="A16">
        <v>2033</v>
      </c>
      <c r="B16">
        <v>8</v>
      </c>
      <c r="C16">
        <f t="shared" si="21"/>
        <v>5.9774043563649961</v>
      </c>
      <c r="D16">
        <f t="shared" si="23"/>
        <v>0.35813421027840642</v>
      </c>
      <c r="E16">
        <f t="shared" si="4"/>
        <v>0.35813421027840642</v>
      </c>
      <c r="F16">
        <f t="shared" si="5"/>
        <v>0</v>
      </c>
      <c r="G16" s="9">
        <f t="shared" si="6"/>
        <v>5.9914670135549686E-2</v>
      </c>
      <c r="H16" s="9">
        <f t="shared" si="6"/>
        <v>5.9914670135549686E-2</v>
      </c>
      <c r="I16" s="9">
        <f t="shared" si="6"/>
        <v>0</v>
      </c>
      <c r="J16" s="9">
        <f t="shared" si="7"/>
        <v>7.7889071176214597E-3</v>
      </c>
      <c r="K16" s="9">
        <f t="shared" si="8"/>
        <v>1.1982934027109938E-2</v>
      </c>
      <c r="L16" s="9">
        <f t="shared" si="9"/>
        <v>0</v>
      </c>
      <c r="M16">
        <f t="shared" si="0"/>
        <v>5.8597779617930223</v>
      </c>
      <c r="N16">
        <f t="shared" si="10"/>
        <v>3.0970331633606731</v>
      </c>
      <c r="O16">
        <f t="shared" si="24"/>
        <v>2.7627447984323492</v>
      </c>
      <c r="P16">
        <f t="shared" si="22"/>
        <v>1.6293906900690796</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4.2303872717239432</v>
      </c>
      <c r="AB16">
        <f t="shared" si="11"/>
        <v>1.9945261589286416</v>
      </c>
      <c r="AC16">
        <f t="shared" si="12"/>
        <v>2.2358611127953014</v>
      </c>
      <c r="AD16">
        <f t="shared" si="3"/>
        <v>0.32587813801381593</v>
      </c>
      <c r="AE16">
        <f t="shared" si="13"/>
        <v>0</v>
      </c>
      <c r="AF16">
        <f t="shared" si="14"/>
        <v>0.36208682001535109</v>
      </c>
      <c r="AG16">
        <f t="shared" si="15"/>
        <v>0.65175627602763186</v>
      </c>
      <c r="AH16">
        <f t="shared" si="16"/>
        <v>0</v>
      </c>
      <c r="AI16">
        <f t="shared" si="17"/>
        <v>8.5757404740477869E-2</v>
      </c>
      <c r="AJ16">
        <f t="shared" si="18"/>
        <v>0</v>
      </c>
      <c r="AK16">
        <f t="shared" si="19"/>
        <v>0.32587813801381593</v>
      </c>
      <c r="AL16">
        <f t="shared" si="20"/>
        <v>0</v>
      </c>
    </row>
    <row r="17" spans="1:38" x14ac:dyDescent="0.2">
      <c r="A17">
        <v>2034</v>
      </c>
      <c r="B17">
        <v>9</v>
      </c>
      <c r="C17">
        <f t="shared" si="21"/>
        <v>6.1029298478486602</v>
      </c>
      <c r="D17">
        <f t="shared" si="23"/>
        <v>0.41130022622521567</v>
      </c>
      <c r="E17">
        <f t="shared" si="4"/>
        <v>0.41130022622521567</v>
      </c>
      <c r="F17">
        <f t="shared" si="5"/>
        <v>0</v>
      </c>
      <c r="G17" s="9">
        <f t="shared" si="6"/>
        <v>6.7393897108321318E-2</v>
      </c>
      <c r="H17" s="9">
        <f t="shared" si="6"/>
        <v>6.7393897108321318E-2</v>
      </c>
      <c r="I17" s="9">
        <f t="shared" si="6"/>
        <v>0</v>
      </c>
      <c r="J17" s="9">
        <f t="shared" si="7"/>
        <v>8.7612066240817712E-3</v>
      </c>
      <c r="K17" s="9">
        <f t="shared" si="8"/>
        <v>1.3478779421664264E-2</v>
      </c>
      <c r="L17" s="9">
        <f t="shared" si="9"/>
        <v>0</v>
      </c>
      <c r="M17">
        <f t="shared" si="0"/>
        <v>5.9679214704476369</v>
      </c>
      <c r="N17">
        <f t="shared" si="10"/>
        <v>3.4977943557332987</v>
      </c>
      <c r="O17">
        <f t="shared" si="24"/>
        <v>2.4701271147143382</v>
      </c>
      <c r="P17">
        <f t="shared" si="22"/>
        <v>2.258105264644684</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3.7098162058029529</v>
      </c>
      <c r="AB17">
        <f t="shared" si="11"/>
        <v>1.5354956739860046</v>
      </c>
      <c r="AC17">
        <f t="shared" si="12"/>
        <v>2.1743205318169485</v>
      </c>
      <c r="AD17">
        <f t="shared" si="3"/>
        <v>0.45162105292893684</v>
      </c>
      <c r="AE17">
        <f t="shared" si="13"/>
        <v>0</v>
      </c>
      <c r="AF17">
        <f t="shared" si="14"/>
        <v>0.50180116992104096</v>
      </c>
      <c r="AG17">
        <f t="shared" si="15"/>
        <v>0.90324210585787368</v>
      </c>
      <c r="AH17">
        <f t="shared" si="16"/>
        <v>0</v>
      </c>
      <c r="AI17">
        <f t="shared" si="17"/>
        <v>0.11884764550761495</v>
      </c>
      <c r="AJ17">
        <f t="shared" si="18"/>
        <v>0</v>
      </c>
      <c r="AK17">
        <f t="shared" si="19"/>
        <v>0.45162105292893684</v>
      </c>
      <c r="AL17">
        <f t="shared" si="20"/>
        <v>0</v>
      </c>
    </row>
    <row r="18" spans="1:38" x14ac:dyDescent="0.2">
      <c r="A18">
        <v>2035</v>
      </c>
      <c r="B18">
        <v>10</v>
      </c>
      <c r="C18">
        <f t="shared" si="21"/>
        <v>6.2310913746534817</v>
      </c>
      <c r="D18">
        <f t="shared" si="23"/>
        <v>0.46645757295210277</v>
      </c>
      <c r="E18">
        <f t="shared" si="4"/>
        <v>0.46645757295210277</v>
      </c>
      <c r="F18">
        <f t="shared" si="5"/>
        <v>0</v>
      </c>
      <c r="G18" s="9">
        <f t="shared" si="6"/>
        <v>7.4859690687499036E-2</v>
      </c>
      <c r="H18" s="9">
        <f t="shared" si="6"/>
        <v>7.4859690687499036E-2</v>
      </c>
      <c r="I18" s="9">
        <f t="shared" si="6"/>
        <v>0</v>
      </c>
      <c r="J18" s="9">
        <f t="shared" si="7"/>
        <v>9.7317597893748758E-3</v>
      </c>
      <c r="K18" s="9">
        <f t="shared" si="8"/>
        <v>1.4971938137499807E-2</v>
      </c>
      <c r="L18" s="9">
        <f t="shared" si="9"/>
        <v>0</v>
      </c>
      <c r="M18">
        <f t="shared" si="0"/>
        <v>6.0780682661896694</v>
      </c>
      <c r="N18">
        <f t="shared" si="10"/>
        <v>3.8604786918087837</v>
      </c>
      <c r="O18">
        <f t="shared" si="24"/>
        <v>2.2175895743808858</v>
      </c>
      <c r="P18">
        <f t="shared" si="22"/>
        <v>2.97225474574938</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3.1058135204402895</v>
      </c>
      <c r="AB18">
        <f t="shared" si="11"/>
        <v>1.1331593166223672</v>
      </c>
      <c r="AC18">
        <f t="shared" si="12"/>
        <v>1.9726542038179222</v>
      </c>
      <c r="AD18">
        <f t="shared" si="3"/>
        <v>0.59445094914987595</v>
      </c>
      <c r="AE18">
        <f t="shared" si="13"/>
        <v>0</v>
      </c>
      <c r="AF18">
        <f t="shared" si="14"/>
        <v>0.6605010546109733</v>
      </c>
      <c r="AG18">
        <f t="shared" si="15"/>
        <v>1.1889018982997521</v>
      </c>
      <c r="AH18">
        <f t="shared" si="16"/>
        <v>0</v>
      </c>
      <c r="AI18">
        <f t="shared" si="17"/>
        <v>0.15643446030259894</v>
      </c>
      <c r="AJ18">
        <f t="shared" si="18"/>
        <v>0</v>
      </c>
      <c r="AK18">
        <f t="shared" si="19"/>
        <v>0.59445094914987595</v>
      </c>
      <c r="AL18">
        <f t="shared" si="20"/>
        <v>0</v>
      </c>
    </row>
    <row r="19" spans="1:38" x14ac:dyDescent="0.2">
      <c r="A19">
        <v>2036</v>
      </c>
      <c r="B19">
        <v>11</v>
      </c>
      <c r="C19">
        <f t="shared" si="21"/>
        <v>6.3619442935212041</v>
      </c>
      <c r="D19">
        <f t="shared" si="23"/>
        <v>0.5236436042276984</v>
      </c>
      <c r="E19">
        <f t="shared" si="4"/>
        <v>0.5236436042276984</v>
      </c>
      <c r="F19">
        <f t="shared" si="5"/>
        <v>0</v>
      </c>
      <c r="G19" s="9">
        <f t="shared" si="6"/>
        <v>8.2308737717329578E-2</v>
      </c>
      <c r="H19" s="9">
        <f t="shared" si="6"/>
        <v>8.2308737717329578E-2</v>
      </c>
      <c r="I19" s="9">
        <f t="shared" si="6"/>
        <v>0</v>
      </c>
      <c r="J19" s="9">
        <f t="shared" si="7"/>
        <v>1.0700135903252845E-2</v>
      </c>
      <c r="K19" s="9">
        <f t="shared" si="8"/>
        <v>1.6461747543465917E-2</v>
      </c>
      <c r="L19" s="9">
        <f t="shared" si="9"/>
        <v>0</v>
      </c>
      <c r="M19">
        <f t="shared" si="0"/>
        <v>6.1902625156720843</v>
      </c>
      <c r="N19">
        <f t="shared" si="10"/>
        <v>4.1829053038900943</v>
      </c>
      <c r="O19">
        <f t="shared" si="24"/>
        <v>2.00735721178199</v>
      </c>
      <c r="P19">
        <f t="shared" si="22"/>
        <v>3.7120051013865849</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2.4782574142854994</v>
      </c>
      <c r="AB19">
        <f t="shared" si="11"/>
        <v>0.80364086024194559</v>
      </c>
      <c r="AC19">
        <f t="shared" si="12"/>
        <v>1.6746165540435536</v>
      </c>
      <c r="AD19">
        <f t="shared" si="3"/>
        <v>0.74240102027731703</v>
      </c>
      <c r="AE19">
        <f t="shared" si="13"/>
        <v>0</v>
      </c>
      <c r="AF19">
        <f t="shared" si="14"/>
        <v>0.82489002253035226</v>
      </c>
      <c r="AG19">
        <f t="shared" si="15"/>
        <v>1.4848020405546341</v>
      </c>
      <c r="AH19">
        <f t="shared" si="16"/>
        <v>0</v>
      </c>
      <c r="AI19">
        <f t="shared" si="17"/>
        <v>0.19536868954666237</v>
      </c>
      <c r="AJ19">
        <f t="shared" si="18"/>
        <v>0</v>
      </c>
      <c r="AK19">
        <f t="shared" si="19"/>
        <v>0.74240102027731703</v>
      </c>
      <c r="AL19">
        <f t="shared" si="20"/>
        <v>0</v>
      </c>
    </row>
    <row r="20" spans="1:38" x14ac:dyDescent="0.2">
      <c r="A20">
        <v>2037</v>
      </c>
      <c r="B20">
        <v>12</v>
      </c>
      <c r="C20">
        <f t="shared" si="21"/>
        <v>6.4955451236851491</v>
      </c>
      <c r="D20">
        <f t="shared" si="23"/>
        <v>0.58289563636855402</v>
      </c>
      <c r="E20">
        <f t="shared" si="4"/>
        <v>0.58289563636855402</v>
      </c>
      <c r="F20">
        <f t="shared" si="5"/>
        <v>0</v>
      </c>
      <c r="G20" s="9">
        <f t="shared" si="6"/>
        <v>8.9737754918074841E-2</v>
      </c>
      <c r="H20" s="9">
        <f t="shared" si="6"/>
        <v>8.9737754918074841E-2</v>
      </c>
      <c r="I20" s="9">
        <f t="shared" si="6"/>
        <v>0</v>
      </c>
      <c r="J20" s="9">
        <f t="shared" si="7"/>
        <v>1.1665908139349731E-2</v>
      </c>
      <c r="K20" s="9">
        <f t="shared" si="8"/>
        <v>1.794755098361497E-2</v>
      </c>
      <c r="L20" s="9">
        <f t="shared" si="9"/>
        <v>0</v>
      </c>
      <c r="M20">
        <f t="shared" si="0"/>
        <v>6.3045495650732661</v>
      </c>
      <c r="N20">
        <f t="shared" si="10"/>
        <v>4.4666324916819624</v>
      </c>
      <c r="O20">
        <f t="shared" si="24"/>
        <v>1.8379170733913037</v>
      </c>
      <c r="P20">
        <f>IF($I$3=0,0,M20/(1+EXP(-$I$3*(B20-$J$3)))-M20/(1+EXP($I$3*$J$3)))</f>
        <v>4.4129486531803321</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1.891600911892934</v>
      </c>
      <c r="AB20">
        <f t="shared" si="11"/>
        <v>0.55144393364289146</v>
      </c>
      <c r="AC20">
        <f t="shared" si="12"/>
        <v>1.3401569782500424</v>
      </c>
      <c r="AD20">
        <f t="shared" si="3"/>
        <v>0.88258973063606638</v>
      </c>
      <c r="AE20">
        <f t="shared" si="13"/>
        <v>0</v>
      </c>
      <c r="AF20">
        <f t="shared" si="14"/>
        <v>0.9806552562622961</v>
      </c>
      <c r="AG20">
        <f t="shared" si="15"/>
        <v>1.7651794612721328</v>
      </c>
      <c r="AH20">
        <f t="shared" si="16"/>
        <v>0</v>
      </c>
      <c r="AI20">
        <f t="shared" si="17"/>
        <v>0.2322604554305438</v>
      </c>
      <c r="AJ20">
        <f t="shared" si="18"/>
        <v>0</v>
      </c>
      <c r="AK20">
        <f t="shared" si="19"/>
        <v>0.88258973063606638</v>
      </c>
      <c r="AL20">
        <f t="shared" si="20"/>
        <v>0</v>
      </c>
    </row>
    <row r="21" spans="1:38" x14ac:dyDescent="0.2">
      <c r="A21">
        <v>2038</v>
      </c>
      <c r="B21">
        <v>13</v>
      </c>
      <c r="C21">
        <f t="shared" si="21"/>
        <v>6.6319515712825368</v>
      </c>
      <c r="D21">
        <f t="shared" si="23"/>
        <v>0.64425095172491664</v>
      </c>
      <c r="E21">
        <f t="shared" si="4"/>
        <v>0.64425095172491664</v>
      </c>
      <c r="F21">
        <f t="shared" si="5"/>
        <v>0</v>
      </c>
      <c r="G21" s="9">
        <f t="shared" si="6"/>
        <v>9.7143494610942488E-2</v>
      </c>
      <c r="H21" s="9">
        <f t="shared" si="6"/>
        <v>9.7143494610942488E-2</v>
      </c>
      <c r="I21" s="9">
        <f t="shared" si="6"/>
        <v>0</v>
      </c>
      <c r="J21" s="9">
        <f t="shared" si="7"/>
        <v>1.2628654299422525E-2</v>
      </c>
      <c r="K21" s="9">
        <f t="shared" si="8"/>
        <v>1.94286989221885E-2</v>
      </c>
      <c r="L21" s="9">
        <f t="shared" si="9"/>
        <v>0</v>
      </c>
      <c r="M21">
        <f t="shared" si="0"/>
        <v>6.4209759617235962</v>
      </c>
      <c r="N21">
        <f t="shared" si="10"/>
        <v>4.7155761736989383</v>
      </c>
      <c r="O21">
        <f t="shared" si="24"/>
        <v>1.7053997880246579</v>
      </c>
      <c r="P21">
        <f t="shared" si="22"/>
        <v>5.0285403586347392</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1.3924356030888569</v>
      </c>
      <c r="AB21">
        <f t="shared" si="11"/>
        <v>0.3698284180631457</v>
      </c>
      <c r="AC21">
        <f t="shared" si="12"/>
        <v>1.0226071850257112</v>
      </c>
      <c r="AD21">
        <f t="shared" si="3"/>
        <v>1.005708071726948</v>
      </c>
      <c r="AE21">
        <f t="shared" si="13"/>
        <v>0</v>
      </c>
      <c r="AF21">
        <f t="shared" si="14"/>
        <v>1.1174534130299423</v>
      </c>
      <c r="AG21">
        <f t="shared" si="15"/>
        <v>2.011416143453896</v>
      </c>
      <c r="AH21">
        <f t="shared" si="16"/>
        <v>0</v>
      </c>
      <c r="AI21">
        <f t="shared" si="17"/>
        <v>0.2646600188755126</v>
      </c>
      <c r="AJ21">
        <f t="shared" si="18"/>
        <v>0</v>
      </c>
      <c r="AK21">
        <f t="shared" si="19"/>
        <v>1.005708071726948</v>
      </c>
      <c r="AL21">
        <f t="shared" si="20"/>
        <v>0</v>
      </c>
    </row>
    <row r="22" spans="1:38" x14ac:dyDescent="0.2">
      <c r="A22">
        <v>2039</v>
      </c>
      <c r="B22">
        <v>14</v>
      </c>
      <c r="C22">
        <f t="shared" si="21"/>
        <v>6.7712225542794693</v>
      </c>
      <c r="D22">
        <f t="shared" si="23"/>
        <v>0.70774680432900272</v>
      </c>
      <c r="E22">
        <f t="shared" si="4"/>
        <v>0.70774680432900272</v>
      </c>
      <c r="F22">
        <f t="shared" si="5"/>
        <v>0</v>
      </c>
      <c r="G22" s="9">
        <f t="shared" si="6"/>
        <v>0.10452275030920388</v>
      </c>
      <c r="H22" s="9">
        <f t="shared" si="6"/>
        <v>0.10452275030920388</v>
      </c>
      <c r="I22" s="9">
        <f t="shared" si="6"/>
        <v>0</v>
      </c>
      <c r="J22" s="9">
        <f t="shared" si="7"/>
        <v>1.3587957540196505E-2</v>
      </c>
      <c r="K22" s="9">
        <f t="shared" si="8"/>
        <v>2.0904550061840776E-2</v>
      </c>
      <c r="L22" s="9">
        <f t="shared" si="9"/>
        <v>0</v>
      </c>
      <c r="M22">
        <f t="shared" si="0"/>
        <v>6.539589475556185</v>
      </c>
      <c r="N22">
        <f t="shared" si="10"/>
        <v>4.9347815434885263</v>
      </c>
      <c r="O22">
        <f t="shared" si="24"/>
        <v>1.6048079320676587</v>
      </c>
      <c r="P22">
        <f t="shared" si="22"/>
        <v>5.5400916500409521</v>
      </c>
      <c r="Q22" s="9">
        <f t="shared" si="1"/>
        <v>0.84716199246891921</v>
      </c>
      <c r="R22">
        <f>VLOOKUP($B$1,dictionary!$A$3:$K$51,3,FALSE)*Q22</f>
        <v>0.16943239849378386</v>
      </c>
      <c r="S22">
        <f>VLOOKUP($B$1,dictionary!$A$3:$K$51,4,FALSE)*Q22</f>
        <v>0</v>
      </c>
      <c r="T22">
        <f>VLOOKUP($B$1,dictionary!$A$3:$K$51,5,FALSE)*Q22</f>
        <v>0.16943239849378386</v>
      </c>
      <c r="U22">
        <f>VLOOKUP($B$1,dictionary!$A$3:$K$51,6,FALSE)*Q22</f>
        <v>0.29650669736412172</v>
      </c>
      <c r="V22">
        <f>VLOOKUP($B$1,dictionary!$A$3:$K$51,7,FALSE)*Q22</f>
        <v>0</v>
      </c>
      <c r="W22">
        <f>VLOOKUP($B$1,dictionary!$A$3:$K$51,8,FALSE)*Q22</f>
        <v>4.2358099623445965E-2</v>
      </c>
      <c r="X22">
        <f>VLOOKUP($B$1,dictionary!$A$3:$K$51,9,FALSE)*Q22</f>
        <v>0</v>
      </c>
      <c r="Y22">
        <f>VLOOKUP($B$1,dictionary!$A$3:$K$51,10,FALSE)*Q22</f>
        <v>0.16943239849378386</v>
      </c>
      <c r="Z22">
        <f>VLOOKUP($B$1,dictionary!$A$3:$K$51,11,FALSE)*Q22</f>
        <v>0</v>
      </c>
      <c r="AA22">
        <f t="shared" si="2"/>
        <v>0.99949782551523292</v>
      </c>
      <c r="AB22">
        <f t="shared" si="11"/>
        <v>0.24527564680729502</v>
      </c>
      <c r="AC22">
        <f t="shared" si="12"/>
        <v>0.75422217870793784</v>
      </c>
      <c r="AD22">
        <f t="shared" si="3"/>
        <v>1.1080183300081905</v>
      </c>
      <c r="AE22">
        <f t="shared" si="13"/>
        <v>0</v>
      </c>
      <c r="AF22">
        <f t="shared" si="14"/>
        <v>1.2311314777868785</v>
      </c>
      <c r="AG22">
        <f t="shared" si="15"/>
        <v>2.216036660016381</v>
      </c>
      <c r="AH22">
        <f t="shared" si="16"/>
        <v>0</v>
      </c>
      <c r="AI22">
        <f t="shared" si="17"/>
        <v>0.29158377105478694</v>
      </c>
      <c r="AJ22">
        <f t="shared" si="18"/>
        <v>0</v>
      </c>
      <c r="AK22">
        <f t="shared" si="19"/>
        <v>1.1080183300081905</v>
      </c>
      <c r="AL22">
        <f t="shared" si="20"/>
        <v>0</v>
      </c>
    </row>
    <row r="23" spans="1:38" x14ac:dyDescent="0.2">
      <c r="A23">
        <v>2040</v>
      </c>
      <c r="B23">
        <v>15</v>
      </c>
      <c r="C23">
        <f t="shared" si="21"/>
        <v>6.9134182279193377</v>
      </c>
      <c r="D23">
        <f t="shared" si="23"/>
        <v>0.77342042772559516</v>
      </c>
      <c r="E23">
        <f t="shared" si="4"/>
        <v>0.77342042772559516</v>
      </c>
      <c r="F23">
        <f t="shared" si="5"/>
        <v>0</v>
      </c>
      <c r="G23" s="9">
        <f t="shared" si="6"/>
        <v>0.11187236215540858</v>
      </c>
      <c r="H23" s="9">
        <f t="shared" si="6"/>
        <v>0.11187236215540858</v>
      </c>
      <c r="I23" s="9">
        <f t="shared" si="6"/>
        <v>0</v>
      </c>
      <c r="J23" s="9">
        <f t="shared" si="7"/>
        <v>1.4543407080203116E-2</v>
      </c>
      <c r="K23" s="9">
        <f t="shared" si="8"/>
        <v>2.2374472431081718E-2</v>
      </c>
      <c r="L23" s="9">
        <f t="shared" si="9"/>
        <v>0</v>
      </c>
      <c r="M23">
        <f t="shared" si="0"/>
        <v>6.6604391203948028</v>
      </c>
      <c r="N23">
        <f t="shared" si="10"/>
        <v>5.1295278840456859</v>
      </c>
      <c r="O23">
        <f t="shared" si="24"/>
        <v>1.5309112363491169</v>
      </c>
      <c r="P23">
        <f t="shared" si="22"/>
        <v>5.9521919517617272</v>
      </c>
      <c r="Q23" s="9">
        <f t="shared" si="1"/>
        <v>0.89366359247029736</v>
      </c>
      <c r="R23">
        <f>VLOOKUP($B$1,dictionary!$A$3:$K$51,3,FALSE)*Q23</f>
        <v>0.17873271849405947</v>
      </c>
      <c r="S23">
        <f>VLOOKUP($B$1,dictionary!$A$3:$K$51,4,FALSE)*Q23</f>
        <v>0</v>
      </c>
      <c r="T23">
        <f>VLOOKUP($B$1,dictionary!$A$3:$K$51,5,FALSE)*Q23</f>
        <v>0.17873271849405947</v>
      </c>
      <c r="U23">
        <f>VLOOKUP($B$1,dictionary!$A$3:$K$51,6,FALSE)*Q23</f>
        <v>0.31278225736460408</v>
      </c>
      <c r="V23">
        <f>VLOOKUP($B$1,dictionary!$A$3:$K$51,7,FALSE)*Q23</f>
        <v>0</v>
      </c>
      <c r="W23">
        <f>VLOOKUP($B$1,dictionary!$A$3:$K$51,8,FALSE)*Q23</f>
        <v>4.4683179623514868E-2</v>
      </c>
      <c r="X23">
        <f>VLOOKUP($B$1,dictionary!$A$3:$K$51,9,FALSE)*Q23</f>
        <v>0</v>
      </c>
      <c r="Y23">
        <f>VLOOKUP($B$1,dictionary!$A$3:$K$51,10,FALSE)*Q23</f>
        <v>0.17873271849405947</v>
      </c>
      <c r="Z23">
        <f>VLOOKUP($B$1,dictionary!$A$3:$K$51,11,FALSE)*Q23</f>
        <v>0</v>
      </c>
      <c r="AA23">
        <f t="shared" si="2"/>
        <v>0.70824716863307557</v>
      </c>
      <c r="AB23">
        <f t="shared" si="11"/>
        <v>0.16279160112022051</v>
      </c>
      <c r="AC23">
        <f t="shared" si="12"/>
        <v>0.54545556751285507</v>
      </c>
      <c r="AD23">
        <f t="shared" si="3"/>
        <v>1.1904383903523454</v>
      </c>
      <c r="AE23">
        <f t="shared" si="13"/>
        <v>0</v>
      </c>
      <c r="AF23">
        <f t="shared" si="14"/>
        <v>1.3227093226137172</v>
      </c>
      <c r="AG23">
        <f t="shared" si="15"/>
        <v>2.3808767807046909</v>
      </c>
      <c r="AH23">
        <f t="shared" si="16"/>
        <v>0</v>
      </c>
      <c r="AI23">
        <f t="shared" si="17"/>
        <v>0.31327326061903826</v>
      </c>
      <c r="AJ23">
        <f t="shared" si="18"/>
        <v>0</v>
      </c>
      <c r="AK23">
        <f t="shared" si="19"/>
        <v>1.1904383903523454</v>
      </c>
      <c r="AL23">
        <f t="shared" si="20"/>
        <v>0</v>
      </c>
    </row>
    <row r="24" spans="1:38" x14ac:dyDescent="0.2">
      <c r="A24">
        <v>2041</v>
      </c>
      <c r="B24">
        <v>16</v>
      </c>
      <c r="C24">
        <f t="shared" si="21"/>
        <v>7.0586000107056428</v>
      </c>
      <c r="D24">
        <f t="shared" si="23"/>
        <v>0.84130904499517323</v>
      </c>
      <c r="E24">
        <f t="shared" si="4"/>
        <v>0.84130904499517323</v>
      </c>
      <c r="F24">
        <f t="shared" si="5"/>
        <v>0</v>
      </c>
      <c r="G24" s="9">
        <f t="shared" si="6"/>
        <v>0.11918922218558581</v>
      </c>
      <c r="H24" s="9">
        <f t="shared" si="6"/>
        <v>0.11918922218558581</v>
      </c>
      <c r="I24" s="9">
        <f t="shared" si="6"/>
        <v>0</v>
      </c>
      <c r="J24" s="9">
        <f t="shared" si="7"/>
        <v>1.5494598884126156E-2</v>
      </c>
      <c r="K24" s="9">
        <f t="shared" si="8"/>
        <v>2.3837844437117162E-2</v>
      </c>
      <c r="L24" s="9">
        <f t="shared" si="9"/>
        <v>0</v>
      </c>
      <c r="M24">
        <f t="shared" si="0"/>
        <v>6.7835751750951934</v>
      </c>
      <c r="N24">
        <f t="shared" si="10"/>
        <v>5.3047780840001906</v>
      </c>
      <c r="O24">
        <f t="shared" si="24"/>
        <v>1.4787970910950028</v>
      </c>
      <c r="P24">
        <f t="shared" si="22"/>
        <v>6.2818599289754342</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0.50171524611975915</v>
      </c>
      <c r="AB24">
        <f t="shared" si="11"/>
        <v>0.10937227455572521</v>
      </c>
      <c r="AC24">
        <f t="shared" si="12"/>
        <v>0.39234297156403392</v>
      </c>
      <c r="AD24">
        <f t="shared" si="3"/>
        <v>1.256371985795087</v>
      </c>
      <c r="AE24">
        <f t="shared" si="13"/>
        <v>0</v>
      </c>
      <c r="AF24">
        <f t="shared" si="14"/>
        <v>1.3959688731056523</v>
      </c>
      <c r="AG24">
        <f t="shared" si="15"/>
        <v>2.512743971590174</v>
      </c>
      <c r="AH24">
        <f t="shared" si="16"/>
        <v>0</v>
      </c>
      <c r="AI24">
        <f t="shared" si="17"/>
        <v>0.33062420678818077</v>
      </c>
      <c r="AJ24">
        <f t="shared" si="18"/>
        <v>0</v>
      </c>
      <c r="AK24">
        <f t="shared" si="19"/>
        <v>1.256371985795087</v>
      </c>
      <c r="AL24">
        <f t="shared" si="20"/>
        <v>0</v>
      </c>
    </row>
    <row r="25" spans="1:38" x14ac:dyDescent="0.2">
      <c r="A25">
        <v>2042</v>
      </c>
      <c r="B25">
        <v>17</v>
      </c>
      <c r="C25">
        <f t="shared" si="21"/>
        <v>7.206830610930461</v>
      </c>
      <c r="D25">
        <f t="shared" si="23"/>
        <v>0.91144988097024981</v>
      </c>
      <c r="E25">
        <f t="shared" si="4"/>
        <v>0.91144988097024981</v>
      </c>
      <c r="F25">
        <f t="shared" si="5"/>
        <v>0</v>
      </c>
      <c r="G25" s="9">
        <f t="shared" si="6"/>
        <v>0.12647027940241462</v>
      </c>
      <c r="H25" s="9">
        <f t="shared" si="6"/>
        <v>0.12647027940241462</v>
      </c>
      <c r="I25" s="9">
        <f t="shared" si="6"/>
        <v>0</v>
      </c>
      <c r="J25" s="9">
        <f t="shared" si="7"/>
        <v>1.64411363223139E-2</v>
      </c>
      <c r="K25" s="9">
        <f t="shared" si="8"/>
        <v>2.5294055880482925E-2</v>
      </c>
      <c r="L25" s="9">
        <f t="shared" si="9"/>
        <v>0</v>
      </c>
      <c r="M25">
        <f t="shared" si="0"/>
        <v>6.9090492045590759</v>
      </c>
      <c r="N25">
        <f t="shared" si="10"/>
        <v>5.4649023470975884</v>
      </c>
      <c r="O25">
        <f t="shared" si="24"/>
        <v>1.4441468574614875</v>
      </c>
      <c r="P25">
        <f>IF($I$3=0,0,M25/(1+EXP(-$I$3*(B25-$J$3)))-M25/(1+EXP($I$3*$J$3)))</f>
        <v>6.5492382143514023</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0.3598109902076736</v>
      </c>
      <c r="AB25">
        <f t="shared" si="11"/>
        <v>7.5208598955357878E-2</v>
      </c>
      <c r="AC25">
        <f t="shared" si="12"/>
        <v>0.28460239125231573</v>
      </c>
      <c r="AD25">
        <f t="shared" si="3"/>
        <v>1.3098476428702805</v>
      </c>
      <c r="AE25">
        <f t="shared" si="13"/>
        <v>0</v>
      </c>
      <c r="AF25">
        <f t="shared" si="14"/>
        <v>1.4553862698558675</v>
      </c>
      <c r="AG25">
        <f t="shared" si="15"/>
        <v>2.6196952857405611</v>
      </c>
      <c r="AH25">
        <f t="shared" si="16"/>
        <v>0</v>
      </c>
      <c r="AI25">
        <f t="shared" si="17"/>
        <v>0.34469674812375806</v>
      </c>
      <c r="AJ25">
        <f t="shared" si="18"/>
        <v>0</v>
      </c>
      <c r="AK25">
        <f t="shared" si="19"/>
        <v>1.3098476428702805</v>
      </c>
      <c r="AL25">
        <f t="shared" si="20"/>
        <v>0</v>
      </c>
    </row>
    <row r="26" spans="1:38" x14ac:dyDescent="0.2">
      <c r="A26">
        <v>2043</v>
      </c>
      <c r="B26">
        <v>18</v>
      </c>
      <c r="C26">
        <f t="shared" si="21"/>
        <v>7.35817405376</v>
      </c>
      <c r="D26">
        <f t="shared" si="23"/>
        <v>0.98388017663622751</v>
      </c>
      <c r="E26">
        <f t="shared" si="4"/>
        <v>0.98388017663622751</v>
      </c>
      <c r="F26">
        <f t="shared" si="5"/>
        <v>0</v>
      </c>
      <c r="G26" s="9">
        <f t="shared" si="6"/>
        <v>0.13371254464053733</v>
      </c>
      <c r="H26" s="9">
        <f t="shared" si="6"/>
        <v>0.13371254464053733</v>
      </c>
      <c r="I26" s="9">
        <f t="shared" si="6"/>
        <v>0</v>
      </c>
      <c r="J26" s="9">
        <f t="shared" si="7"/>
        <v>1.7382630803269853E-2</v>
      </c>
      <c r="K26" s="9">
        <f t="shared" si="8"/>
        <v>2.6742508928107468E-2</v>
      </c>
      <c r="L26" s="9">
        <f t="shared" si="9"/>
        <v>0</v>
      </c>
      <c r="M26">
        <f t="shared" si="0"/>
        <v>7.0369140806430694</v>
      </c>
      <c r="N26">
        <f t="shared" si="10"/>
        <v>5.6135868167170404</v>
      </c>
      <c r="O26">
        <f t="shared" si="24"/>
        <v>1.423327263926029</v>
      </c>
      <c r="P26">
        <f t="shared" si="22"/>
        <v>6.7724391507388093</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0.26447492990426014</v>
      </c>
      <c r="AB26">
        <f t="shared" si="11"/>
        <v>5.349424108973324E-2</v>
      </c>
      <c r="AC26">
        <f t="shared" si="12"/>
        <v>0.21098068881452689</v>
      </c>
      <c r="AD26">
        <f t="shared" si="3"/>
        <v>1.3544878301477619</v>
      </c>
      <c r="AE26">
        <f t="shared" si="13"/>
        <v>0</v>
      </c>
      <c r="AF26">
        <f t="shared" si="14"/>
        <v>1.5049864779419577</v>
      </c>
      <c r="AG26">
        <f t="shared" si="15"/>
        <v>2.7089756602955237</v>
      </c>
      <c r="AH26">
        <f t="shared" si="16"/>
        <v>0</v>
      </c>
      <c r="AI26">
        <f t="shared" si="17"/>
        <v>0.35644416582835836</v>
      </c>
      <c r="AJ26">
        <f t="shared" si="18"/>
        <v>0</v>
      </c>
      <c r="AK26">
        <f t="shared" si="19"/>
        <v>1.3544878301477619</v>
      </c>
      <c r="AL26">
        <f t="shared" si="20"/>
        <v>0</v>
      </c>
    </row>
    <row r="27" spans="1:38" x14ac:dyDescent="0.2">
      <c r="A27">
        <v>2044</v>
      </c>
      <c r="B27">
        <v>19</v>
      </c>
      <c r="C27">
        <f t="shared" si="21"/>
        <v>7.512695708888959</v>
      </c>
      <c r="D27">
        <f t="shared" si="23"/>
        <v>1.0586372056989779</v>
      </c>
      <c r="E27">
        <f t="shared" si="4"/>
        <v>1.0586372056989779</v>
      </c>
      <c r="F27">
        <f t="shared" si="5"/>
        <v>0</v>
      </c>
      <c r="G27" s="9">
        <f t="shared" si="6"/>
        <v>0.14091309520847586</v>
      </c>
      <c r="H27" s="9">
        <f t="shared" si="6"/>
        <v>0.14091309520847586</v>
      </c>
      <c r="I27" s="9">
        <f t="shared" si="6"/>
        <v>0</v>
      </c>
      <c r="J27" s="9">
        <f t="shared" si="7"/>
        <v>1.8318702377101863E-2</v>
      </c>
      <c r="K27" s="9">
        <f t="shared" si="8"/>
        <v>2.8182619041695174E-2</v>
      </c>
      <c r="L27" s="9">
        <f t="shared" si="9"/>
        <v>0</v>
      </c>
      <c r="M27">
        <f t="shared" si="0"/>
        <v>7.1672240029876013</v>
      </c>
      <c r="N27">
        <f t="shared" si="10"/>
        <v>5.7538506154321718</v>
      </c>
      <c r="O27">
        <f t="shared" si="24"/>
        <v>1.4133733875554295</v>
      </c>
      <c r="P27">
        <f t="shared" si="22"/>
        <v>6.9657463414377236</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0.20147766154987767</v>
      </c>
      <c r="AB27">
        <f t="shared" si="11"/>
        <v>3.9731305300740649E-2</v>
      </c>
      <c r="AC27">
        <f t="shared" si="12"/>
        <v>0.16174635624913702</v>
      </c>
      <c r="AD27">
        <f t="shared" si="3"/>
        <v>1.3931492682875448</v>
      </c>
      <c r="AE27">
        <f t="shared" si="13"/>
        <v>0</v>
      </c>
      <c r="AF27">
        <f t="shared" si="14"/>
        <v>1.5479436314306054</v>
      </c>
      <c r="AG27">
        <f t="shared" si="15"/>
        <v>2.7862985365750896</v>
      </c>
      <c r="AH27">
        <f t="shared" si="16"/>
        <v>0</v>
      </c>
      <c r="AI27">
        <f t="shared" si="17"/>
        <v>0.36661822849672232</v>
      </c>
      <c r="AJ27">
        <f t="shared" si="18"/>
        <v>0</v>
      </c>
      <c r="AK27">
        <f t="shared" si="19"/>
        <v>1.3931492682875448</v>
      </c>
      <c r="AL27">
        <f t="shared" si="20"/>
        <v>0</v>
      </c>
    </row>
    <row r="28" spans="1:38" x14ac:dyDescent="0.2">
      <c r="A28">
        <v>2045</v>
      </c>
      <c r="B28">
        <v>20</v>
      </c>
      <c r="C28">
        <f t="shared" si="21"/>
        <v>7.670462318775626</v>
      </c>
      <c r="D28">
        <f t="shared" si="23"/>
        <v>1.1357582932925387</v>
      </c>
      <c r="E28">
        <f t="shared" si="4"/>
        <v>1.1357582932925387</v>
      </c>
      <c r="F28">
        <f t="shared" si="5"/>
        <v>0</v>
      </c>
      <c r="G28" s="9">
        <f t="shared" si="6"/>
        <v>0.14806907929297158</v>
      </c>
      <c r="H28" s="9">
        <f t="shared" si="6"/>
        <v>0.14806907929297158</v>
      </c>
      <c r="I28" s="9">
        <f t="shared" si="6"/>
        <v>0</v>
      </c>
      <c r="J28" s="9">
        <f t="shared" si="7"/>
        <v>1.9248980308086305E-2</v>
      </c>
      <c r="K28" s="9">
        <f t="shared" si="8"/>
        <v>2.9613815858594319E-2</v>
      </c>
      <c r="L28" s="9">
        <f t="shared" si="9"/>
        <v>0</v>
      </c>
      <c r="M28">
        <f t="shared" si="0"/>
        <v>7.300034519793555</v>
      </c>
      <c r="N28">
        <f t="shared" si="10"/>
        <v>5.888116838245411</v>
      </c>
      <c r="O28">
        <f t="shared" si="24"/>
        <v>1.411917681548144</v>
      </c>
      <c r="P28">
        <f t="shared" si="22"/>
        <v>7.139624398852912</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0.160410120940643</v>
      </c>
      <c r="AB28">
        <f t="shared" si="11"/>
        <v>3.1025317132579128E-2</v>
      </c>
      <c r="AC28">
        <f t="shared" si="12"/>
        <v>0.12938480380806386</v>
      </c>
      <c r="AD28">
        <f t="shared" si="3"/>
        <v>1.4279248797705824</v>
      </c>
      <c r="AE28">
        <f t="shared" si="13"/>
        <v>0</v>
      </c>
      <c r="AF28">
        <f t="shared" si="14"/>
        <v>1.5865831997450917</v>
      </c>
      <c r="AG28">
        <f t="shared" si="15"/>
        <v>2.8558497595411647</v>
      </c>
      <c r="AH28">
        <f t="shared" si="16"/>
        <v>0</v>
      </c>
      <c r="AI28">
        <f t="shared" si="17"/>
        <v>0.3757697052027848</v>
      </c>
      <c r="AJ28">
        <f t="shared" si="18"/>
        <v>0</v>
      </c>
      <c r="AK28">
        <f t="shared" si="19"/>
        <v>1.4279248797705824</v>
      </c>
      <c r="AL28">
        <f t="shared" si="20"/>
        <v>0</v>
      </c>
    </row>
    <row r="29" spans="1:38" x14ac:dyDescent="0.2">
      <c r="A29">
        <v>2046</v>
      </c>
      <c r="B29">
        <v>21</v>
      </c>
      <c r="C29">
        <f t="shared" si="21"/>
        <v>7.8315420274699132</v>
      </c>
      <c r="D29">
        <f t="shared" si="23"/>
        <v>1.2152808367919112</v>
      </c>
      <c r="E29">
        <f t="shared" si="4"/>
        <v>1.2152808367919112</v>
      </c>
      <c r="F29">
        <f t="shared" si="5"/>
        <v>0</v>
      </c>
      <c r="G29" s="9">
        <f t="shared" si="6"/>
        <v>0.15517772011299852</v>
      </c>
      <c r="H29" s="9">
        <f t="shared" si="6"/>
        <v>0.15517772011299852</v>
      </c>
      <c r="I29" s="9">
        <f t="shared" si="6"/>
        <v>0</v>
      </c>
      <c r="J29" s="9">
        <f t="shared" si="7"/>
        <v>2.0173103614689807E-2</v>
      </c>
      <c r="K29" s="9">
        <f t="shared" si="8"/>
        <v>3.1035544022599705E-2</v>
      </c>
      <c r="L29" s="9">
        <f t="shared" si="9"/>
        <v>0</v>
      </c>
      <c r="M29">
        <f t="shared" si="0"/>
        <v>7.4354025485768931</v>
      </c>
      <c r="N29">
        <f t="shared" si="10"/>
        <v>6.0183033415864919</v>
      </c>
      <c r="O29">
        <f t="shared" si="24"/>
        <v>1.4170992069904012</v>
      </c>
      <c r="P29">
        <f t="shared" si="22"/>
        <v>7.3014126554824239</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0.13398989309446918</v>
      </c>
      <c r="AB29">
        <f t="shared" si="11"/>
        <v>2.5536878468704106E-2</v>
      </c>
      <c r="AC29">
        <f t="shared" si="12"/>
        <v>0.10845301462576508</v>
      </c>
      <c r="AD29">
        <f t="shared" si="3"/>
        <v>1.4602825310964849</v>
      </c>
      <c r="AE29">
        <f t="shared" si="13"/>
        <v>0</v>
      </c>
      <c r="AF29">
        <f t="shared" si="14"/>
        <v>1.6225361456627609</v>
      </c>
      <c r="AG29">
        <f t="shared" si="15"/>
        <v>2.9205650621929697</v>
      </c>
      <c r="AH29">
        <f t="shared" si="16"/>
        <v>0</v>
      </c>
      <c r="AI29">
        <f t="shared" si="17"/>
        <v>0.38428487660433813</v>
      </c>
      <c r="AJ29">
        <f t="shared" si="18"/>
        <v>0</v>
      </c>
      <c r="AK29">
        <f t="shared" si="19"/>
        <v>1.4602825310964849</v>
      </c>
      <c r="AL29">
        <f t="shared" si="20"/>
        <v>0</v>
      </c>
    </row>
    <row r="30" spans="1:38" x14ac:dyDescent="0.2">
      <c r="A30">
        <v>2047</v>
      </c>
      <c r="B30">
        <v>22</v>
      </c>
      <c r="C30">
        <f t="shared" si="21"/>
        <v>7.9960044100467806</v>
      </c>
      <c r="D30">
        <f t="shared" si="23"/>
        <v>1.297242328687942</v>
      </c>
      <c r="E30">
        <f t="shared" si="4"/>
        <v>1.297242328687942</v>
      </c>
      <c r="F30">
        <f t="shared" si="5"/>
        <v>0</v>
      </c>
      <c r="G30" s="9">
        <f t="shared" si="6"/>
        <v>0.16223631981217884</v>
      </c>
      <c r="H30" s="9">
        <f t="shared" si="6"/>
        <v>0.16223631981217884</v>
      </c>
      <c r="I30" s="9">
        <f t="shared" si="6"/>
        <v>0</v>
      </c>
      <c r="J30" s="9">
        <f t="shared" si="7"/>
        <v>2.1090721575583251E-2</v>
      </c>
      <c r="K30" s="9">
        <f t="shared" si="8"/>
        <v>3.2447263962435767E-2</v>
      </c>
      <c r="L30" s="9">
        <f t="shared" si="9"/>
        <v>0</v>
      </c>
      <c r="M30">
        <f t="shared" si="0"/>
        <v>7.5733863969338433</v>
      </c>
      <c r="N30">
        <f t="shared" si="10"/>
        <v>6.1459141983007699</v>
      </c>
      <c r="O30">
        <f t="shared" si="24"/>
        <v>1.4274721986330734</v>
      </c>
      <c r="P30">
        <f t="shared" si="22"/>
        <v>7.4561260210774458</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0.11726037585639748</v>
      </c>
      <c r="AB30">
        <f t="shared" si="11"/>
        <v>2.2101860087851852E-2</v>
      </c>
      <c r="AC30">
        <f t="shared" si="12"/>
        <v>9.5158515768545615E-2</v>
      </c>
      <c r="AD30">
        <f t="shared" si="3"/>
        <v>1.491225204215489</v>
      </c>
      <c r="AE30">
        <f t="shared" si="13"/>
        <v>0</v>
      </c>
      <c r="AF30">
        <f t="shared" si="14"/>
        <v>1.6569168935727658</v>
      </c>
      <c r="AG30">
        <f t="shared" si="15"/>
        <v>2.9824504084309789</v>
      </c>
      <c r="AH30">
        <f t="shared" si="16"/>
        <v>0</v>
      </c>
      <c r="AI30">
        <f t="shared" si="17"/>
        <v>0.39242768531986555</v>
      </c>
      <c r="AJ30">
        <f t="shared" si="18"/>
        <v>0</v>
      </c>
      <c r="AK30">
        <f t="shared" si="19"/>
        <v>1.491225204215489</v>
      </c>
      <c r="AL30">
        <f t="shared" si="20"/>
        <v>0</v>
      </c>
    </row>
    <row r="31" spans="1:38" x14ac:dyDescent="0.2">
      <c r="A31">
        <v>2048</v>
      </c>
      <c r="B31">
        <v>23</v>
      </c>
      <c r="C31">
        <f t="shared" si="21"/>
        <v>8.1639205026577617</v>
      </c>
      <c r="D31">
        <f t="shared" si="23"/>
        <v>1.3816803814737959</v>
      </c>
      <c r="E31">
        <f t="shared" si="4"/>
        <v>1.3816803814737959</v>
      </c>
      <c r="F31">
        <f t="shared" si="5"/>
        <v>0</v>
      </c>
      <c r="G31" s="9">
        <f t="shared" si="6"/>
        <v>0.16924226307985119</v>
      </c>
      <c r="H31" s="9">
        <f t="shared" si="6"/>
        <v>0.16924226307985119</v>
      </c>
      <c r="I31" s="9">
        <f t="shared" si="6"/>
        <v>0</v>
      </c>
      <c r="J31" s="9">
        <f t="shared" si="7"/>
        <v>2.2001494200380656E-2</v>
      </c>
      <c r="K31" s="9">
        <f t="shared" si="8"/>
        <v>3.3848452615970241E-2</v>
      </c>
      <c r="L31" s="9">
        <f t="shared" si="9"/>
        <v>0</v>
      </c>
      <c r="M31">
        <f t="shared" si="0"/>
        <v>7.7140457833513638</v>
      </c>
      <c r="N31">
        <f t="shared" si="10"/>
        <v>6.2721224836393237</v>
      </c>
      <c r="O31">
        <f t="shared" si="24"/>
        <v>1.4419232997120401</v>
      </c>
      <c r="P31">
        <f t="shared" si="22"/>
        <v>7.6071401261000329</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0.10690565725133094</v>
      </c>
      <c r="AB31">
        <f t="shared" si="11"/>
        <v>1.9982997559388767E-2</v>
      </c>
      <c r="AC31">
        <f t="shared" si="12"/>
        <v>8.6922659691942183E-2</v>
      </c>
      <c r="AD31">
        <f t="shared" si="3"/>
        <v>1.5214280252200065</v>
      </c>
      <c r="AE31">
        <f t="shared" si="13"/>
        <v>0</v>
      </c>
      <c r="AF31">
        <f t="shared" si="14"/>
        <v>1.6904755835777852</v>
      </c>
      <c r="AG31">
        <f t="shared" si="15"/>
        <v>3.0428560504400135</v>
      </c>
      <c r="AH31">
        <f t="shared" si="16"/>
        <v>0</v>
      </c>
      <c r="AI31">
        <f t="shared" si="17"/>
        <v>0.40037579611052804</v>
      </c>
      <c r="AJ31">
        <f t="shared" si="18"/>
        <v>0</v>
      </c>
      <c r="AK31">
        <f t="shared" si="19"/>
        <v>1.5214280252200065</v>
      </c>
      <c r="AL31">
        <f t="shared" si="20"/>
        <v>0</v>
      </c>
    </row>
    <row r="32" spans="1:38" x14ac:dyDescent="0.2">
      <c r="A32">
        <v>2049</v>
      </c>
      <c r="B32">
        <v>24</v>
      </c>
      <c r="C32">
        <f t="shared" si="21"/>
        <v>8.3353628332135745</v>
      </c>
      <c r="D32">
        <f t="shared" si="23"/>
        <v>1.4686327544855837</v>
      </c>
      <c r="E32">
        <f t="shared" si="4"/>
        <v>1.4686327544855837</v>
      </c>
      <c r="F32">
        <f t="shared" si="5"/>
        <v>0</v>
      </c>
      <c r="G32" s="9">
        <f t="shared" si="6"/>
        <v>0.17619302049259136</v>
      </c>
      <c r="H32" s="9">
        <f t="shared" si="6"/>
        <v>0.17619302049259136</v>
      </c>
      <c r="I32" s="9">
        <f t="shared" si="6"/>
        <v>0</v>
      </c>
      <c r="J32" s="9">
        <f t="shared" si="7"/>
        <v>2.2905092664036879E-2</v>
      </c>
      <c r="K32" s="9">
        <f t="shared" si="8"/>
        <v>3.5238604098518277E-2</v>
      </c>
      <c r="L32" s="9">
        <f t="shared" si="9"/>
        <v>0</v>
      </c>
      <c r="M32">
        <f t="shared" si="0"/>
        <v>7.8574418580995191</v>
      </c>
      <c r="N32">
        <f t="shared" si="10"/>
        <v>6.3978408568317588</v>
      </c>
      <c r="O32">
        <f t="shared" si="24"/>
        <v>1.4596010012677603</v>
      </c>
      <c r="P32">
        <f t="shared" si="22"/>
        <v>7.7567103840112743</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0.10073147408824479</v>
      </c>
      <c r="AB32">
        <f t="shared" si="11"/>
        <v>1.8711911980210459E-2</v>
      </c>
      <c r="AC32">
        <f t="shared" si="12"/>
        <v>8.2019562108034322E-2</v>
      </c>
      <c r="AD32">
        <f t="shared" si="3"/>
        <v>1.5513420768022552</v>
      </c>
      <c r="AE32">
        <f t="shared" si="13"/>
        <v>0</v>
      </c>
      <c r="AF32">
        <f t="shared" si="14"/>
        <v>1.7237134186691727</v>
      </c>
      <c r="AG32">
        <f t="shared" si="15"/>
        <v>3.1026841536045096</v>
      </c>
      <c r="AH32">
        <f t="shared" si="16"/>
        <v>0</v>
      </c>
      <c r="AI32">
        <f t="shared" si="17"/>
        <v>0.40824791494796187</v>
      </c>
      <c r="AJ32">
        <f t="shared" si="18"/>
        <v>0</v>
      </c>
      <c r="AK32">
        <f t="shared" si="19"/>
        <v>1.5513420768022552</v>
      </c>
      <c r="AL32">
        <f t="shared" si="20"/>
        <v>0</v>
      </c>
    </row>
    <row r="33" spans="1:38" x14ac:dyDescent="0.2">
      <c r="A33">
        <v>2050</v>
      </c>
      <c r="B33">
        <v>25</v>
      </c>
      <c r="C33">
        <f t="shared" si="21"/>
        <v>8.5104054527110584</v>
      </c>
      <c r="D33">
        <f t="shared" si="23"/>
        <v>1.5581373826333387</v>
      </c>
      <c r="E33">
        <f t="shared" si="4"/>
        <v>1.5581373826333387</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8.0036372242441356</v>
      </c>
      <c r="N33">
        <f t="shared" si="10"/>
        <v>6.523779532517378</v>
      </c>
      <c r="O33">
        <f t="shared" si="24"/>
        <v>1.4798576917267576</v>
      </c>
      <c r="P33">
        <f t="shared" si="22"/>
        <v>7.906341385333751</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9.7295838910384624E-2</v>
      </c>
      <c r="AB33">
        <f t="shared" si="11"/>
        <v>1.7989820321739795E-2</v>
      </c>
      <c r="AC33">
        <f t="shared" si="12"/>
        <v>7.9306018588644833E-2</v>
      </c>
      <c r="AD33">
        <f t="shared" si="3"/>
        <v>1.5812682770667503</v>
      </c>
      <c r="AE33">
        <f t="shared" si="13"/>
        <v>0</v>
      </c>
      <c r="AF33">
        <f t="shared" si="14"/>
        <v>1.7569647522963892</v>
      </c>
      <c r="AG33">
        <f t="shared" si="15"/>
        <v>3.1625365541335007</v>
      </c>
      <c r="AH33">
        <f t="shared" si="16"/>
        <v>0</v>
      </c>
      <c r="AI33">
        <f t="shared" si="17"/>
        <v>0.4161232308070395</v>
      </c>
      <c r="AJ33">
        <f t="shared" si="18"/>
        <v>0</v>
      </c>
      <c r="AK33">
        <f t="shared" si="19"/>
        <v>1.5812682770667503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7E5E-3958-E147-88A7-67B2F3B6DFD8}">
  <sheetPr>
    <tabColor theme="4" tint="0.79998168889431442"/>
  </sheetPr>
  <dimension ref="A1:AY37"/>
  <sheetViews>
    <sheetView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27</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LNG</v>
      </c>
      <c r="C2" s="14" t="str">
        <f>VLOOKUP(B1,dictionary!$A$3:$N$51,12,FALSE)</f>
        <v>Yes</v>
      </c>
      <c r="D2" t="s">
        <v>77</v>
      </c>
      <c r="E2" s="5">
        <f>IF(C2="Yes",MAIN!B4,0)</f>
        <v>0.03</v>
      </c>
      <c r="F2" s="5">
        <f>MAIN!C4</f>
        <v>0.13</v>
      </c>
      <c r="G2" s="11">
        <f>MAIN!D4</f>
        <v>5</v>
      </c>
      <c r="H2" t="s">
        <v>73</v>
      </c>
      <c r="I2" s="5">
        <f>MAIN!B1</f>
        <v>2.1000000000000001E-2</v>
      </c>
      <c r="J2" s="4"/>
      <c r="K2" s="4"/>
      <c r="L2" s="13"/>
      <c r="AC2" t="str">
        <f>B2</f>
        <v>LNG</v>
      </c>
      <c r="AD2">
        <f>VLOOKUP(AC2,efficiency!$A$2:$K$6,2,FALSE)</f>
        <v>1.125</v>
      </c>
      <c r="AE2">
        <f>VLOOKUP(AC2,efficiency!$A$2:$K$6,3,FALSE)</f>
        <v>0.5</v>
      </c>
      <c r="AF2">
        <f>VLOOKUP(AC2,efficiency!$A$2:$K$6,4,FALSE)</f>
        <v>1.25</v>
      </c>
      <c r="AG2">
        <f>VLOOKUP(AC2,efficiency!$A$2:$K$6,5,FALSE)</f>
        <v>1.2857142857142858</v>
      </c>
      <c r="AH2">
        <f>VLOOKUP(AC2,efficiency!$A$2:$K$6,6,FALSE)</f>
        <v>1.1842105263157894</v>
      </c>
      <c r="AI2">
        <f>VLOOKUP(AC2,efficiency!$A$2:$K$6,7,FALSE)</f>
        <v>1.1842105263157894</v>
      </c>
      <c r="AJ2">
        <f>VLOOKUP(AC2,efficiency!$A$2:$K$6,8,FALSE)</f>
        <v>1.1842105263157894</v>
      </c>
      <c r="AK2">
        <f>VLOOKUP(AC2,efficiency!$A$2:$K$6,9,FALSE)</f>
        <v>1.125</v>
      </c>
      <c r="AL2">
        <f>VLOOKUP(AC2,efficiency!$A$2:$K$6,10,FALSE)</f>
        <v>0.5</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LNG</v>
      </c>
      <c r="P7" t="s">
        <v>163</v>
      </c>
      <c r="Q7" t="s">
        <v>164</v>
      </c>
      <c r="R7" s="1" t="s">
        <v>53</v>
      </c>
      <c r="S7" s="1" t="s">
        <v>54</v>
      </c>
      <c r="T7" s="1" t="s">
        <v>55</v>
      </c>
      <c r="U7" s="1" t="s">
        <v>56</v>
      </c>
      <c r="V7" s="1" t="s">
        <v>57</v>
      </c>
      <c r="W7" s="1" t="s">
        <v>58</v>
      </c>
      <c r="X7" s="1" t="s">
        <v>59</v>
      </c>
      <c r="Y7" s="1" t="s">
        <v>60</v>
      </c>
      <c r="Z7" s="1" t="s">
        <v>61</v>
      </c>
      <c r="AA7" s="1" t="s">
        <v>186</v>
      </c>
      <c r="AB7" s="1" t="str">
        <f>O7</f>
        <v>LNG</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3.9221534834004288</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3.9221534834004288</v>
      </c>
      <c r="N8">
        <f>IF($N$7="LFO",M8/(1+EXP(-$I$4*(B8-$J$4)))-M8/(1+EXP($I$4*$J$4)),IF($N$7="MGO",M8/(1+EXP(-$I$5*(B8-$J$5)))-M8/(1+EXP($I$5*$J$5)),0))</f>
        <v>0</v>
      </c>
      <c r="O8">
        <f>M8-N8</f>
        <v>3.9221534834004288</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3.9221534834004288</v>
      </c>
      <c r="AB8">
        <f>O8/M8*AA8</f>
        <v>3.9221534834004288</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4.0045187065518375</v>
      </c>
      <c r="D9">
        <f>IF($E$2=0,0,C9/(1+EXP(-$E$2*(B9-$G$2)))-C9/(1+EXP($E$2*$G$2)))</f>
        <v>2.9896910047072067E-2</v>
      </c>
      <c r="E9">
        <f t="shared" ref="E9:E33" si="4">IF($E$3=0,0,C9/(1+EXP(-$E$3*(B9-$G$3)))-C9/(1+EXP($E$3*$G$3)))</f>
        <v>2.9896910047072067E-2</v>
      </c>
      <c r="F9">
        <f t="shared" ref="F9:F33" si="5">IF($E$4=0,0,C9/(1+EXP(-$E$4*(B9-$G$4)))-C9/(1+EXP($E$4*$G$4)))</f>
        <v>0</v>
      </c>
      <c r="G9" s="9">
        <f t="shared" ref="G9:I33" si="6">D9/$C9</f>
        <v>7.4657935791777926E-3</v>
      </c>
      <c r="H9" s="9">
        <f t="shared" si="6"/>
        <v>7.4657935791777926E-3</v>
      </c>
      <c r="I9" s="9">
        <f t="shared" si="6"/>
        <v>0</v>
      </c>
      <c r="J9" s="9">
        <f t="shared" ref="J9:J33" si="7">G9*$F$2</f>
        <v>9.7055316529311305E-4</v>
      </c>
      <c r="K9" s="9">
        <f t="shared" ref="K9:K33" si="8">H9*$F$3</f>
        <v>1.4931587158355587E-3</v>
      </c>
      <c r="L9" s="9">
        <f t="shared" ref="L9:L33" si="9">I9*$F$4</f>
        <v>0</v>
      </c>
      <c r="M9">
        <f t="shared" si="0"/>
        <v>3.9946585295444392</v>
      </c>
      <c r="N9">
        <f t="shared" ref="N9:N33" si="10">IF($N$7="LFO",M9/(1+EXP(-$I$4*(B9-$J$4)))-M9/(1+EXP($I$4*$J$4)),IF($N$7="MGO",M9/(1+EXP(-$I$5*(B9-$J$5)))-M9/(1+EXP($I$5*$J$5)),0))</f>
        <v>0</v>
      </c>
      <c r="O9">
        <f>M9-N9</f>
        <v>3.9946585295444392</v>
      </c>
      <c r="P9">
        <f>IF($I$3=0,0,M9/(1+EXP(-$I$3*(B9-$J$3)))-M9/(1+EXP($I$3*$J$3)))</f>
        <v>2.4515581651960487E-2</v>
      </c>
      <c r="Q9" s="9">
        <f t="shared" si="1"/>
        <v>6.137090685134558E-3</v>
      </c>
      <c r="R9">
        <f>VLOOKUP($B$1,dictionary!$A$3:$K$51,3,FALSE)*Q9</f>
        <v>1.2274181370269116E-3</v>
      </c>
      <c r="S9">
        <f>VLOOKUP($B$1,dictionary!$A$3:$K$51,4,FALSE)*Q9</f>
        <v>0</v>
      </c>
      <c r="T9">
        <f>VLOOKUP($B$1,dictionary!$A$3:$K$51,5,FALSE)*Q9</f>
        <v>1.2274181370269116E-3</v>
      </c>
      <c r="U9">
        <f>VLOOKUP($B$1,dictionary!$A$3:$K$51,6,FALSE)*Q9</f>
        <v>2.1479817397970953E-3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3.9701429478924788</v>
      </c>
      <c r="AB9">
        <f t="shared" ref="AB9:AB33" si="11">O9/M9*AA9</f>
        <v>3.9701429478924788</v>
      </c>
      <c r="AC9">
        <f t="shared" ref="AC9:AC33" si="12">N9/M9*AA9</f>
        <v>0</v>
      </c>
      <c r="AD9">
        <f t="shared" si="3"/>
        <v>5.5160058716911108E-3</v>
      </c>
      <c r="AE9">
        <f t="shared" ref="AE9:AE33" si="13">S9*$O9*$AE$2+S9*$N9*$AE$3</f>
        <v>0</v>
      </c>
      <c r="AF9">
        <f t="shared" ref="AF9:AF33" si="14">T9*$O9*$AF$2+T9*$N9*$AF$3</f>
        <v>6.1288954129901227E-3</v>
      </c>
      <c r="AG9">
        <f t="shared" ref="AG9:AG33" si="15">U9*$O9*$AG$2+U9*$N9*$AG$3</f>
        <v>1.103201174338222E-2</v>
      </c>
      <c r="AH9">
        <f t="shared" ref="AH9:AH33" si="16">V9*$O9*$AH$2+V9*$N9*$AH$3</f>
        <v>0</v>
      </c>
      <c r="AI9">
        <f t="shared" ref="AI9:AI33" si="17">W9*$O9*$AI$2+W9*$N9*$AI$3</f>
        <v>1.4515804925502921E-3</v>
      </c>
      <c r="AJ9">
        <f t="shared" ref="AJ9:AJ33" si="18">X9*$O9*$AJ$2+X9*$N9*$AJ$3</f>
        <v>0</v>
      </c>
      <c r="AK9">
        <f t="shared" ref="AK9:AK33" si="19">Y9*$O9*$AK$2+Y9*$N9*$AK$3</f>
        <v>5.5160058716911108E-3</v>
      </c>
      <c r="AL9">
        <f t="shared" ref="AL9:AL33" si="20">Z9*$O9*$AL$2+Z9*$N9*$AL$3</f>
        <v>0</v>
      </c>
    </row>
    <row r="10" spans="1:51" x14ac:dyDescent="0.2">
      <c r="A10">
        <v>2027</v>
      </c>
      <c r="B10">
        <v>2</v>
      </c>
      <c r="C10">
        <f t="shared" ref="C10:C33" si="21">C9*(1+$I$2)</f>
        <v>4.0886135993894257</v>
      </c>
      <c r="D10">
        <f>IF($E$2=0,0,C10/(1+EXP(-$E$2*(B10-$G$2)))-C10/(1+EXP($E$2*$G$2)))</f>
        <v>6.110441427185509E-2</v>
      </c>
      <c r="E10">
        <f t="shared" si="4"/>
        <v>6.110441427185509E-2</v>
      </c>
      <c r="F10">
        <f t="shared" si="5"/>
        <v>0</v>
      </c>
      <c r="G10" s="9">
        <f t="shared" si="6"/>
        <v>1.4945020551949476E-2</v>
      </c>
      <c r="H10" s="9">
        <f t="shared" si="6"/>
        <v>1.4945020551949476E-2</v>
      </c>
      <c r="I10" s="9">
        <f t="shared" si="6"/>
        <v>0</v>
      </c>
      <c r="J10" s="9">
        <f t="shared" si="7"/>
        <v>1.9428526717534319E-3</v>
      </c>
      <c r="K10" s="9">
        <f t="shared" si="8"/>
        <v>2.9890041103898951E-3</v>
      </c>
      <c r="L10" s="9">
        <f t="shared" si="9"/>
        <v>0</v>
      </c>
      <c r="M10">
        <f t="shared" si="0"/>
        <v>4.068472886054618</v>
      </c>
      <c r="N10">
        <f t="shared" si="10"/>
        <v>0</v>
      </c>
      <c r="O10">
        <f>M10-N10</f>
        <v>4.068472886054618</v>
      </c>
      <c r="P10">
        <f t="shared" ref="P10:P33" si="22">IF($I$3=0,0,M10/(1+EXP(-$I$3*(B10-$J$3)))-M10/(1+EXP($I$3*$J$3)))</f>
        <v>6.3509069024841602E-2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4.0049638170297763</v>
      </c>
      <c r="AB10">
        <f t="shared" si="11"/>
        <v>4.0049638170297763</v>
      </c>
      <c r="AC10">
        <f t="shared" si="12"/>
        <v>0</v>
      </c>
      <c r="AD10">
        <f t="shared" si="3"/>
        <v>1.4289540530589362E-2</v>
      </c>
      <c r="AE10">
        <f t="shared" si="13"/>
        <v>0</v>
      </c>
      <c r="AF10">
        <f t="shared" si="14"/>
        <v>1.5877267256210404E-2</v>
      </c>
      <c r="AG10">
        <f t="shared" si="15"/>
        <v>2.8579081061178725E-2</v>
      </c>
      <c r="AH10">
        <f t="shared" si="16"/>
        <v>0</v>
      </c>
      <c r="AI10">
        <f t="shared" si="17"/>
        <v>3.7604054027866739E-3</v>
      </c>
      <c r="AJ10">
        <f t="shared" si="18"/>
        <v>0</v>
      </c>
      <c r="AK10">
        <f t="shared" si="19"/>
        <v>1.4289540530589362E-2</v>
      </c>
      <c r="AL10">
        <f t="shared" si="20"/>
        <v>0</v>
      </c>
    </row>
    <row r="11" spans="1:51" x14ac:dyDescent="0.2">
      <c r="A11">
        <v>2028</v>
      </c>
      <c r="B11">
        <v>3</v>
      </c>
      <c r="C11">
        <f t="shared" si="21"/>
        <v>4.1744744849766029</v>
      </c>
      <c r="D11">
        <f t="shared" ref="D11:D33" si="23">IF($E$2=0,0,C11/(1+EXP(-$E$2*(B11-$G$2)))-C11/(1+EXP($E$2*$G$2)))</f>
        <v>9.3651595464450121E-2</v>
      </c>
      <c r="E11">
        <f t="shared" si="4"/>
        <v>9.3651595464450121E-2</v>
      </c>
      <c r="F11">
        <f t="shared" si="5"/>
        <v>0</v>
      </c>
      <c r="G11" s="9">
        <f t="shared" si="6"/>
        <v>2.2434343724339476E-2</v>
      </c>
      <c r="H11" s="9">
        <f t="shared" si="6"/>
        <v>2.2434343724339476E-2</v>
      </c>
      <c r="I11" s="9">
        <f t="shared" si="6"/>
        <v>0</v>
      </c>
      <c r="J11" s="9">
        <f t="shared" si="7"/>
        <v>2.9164646841641322E-3</v>
      </c>
      <c r="K11" s="9">
        <f t="shared" si="8"/>
        <v>4.4868687448678954E-3</v>
      </c>
      <c r="L11" s="9">
        <f t="shared" si="9"/>
        <v>0</v>
      </c>
      <c r="M11">
        <f t="shared" si="0"/>
        <v>4.1436240847874917</v>
      </c>
      <c r="N11">
        <f t="shared" si="10"/>
        <v>0</v>
      </c>
      <c r="O11">
        <f t="shared" ref="O11:O33" si="24">M11-N11</f>
        <v>4.1436240847874917</v>
      </c>
      <c r="P11">
        <f t="shared" si="22"/>
        <v>0.1247410499238457</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4.018883034863646</v>
      </c>
      <c r="AB11">
        <f t="shared" si="11"/>
        <v>4.018883034863646</v>
      </c>
      <c r="AC11">
        <f t="shared" si="12"/>
        <v>0</v>
      </c>
      <c r="AD11">
        <f t="shared" si="3"/>
        <v>2.8066736232865288E-2</v>
      </c>
      <c r="AE11">
        <f t="shared" si="13"/>
        <v>0</v>
      </c>
      <c r="AF11">
        <f t="shared" si="14"/>
        <v>3.1185262480961429E-2</v>
      </c>
      <c r="AG11">
        <f t="shared" si="15"/>
        <v>5.6133472465730562E-2</v>
      </c>
      <c r="AH11">
        <f t="shared" si="16"/>
        <v>0</v>
      </c>
      <c r="AI11">
        <f t="shared" si="17"/>
        <v>7.3859832191750753E-3</v>
      </c>
      <c r="AJ11">
        <f t="shared" si="18"/>
        <v>0</v>
      </c>
      <c r="AK11">
        <f t="shared" si="19"/>
        <v>2.8066736232865288E-2</v>
      </c>
      <c r="AL11">
        <f t="shared" si="20"/>
        <v>0</v>
      </c>
    </row>
    <row r="12" spans="1:51" x14ac:dyDescent="0.2">
      <c r="A12">
        <v>2029</v>
      </c>
      <c r="B12">
        <v>4</v>
      </c>
      <c r="C12">
        <f t="shared" si="21"/>
        <v>4.2621384491611112</v>
      </c>
      <c r="D12">
        <f t="shared" si="23"/>
        <v>0.12756754185416708</v>
      </c>
      <c r="E12">
        <f t="shared" si="4"/>
        <v>0.12756754185416708</v>
      </c>
      <c r="F12">
        <f t="shared" si="5"/>
        <v>0</v>
      </c>
      <c r="G12" s="9">
        <f t="shared" si="6"/>
        <v>2.9930407793129141E-2</v>
      </c>
      <c r="H12" s="9">
        <f t="shared" si="6"/>
        <v>2.9930407793129141E-2</v>
      </c>
      <c r="I12" s="9">
        <f t="shared" si="6"/>
        <v>0</v>
      </c>
      <c r="J12" s="9">
        <f t="shared" si="7"/>
        <v>3.8909530131067886E-3</v>
      </c>
      <c r="K12" s="9">
        <f t="shared" si="8"/>
        <v>5.9860815586258286E-3</v>
      </c>
      <c r="L12" s="9">
        <f t="shared" si="9"/>
        <v>0</v>
      </c>
      <c r="M12">
        <f t="shared" si="0"/>
        <v>4.2201404322115064</v>
      </c>
      <c r="N12">
        <f t="shared" si="10"/>
        <v>0</v>
      </c>
      <c r="O12">
        <f t="shared" si="24"/>
        <v>4.2201404322115064</v>
      </c>
      <c r="P12">
        <f t="shared" si="22"/>
        <v>0.21938996522642765</v>
      </c>
      <c r="Q12" s="9">
        <f t="shared" si="1"/>
        <v>5.198641342640329E-2</v>
      </c>
      <c r="R12">
        <f>VLOOKUP($B$1,dictionary!$A$3:$K$51,3,FALSE)*Q12</f>
        <v>1.0397282685280659E-2</v>
      </c>
      <c r="S12">
        <f>VLOOKUP($B$1,dictionary!$A$3:$K$51,4,FALSE)*Q12</f>
        <v>0</v>
      </c>
      <c r="T12">
        <f>VLOOKUP($B$1,dictionary!$A$3:$K$51,5,FALSE)*Q12</f>
        <v>1.0397282685280659E-2</v>
      </c>
      <c r="U12">
        <f>VLOOKUP($B$1,dictionary!$A$3:$K$51,6,FALSE)*Q12</f>
        <v>1.819524469924115E-2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4.0007504669850791</v>
      </c>
      <c r="AB12">
        <f t="shared" si="11"/>
        <v>4.0007504669850791</v>
      </c>
      <c r="AC12">
        <f t="shared" si="12"/>
        <v>0</v>
      </c>
      <c r="AD12">
        <f t="shared" si="3"/>
        <v>4.9362742175946231E-2</v>
      </c>
      <c r="AE12">
        <f t="shared" si="13"/>
        <v>0</v>
      </c>
      <c r="AF12">
        <f t="shared" si="14"/>
        <v>5.4847491306606919E-2</v>
      </c>
      <c r="AG12">
        <f t="shared" si="15"/>
        <v>9.8725484351892434E-2</v>
      </c>
      <c r="AH12">
        <f t="shared" si="16"/>
        <v>0</v>
      </c>
      <c r="AI12">
        <f t="shared" si="17"/>
        <v>1.2990195309459532E-2</v>
      </c>
      <c r="AJ12">
        <f t="shared" si="18"/>
        <v>0</v>
      </c>
      <c r="AK12">
        <f t="shared" si="19"/>
        <v>4.9362742175946231E-2</v>
      </c>
      <c r="AL12">
        <f t="shared" si="20"/>
        <v>0</v>
      </c>
    </row>
    <row r="13" spans="1:51" x14ac:dyDescent="0.2">
      <c r="A13">
        <v>2030</v>
      </c>
      <c r="B13">
        <v>5</v>
      </c>
      <c r="C13">
        <f t="shared" si="21"/>
        <v>4.3516433565934944</v>
      </c>
      <c r="D13">
        <f t="shared" si="23"/>
        <v>0.16288133782844971</v>
      </c>
      <c r="E13">
        <f t="shared" si="4"/>
        <v>0.16288133782844971</v>
      </c>
      <c r="F13">
        <f t="shared" si="5"/>
        <v>0</v>
      </c>
      <c r="G13" s="9">
        <f t="shared" si="6"/>
        <v>3.742984534374956E-2</v>
      </c>
      <c r="H13" s="9">
        <f t="shared" si="6"/>
        <v>3.742984534374956E-2</v>
      </c>
      <c r="I13" s="9">
        <f t="shared" si="6"/>
        <v>0</v>
      </c>
      <c r="J13" s="9">
        <f t="shared" si="7"/>
        <v>4.8658798946874431E-3</v>
      </c>
      <c r="K13" s="9">
        <f t="shared" si="8"/>
        <v>7.4859690687499123E-3</v>
      </c>
      <c r="L13" s="9">
        <f t="shared" si="9"/>
        <v>0</v>
      </c>
      <c r="M13">
        <f t="shared" si="0"/>
        <v>4.2980510273154984</v>
      </c>
      <c r="N13">
        <f t="shared" si="10"/>
        <v>0</v>
      </c>
      <c r="O13">
        <f t="shared" si="24"/>
        <v>4.2980510273154984</v>
      </c>
      <c r="P13">
        <f t="shared" si="22"/>
        <v>0.36259442550312315</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3.9354566018123753</v>
      </c>
      <c r="AB13">
        <f t="shared" si="11"/>
        <v>3.9354566018123753</v>
      </c>
      <c r="AC13">
        <f t="shared" si="12"/>
        <v>0</v>
      </c>
      <c r="AD13">
        <f t="shared" si="3"/>
        <v>8.1583745738202706E-2</v>
      </c>
      <c r="AE13">
        <f t="shared" si="13"/>
        <v>0</v>
      </c>
      <c r="AF13">
        <f t="shared" si="14"/>
        <v>9.0648606375780788E-2</v>
      </c>
      <c r="AG13">
        <f t="shared" si="15"/>
        <v>0.16316749147640541</v>
      </c>
      <c r="AH13">
        <f t="shared" si="16"/>
        <v>0</v>
      </c>
      <c r="AI13">
        <f t="shared" si="17"/>
        <v>2.1469406773211235E-2</v>
      </c>
      <c r="AJ13">
        <f t="shared" si="18"/>
        <v>0</v>
      </c>
      <c r="AK13">
        <f t="shared" si="19"/>
        <v>8.1583745738202706E-2</v>
      </c>
      <c r="AL13">
        <f t="shared" si="20"/>
        <v>0</v>
      </c>
    </row>
    <row r="14" spans="1:51" x14ac:dyDescent="0.2">
      <c r="A14">
        <v>2031</v>
      </c>
      <c r="B14">
        <v>6</v>
      </c>
      <c r="C14">
        <f t="shared" si="21"/>
        <v>4.4430278670819572</v>
      </c>
      <c r="D14">
        <f t="shared" si="23"/>
        <v>0.19962205594769422</v>
      </c>
      <c r="E14">
        <f t="shared" si="4"/>
        <v>0.19962205594769422</v>
      </c>
      <c r="F14">
        <f t="shared" si="5"/>
        <v>0</v>
      </c>
      <c r="G14" s="9">
        <f t="shared" si="6"/>
        <v>4.4929282894369912E-2</v>
      </c>
      <c r="H14" s="9">
        <f t="shared" si="6"/>
        <v>4.4929282894369912E-2</v>
      </c>
      <c r="I14" s="9">
        <f t="shared" si="6"/>
        <v>0</v>
      </c>
      <c r="J14" s="9">
        <f t="shared" si="7"/>
        <v>5.8408067762680885E-3</v>
      </c>
      <c r="K14" s="9">
        <f t="shared" si="8"/>
        <v>8.9858565788739821E-3</v>
      </c>
      <c r="L14" s="9">
        <f t="shared" si="9"/>
        <v>0</v>
      </c>
      <c r="M14">
        <f t="shared" si="0"/>
        <v>4.3773857793906332</v>
      </c>
      <c r="N14">
        <f t="shared" si="10"/>
        <v>0</v>
      </c>
      <c r="O14">
        <f t="shared" si="24"/>
        <v>4.3773857793906332</v>
      </c>
      <c r="P14">
        <f t="shared" si="22"/>
        <v>0.57284274785667366</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3.8045430315339597</v>
      </c>
      <c r="AB14">
        <f t="shared" si="11"/>
        <v>3.8045430315339597</v>
      </c>
      <c r="AC14">
        <f t="shared" si="12"/>
        <v>0</v>
      </c>
      <c r="AD14">
        <f t="shared" si="3"/>
        <v>0.12888961826775158</v>
      </c>
      <c r="AE14">
        <f t="shared" si="13"/>
        <v>0</v>
      </c>
      <c r="AF14">
        <f t="shared" si="14"/>
        <v>0.14321068696416844</v>
      </c>
      <c r="AG14">
        <f t="shared" si="15"/>
        <v>0.25777923653550322</v>
      </c>
      <c r="AH14">
        <f t="shared" si="16"/>
        <v>0</v>
      </c>
      <c r="AI14">
        <f t="shared" si="17"/>
        <v>3.3918320596776734E-2</v>
      </c>
      <c r="AJ14">
        <f t="shared" si="18"/>
        <v>0</v>
      </c>
      <c r="AK14">
        <f t="shared" si="19"/>
        <v>0.12888961826775158</v>
      </c>
      <c r="AL14">
        <f t="shared" si="20"/>
        <v>0</v>
      </c>
    </row>
    <row r="15" spans="1:51" x14ac:dyDescent="0.2">
      <c r="A15">
        <v>2032</v>
      </c>
      <c r="B15">
        <v>7</v>
      </c>
      <c r="C15">
        <f t="shared" si="21"/>
        <v>4.5363314522906775</v>
      </c>
      <c r="D15">
        <f t="shared" si="23"/>
        <v>0.23781875032623256</v>
      </c>
      <c r="E15">
        <f t="shared" si="4"/>
        <v>0.23781875032623256</v>
      </c>
      <c r="F15">
        <f t="shared" si="5"/>
        <v>0</v>
      </c>
      <c r="G15" s="9">
        <f t="shared" si="6"/>
        <v>5.2425346963159626E-2</v>
      </c>
      <c r="H15" s="9">
        <f t="shared" si="6"/>
        <v>5.2425346963159626E-2</v>
      </c>
      <c r="I15" s="9">
        <f t="shared" si="6"/>
        <v>0</v>
      </c>
      <c r="J15" s="9">
        <f t="shared" si="7"/>
        <v>6.8152951052107514E-3</v>
      </c>
      <c r="K15" s="9">
        <f t="shared" si="8"/>
        <v>1.0485069392631927E-2</v>
      </c>
      <c r="L15" s="9">
        <f t="shared" si="9"/>
        <v>0</v>
      </c>
      <c r="M15">
        <f t="shared" si="0"/>
        <v>4.4581754256760266</v>
      </c>
      <c r="N15">
        <f t="shared" si="10"/>
        <v>0</v>
      </c>
      <c r="O15">
        <f t="shared" si="24"/>
        <v>4.4581754256760266</v>
      </c>
      <c r="P15">
        <f>IF($I$3=0,0,M15/(1+EXP(-$I$3*(B15-$J$3)))-M15/(1+EXP($I$3*$J$3)))</f>
        <v>0.86882451479874734</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3.5893509108772794</v>
      </c>
      <c r="AB15">
        <f t="shared" si="11"/>
        <v>3.5893509108772794</v>
      </c>
      <c r="AC15">
        <f t="shared" si="12"/>
        <v>0</v>
      </c>
      <c r="AD15">
        <f t="shared" si="3"/>
        <v>0.19548551582971815</v>
      </c>
      <c r="AE15">
        <f t="shared" si="13"/>
        <v>0</v>
      </c>
      <c r="AF15">
        <f t="shared" si="14"/>
        <v>0.21720612869968683</v>
      </c>
      <c r="AG15">
        <f t="shared" si="15"/>
        <v>0.39097103165943631</v>
      </c>
      <c r="AH15">
        <f t="shared" si="16"/>
        <v>0</v>
      </c>
      <c r="AI15">
        <f t="shared" si="17"/>
        <v>5.1443556797294246E-2</v>
      </c>
      <c r="AJ15">
        <f t="shared" si="18"/>
        <v>0</v>
      </c>
      <c r="AK15">
        <f t="shared" si="19"/>
        <v>0.19548551582971815</v>
      </c>
      <c r="AL15">
        <f t="shared" si="20"/>
        <v>0</v>
      </c>
    </row>
    <row r="16" spans="1:51" x14ac:dyDescent="0.2">
      <c r="A16">
        <v>2033</v>
      </c>
      <c r="B16">
        <v>8</v>
      </c>
      <c r="C16">
        <f t="shared" si="21"/>
        <v>4.6315944127887816</v>
      </c>
      <c r="D16">
        <f t="shared" si="23"/>
        <v>0.27750045144389457</v>
      </c>
      <c r="E16">
        <f t="shared" si="4"/>
        <v>0.27750045144389457</v>
      </c>
      <c r="F16">
        <f t="shared" si="5"/>
        <v>0</v>
      </c>
      <c r="G16" s="9">
        <f t="shared" si="6"/>
        <v>5.9914670135549637E-2</v>
      </c>
      <c r="H16" s="9">
        <f t="shared" si="6"/>
        <v>5.9914670135549637E-2</v>
      </c>
      <c r="I16" s="9">
        <f t="shared" si="6"/>
        <v>0</v>
      </c>
      <c r="J16" s="9">
        <f t="shared" si="7"/>
        <v>7.7889071176214528E-3</v>
      </c>
      <c r="K16" s="9">
        <f t="shared" si="8"/>
        <v>1.1982934027109928E-2</v>
      </c>
      <c r="L16" s="9">
        <f t="shared" si="9"/>
        <v>0</v>
      </c>
      <c r="M16">
        <f t="shared" si="0"/>
        <v>4.5404515488605748</v>
      </c>
      <c r="N16">
        <f t="shared" si="10"/>
        <v>0</v>
      </c>
      <c r="O16">
        <f t="shared" si="24"/>
        <v>4.5404515488605748</v>
      </c>
      <c r="P16">
        <f t="shared" si="22"/>
        <v>1.2625340978209012</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3.2779174510396736</v>
      </c>
      <c r="AB16">
        <f t="shared" si="11"/>
        <v>3.2779174510396736</v>
      </c>
      <c r="AC16">
        <f t="shared" si="12"/>
        <v>0</v>
      </c>
      <c r="AD16">
        <f t="shared" si="3"/>
        <v>0.2840701720097028</v>
      </c>
      <c r="AE16">
        <f t="shared" si="13"/>
        <v>0</v>
      </c>
      <c r="AF16">
        <f t="shared" si="14"/>
        <v>0.3156335244552253</v>
      </c>
      <c r="AG16">
        <f t="shared" si="15"/>
        <v>0.56814034401940561</v>
      </c>
      <c r="AH16">
        <f t="shared" si="16"/>
        <v>0</v>
      </c>
      <c r="AI16">
        <f t="shared" si="17"/>
        <v>7.475530842360599E-2</v>
      </c>
      <c r="AJ16">
        <f t="shared" si="18"/>
        <v>0</v>
      </c>
      <c r="AK16">
        <f t="shared" si="19"/>
        <v>0.2840701720097028</v>
      </c>
      <c r="AL16">
        <f t="shared" si="20"/>
        <v>0</v>
      </c>
    </row>
    <row r="17" spans="1:38" x14ac:dyDescent="0.2">
      <c r="A17">
        <v>2034</v>
      </c>
      <c r="B17">
        <v>9</v>
      </c>
      <c r="C17">
        <f t="shared" si="21"/>
        <v>4.7288578954573453</v>
      </c>
      <c r="D17">
        <f t="shared" si="23"/>
        <v>0.31869616244632537</v>
      </c>
      <c r="E17">
        <f t="shared" si="4"/>
        <v>0.31869616244632537</v>
      </c>
      <c r="F17">
        <f t="shared" si="5"/>
        <v>0</v>
      </c>
      <c r="G17" s="9">
        <f t="shared" si="6"/>
        <v>6.7393897108321346E-2</v>
      </c>
      <c r="H17" s="9">
        <f t="shared" si="6"/>
        <v>6.7393897108321346E-2</v>
      </c>
      <c r="I17" s="9">
        <f t="shared" si="6"/>
        <v>0</v>
      </c>
      <c r="J17" s="9">
        <f t="shared" si="7"/>
        <v>8.7612066240817747E-3</v>
      </c>
      <c r="K17" s="9">
        <f t="shared" si="8"/>
        <v>1.3478779421664269E-2</v>
      </c>
      <c r="L17" s="9">
        <f t="shared" si="9"/>
        <v>0</v>
      </c>
      <c r="M17">
        <f t="shared" si="0"/>
        <v>4.6242465944359568</v>
      </c>
      <c r="N17">
        <f t="shared" si="10"/>
        <v>0</v>
      </c>
      <c r="O17">
        <f t="shared" si="24"/>
        <v>4.6242465944359568</v>
      </c>
      <c r="P17">
        <f t="shared" si="22"/>
        <v>1.7496938643745017</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2.8745527300614553</v>
      </c>
      <c r="AB17">
        <f t="shared" si="11"/>
        <v>2.8745527300614553</v>
      </c>
      <c r="AC17">
        <f t="shared" si="12"/>
        <v>0</v>
      </c>
      <c r="AD17">
        <f t="shared" si="3"/>
        <v>0.39368111948426293</v>
      </c>
      <c r="AE17">
        <f t="shared" si="13"/>
        <v>0</v>
      </c>
      <c r="AF17">
        <f t="shared" si="14"/>
        <v>0.43742346609362548</v>
      </c>
      <c r="AG17">
        <f t="shared" si="15"/>
        <v>0.78736223896852597</v>
      </c>
      <c r="AH17">
        <f t="shared" si="16"/>
        <v>0</v>
      </c>
      <c r="AI17">
        <f t="shared" si="17"/>
        <v>0.10360029460112181</v>
      </c>
      <c r="AJ17">
        <f t="shared" si="18"/>
        <v>0</v>
      </c>
      <c r="AK17">
        <f t="shared" si="19"/>
        <v>0.39368111948426293</v>
      </c>
      <c r="AL17">
        <f t="shared" si="20"/>
        <v>0</v>
      </c>
    </row>
    <row r="18" spans="1:38" x14ac:dyDescent="0.2">
      <c r="A18">
        <v>2035</v>
      </c>
      <c r="B18">
        <v>10</v>
      </c>
      <c r="C18">
        <f t="shared" si="21"/>
        <v>4.8281639112619494</v>
      </c>
      <c r="D18">
        <f t="shared" si="23"/>
        <v>0.36143485698561495</v>
      </c>
      <c r="E18">
        <f t="shared" si="4"/>
        <v>0.36143485698561495</v>
      </c>
      <c r="F18">
        <f t="shared" si="5"/>
        <v>0</v>
      </c>
      <c r="G18" s="9">
        <f t="shared" si="6"/>
        <v>7.4859690687499009E-2</v>
      </c>
      <c r="H18" s="9">
        <f t="shared" si="6"/>
        <v>7.4859690687499009E-2</v>
      </c>
      <c r="I18" s="9">
        <f t="shared" si="6"/>
        <v>0</v>
      </c>
      <c r="J18" s="9">
        <f t="shared" si="7"/>
        <v>9.7317597893748723E-3</v>
      </c>
      <c r="K18" s="9">
        <f t="shared" si="8"/>
        <v>1.4971938137499802E-2</v>
      </c>
      <c r="L18" s="9">
        <f t="shared" si="9"/>
        <v>0</v>
      </c>
      <c r="M18">
        <f t="shared" si="0"/>
        <v>4.7095938878982349</v>
      </c>
      <c r="N18">
        <f t="shared" si="10"/>
        <v>0</v>
      </c>
      <c r="O18">
        <f t="shared" si="24"/>
        <v>4.7095938878982349</v>
      </c>
      <c r="P18">
        <f t="shared" si="22"/>
        <v>2.3030529060893872</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2.4065409818088477</v>
      </c>
      <c r="AB18">
        <f t="shared" si="11"/>
        <v>2.4065409818088477</v>
      </c>
      <c r="AC18">
        <f t="shared" si="12"/>
        <v>0</v>
      </c>
      <c r="AD18">
        <f t="shared" si="3"/>
        <v>0.51818690387011213</v>
      </c>
      <c r="AE18">
        <f t="shared" si="13"/>
        <v>0</v>
      </c>
      <c r="AF18">
        <f t="shared" si="14"/>
        <v>0.57576322652234679</v>
      </c>
      <c r="AG18">
        <f t="shared" si="15"/>
        <v>1.0363738077402243</v>
      </c>
      <c r="AH18">
        <f t="shared" si="16"/>
        <v>0</v>
      </c>
      <c r="AI18">
        <f t="shared" si="17"/>
        <v>0.13636497470266107</v>
      </c>
      <c r="AJ18">
        <f t="shared" si="18"/>
        <v>0</v>
      </c>
      <c r="AK18">
        <f t="shared" si="19"/>
        <v>0.51818690387011213</v>
      </c>
      <c r="AL18">
        <f t="shared" si="20"/>
        <v>0</v>
      </c>
    </row>
    <row r="19" spans="1:38" x14ac:dyDescent="0.2">
      <c r="A19">
        <v>2036</v>
      </c>
      <c r="B19">
        <v>11</v>
      </c>
      <c r="C19">
        <f t="shared" si="21"/>
        <v>4.9295553533984497</v>
      </c>
      <c r="D19">
        <f t="shared" si="23"/>
        <v>0.40574547864593136</v>
      </c>
      <c r="E19">
        <f t="shared" si="4"/>
        <v>0.40574547864593136</v>
      </c>
      <c r="F19">
        <f t="shared" si="5"/>
        <v>0</v>
      </c>
      <c r="G19" s="9">
        <f t="shared" si="6"/>
        <v>8.2308737717329661E-2</v>
      </c>
      <c r="H19" s="9">
        <f t="shared" si="6"/>
        <v>8.2308737717329661E-2</v>
      </c>
      <c r="I19" s="9">
        <f t="shared" si="6"/>
        <v>0</v>
      </c>
      <c r="J19" s="9">
        <f t="shared" si="7"/>
        <v>1.0700135903252856E-2</v>
      </c>
      <c r="K19" s="9">
        <f t="shared" si="8"/>
        <v>1.6461747543465934E-2</v>
      </c>
      <c r="L19" s="9">
        <f t="shared" si="9"/>
        <v>0</v>
      </c>
      <c r="M19">
        <f t="shared" si="0"/>
        <v>4.7965276517980211</v>
      </c>
      <c r="N19">
        <f t="shared" si="10"/>
        <v>0</v>
      </c>
      <c r="O19">
        <f t="shared" si="24"/>
        <v>4.7965276517980211</v>
      </c>
      <c r="P19">
        <f t="shared" si="22"/>
        <v>2.8762487967738455</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1.9202788550241756</v>
      </c>
      <c r="AB19">
        <f t="shared" si="11"/>
        <v>1.9202788550241756</v>
      </c>
      <c r="AC19">
        <f t="shared" si="12"/>
        <v>0</v>
      </c>
      <c r="AD19">
        <f t="shared" si="3"/>
        <v>0.64715597927411528</v>
      </c>
      <c r="AE19">
        <f t="shared" si="13"/>
        <v>0</v>
      </c>
      <c r="AF19">
        <f t="shared" si="14"/>
        <v>0.71906219919346148</v>
      </c>
      <c r="AG19">
        <f t="shared" si="15"/>
        <v>1.2943119585482306</v>
      </c>
      <c r="AH19">
        <f t="shared" si="16"/>
        <v>0</v>
      </c>
      <c r="AI19">
        <f t="shared" si="17"/>
        <v>0.17030420507213559</v>
      </c>
      <c r="AJ19">
        <f t="shared" si="18"/>
        <v>0</v>
      </c>
      <c r="AK19">
        <f t="shared" si="19"/>
        <v>0.64715597927411528</v>
      </c>
      <c r="AL19">
        <f t="shared" si="20"/>
        <v>0</v>
      </c>
    </row>
    <row r="20" spans="1:38" x14ac:dyDescent="0.2">
      <c r="A20">
        <v>2037</v>
      </c>
      <c r="B20">
        <v>12</v>
      </c>
      <c r="C20">
        <f t="shared" si="21"/>
        <v>5.0330760158198169</v>
      </c>
      <c r="D20">
        <f t="shared" si="23"/>
        <v>0.45165694199167916</v>
      </c>
      <c r="E20">
        <f t="shared" si="4"/>
        <v>0.45165694199167916</v>
      </c>
      <c r="F20">
        <f t="shared" si="5"/>
        <v>0</v>
      </c>
      <c r="G20" s="9">
        <f t="shared" si="6"/>
        <v>8.9737754918074814E-2</v>
      </c>
      <c r="H20" s="9">
        <f t="shared" si="6"/>
        <v>8.9737754918074814E-2</v>
      </c>
      <c r="I20" s="9">
        <f t="shared" si="6"/>
        <v>0</v>
      </c>
      <c r="J20" s="9">
        <f t="shared" si="7"/>
        <v>1.1665908139349725E-2</v>
      </c>
      <c r="K20" s="9">
        <f t="shared" si="8"/>
        <v>1.7947550983614963E-2</v>
      </c>
      <c r="L20" s="9">
        <f t="shared" si="9"/>
        <v>0</v>
      </c>
      <c r="M20">
        <f t="shared" si="0"/>
        <v>4.8850830226417177</v>
      </c>
      <c r="N20">
        <f t="shared" si="10"/>
        <v>0</v>
      </c>
      <c r="O20">
        <f t="shared" si="24"/>
        <v>4.8850830226417177</v>
      </c>
      <c r="P20">
        <f>IF($I$3=0,0,M20/(1+EXP(-$I$3*(B20-$J$3)))-M20/(1+EXP($I$3*$J$3)))</f>
        <v>3.4193752183135304</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1.4657078043281873</v>
      </c>
      <c r="AB20">
        <f t="shared" si="11"/>
        <v>1.4657078043281873</v>
      </c>
      <c r="AC20">
        <f t="shared" si="12"/>
        <v>0</v>
      </c>
      <c r="AD20">
        <f t="shared" si="3"/>
        <v>0.76935942412054437</v>
      </c>
      <c r="AE20">
        <f t="shared" si="13"/>
        <v>0</v>
      </c>
      <c r="AF20">
        <f t="shared" si="14"/>
        <v>0.8548438045783826</v>
      </c>
      <c r="AG20">
        <f t="shared" si="15"/>
        <v>1.5387188482410887</v>
      </c>
      <c r="AH20">
        <f t="shared" si="16"/>
        <v>0</v>
      </c>
      <c r="AI20">
        <f t="shared" si="17"/>
        <v>0.20246300634751166</v>
      </c>
      <c r="AJ20">
        <f t="shared" si="18"/>
        <v>0</v>
      </c>
      <c r="AK20">
        <f t="shared" si="19"/>
        <v>0.76935942412054437</v>
      </c>
      <c r="AL20">
        <f t="shared" si="20"/>
        <v>0</v>
      </c>
    </row>
    <row r="21" spans="1:38" x14ac:dyDescent="0.2">
      <c r="A21">
        <v>2038</v>
      </c>
      <c r="B21">
        <v>13</v>
      </c>
      <c r="C21">
        <f t="shared" si="21"/>
        <v>5.1387706121520322</v>
      </c>
      <c r="D21">
        <f t="shared" si="23"/>
        <v>0.49919813526846069</v>
      </c>
      <c r="E21">
        <f t="shared" si="4"/>
        <v>0.49919813526846069</v>
      </c>
      <c r="F21">
        <f t="shared" si="5"/>
        <v>0</v>
      </c>
      <c r="G21" s="9">
        <f t="shared" si="6"/>
        <v>9.7143494610942516E-2</v>
      </c>
      <c r="H21" s="9">
        <f t="shared" si="6"/>
        <v>9.7143494610942516E-2</v>
      </c>
      <c r="I21" s="9">
        <f t="shared" si="6"/>
        <v>0</v>
      </c>
      <c r="J21" s="9">
        <f t="shared" si="7"/>
        <v>1.2628654299422528E-2</v>
      </c>
      <c r="K21" s="9">
        <f t="shared" si="8"/>
        <v>1.9428698922188504E-2</v>
      </c>
      <c r="L21" s="9">
        <f t="shared" si="9"/>
        <v>0</v>
      </c>
      <c r="M21">
        <f t="shared" si="0"/>
        <v>4.9752960676488849</v>
      </c>
      <c r="N21">
        <f t="shared" si="10"/>
        <v>0</v>
      </c>
      <c r="O21">
        <f t="shared" si="24"/>
        <v>4.9752960676488849</v>
      </c>
      <c r="P21">
        <f t="shared" si="22"/>
        <v>3.8963667239167439</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1.078929343732141</v>
      </c>
      <c r="AB21">
        <f t="shared" si="11"/>
        <v>1.078929343732141</v>
      </c>
      <c r="AC21">
        <f t="shared" si="12"/>
        <v>0</v>
      </c>
      <c r="AD21">
        <f t="shared" si="3"/>
        <v>0.87668251288126742</v>
      </c>
      <c r="AE21">
        <f t="shared" si="13"/>
        <v>0</v>
      </c>
      <c r="AF21">
        <f t="shared" si="14"/>
        <v>0.97409168097918608</v>
      </c>
      <c r="AG21">
        <f t="shared" si="15"/>
        <v>1.7533650257625346</v>
      </c>
      <c r="AH21">
        <f t="shared" si="16"/>
        <v>0</v>
      </c>
      <c r="AI21">
        <f t="shared" si="17"/>
        <v>0.23070592444243879</v>
      </c>
      <c r="AJ21">
        <f t="shared" si="18"/>
        <v>0</v>
      </c>
      <c r="AK21">
        <f t="shared" si="19"/>
        <v>0.87668251288126742</v>
      </c>
      <c r="AL21">
        <f t="shared" si="20"/>
        <v>0</v>
      </c>
    </row>
    <row r="22" spans="1:38" x14ac:dyDescent="0.2">
      <c r="A22">
        <v>2039</v>
      </c>
      <c r="B22">
        <v>14</v>
      </c>
      <c r="C22">
        <f t="shared" si="21"/>
        <v>5.2466847950072246</v>
      </c>
      <c r="D22">
        <f t="shared" si="23"/>
        <v>0.54839792477963645</v>
      </c>
      <c r="E22">
        <f t="shared" si="4"/>
        <v>0.54839792477963645</v>
      </c>
      <c r="F22">
        <f t="shared" si="5"/>
        <v>0</v>
      </c>
      <c r="G22" s="9">
        <f t="shared" si="6"/>
        <v>0.10452275030920384</v>
      </c>
      <c r="H22" s="9">
        <f t="shared" si="6"/>
        <v>0.10452275030920384</v>
      </c>
      <c r="I22" s="9">
        <f t="shared" si="6"/>
        <v>0</v>
      </c>
      <c r="J22" s="9">
        <f t="shared" si="7"/>
        <v>1.35879575401965E-2</v>
      </c>
      <c r="K22" s="9">
        <f t="shared" si="8"/>
        <v>2.090455006184077E-2</v>
      </c>
      <c r="L22" s="9">
        <f t="shared" si="9"/>
        <v>0</v>
      </c>
      <c r="M22">
        <f t="shared" si="0"/>
        <v>5.0672038013733527</v>
      </c>
      <c r="N22">
        <f t="shared" si="10"/>
        <v>0</v>
      </c>
      <c r="O22">
        <f t="shared" si="24"/>
        <v>5.0672038013733527</v>
      </c>
      <c r="P22">
        <f t="shared" si="22"/>
        <v>4.2927424686175311</v>
      </c>
      <c r="Q22" s="9">
        <f t="shared" si="1"/>
        <v>0.84716199246891921</v>
      </c>
      <c r="R22">
        <f>VLOOKUP($B$1,dictionary!$A$3:$K$51,3,FALSE)*Q22</f>
        <v>0.16943239849378386</v>
      </c>
      <c r="S22">
        <f>VLOOKUP($B$1,dictionary!$A$3:$K$51,4,FALSE)*Q22</f>
        <v>0</v>
      </c>
      <c r="T22">
        <f>VLOOKUP($B$1,dictionary!$A$3:$K$51,5,FALSE)*Q22</f>
        <v>0.16943239849378386</v>
      </c>
      <c r="U22">
        <f>VLOOKUP($B$1,dictionary!$A$3:$K$51,6,FALSE)*Q22</f>
        <v>0.29650669736412172</v>
      </c>
      <c r="V22">
        <f>VLOOKUP($B$1,dictionary!$A$3:$K$51,7,FALSE)*Q22</f>
        <v>0</v>
      </c>
      <c r="W22">
        <f>VLOOKUP($B$1,dictionary!$A$3:$K$51,8,FALSE)*Q22</f>
        <v>4.2358099623445965E-2</v>
      </c>
      <c r="X22">
        <f>VLOOKUP($B$1,dictionary!$A$3:$K$51,9,FALSE)*Q22</f>
        <v>0</v>
      </c>
      <c r="Y22">
        <f>VLOOKUP($B$1,dictionary!$A$3:$K$51,10,FALSE)*Q22</f>
        <v>0.16943239849378386</v>
      </c>
      <c r="Z22">
        <f>VLOOKUP($B$1,dictionary!$A$3:$K$51,11,FALSE)*Q22</f>
        <v>0</v>
      </c>
      <c r="AA22">
        <f t="shared" si="2"/>
        <v>0.77446133275582163</v>
      </c>
      <c r="AB22">
        <f t="shared" si="11"/>
        <v>0.77446133275582163</v>
      </c>
      <c r="AC22">
        <f t="shared" si="12"/>
        <v>0</v>
      </c>
      <c r="AD22">
        <f t="shared" si="3"/>
        <v>0.96586705543894458</v>
      </c>
      <c r="AE22">
        <f t="shared" si="13"/>
        <v>0</v>
      </c>
      <c r="AF22">
        <f t="shared" si="14"/>
        <v>1.0731856171543828</v>
      </c>
      <c r="AG22">
        <f t="shared" si="15"/>
        <v>1.9317341108778889</v>
      </c>
      <c r="AH22">
        <f t="shared" si="16"/>
        <v>0</v>
      </c>
      <c r="AI22">
        <f t="shared" si="17"/>
        <v>0.2541755409049854</v>
      </c>
      <c r="AJ22">
        <f t="shared" si="18"/>
        <v>0</v>
      </c>
      <c r="AK22">
        <f t="shared" si="19"/>
        <v>0.96586705543894458</v>
      </c>
      <c r="AL22">
        <f t="shared" si="20"/>
        <v>0</v>
      </c>
    </row>
    <row r="23" spans="1:38" x14ac:dyDescent="0.2">
      <c r="A23">
        <v>2040</v>
      </c>
      <c r="B23">
        <v>15</v>
      </c>
      <c r="C23">
        <f t="shared" si="21"/>
        <v>5.3568651757023762</v>
      </c>
      <c r="D23">
        <f t="shared" si="23"/>
        <v>0.59928516095387252</v>
      </c>
      <c r="E23">
        <f t="shared" si="4"/>
        <v>0.59928516095387252</v>
      </c>
      <c r="F23">
        <f t="shared" si="5"/>
        <v>0</v>
      </c>
      <c r="G23" s="9">
        <f t="shared" si="6"/>
        <v>0.11187236215540855</v>
      </c>
      <c r="H23" s="9">
        <f t="shared" si="6"/>
        <v>0.11187236215540855</v>
      </c>
      <c r="I23" s="9">
        <f t="shared" si="6"/>
        <v>0</v>
      </c>
      <c r="J23" s="9">
        <f t="shared" si="7"/>
        <v>1.4543407080203113E-2</v>
      </c>
      <c r="K23" s="9">
        <f t="shared" si="8"/>
        <v>2.2374472431081711E-2</v>
      </c>
      <c r="L23" s="9">
        <f t="shared" si="9"/>
        <v>0</v>
      </c>
      <c r="M23">
        <f t="shared" si="0"/>
        <v>5.1608442021981737</v>
      </c>
      <c r="N23">
        <f t="shared" si="10"/>
        <v>0</v>
      </c>
      <c r="O23">
        <f t="shared" si="24"/>
        <v>5.1608442021981737</v>
      </c>
      <c r="P23">
        <f t="shared" si="22"/>
        <v>4.6120585699159253</v>
      </c>
      <c r="Q23" s="9">
        <f t="shared" si="1"/>
        <v>0.89366359247029725</v>
      </c>
      <c r="R23">
        <f>VLOOKUP($B$1,dictionary!$A$3:$K$51,3,FALSE)*Q23</f>
        <v>0.17873271849405947</v>
      </c>
      <c r="S23">
        <f>VLOOKUP($B$1,dictionary!$A$3:$K$51,4,FALSE)*Q23</f>
        <v>0</v>
      </c>
      <c r="T23">
        <f>VLOOKUP($B$1,dictionary!$A$3:$K$51,5,FALSE)*Q23</f>
        <v>0.17873271849405947</v>
      </c>
      <c r="U23">
        <f>VLOOKUP($B$1,dictionary!$A$3:$K$51,6,FALSE)*Q23</f>
        <v>0.31278225736460402</v>
      </c>
      <c r="V23">
        <f>VLOOKUP($B$1,dictionary!$A$3:$K$51,7,FALSE)*Q23</f>
        <v>0</v>
      </c>
      <c r="W23">
        <f>VLOOKUP($B$1,dictionary!$A$3:$K$51,8,FALSE)*Q23</f>
        <v>4.4683179623514868E-2</v>
      </c>
      <c r="X23">
        <f>VLOOKUP($B$1,dictionary!$A$3:$K$51,9,FALSE)*Q23</f>
        <v>0</v>
      </c>
      <c r="Y23">
        <f>VLOOKUP($B$1,dictionary!$A$3:$K$51,10,FALSE)*Q23</f>
        <v>0.17873271849405947</v>
      </c>
      <c r="Z23">
        <f>VLOOKUP($B$1,dictionary!$A$3:$K$51,11,FALSE)*Q23</f>
        <v>0</v>
      </c>
      <c r="AA23">
        <f t="shared" si="2"/>
        <v>0.54878563228224841</v>
      </c>
      <c r="AB23">
        <f t="shared" si="11"/>
        <v>0.54878563228224841</v>
      </c>
      <c r="AC23">
        <f t="shared" si="12"/>
        <v>0</v>
      </c>
      <c r="AD23">
        <f t="shared" si="3"/>
        <v>1.0377131782310833</v>
      </c>
      <c r="AE23">
        <f t="shared" si="13"/>
        <v>0</v>
      </c>
      <c r="AF23">
        <f t="shared" si="14"/>
        <v>1.1530146424789813</v>
      </c>
      <c r="AG23">
        <f t="shared" si="15"/>
        <v>2.0754263564621662</v>
      </c>
      <c r="AH23">
        <f t="shared" si="16"/>
        <v>0</v>
      </c>
      <c r="AI23">
        <f t="shared" si="17"/>
        <v>0.27308241532396926</v>
      </c>
      <c r="AJ23">
        <f t="shared" si="18"/>
        <v>0</v>
      </c>
      <c r="AK23">
        <f t="shared" si="19"/>
        <v>1.0377131782310833</v>
      </c>
      <c r="AL23">
        <f t="shared" si="20"/>
        <v>0</v>
      </c>
    </row>
    <row r="24" spans="1:38" x14ac:dyDescent="0.2">
      <c r="A24">
        <v>2041</v>
      </c>
      <c r="B24">
        <v>16</v>
      </c>
      <c r="C24">
        <f t="shared" si="21"/>
        <v>5.4693593443921253</v>
      </c>
      <c r="D24">
        <f t="shared" si="23"/>
        <v>0.65188868611156314</v>
      </c>
      <c r="E24">
        <f t="shared" si="4"/>
        <v>0.65188868611156314</v>
      </c>
      <c r="F24">
        <f t="shared" si="5"/>
        <v>0</v>
      </c>
      <c r="G24" s="9">
        <f t="shared" si="6"/>
        <v>0.11918922218558584</v>
      </c>
      <c r="H24" s="9">
        <f t="shared" si="6"/>
        <v>0.11918922218558584</v>
      </c>
      <c r="I24" s="9">
        <f t="shared" si="6"/>
        <v>0</v>
      </c>
      <c r="J24" s="9">
        <f t="shared" si="7"/>
        <v>1.5494598884126159E-2</v>
      </c>
      <c r="K24" s="9">
        <f t="shared" si="8"/>
        <v>2.3837844437117169E-2</v>
      </c>
      <c r="L24" s="9">
        <f t="shared" si="9"/>
        <v>0</v>
      </c>
      <c r="M24">
        <f t="shared" si="0"/>
        <v>5.2562562287169898</v>
      </c>
      <c r="N24">
        <f t="shared" si="10"/>
        <v>0</v>
      </c>
      <c r="O24">
        <f t="shared" si="24"/>
        <v>5.2562562287169898</v>
      </c>
      <c r="P24">
        <f t="shared" si="22"/>
        <v>4.8675019480625776</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0.3887542806544122</v>
      </c>
      <c r="AB24">
        <f t="shared" si="11"/>
        <v>0.3887542806544122</v>
      </c>
      <c r="AC24">
        <f t="shared" si="12"/>
        <v>0</v>
      </c>
      <c r="AD24">
        <f t="shared" si="3"/>
        <v>1.0951879383140801</v>
      </c>
      <c r="AE24">
        <f t="shared" si="13"/>
        <v>0</v>
      </c>
      <c r="AF24">
        <f t="shared" si="14"/>
        <v>1.2168754870156446</v>
      </c>
      <c r="AG24">
        <f t="shared" si="15"/>
        <v>2.1903758766281602</v>
      </c>
      <c r="AH24">
        <f t="shared" si="16"/>
        <v>0</v>
      </c>
      <c r="AI24">
        <f t="shared" si="17"/>
        <v>0.28820735218791577</v>
      </c>
      <c r="AJ24">
        <f t="shared" si="18"/>
        <v>0</v>
      </c>
      <c r="AK24">
        <f t="shared" si="19"/>
        <v>1.0951879383140801</v>
      </c>
      <c r="AL24">
        <f t="shared" si="20"/>
        <v>0</v>
      </c>
    </row>
    <row r="25" spans="1:38" x14ac:dyDescent="0.2">
      <c r="A25">
        <v>2042</v>
      </c>
      <c r="B25">
        <v>17</v>
      </c>
      <c r="C25">
        <f t="shared" si="21"/>
        <v>5.5842158906243595</v>
      </c>
      <c r="D25">
        <f t="shared" si="23"/>
        <v>0.70623734393066639</v>
      </c>
      <c r="E25">
        <f t="shared" si="4"/>
        <v>0.70623734393066639</v>
      </c>
      <c r="F25">
        <f t="shared" si="5"/>
        <v>0</v>
      </c>
      <c r="G25" s="9">
        <f t="shared" si="6"/>
        <v>0.12647027940241462</v>
      </c>
      <c r="H25" s="9">
        <f t="shared" si="6"/>
        <v>0.12647027940241462</v>
      </c>
      <c r="I25" s="9">
        <f t="shared" si="6"/>
        <v>0</v>
      </c>
      <c r="J25" s="9">
        <f t="shared" si="7"/>
        <v>1.64411363223139E-2</v>
      </c>
      <c r="K25" s="9">
        <f t="shared" si="8"/>
        <v>2.5294055880482925E-2</v>
      </c>
      <c r="L25" s="9">
        <f t="shared" si="9"/>
        <v>0</v>
      </c>
      <c r="M25">
        <f t="shared" si="0"/>
        <v>5.3534798360167333</v>
      </c>
      <c r="N25">
        <f t="shared" si="10"/>
        <v>0</v>
      </c>
      <c r="O25">
        <f t="shared" si="24"/>
        <v>5.3534798360167333</v>
      </c>
      <c r="P25">
        <f>IF($I$3=0,0,M25/(1+EXP(-$I$3*(B25-$J$3)))-M25/(1+EXP($I$3*$J$3)))</f>
        <v>5.0746801309020366</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0.27879970511469665</v>
      </c>
      <c r="AB25">
        <f t="shared" si="11"/>
        <v>0.27879970511469665</v>
      </c>
      <c r="AC25">
        <f t="shared" si="12"/>
        <v>0</v>
      </c>
      <c r="AD25">
        <f t="shared" si="3"/>
        <v>1.1418030294529584</v>
      </c>
      <c r="AE25">
        <f t="shared" si="13"/>
        <v>0</v>
      </c>
      <c r="AF25">
        <f t="shared" si="14"/>
        <v>1.2686700327255094</v>
      </c>
      <c r="AG25">
        <f t="shared" si="15"/>
        <v>2.2836060589059164</v>
      </c>
      <c r="AH25">
        <f t="shared" si="16"/>
        <v>0</v>
      </c>
      <c r="AI25">
        <f t="shared" si="17"/>
        <v>0.300474481434989</v>
      </c>
      <c r="AJ25">
        <f t="shared" si="18"/>
        <v>0</v>
      </c>
      <c r="AK25">
        <f t="shared" si="19"/>
        <v>1.1418030294529584</v>
      </c>
      <c r="AL25">
        <f t="shared" si="20"/>
        <v>0</v>
      </c>
    </row>
    <row r="26" spans="1:38" x14ac:dyDescent="0.2">
      <c r="A26">
        <v>2043</v>
      </c>
      <c r="B26">
        <v>18</v>
      </c>
      <c r="C26">
        <f t="shared" si="21"/>
        <v>5.7014844243274707</v>
      </c>
      <c r="D26">
        <f t="shared" si="23"/>
        <v>0.76235999060521564</v>
      </c>
      <c r="E26">
        <f t="shared" si="4"/>
        <v>0.76235999060521564</v>
      </c>
      <c r="F26">
        <f t="shared" si="5"/>
        <v>0</v>
      </c>
      <c r="G26" s="9">
        <f t="shared" si="6"/>
        <v>0.13371254464053742</v>
      </c>
      <c r="H26" s="9">
        <f t="shared" si="6"/>
        <v>0.13371254464053742</v>
      </c>
      <c r="I26" s="9">
        <f t="shared" si="6"/>
        <v>0</v>
      </c>
      <c r="J26" s="9">
        <f t="shared" si="7"/>
        <v>1.7382630803269863E-2</v>
      </c>
      <c r="K26" s="9">
        <f t="shared" si="8"/>
        <v>2.6742508928107485E-2</v>
      </c>
      <c r="L26" s="9">
        <f t="shared" si="9"/>
        <v>0</v>
      </c>
      <c r="M26">
        <f t="shared" si="0"/>
        <v>5.452555991878925</v>
      </c>
      <c r="N26">
        <f t="shared" si="10"/>
        <v>0</v>
      </c>
      <c r="O26">
        <f t="shared" si="24"/>
        <v>5.452555991878925</v>
      </c>
      <c r="P26">
        <f t="shared" si="22"/>
        <v>5.247627475312548</v>
      </c>
      <c r="Q26" s="9">
        <f t="shared" si="1"/>
        <v>0.96241606379254074</v>
      </c>
      <c r="R26">
        <f>VLOOKUP($B$1,dictionary!$A$3:$K$51,3,FALSE)*Q26</f>
        <v>0.19248321275850816</v>
      </c>
      <c r="S26">
        <f>VLOOKUP($B$1,dictionary!$A$3:$K$51,4,FALSE)*Q26</f>
        <v>0</v>
      </c>
      <c r="T26">
        <f>VLOOKUP($B$1,dictionary!$A$3:$K$51,5,FALSE)*Q26</f>
        <v>0.19248321275850816</v>
      </c>
      <c r="U26">
        <f>VLOOKUP($B$1,dictionary!$A$3:$K$51,6,FALSE)*Q26</f>
        <v>0.33684562232738924</v>
      </c>
      <c r="V26">
        <f>VLOOKUP($B$1,dictionary!$A$3:$K$51,7,FALSE)*Q26</f>
        <v>0</v>
      </c>
      <c r="W26">
        <f>VLOOKUP($B$1,dictionary!$A$3:$K$51,8,FALSE)*Q26</f>
        <v>4.812080318962704E-2</v>
      </c>
      <c r="X26">
        <f>VLOOKUP($B$1,dictionary!$A$3:$K$51,9,FALSE)*Q26</f>
        <v>0</v>
      </c>
      <c r="Y26">
        <f>VLOOKUP($B$1,dictionary!$A$3:$K$51,10,FALSE)*Q26</f>
        <v>0.19248321275850816</v>
      </c>
      <c r="Z26">
        <f>VLOOKUP($B$1,dictionary!$A$3:$K$51,11,FALSE)*Q26</f>
        <v>0</v>
      </c>
      <c r="AA26">
        <f t="shared" si="2"/>
        <v>0.20492851656637701</v>
      </c>
      <c r="AB26">
        <f t="shared" si="11"/>
        <v>0.20492851656637701</v>
      </c>
      <c r="AC26">
        <f t="shared" si="12"/>
        <v>0</v>
      </c>
      <c r="AD26">
        <f t="shared" si="3"/>
        <v>1.1807161819453234</v>
      </c>
      <c r="AE26">
        <f t="shared" si="13"/>
        <v>0</v>
      </c>
      <c r="AF26">
        <f t="shared" si="14"/>
        <v>1.311906868828137</v>
      </c>
      <c r="AG26">
        <f t="shared" si="15"/>
        <v>2.3614323638906467</v>
      </c>
      <c r="AH26">
        <f t="shared" si="16"/>
        <v>0</v>
      </c>
      <c r="AI26">
        <f t="shared" si="17"/>
        <v>0.31071478472245351</v>
      </c>
      <c r="AJ26">
        <f t="shared" si="18"/>
        <v>0</v>
      </c>
      <c r="AK26">
        <f t="shared" si="19"/>
        <v>1.1807161819453234</v>
      </c>
      <c r="AL26">
        <f t="shared" si="20"/>
        <v>0</v>
      </c>
    </row>
    <row r="27" spans="1:38" x14ac:dyDescent="0.2">
      <c r="A27">
        <v>2044</v>
      </c>
      <c r="B27">
        <v>19</v>
      </c>
      <c r="C27">
        <f t="shared" si="21"/>
        <v>5.8212155972383473</v>
      </c>
      <c r="D27">
        <f t="shared" si="23"/>
        <v>0.82028550768271202</v>
      </c>
      <c r="E27">
        <f t="shared" si="4"/>
        <v>0.82028550768271202</v>
      </c>
      <c r="F27">
        <f t="shared" si="5"/>
        <v>0</v>
      </c>
      <c r="G27" s="9">
        <f t="shared" si="6"/>
        <v>0.14091309520847589</v>
      </c>
      <c r="H27" s="9">
        <f t="shared" si="6"/>
        <v>0.14091309520847589</v>
      </c>
      <c r="I27" s="9">
        <f t="shared" si="6"/>
        <v>0</v>
      </c>
      <c r="J27" s="9">
        <f t="shared" si="7"/>
        <v>1.8318702377101866E-2</v>
      </c>
      <c r="K27" s="9">
        <f t="shared" si="8"/>
        <v>2.8182619041695181E-2</v>
      </c>
      <c r="L27" s="9">
        <f t="shared" si="9"/>
        <v>0</v>
      </c>
      <c r="M27">
        <f t="shared" si="0"/>
        <v>5.5535266929189495</v>
      </c>
      <c r="N27">
        <f t="shared" si="10"/>
        <v>0</v>
      </c>
      <c r="O27">
        <f t="shared" si="24"/>
        <v>5.5535266929189495</v>
      </c>
      <c r="P27">
        <f t="shared" si="22"/>
        <v>5.3974116376370542</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0.15611505528189529</v>
      </c>
      <c r="AB27">
        <f t="shared" si="11"/>
        <v>0.15611505528189529</v>
      </c>
      <c r="AC27">
        <f t="shared" si="12"/>
        <v>0</v>
      </c>
      <c r="AD27">
        <f t="shared" si="3"/>
        <v>1.2144176184683375</v>
      </c>
      <c r="AE27">
        <f t="shared" si="13"/>
        <v>0</v>
      </c>
      <c r="AF27">
        <f t="shared" si="14"/>
        <v>1.3493529094092638</v>
      </c>
      <c r="AG27">
        <f t="shared" si="15"/>
        <v>2.4288352369366746</v>
      </c>
      <c r="AH27">
        <f t="shared" si="16"/>
        <v>0</v>
      </c>
      <c r="AI27">
        <f t="shared" si="17"/>
        <v>0.31958358380745716</v>
      </c>
      <c r="AJ27">
        <f t="shared" si="18"/>
        <v>0</v>
      </c>
      <c r="AK27">
        <f t="shared" si="19"/>
        <v>1.2144176184683375</v>
      </c>
      <c r="AL27">
        <f t="shared" si="20"/>
        <v>0</v>
      </c>
    </row>
    <row r="28" spans="1:38" x14ac:dyDescent="0.2">
      <c r="A28">
        <v>2045</v>
      </c>
      <c r="B28">
        <v>20</v>
      </c>
      <c r="C28">
        <f t="shared" si="21"/>
        <v>5.9434611247803524</v>
      </c>
      <c r="D28">
        <f t="shared" si="23"/>
        <v>0.88004281655979577</v>
      </c>
      <c r="E28">
        <f t="shared" si="4"/>
        <v>0.88004281655979577</v>
      </c>
      <c r="F28">
        <f t="shared" si="5"/>
        <v>0</v>
      </c>
      <c r="G28" s="9">
        <f t="shared" si="6"/>
        <v>0.14806907929297153</v>
      </c>
      <c r="H28" s="9">
        <f t="shared" si="6"/>
        <v>0.14806907929297153</v>
      </c>
      <c r="I28" s="9">
        <f t="shared" si="6"/>
        <v>0</v>
      </c>
      <c r="J28" s="9">
        <f t="shared" si="7"/>
        <v>1.9248980308086298E-2</v>
      </c>
      <c r="K28" s="9">
        <f t="shared" si="8"/>
        <v>2.9613815858594308E-2</v>
      </c>
      <c r="L28" s="9">
        <f t="shared" si="9"/>
        <v>0</v>
      </c>
      <c r="M28">
        <f t="shared" si="0"/>
        <v>5.6564349806848666</v>
      </c>
      <c r="N28">
        <f t="shared" si="10"/>
        <v>0</v>
      </c>
      <c r="O28">
        <f t="shared" si="24"/>
        <v>5.6564349806848666</v>
      </c>
      <c r="P28">
        <f t="shared" si="22"/>
        <v>5.5321411274319372</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0.12429385325292941</v>
      </c>
      <c r="AB28">
        <f t="shared" si="11"/>
        <v>0.12429385325292941</v>
      </c>
      <c r="AC28">
        <f t="shared" si="12"/>
        <v>0</v>
      </c>
      <c r="AD28">
        <f t="shared" si="3"/>
        <v>1.244731753672186</v>
      </c>
      <c r="AE28">
        <f t="shared" si="13"/>
        <v>0</v>
      </c>
      <c r="AF28">
        <f t="shared" si="14"/>
        <v>1.3830352818579845</v>
      </c>
      <c r="AG28">
        <f t="shared" si="15"/>
        <v>2.4894635073443716</v>
      </c>
      <c r="AH28">
        <f t="shared" si="16"/>
        <v>0</v>
      </c>
      <c r="AI28">
        <f t="shared" si="17"/>
        <v>0.32756098780846998</v>
      </c>
      <c r="AJ28">
        <f t="shared" si="18"/>
        <v>0</v>
      </c>
      <c r="AK28">
        <f t="shared" si="19"/>
        <v>1.244731753672186</v>
      </c>
      <c r="AL28">
        <f t="shared" si="20"/>
        <v>0</v>
      </c>
    </row>
    <row r="29" spans="1:38" x14ac:dyDescent="0.2">
      <c r="A29">
        <v>2046</v>
      </c>
      <c r="B29">
        <v>21</v>
      </c>
      <c r="C29">
        <f t="shared" si="21"/>
        <v>6.0682738084007388</v>
      </c>
      <c r="D29">
        <f t="shared" si="23"/>
        <v>0.94166089460904923</v>
      </c>
      <c r="E29">
        <f t="shared" si="4"/>
        <v>0.94166089460904923</v>
      </c>
      <c r="F29">
        <f t="shared" si="5"/>
        <v>0</v>
      </c>
      <c r="G29" s="9">
        <f t="shared" si="6"/>
        <v>0.15517772011299849</v>
      </c>
      <c r="H29" s="9">
        <f t="shared" si="6"/>
        <v>0.15517772011299849</v>
      </c>
      <c r="I29" s="9">
        <f t="shared" si="6"/>
        <v>0</v>
      </c>
      <c r="J29" s="9">
        <f t="shared" si="7"/>
        <v>2.0173103614689804E-2</v>
      </c>
      <c r="K29" s="9">
        <f t="shared" si="8"/>
        <v>3.1035544022599698E-2</v>
      </c>
      <c r="L29" s="9">
        <f t="shared" si="9"/>
        <v>0</v>
      </c>
      <c r="M29">
        <f t="shared" si="0"/>
        <v>5.7613249577391228</v>
      </c>
      <c r="N29">
        <f t="shared" si="10"/>
        <v>0</v>
      </c>
      <c r="O29">
        <f t="shared" si="24"/>
        <v>5.7613249577391228</v>
      </c>
      <c r="P29">
        <f t="shared" si="22"/>
        <v>5.6575028297337315</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0.10382212800539126</v>
      </c>
      <c r="AB29">
        <f t="shared" si="11"/>
        <v>0.10382212800539126</v>
      </c>
      <c r="AC29">
        <f t="shared" si="12"/>
        <v>0</v>
      </c>
      <c r="AD29">
        <f t="shared" si="3"/>
        <v>1.2729381366900896</v>
      </c>
      <c r="AE29">
        <f t="shared" si="13"/>
        <v>0</v>
      </c>
      <c r="AF29">
        <f t="shared" si="14"/>
        <v>1.4143757074334329</v>
      </c>
      <c r="AG29">
        <f t="shared" si="15"/>
        <v>2.5458762733801792</v>
      </c>
      <c r="AH29">
        <f t="shared" si="16"/>
        <v>0</v>
      </c>
      <c r="AI29">
        <f t="shared" si="17"/>
        <v>0.3349837201816025</v>
      </c>
      <c r="AJ29">
        <f t="shared" si="18"/>
        <v>0</v>
      </c>
      <c r="AK29">
        <f t="shared" si="19"/>
        <v>1.2729381366900896</v>
      </c>
      <c r="AL29">
        <f t="shared" si="20"/>
        <v>0</v>
      </c>
    </row>
    <row r="30" spans="1:38" x14ac:dyDescent="0.2">
      <c r="A30">
        <v>2047</v>
      </c>
      <c r="B30">
        <v>22</v>
      </c>
      <c r="C30">
        <f t="shared" si="21"/>
        <v>6.1957075583771539</v>
      </c>
      <c r="D30">
        <f t="shared" si="23"/>
        <v>1.0051687929036097</v>
      </c>
      <c r="E30">
        <f t="shared" si="4"/>
        <v>1.0051687929036097</v>
      </c>
      <c r="F30">
        <f t="shared" si="5"/>
        <v>0</v>
      </c>
      <c r="G30" s="9">
        <f t="shared" si="6"/>
        <v>0.16223631981217884</v>
      </c>
      <c r="H30" s="9">
        <f t="shared" si="6"/>
        <v>0.16223631981217884</v>
      </c>
      <c r="I30" s="9">
        <f t="shared" si="6"/>
        <v>0</v>
      </c>
      <c r="J30" s="9">
        <f t="shared" si="7"/>
        <v>2.1090721575583251E-2</v>
      </c>
      <c r="K30" s="9">
        <f t="shared" si="8"/>
        <v>3.2447263962435767E-2</v>
      </c>
      <c r="L30" s="9">
        <f t="shared" si="9"/>
        <v>0</v>
      </c>
      <c r="M30">
        <f t="shared" si="0"/>
        <v>5.8682418037484823</v>
      </c>
      <c r="N30">
        <f t="shared" si="10"/>
        <v>0</v>
      </c>
      <c r="O30">
        <f t="shared" si="24"/>
        <v>5.8682418037484823</v>
      </c>
      <c r="P30">
        <f t="shared" si="22"/>
        <v>5.7773825495841411</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9.0859254164341152E-2</v>
      </c>
      <c r="AB30">
        <f t="shared" si="11"/>
        <v>9.0859254164341152E-2</v>
      </c>
      <c r="AC30">
        <f t="shared" si="12"/>
        <v>0</v>
      </c>
      <c r="AD30">
        <f t="shared" si="3"/>
        <v>1.2999110736564319</v>
      </c>
      <c r="AE30">
        <f t="shared" si="13"/>
        <v>0</v>
      </c>
      <c r="AF30">
        <f t="shared" si="14"/>
        <v>1.4443456373960353</v>
      </c>
      <c r="AG30">
        <f t="shared" si="15"/>
        <v>2.5998221473128638</v>
      </c>
      <c r="AH30">
        <f t="shared" si="16"/>
        <v>0</v>
      </c>
      <c r="AI30">
        <f t="shared" si="17"/>
        <v>0.34208186148853464</v>
      </c>
      <c r="AJ30">
        <f t="shared" si="18"/>
        <v>0</v>
      </c>
      <c r="AK30">
        <f t="shared" si="19"/>
        <v>1.2999110736564319</v>
      </c>
      <c r="AL30">
        <f t="shared" si="20"/>
        <v>0</v>
      </c>
    </row>
    <row r="31" spans="1:38" x14ac:dyDescent="0.2">
      <c r="A31">
        <v>2048</v>
      </c>
      <c r="B31">
        <v>23</v>
      </c>
      <c r="C31">
        <f t="shared" si="21"/>
        <v>6.3258174171030737</v>
      </c>
      <c r="D31">
        <f t="shared" si="23"/>
        <v>1.0705956555004628</v>
      </c>
      <c r="E31">
        <f t="shared" si="4"/>
        <v>1.0705956555004628</v>
      </c>
      <c r="F31">
        <f t="shared" si="5"/>
        <v>0</v>
      </c>
      <c r="G31" s="9">
        <f t="shared" si="6"/>
        <v>0.16924226307985113</v>
      </c>
      <c r="H31" s="9">
        <f t="shared" si="6"/>
        <v>0.16924226307985113</v>
      </c>
      <c r="I31" s="9">
        <f t="shared" si="6"/>
        <v>0</v>
      </c>
      <c r="J31" s="9">
        <f t="shared" si="7"/>
        <v>2.2001494200380646E-2</v>
      </c>
      <c r="K31" s="9">
        <f t="shared" si="8"/>
        <v>3.3848452615970227E-2</v>
      </c>
      <c r="L31" s="9">
        <f t="shared" si="9"/>
        <v>0</v>
      </c>
      <c r="M31">
        <f t="shared" si="0"/>
        <v>5.9772317916090101</v>
      </c>
      <c r="N31">
        <f t="shared" si="10"/>
        <v>0</v>
      </c>
      <c r="O31">
        <f t="shared" si="24"/>
        <v>5.9772317916090101</v>
      </c>
      <c r="P31">
        <f t="shared" si="22"/>
        <v>5.8943958957416793</v>
      </c>
      <c r="Q31" s="9">
        <f t="shared" si="1"/>
        <v>0.98614142821370621</v>
      </c>
      <c r="R31">
        <f>VLOOKUP($B$1,dictionary!$A$3:$K$51,3,FALSE)*Q31</f>
        <v>0.19722828564274125</v>
      </c>
      <c r="S31">
        <f>VLOOKUP($B$1,dictionary!$A$3:$K$51,4,FALSE)*Q31</f>
        <v>0</v>
      </c>
      <c r="T31">
        <f>VLOOKUP($B$1,dictionary!$A$3:$K$51,5,FALSE)*Q31</f>
        <v>0.19722828564274125</v>
      </c>
      <c r="U31">
        <f>VLOOKUP($B$1,dictionary!$A$3:$K$51,6,FALSE)*Q31</f>
        <v>0.34514949987479715</v>
      </c>
      <c r="V31">
        <f>VLOOKUP($B$1,dictionary!$A$3:$K$51,7,FALSE)*Q31</f>
        <v>0</v>
      </c>
      <c r="W31">
        <f>VLOOKUP($B$1,dictionary!$A$3:$K$51,8,FALSE)*Q31</f>
        <v>4.9307071410685313E-2</v>
      </c>
      <c r="X31">
        <f>VLOOKUP($B$1,dictionary!$A$3:$K$51,9,FALSE)*Q31</f>
        <v>0</v>
      </c>
      <c r="Y31">
        <f>VLOOKUP($B$1,dictionary!$A$3:$K$51,10,FALSE)*Q31</f>
        <v>0.19722828564274125</v>
      </c>
      <c r="Z31">
        <f>VLOOKUP($B$1,dictionary!$A$3:$K$51,11,FALSE)*Q31</f>
        <v>0</v>
      </c>
      <c r="AA31">
        <f t="shared" si="2"/>
        <v>8.2835895867330755E-2</v>
      </c>
      <c r="AB31">
        <f t="shared" si="11"/>
        <v>8.2835895867330755E-2</v>
      </c>
      <c r="AC31">
        <f t="shared" si="12"/>
        <v>0</v>
      </c>
      <c r="AD31">
        <f t="shared" si="3"/>
        <v>1.3262390765418779</v>
      </c>
      <c r="AE31">
        <f t="shared" si="13"/>
        <v>0</v>
      </c>
      <c r="AF31">
        <f t="shared" si="14"/>
        <v>1.4735989739354198</v>
      </c>
      <c r="AG31">
        <f t="shared" si="15"/>
        <v>2.6524781530837558</v>
      </c>
      <c r="AH31">
        <f t="shared" si="16"/>
        <v>0</v>
      </c>
      <c r="AI31">
        <f t="shared" si="17"/>
        <v>0.34901028330049416</v>
      </c>
      <c r="AJ31">
        <f t="shared" si="18"/>
        <v>0</v>
      </c>
      <c r="AK31">
        <f t="shared" si="19"/>
        <v>1.3262390765418779</v>
      </c>
      <c r="AL31">
        <f t="shared" si="20"/>
        <v>0</v>
      </c>
    </row>
    <row r="32" spans="1:38" x14ac:dyDescent="0.2">
      <c r="A32">
        <v>2049</v>
      </c>
      <c r="B32">
        <v>24</v>
      </c>
      <c r="C32">
        <f t="shared" si="21"/>
        <v>6.4586595828622375</v>
      </c>
      <c r="D32">
        <f t="shared" si="23"/>
        <v>1.1379707402379182</v>
      </c>
      <c r="E32">
        <f t="shared" si="4"/>
        <v>1.1379707402379182</v>
      </c>
      <c r="F32">
        <f t="shared" si="5"/>
        <v>0</v>
      </c>
      <c r="G32" s="9">
        <f t="shared" si="6"/>
        <v>0.17619302049259142</v>
      </c>
      <c r="H32" s="9">
        <f t="shared" si="6"/>
        <v>0.17619302049259142</v>
      </c>
      <c r="I32" s="9">
        <f t="shared" si="6"/>
        <v>0</v>
      </c>
      <c r="J32" s="9">
        <f t="shared" si="7"/>
        <v>2.2905092664036886E-2</v>
      </c>
      <c r="K32" s="9">
        <f t="shared" si="8"/>
        <v>3.5238604098518284E-2</v>
      </c>
      <c r="L32" s="9">
        <f t="shared" si="9"/>
        <v>0</v>
      </c>
      <c r="M32">
        <f t="shared" si="0"/>
        <v>6.0883423036345476</v>
      </c>
      <c r="N32">
        <f t="shared" si="10"/>
        <v>0</v>
      </c>
      <c r="O32">
        <f t="shared" si="24"/>
        <v>6.0883423036345476</v>
      </c>
      <c r="P32">
        <f t="shared" si="22"/>
        <v>6.0102904763255429</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7.8051827309004729E-2</v>
      </c>
      <c r="AB32">
        <f t="shared" si="11"/>
        <v>7.8051827309004729E-2</v>
      </c>
      <c r="AC32">
        <f t="shared" si="12"/>
        <v>0</v>
      </c>
      <c r="AD32">
        <f t="shared" si="3"/>
        <v>1.3523153571732474</v>
      </c>
      <c r="AE32">
        <f t="shared" si="13"/>
        <v>0</v>
      </c>
      <c r="AF32">
        <f t="shared" si="14"/>
        <v>1.502572619081386</v>
      </c>
      <c r="AG32">
        <f t="shared" si="15"/>
        <v>2.7046307143464943</v>
      </c>
      <c r="AH32">
        <f t="shared" si="16"/>
        <v>0</v>
      </c>
      <c r="AI32">
        <f t="shared" si="17"/>
        <v>0.35587246241401244</v>
      </c>
      <c r="AJ32">
        <f t="shared" si="18"/>
        <v>0</v>
      </c>
      <c r="AK32">
        <f t="shared" si="19"/>
        <v>1.3523153571732474</v>
      </c>
      <c r="AL32">
        <f t="shared" si="20"/>
        <v>0</v>
      </c>
    </row>
    <row r="33" spans="1:38" x14ac:dyDescent="0.2">
      <c r="A33">
        <v>2050</v>
      </c>
      <c r="B33">
        <v>25</v>
      </c>
      <c r="C33">
        <f t="shared" si="21"/>
        <v>6.5942914341023435</v>
      </c>
      <c r="D33">
        <f t="shared" si="23"/>
        <v>1.2073234409978131</v>
      </c>
      <c r="E33">
        <f t="shared" si="4"/>
        <v>1.2073234409978131</v>
      </c>
      <c r="F33">
        <f t="shared" si="5"/>
        <v>0</v>
      </c>
      <c r="G33" s="9">
        <f t="shared" si="6"/>
        <v>0.18308615156954486</v>
      </c>
      <c r="H33" s="9">
        <f t="shared" si="6"/>
        <v>0.18308615156954486</v>
      </c>
      <c r="I33" s="9">
        <f t="shared" si="6"/>
        <v>0</v>
      </c>
      <c r="J33" s="9">
        <f t="shared" si="7"/>
        <v>2.3801199704040831E-2</v>
      </c>
      <c r="K33" s="9">
        <f t="shared" si="8"/>
        <v>3.6617230313908976E-2</v>
      </c>
      <c r="L33" s="9">
        <f t="shared" si="9"/>
        <v>0</v>
      </c>
      <c r="M33">
        <f t="shared" si="0"/>
        <v>6.2016218478383767</v>
      </c>
      <c r="N33">
        <f t="shared" si="10"/>
        <v>0</v>
      </c>
      <c r="O33">
        <f t="shared" si="24"/>
        <v>6.2016218478383767</v>
      </c>
      <c r="P33">
        <f t="shared" si="22"/>
        <v>6.1262321239685038</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7.538972386987286E-2</v>
      </c>
      <c r="AB33">
        <f t="shared" si="11"/>
        <v>7.538972386987286E-2</v>
      </c>
      <c r="AC33">
        <f t="shared" si="12"/>
        <v>0</v>
      </c>
      <c r="AD33">
        <f t="shared" si="3"/>
        <v>1.3784022278929133</v>
      </c>
      <c r="AE33">
        <f t="shared" si="13"/>
        <v>0</v>
      </c>
      <c r="AF33">
        <f t="shared" si="14"/>
        <v>1.531558030992126</v>
      </c>
      <c r="AG33">
        <f t="shared" si="15"/>
        <v>2.7568044557858267</v>
      </c>
      <c r="AH33">
        <f t="shared" si="16"/>
        <v>0</v>
      </c>
      <c r="AI33">
        <f t="shared" si="17"/>
        <v>0.36273742839287187</v>
      </c>
      <c r="AJ33">
        <f t="shared" si="18"/>
        <v>0</v>
      </c>
      <c r="AK33">
        <f t="shared" si="19"/>
        <v>1.3784022278929133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5290-578C-2E4A-827C-92B2C39F9190}">
  <sheetPr>
    <tabColor theme="4" tint="0.79998168889431442"/>
  </sheetPr>
  <dimension ref="A1:AY37"/>
  <sheetViews>
    <sheetView zoomScaleNormal="125" workbookViewId="0">
      <selection activeCell="D9" sqref="D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27</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LNG</v>
      </c>
      <c r="C2" s="14" t="str">
        <f>VLOOKUP(B1,dictionary!$A$3:$N$51,12,FALSE)</f>
        <v>Yes</v>
      </c>
      <c r="D2" t="s">
        <v>77</v>
      </c>
      <c r="E2" s="5">
        <f>IF(C2="Yes",MAIN!B4,0)</f>
        <v>0.03</v>
      </c>
      <c r="F2" s="5">
        <f>MAIN!C4</f>
        <v>0.13</v>
      </c>
      <c r="G2" s="11">
        <f>MAIN!D4</f>
        <v>5</v>
      </c>
      <c r="H2" t="s">
        <v>73</v>
      </c>
      <c r="I2" s="5">
        <f>MAIN!B1</f>
        <v>2.1000000000000001E-2</v>
      </c>
      <c r="J2" s="4"/>
      <c r="K2" s="4"/>
      <c r="L2" s="13"/>
      <c r="AC2" t="str">
        <f>B2</f>
        <v>LNG</v>
      </c>
      <c r="AD2">
        <f>VLOOKUP(AC2,efficiency!$A$2:$K$6,2,FALSE)</f>
        <v>1.125</v>
      </c>
      <c r="AE2">
        <f>VLOOKUP(AC2,efficiency!$A$2:$K$6,3,FALSE)</f>
        <v>0.5</v>
      </c>
      <c r="AF2">
        <f>VLOOKUP(AC2,efficiency!$A$2:$K$6,4,FALSE)</f>
        <v>1.25</v>
      </c>
      <c r="AG2">
        <f>VLOOKUP(AC2,efficiency!$A$2:$K$6,5,FALSE)</f>
        <v>1.2857142857142858</v>
      </c>
      <c r="AH2">
        <f>VLOOKUP(AC2,efficiency!$A$2:$K$6,6,FALSE)</f>
        <v>1.1842105263157894</v>
      </c>
      <c r="AI2">
        <f>VLOOKUP(AC2,efficiency!$A$2:$K$6,7,FALSE)</f>
        <v>1.1842105263157894</v>
      </c>
      <c r="AJ2">
        <f>VLOOKUP(AC2,efficiency!$A$2:$K$6,8,FALSE)</f>
        <v>1.1842105263157894</v>
      </c>
      <c r="AK2">
        <f>VLOOKUP(AC2,efficiency!$A$2:$K$6,9,FALSE)</f>
        <v>1.125</v>
      </c>
      <c r="AL2">
        <f>VLOOKUP(AC2,efficiency!$A$2:$K$6,10,FALSE)</f>
        <v>0.5</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LNG</v>
      </c>
      <c r="P7" t="s">
        <v>163</v>
      </c>
      <c r="Q7" t="s">
        <v>164</v>
      </c>
      <c r="R7" s="1" t="s">
        <v>53</v>
      </c>
      <c r="S7" s="1" t="s">
        <v>54</v>
      </c>
      <c r="T7" s="1" t="s">
        <v>55</v>
      </c>
      <c r="U7" s="1" t="s">
        <v>56</v>
      </c>
      <c r="V7" s="1" t="s">
        <v>57</v>
      </c>
      <c r="W7" s="1" t="s">
        <v>58</v>
      </c>
      <c r="X7" s="1" t="s">
        <v>59</v>
      </c>
      <c r="Y7" s="1" t="s">
        <v>60</v>
      </c>
      <c r="Z7" s="1" t="s">
        <v>61</v>
      </c>
      <c r="AA7" s="1" t="s">
        <v>186</v>
      </c>
      <c r="AB7" s="1" t="str">
        <f>O7</f>
        <v>LNG</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emissions!N32</f>
        <v>0</v>
      </c>
      <c r="D8">
        <f>IF($E$2=0,0,C8/(1+EXP(-$E$2*(B8-$G$2)))-C8/(1+EXP($E$2*$G$2)))</f>
        <v>0</v>
      </c>
      <c r="E8">
        <f>IF($E$3=0,0,C8/(1+EXP(-$E$3*(B8-$G$3)))-C8/(1+EXP($E$3*$G$3)))</f>
        <v>0</v>
      </c>
      <c r="F8">
        <f>IF($E$4=0,0,C8/(1+EXP(-$E$4*(B8-$G$4)))-C8/(1+EXP($E$4*$G$4)))</f>
        <v>0</v>
      </c>
      <c r="G8" s="9" t="e">
        <f>D8/$C8</f>
        <v>#DIV/0!</v>
      </c>
      <c r="H8" s="9" t="e">
        <f>E8/$C8</f>
        <v>#DIV/0!</v>
      </c>
      <c r="I8" s="9" t="e">
        <f>F8/$C8</f>
        <v>#DIV/0!</v>
      </c>
      <c r="J8" t="e">
        <f>G8*$F$2</f>
        <v>#DIV/0!</v>
      </c>
      <c r="K8" s="9" t="e">
        <f>H8*$F$3</f>
        <v>#DIV/0!</v>
      </c>
      <c r="L8" s="9" t="e">
        <f>I8*$F$4</f>
        <v>#DIV/0!</v>
      </c>
      <c r="M8" t="e">
        <f>C8*(1-J8)*(1-K8)*(1-L8)</f>
        <v>#DIV/0!</v>
      </c>
      <c r="N8">
        <f>IF($N$7="LFO",M8/(1+EXP(-$I$4*(B8-$J$4)))-M8/(1+EXP($I$4*$J$4)),IF($N$7="MGO",M8/(1+EXP(-$I$5*(B8-$J$5)))-M8/(1+EXP($I$5*$J$5)),0))</f>
        <v>0</v>
      </c>
      <c r="O8" t="e">
        <f>M8-N8</f>
        <v>#DIV/0!</v>
      </c>
      <c r="P8" t="e">
        <f>IF($I$3=0,0,M8/(1+EXP(-$I$3*(B8-$J$3)))-M8/(1+EXP($I$3*$J$3)))</f>
        <v>#DIV/0!</v>
      </c>
      <c r="Q8" s="9" t="e">
        <f>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0">M8-P8</f>
        <v>#DIV/0!</v>
      </c>
      <c r="AB8" t="e">
        <f>O8/M8*AA8</f>
        <v>#DIV/0!</v>
      </c>
      <c r="AC8" t="e">
        <f>N8/M8*AA8</f>
        <v>#DIV/0!</v>
      </c>
      <c r="AD8" t="e">
        <f t="shared" ref="AD8:AD33" si="1">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2">IF($E$3=0,0,C9/(1+EXP(-$E$3*(B9-$G$3)))-C9/(1+EXP($E$3*$G$3)))</f>
        <v>0</v>
      </c>
      <c r="F9">
        <f t="shared" ref="F9:F33" si="3">IF($E$4=0,0,C9/(1+EXP(-$E$4*(B9-$G$4)))-C9/(1+EXP($E$4*$G$4)))</f>
        <v>0</v>
      </c>
      <c r="G9" s="9" t="e">
        <f t="shared" ref="G9:I33" si="4">D9/$C9</f>
        <v>#DIV/0!</v>
      </c>
      <c r="H9" s="9" t="e">
        <f t="shared" si="4"/>
        <v>#DIV/0!</v>
      </c>
      <c r="I9" s="9" t="e">
        <f t="shared" si="4"/>
        <v>#DIV/0!</v>
      </c>
      <c r="J9" s="9" t="e">
        <f t="shared" ref="J9:J33" si="5">G9*$F$2</f>
        <v>#DIV/0!</v>
      </c>
      <c r="K9" s="9" t="e">
        <f t="shared" ref="K9:K33" si="6">H9*$F$3</f>
        <v>#DIV/0!</v>
      </c>
      <c r="L9" s="9" t="e">
        <f t="shared" ref="L9:L33" si="7">I9*$F$4</f>
        <v>#DIV/0!</v>
      </c>
      <c r="M9" t="e">
        <f t="shared" ref="M9:M33" si="8">C9*(1-J9)*(1-K9)*(1-L9)</f>
        <v>#DIV/0!</v>
      </c>
      <c r="N9">
        <f t="shared" ref="N9:N33" si="9">IF($N$7="LFO",M9/(1+EXP(-$I$4*(B9-$J$4)))-M9/(1+EXP($I$4*$J$4)),IF($N$7="MGO",M9/(1+EXP(-$I$5*(B9-$J$5)))-M9/(1+EXP($I$5*$J$5)),0))</f>
        <v>0</v>
      </c>
      <c r="O9" t="e">
        <f>M9-N9</f>
        <v>#DIV/0!</v>
      </c>
      <c r="P9" t="e">
        <f>IF($I$3=0,0,M9/(1+EXP(-$I$3*(B9-$J$3)))-M9/(1+EXP($I$3*$J$3)))</f>
        <v>#DIV/0!</v>
      </c>
      <c r="Q9" s="9" t="e">
        <f t="shared" ref="Q9:Q33" si="10">P9/M9</f>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0"/>
        <v>#DIV/0!</v>
      </c>
      <c r="AB9" t="e">
        <f t="shared" ref="AB9:AB33" si="11">O9/M9*AA9</f>
        <v>#DIV/0!</v>
      </c>
      <c r="AC9" t="e">
        <f t="shared" ref="AC9:AC33" si="12">N9/M9*AA9</f>
        <v>#DIV/0!</v>
      </c>
      <c r="AD9" t="e">
        <f t="shared" si="1"/>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2"/>
        <v>0</v>
      </c>
      <c r="F10">
        <f t="shared" si="3"/>
        <v>0</v>
      </c>
      <c r="G10" s="9" t="e">
        <f t="shared" si="4"/>
        <v>#DIV/0!</v>
      </c>
      <c r="H10" s="9" t="e">
        <f t="shared" si="4"/>
        <v>#DIV/0!</v>
      </c>
      <c r="I10" s="9" t="e">
        <f t="shared" si="4"/>
        <v>#DIV/0!</v>
      </c>
      <c r="J10" s="9" t="e">
        <f t="shared" si="5"/>
        <v>#DIV/0!</v>
      </c>
      <c r="K10" s="9" t="e">
        <f t="shared" si="6"/>
        <v>#DIV/0!</v>
      </c>
      <c r="L10" s="9" t="e">
        <f t="shared" si="7"/>
        <v>#DIV/0!</v>
      </c>
      <c r="M10" t="e">
        <f t="shared" si="8"/>
        <v>#DIV/0!</v>
      </c>
      <c r="N10">
        <f t="shared" si="9"/>
        <v>0</v>
      </c>
      <c r="O10" t="e">
        <f>M10-N10</f>
        <v>#DIV/0!</v>
      </c>
      <c r="P10" t="e">
        <f t="shared" ref="P10:P33" si="22">IF($I$3=0,0,M10/(1+EXP(-$I$3*(B10-$J$3)))-M10/(1+EXP($I$3*$J$3)))</f>
        <v>#DIV/0!</v>
      </c>
      <c r="Q10" s="9" t="e">
        <f t="shared" si="10"/>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0"/>
        <v>#DIV/0!</v>
      </c>
      <c r="AB10" t="e">
        <f t="shared" si="11"/>
        <v>#DIV/0!</v>
      </c>
      <c r="AC10" t="e">
        <f t="shared" si="12"/>
        <v>#DIV/0!</v>
      </c>
      <c r="AD10" t="e">
        <f t="shared" si="1"/>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2"/>
        <v>0</v>
      </c>
      <c r="F11">
        <f t="shared" si="3"/>
        <v>0</v>
      </c>
      <c r="G11" s="9" t="e">
        <f t="shared" si="4"/>
        <v>#DIV/0!</v>
      </c>
      <c r="H11" s="9" t="e">
        <f t="shared" si="4"/>
        <v>#DIV/0!</v>
      </c>
      <c r="I11" s="9" t="e">
        <f t="shared" si="4"/>
        <v>#DIV/0!</v>
      </c>
      <c r="J11" s="9" t="e">
        <f t="shared" si="5"/>
        <v>#DIV/0!</v>
      </c>
      <c r="K11" s="9" t="e">
        <f t="shared" si="6"/>
        <v>#DIV/0!</v>
      </c>
      <c r="L11" s="9" t="e">
        <f t="shared" si="7"/>
        <v>#DIV/0!</v>
      </c>
      <c r="M11" t="e">
        <f t="shared" si="8"/>
        <v>#DIV/0!</v>
      </c>
      <c r="N11">
        <f t="shared" si="9"/>
        <v>0</v>
      </c>
      <c r="O11" t="e">
        <f t="shared" ref="O11:O33" si="24">M11-N11</f>
        <v>#DIV/0!</v>
      </c>
      <c r="P11" t="e">
        <f t="shared" si="22"/>
        <v>#DIV/0!</v>
      </c>
      <c r="Q11" s="9" t="e">
        <f t="shared" si="10"/>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0"/>
        <v>#DIV/0!</v>
      </c>
      <c r="AB11" t="e">
        <f t="shared" si="11"/>
        <v>#DIV/0!</v>
      </c>
      <c r="AC11" t="e">
        <f t="shared" si="12"/>
        <v>#DIV/0!</v>
      </c>
      <c r="AD11" t="e">
        <f t="shared" si="1"/>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2"/>
        <v>0</v>
      </c>
      <c r="F12">
        <f t="shared" si="3"/>
        <v>0</v>
      </c>
      <c r="G12" s="9" t="e">
        <f t="shared" si="4"/>
        <v>#DIV/0!</v>
      </c>
      <c r="H12" s="9" t="e">
        <f t="shared" si="4"/>
        <v>#DIV/0!</v>
      </c>
      <c r="I12" s="9" t="e">
        <f t="shared" si="4"/>
        <v>#DIV/0!</v>
      </c>
      <c r="J12" s="9" t="e">
        <f t="shared" si="5"/>
        <v>#DIV/0!</v>
      </c>
      <c r="K12" s="9" t="e">
        <f t="shared" si="6"/>
        <v>#DIV/0!</v>
      </c>
      <c r="L12" s="9" t="e">
        <f t="shared" si="7"/>
        <v>#DIV/0!</v>
      </c>
      <c r="M12" t="e">
        <f t="shared" si="8"/>
        <v>#DIV/0!</v>
      </c>
      <c r="N12">
        <f t="shared" si="9"/>
        <v>0</v>
      </c>
      <c r="O12" t="e">
        <f t="shared" si="24"/>
        <v>#DIV/0!</v>
      </c>
      <c r="P12" t="e">
        <f t="shared" si="22"/>
        <v>#DIV/0!</v>
      </c>
      <c r="Q12" s="9" t="e">
        <f t="shared" si="10"/>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0"/>
        <v>#DIV/0!</v>
      </c>
      <c r="AB12" t="e">
        <f t="shared" si="11"/>
        <v>#DIV/0!</v>
      </c>
      <c r="AC12" t="e">
        <f t="shared" si="12"/>
        <v>#DIV/0!</v>
      </c>
      <c r="AD12" t="e">
        <f t="shared" si="1"/>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2"/>
        <v>0</v>
      </c>
      <c r="F13">
        <f t="shared" si="3"/>
        <v>0</v>
      </c>
      <c r="G13" s="9" t="e">
        <f t="shared" si="4"/>
        <v>#DIV/0!</v>
      </c>
      <c r="H13" s="9" t="e">
        <f t="shared" si="4"/>
        <v>#DIV/0!</v>
      </c>
      <c r="I13" s="9" t="e">
        <f t="shared" si="4"/>
        <v>#DIV/0!</v>
      </c>
      <c r="J13" s="9" t="e">
        <f t="shared" si="5"/>
        <v>#DIV/0!</v>
      </c>
      <c r="K13" s="9" t="e">
        <f t="shared" si="6"/>
        <v>#DIV/0!</v>
      </c>
      <c r="L13" s="9" t="e">
        <f t="shared" si="7"/>
        <v>#DIV/0!</v>
      </c>
      <c r="M13" t="e">
        <f t="shared" si="8"/>
        <v>#DIV/0!</v>
      </c>
      <c r="N13">
        <f t="shared" si="9"/>
        <v>0</v>
      </c>
      <c r="O13" t="e">
        <f t="shared" si="24"/>
        <v>#DIV/0!</v>
      </c>
      <c r="P13" t="e">
        <f t="shared" si="22"/>
        <v>#DIV/0!</v>
      </c>
      <c r="Q13" s="9" t="e">
        <f t="shared" si="10"/>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0"/>
        <v>#DIV/0!</v>
      </c>
      <c r="AB13" t="e">
        <f t="shared" si="11"/>
        <v>#DIV/0!</v>
      </c>
      <c r="AC13" t="e">
        <f t="shared" si="12"/>
        <v>#DIV/0!</v>
      </c>
      <c r="AD13" t="e">
        <f t="shared" si="1"/>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2"/>
        <v>0</v>
      </c>
      <c r="F14">
        <f t="shared" si="3"/>
        <v>0</v>
      </c>
      <c r="G14" s="9" t="e">
        <f t="shared" si="4"/>
        <v>#DIV/0!</v>
      </c>
      <c r="H14" s="9" t="e">
        <f t="shared" si="4"/>
        <v>#DIV/0!</v>
      </c>
      <c r="I14" s="9" t="e">
        <f t="shared" si="4"/>
        <v>#DIV/0!</v>
      </c>
      <c r="J14" s="9" t="e">
        <f t="shared" si="5"/>
        <v>#DIV/0!</v>
      </c>
      <c r="K14" s="9" t="e">
        <f t="shared" si="6"/>
        <v>#DIV/0!</v>
      </c>
      <c r="L14" s="9" t="e">
        <f t="shared" si="7"/>
        <v>#DIV/0!</v>
      </c>
      <c r="M14" t="e">
        <f t="shared" si="8"/>
        <v>#DIV/0!</v>
      </c>
      <c r="N14">
        <f t="shared" si="9"/>
        <v>0</v>
      </c>
      <c r="O14" t="e">
        <f t="shared" si="24"/>
        <v>#DIV/0!</v>
      </c>
      <c r="P14" t="e">
        <f t="shared" si="22"/>
        <v>#DIV/0!</v>
      </c>
      <c r="Q14" s="9" t="e">
        <f t="shared" si="10"/>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0"/>
        <v>#DIV/0!</v>
      </c>
      <c r="AB14" t="e">
        <f t="shared" si="11"/>
        <v>#DIV/0!</v>
      </c>
      <c r="AC14" t="e">
        <f t="shared" si="12"/>
        <v>#DIV/0!</v>
      </c>
      <c r="AD14" t="e">
        <f t="shared" si="1"/>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2"/>
        <v>0</v>
      </c>
      <c r="F15">
        <f t="shared" si="3"/>
        <v>0</v>
      </c>
      <c r="G15" s="9" t="e">
        <f t="shared" si="4"/>
        <v>#DIV/0!</v>
      </c>
      <c r="H15" s="9" t="e">
        <f t="shared" si="4"/>
        <v>#DIV/0!</v>
      </c>
      <c r="I15" s="9" t="e">
        <f t="shared" si="4"/>
        <v>#DIV/0!</v>
      </c>
      <c r="J15" s="9" t="e">
        <f t="shared" si="5"/>
        <v>#DIV/0!</v>
      </c>
      <c r="K15" s="9" t="e">
        <f t="shared" si="6"/>
        <v>#DIV/0!</v>
      </c>
      <c r="L15" s="9" t="e">
        <f t="shared" si="7"/>
        <v>#DIV/0!</v>
      </c>
      <c r="M15" t="e">
        <f t="shared" si="8"/>
        <v>#DIV/0!</v>
      </c>
      <c r="N15">
        <f t="shared" si="9"/>
        <v>0</v>
      </c>
      <c r="O15" t="e">
        <f t="shared" si="24"/>
        <v>#DIV/0!</v>
      </c>
      <c r="P15" t="e">
        <f>IF($I$3=0,0,M15/(1+EXP(-$I$3*(B15-$J$3)))-M15/(1+EXP($I$3*$J$3)))</f>
        <v>#DIV/0!</v>
      </c>
      <c r="Q15" s="9" t="e">
        <f t="shared" si="10"/>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0"/>
        <v>#DIV/0!</v>
      </c>
      <c r="AB15" t="e">
        <f t="shared" si="11"/>
        <v>#DIV/0!</v>
      </c>
      <c r="AC15" t="e">
        <f t="shared" si="12"/>
        <v>#DIV/0!</v>
      </c>
      <c r="AD15" t="e">
        <f t="shared" si="1"/>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2"/>
        <v>0</v>
      </c>
      <c r="F16">
        <f t="shared" si="3"/>
        <v>0</v>
      </c>
      <c r="G16" s="9" t="e">
        <f t="shared" si="4"/>
        <v>#DIV/0!</v>
      </c>
      <c r="H16" s="9" t="e">
        <f t="shared" si="4"/>
        <v>#DIV/0!</v>
      </c>
      <c r="I16" s="9" t="e">
        <f t="shared" si="4"/>
        <v>#DIV/0!</v>
      </c>
      <c r="J16" s="9" t="e">
        <f t="shared" si="5"/>
        <v>#DIV/0!</v>
      </c>
      <c r="K16" s="9" t="e">
        <f t="shared" si="6"/>
        <v>#DIV/0!</v>
      </c>
      <c r="L16" s="9" t="e">
        <f t="shared" si="7"/>
        <v>#DIV/0!</v>
      </c>
      <c r="M16" t="e">
        <f t="shared" si="8"/>
        <v>#DIV/0!</v>
      </c>
      <c r="N16">
        <f t="shared" si="9"/>
        <v>0</v>
      </c>
      <c r="O16" t="e">
        <f t="shared" si="24"/>
        <v>#DIV/0!</v>
      </c>
      <c r="P16" t="e">
        <f t="shared" si="22"/>
        <v>#DIV/0!</v>
      </c>
      <c r="Q16" s="9" t="e">
        <f t="shared" si="10"/>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0"/>
        <v>#DIV/0!</v>
      </c>
      <c r="AB16" t="e">
        <f t="shared" si="11"/>
        <v>#DIV/0!</v>
      </c>
      <c r="AC16" t="e">
        <f t="shared" si="12"/>
        <v>#DIV/0!</v>
      </c>
      <c r="AD16" t="e">
        <f t="shared" si="1"/>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2"/>
        <v>0</v>
      </c>
      <c r="F17">
        <f t="shared" si="3"/>
        <v>0</v>
      </c>
      <c r="G17" s="9" t="e">
        <f t="shared" si="4"/>
        <v>#DIV/0!</v>
      </c>
      <c r="H17" s="9" t="e">
        <f t="shared" si="4"/>
        <v>#DIV/0!</v>
      </c>
      <c r="I17" s="9" t="e">
        <f t="shared" si="4"/>
        <v>#DIV/0!</v>
      </c>
      <c r="J17" s="9" t="e">
        <f t="shared" si="5"/>
        <v>#DIV/0!</v>
      </c>
      <c r="K17" s="9" t="e">
        <f t="shared" si="6"/>
        <v>#DIV/0!</v>
      </c>
      <c r="L17" s="9" t="e">
        <f t="shared" si="7"/>
        <v>#DIV/0!</v>
      </c>
      <c r="M17" t="e">
        <f t="shared" si="8"/>
        <v>#DIV/0!</v>
      </c>
      <c r="N17">
        <f t="shared" si="9"/>
        <v>0</v>
      </c>
      <c r="O17" t="e">
        <f t="shared" si="24"/>
        <v>#DIV/0!</v>
      </c>
      <c r="P17" t="e">
        <f t="shared" si="22"/>
        <v>#DIV/0!</v>
      </c>
      <c r="Q17" s="9" t="e">
        <f t="shared" si="10"/>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0"/>
        <v>#DIV/0!</v>
      </c>
      <c r="AB17" t="e">
        <f t="shared" si="11"/>
        <v>#DIV/0!</v>
      </c>
      <c r="AC17" t="e">
        <f t="shared" si="12"/>
        <v>#DIV/0!</v>
      </c>
      <c r="AD17" t="e">
        <f t="shared" si="1"/>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2"/>
        <v>0</v>
      </c>
      <c r="F18">
        <f t="shared" si="3"/>
        <v>0</v>
      </c>
      <c r="G18" s="9" t="e">
        <f t="shared" si="4"/>
        <v>#DIV/0!</v>
      </c>
      <c r="H18" s="9" t="e">
        <f t="shared" si="4"/>
        <v>#DIV/0!</v>
      </c>
      <c r="I18" s="9" t="e">
        <f t="shared" si="4"/>
        <v>#DIV/0!</v>
      </c>
      <c r="J18" s="9" t="e">
        <f t="shared" si="5"/>
        <v>#DIV/0!</v>
      </c>
      <c r="K18" s="9" t="e">
        <f t="shared" si="6"/>
        <v>#DIV/0!</v>
      </c>
      <c r="L18" s="9" t="e">
        <f t="shared" si="7"/>
        <v>#DIV/0!</v>
      </c>
      <c r="M18" t="e">
        <f t="shared" si="8"/>
        <v>#DIV/0!</v>
      </c>
      <c r="N18">
        <f t="shared" si="9"/>
        <v>0</v>
      </c>
      <c r="O18" t="e">
        <f t="shared" si="24"/>
        <v>#DIV/0!</v>
      </c>
      <c r="P18" t="e">
        <f t="shared" si="22"/>
        <v>#DIV/0!</v>
      </c>
      <c r="Q18" s="9" t="e">
        <f t="shared" si="10"/>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0"/>
        <v>#DIV/0!</v>
      </c>
      <c r="AB18" t="e">
        <f t="shared" si="11"/>
        <v>#DIV/0!</v>
      </c>
      <c r="AC18" t="e">
        <f t="shared" si="12"/>
        <v>#DIV/0!</v>
      </c>
      <c r="AD18" t="e">
        <f t="shared" si="1"/>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2"/>
        <v>0</v>
      </c>
      <c r="F19">
        <f t="shared" si="3"/>
        <v>0</v>
      </c>
      <c r="G19" s="9" t="e">
        <f t="shared" si="4"/>
        <v>#DIV/0!</v>
      </c>
      <c r="H19" s="9" t="e">
        <f t="shared" si="4"/>
        <v>#DIV/0!</v>
      </c>
      <c r="I19" s="9" t="e">
        <f t="shared" si="4"/>
        <v>#DIV/0!</v>
      </c>
      <c r="J19" s="9" t="e">
        <f t="shared" si="5"/>
        <v>#DIV/0!</v>
      </c>
      <c r="K19" s="9" t="e">
        <f t="shared" si="6"/>
        <v>#DIV/0!</v>
      </c>
      <c r="L19" s="9" t="e">
        <f t="shared" si="7"/>
        <v>#DIV/0!</v>
      </c>
      <c r="M19" t="e">
        <f t="shared" si="8"/>
        <v>#DIV/0!</v>
      </c>
      <c r="N19">
        <f t="shared" si="9"/>
        <v>0</v>
      </c>
      <c r="O19" t="e">
        <f t="shared" si="24"/>
        <v>#DIV/0!</v>
      </c>
      <c r="P19" t="e">
        <f t="shared" si="22"/>
        <v>#DIV/0!</v>
      </c>
      <c r="Q19" s="9" t="e">
        <f t="shared" si="10"/>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0"/>
        <v>#DIV/0!</v>
      </c>
      <c r="AB19" t="e">
        <f t="shared" si="11"/>
        <v>#DIV/0!</v>
      </c>
      <c r="AC19" t="e">
        <f t="shared" si="12"/>
        <v>#DIV/0!</v>
      </c>
      <c r="AD19" t="e">
        <f t="shared" si="1"/>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2"/>
        <v>0</v>
      </c>
      <c r="F20">
        <f t="shared" si="3"/>
        <v>0</v>
      </c>
      <c r="G20" s="9" t="e">
        <f t="shared" si="4"/>
        <v>#DIV/0!</v>
      </c>
      <c r="H20" s="9" t="e">
        <f t="shared" si="4"/>
        <v>#DIV/0!</v>
      </c>
      <c r="I20" s="9" t="e">
        <f t="shared" si="4"/>
        <v>#DIV/0!</v>
      </c>
      <c r="J20" s="9" t="e">
        <f t="shared" si="5"/>
        <v>#DIV/0!</v>
      </c>
      <c r="K20" s="9" t="e">
        <f t="shared" si="6"/>
        <v>#DIV/0!</v>
      </c>
      <c r="L20" s="9" t="e">
        <f t="shared" si="7"/>
        <v>#DIV/0!</v>
      </c>
      <c r="M20" t="e">
        <f t="shared" si="8"/>
        <v>#DIV/0!</v>
      </c>
      <c r="N20">
        <f t="shared" si="9"/>
        <v>0</v>
      </c>
      <c r="O20" t="e">
        <f t="shared" si="24"/>
        <v>#DIV/0!</v>
      </c>
      <c r="P20" t="e">
        <f>IF($I$3=0,0,M20/(1+EXP(-$I$3*(B20-$J$3)))-M20/(1+EXP($I$3*$J$3)))</f>
        <v>#DIV/0!</v>
      </c>
      <c r="Q20" s="9" t="e">
        <f t="shared" si="10"/>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0"/>
        <v>#DIV/0!</v>
      </c>
      <c r="AB20" t="e">
        <f t="shared" si="11"/>
        <v>#DIV/0!</v>
      </c>
      <c r="AC20" t="e">
        <f t="shared" si="12"/>
        <v>#DIV/0!</v>
      </c>
      <c r="AD20" t="e">
        <f t="shared" si="1"/>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2"/>
        <v>0</v>
      </c>
      <c r="F21">
        <f t="shared" si="3"/>
        <v>0</v>
      </c>
      <c r="G21" s="9" t="e">
        <f t="shared" si="4"/>
        <v>#DIV/0!</v>
      </c>
      <c r="H21" s="9" t="e">
        <f t="shared" si="4"/>
        <v>#DIV/0!</v>
      </c>
      <c r="I21" s="9" t="e">
        <f t="shared" si="4"/>
        <v>#DIV/0!</v>
      </c>
      <c r="J21" s="9" t="e">
        <f t="shared" si="5"/>
        <v>#DIV/0!</v>
      </c>
      <c r="K21" s="9" t="e">
        <f t="shared" si="6"/>
        <v>#DIV/0!</v>
      </c>
      <c r="L21" s="9" t="e">
        <f t="shared" si="7"/>
        <v>#DIV/0!</v>
      </c>
      <c r="M21" t="e">
        <f t="shared" si="8"/>
        <v>#DIV/0!</v>
      </c>
      <c r="N21">
        <f t="shared" si="9"/>
        <v>0</v>
      </c>
      <c r="O21" t="e">
        <f t="shared" si="24"/>
        <v>#DIV/0!</v>
      </c>
      <c r="P21" t="e">
        <f t="shared" si="22"/>
        <v>#DIV/0!</v>
      </c>
      <c r="Q21" s="9" t="e">
        <f t="shared" si="10"/>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0"/>
        <v>#DIV/0!</v>
      </c>
      <c r="AB21" t="e">
        <f t="shared" si="11"/>
        <v>#DIV/0!</v>
      </c>
      <c r="AC21" t="e">
        <f t="shared" si="12"/>
        <v>#DIV/0!</v>
      </c>
      <c r="AD21" t="e">
        <f t="shared" si="1"/>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2"/>
        <v>0</v>
      </c>
      <c r="F22">
        <f t="shared" si="3"/>
        <v>0</v>
      </c>
      <c r="G22" s="9" t="e">
        <f t="shared" si="4"/>
        <v>#DIV/0!</v>
      </c>
      <c r="H22" s="9" t="e">
        <f t="shared" si="4"/>
        <v>#DIV/0!</v>
      </c>
      <c r="I22" s="9" t="e">
        <f t="shared" si="4"/>
        <v>#DIV/0!</v>
      </c>
      <c r="J22" s="9" t="e">
        <f t="shared" si="5"/>
        <v>#DIV/0!</v>
      </c>
      <c r="K22" s="9" t="e">
        <f t="shared" si="6"/>
        <v>#DIV/0!</v>
      </c>
      <c r="L22" s="9" t="e">
        <f t="shared" si="7"/>
        <v>#DIV/0!</v>
      </c>
      <c r="M22" t="e">
        <f t="shared" si="8"/>
        <v>#DIV/0!</v>
      </c>
      <c r="N22">
        <f t="shared" si="9"/>
        <v>0</v>
      </c>
      <c r="O22" t="e">
        <f t="shared" si="24"/>
        <v>#DIV/0!</v>
      </c>
      <c r="P22" t="e">
        <f t="shared" si="22"/>
        <v>#DIV/0!</v>
      </c>
      <c r="Q22" s="9" t="e">
        <f t="shared" si="10"/>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0"/>
        <v>#DIV/0!</v>
      </c>
      <c r="AB22" t="e">
        <f t="shared" si="11"/>
        <v>#DIV/0!</v>
      </c>
      <c r="AC22" t="e">
        <f t="shared" si="12"/>
        <v>#DIV/0!</v>
      </c>
      <c r="AD22" t="e">
        <f t="shared" si="1"/>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2"/>
        <v>0</v>
      </c>
      <c r="F23">
        <f t="shared" si="3"/>
        <v>0</v>
      </c>
      <c r="G23" s="9" t="e">
        <f t="shared" si="4"/>
        <v>#DIV/0!</v>
      </c>
      <c r="H23" s="9" t="e">
        <f t="shared" si="4"/>
        <v>#DIV/0!</v>
      </c>
      <c r="I23" s="9" t="e">
        <f t="shared" si="4"/>
        <v>#DIV/0!</v>
      </c>
      <c r="J23" s="9" t="e">
        <f t="shared" si="5"/>
        <v>#DIV/0!</v>
      </c>
      <c r="K23" s="9" t="e">
        <f t="shared" si="6"/>
        <v>#DIV/0!</v>
      </c>
      <c r="L23" s="9" t="e">
        <f t="shared" si="7"/>
        <v>#DIV/0!</v>
      </c>
      <c r="M23" t="e">
        <f t="shared" si="8"/>
        <v>#DIV/0!</v>
      </c>
      <c r="N23">
        <f t="shared" si="9"/>
        <v>0</v>
      </c>
      <c r="O23" t="e">
        <f t="shared" si="24"/>
        <v>#DIV/0!</v>
      </c>
      <c r="P23" t="e">
        <f t="shared" si="22"/>
        <v>#DIV/0!</v>
      </c>
      <c r="Q23" s="9" t="e">
        <f t="shared" si="10"/>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0"/>
        <v>#DIV/0!</v>
      </c>
      <c r="AB23" t="e">
        <f t="shared" si="11"/>
        <v>#DIV/0!</v>
      </c>
      <c r="AC23" t="e">
        <f t="shared" si="12"/>
        <v>#DIV/0!</v>
      </c>
      <c r="AD23" t="e">
        <f t="shared" si="1"/>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2"/>
        <v>0</v>
      </c>
      <c r="F24">
        <f t="shared" si="3"/>
        <v>0</v>
      </c>
      <c r="G24" s="9" t="e">
        <f t="shared" si="4"/>
        <v>#DIV/0!</v>
      </c>
      <c r="H24" s="9" t="e">
        <f t="shared" si="4"/>
        <v>#DIV/0!</v>
      </c>
      <c r="I24" s="9" t="e">
        <f t="shared" si="4"/>
        <v>#DIV/0!</v>
      </c>
      <c r="J24" s="9" t="e">
        <f t="shared" si="5"/>
        <v>#DIV/0!</v>
      </c>
      <c r="K24" s="9" t="e">
        <f t="shared" si="6"/>
        <v>#DIV/0!</v>
      </c>
      <c r="L24" s="9" t="e">
        <f t="shared" si="7"/>
        <v>#DIV/0!</v>
      </c>
      <c r="M24" t="e">
        <f t="shared" si="8"/>
        <v>#DIV/0!</v>
      </c>
      <c r="N24">
        <f t="shared" si="9"/>
        <v>0</v>
      </c>
      <c r="O24" t="e">
        <f t="shared" si="24"/>
        <v>#DIV/0!</v>
      </c>
      <c r="P24" t="e">
        <f t="shared" si="22"/>
        <v>#DIV/0!</v>
      </c>
      <c r="Q24" s="9" t="e">
        <f t="shared" si="10"/>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0"/>
        <v>#DIV/0!</v>
      </c>
      <c r="AB24" t="e">
        <f t="shared" si="11"/>
        <v>#DIV/0!</v>
      </c>
      <c r="AC24" t="e">
        <f t="shared" si="12"/>
        <v>#DIV/0!</v>
      </c>
      <c r="AD24" t="e">
        <f t="shared" si="1"/>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2"/>
        <v>0</v>
      </c>
      <c r="F25">
        <f t="shared" si="3"/>
        <v>0</v>
      </c>
      <c r="G25" s="9" t="e">
        <f t="shared" si="4"/>
        <v>#DIV/0!</v>
      </c>
      <c r="H25" s="9" t="e">
        <f t="shared" si="4"/>
        <v>#DIV/0!</v>
      </c>
      <c r="I25" s="9" t="e">
        <f t="shared" si="4"/>
        <v>#DIV/0!</v>
      </c>
      <c r="J25" s="9" t="e">
        <f t="shared" si="5"/>
        <v>#DIV/0!</v>
      </c>
      <c r="K25" s="9" t="e">
        <f t="shared" si="6"/>
        <v>#DIV/0!</v>
      </c>
      <c r="L25" s="9" t="e">
        <f t="shared" si="7"/>
        <v>#DIV/0!</v>
      </c>
      <c r="M25" t="e">
        <f t="shared" si="8"/>
        <v>#DIV/0!</v>
      </c>
      <c r="N25">
        <f t="shared" si="9"/>
        <v>0</v>
      </c>
      <c r="O25" t="e">
        <f t="shared" si="24"/>
        <v>#DIV/0!</v>
      </c>
      <c r="P25" t="e">
        <f>IF($I$3=0,0,M25/(1+EXP(-$I$3*(B25-$J$3)))-M25/(1+EXP($I$3*$J$3)))</f>
        <v>#DIV/0!</v>
      </c>
      <c r="Q25" s="9" t="e">
        <f t="shared" si="10"/>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0"/>
        <v>#DIV/0!</v>
      </c>
      <c r="AB25" t="e">
        <f t="shared" si="11"/>
        <v>#DIV/0!</v>
      </c>
      <c r="AC25" t="e">
        <f t="shared" si="12"/>
        <v>#DIV/0!</v>
      </c>
      <c r="AD25" t="e">
        <f t="shared" si="1"/>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2"/>
        <v>0</v>
      </c>
      <c r="F26">
        <f t="shared" si="3"/>
        <v>0</v>
      </c>
      <c r="G26" s="9" t="e">
        <f t="shared" si="4"/>
        <v>#DIV/0!</v>
      </c>
      <c r="H26" s="9" t="e">
        <f t="shared" si="4"/>
        <v>#DIV/0!</v>
      </c>
      <c r="I26" s="9" t="e">
        <f t="shared" si="4"/>
        <v>#DIV/0!</v>
      </c>
      <c r="J26" s="9" t="e">
        <f t="shared" si="5"/>
        <v>#DIV/0!</v>
      </c>
      <c r="K26" s="9" t="e">
        <f t="shared" si="6"/>
        <v>#DIV/0!</v>
      </c>
      <c r="L26" s="9" t="e">
        <f t="shared" si="7"/>
        <v>#DIV/0!</v>
      </c>
      <c r="M26" t="e">
        <f t="shared" si="8"/>
        <v>#DIV/0!</v>
      </c>
      <c r="N26">
        <f t="shared" si="9"/>
        <v>0</v>
      </c>
      <c r="O26" t="e">
        <f t="shared" si="24"/>
        <v>#DIV/0!</v>
      </c>
      <c r="P26" t="e">
        <f t="shared" si="22"/>
        <v>#DIV/0!</v>
      </c>
      <c r="Q26" s="9" t="e">
        <f t="shared" si="10"/>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0"/>
        <v>#DIV/0!</v>
      </c>
      <c r="AB26" t="e">
        <f t="shared" si="11"/>
        <v>#DIV/0!</v>
      </c>
      <c r="AC26" t="e">
        <f t="shared" si="12"/>
        <v>#DIV/0!</v>
      </c>
      <c r="AD26" t="e">
        <f t="shared" si="1"/>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2"/>
        <v>0</v>
      </c>
      <c r="F27">
        <f t="shared" si="3"/>
        <v>0</v>
      </c>
      <c r="G27" s="9" t="e">
        <f t="shared" si="4"/>
        <v>#DIV/0!</v>
      </c>
      <c r="H27" s="9" t="e">
        <f t="shared" si="4"/>
        <v>#DIV/0!</v>
      </c>
      <c r="I27" s="9" t="e">
        <f t="shared" si="4"/>
        <v>#DIV/0!</v>
      </c>
      <c r="J27" s="9" t="e">
        <f t="shared" si="5"/>
        <v>#DIV/0!</v>
      </c>
      <c r="K27" s="9" t="e">
        <f t="shared" si="6"/>
        <v>#DIV/0!</v>
      </c>
      <c r="L27" s="9" t="e">
        <f t="shared" si="7"/>
        <v>#DIV/0!</v>
      </c>
      <c r="M27" t="e">
        <f t="shared" si="8"/>
        <v>#DIV/0!</v>
      </c>
      <c r="N27">
        <f t="shared" si="9"/>
        <v>0</v>
      </c>
      <c r="O27" t="e">
        <f t="shared" si="24"/>
        <v>#DIV/0!</v>
      </c>
      <c r="P27" t="e">
        <f t="shared" si="22"/>
        <v>#DIV/0!</v>
      </c>
      <c r="Q27" s="9" t="e">
        <f t="shared" si="10"/>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0"/>
        <v>#DIV/0!</v>
      </c>
      <c r="AB27" t="e">
        <f t="shared" si="11"/>
        <v>#DIV/0!</v>
      </c>
      <c r="AC27" t="e">
        <f t="shared" si="12"/>
        <v>#DIV/0!</v>
      </c>
      <c r="AD27" t="e">
        <f t="shared" si="1"/>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2"/>
        <v>0</v>
      </c>
      <c r="F28">
        <f t="shared" si="3"/>
        <v>0</v>
      </c>
      <c r="G28" s="9" t="e">
        <f t="shared" si="4"/>
        <v>#DIV/0!</v>
      </c>
      <c r="H28" s="9" t="e">
        <f t="shared" si="4"/>
        <v>#DIV/0!</v>
      </c>
      <c r="I28" s="9" t="e">
        <f t="shared" si="4"/>
        <v>#DIV/0!</v>
      </c>
      <c r="J28" s="9" t="e">
        <f t="shared" si="5"/>
        <v>#DIV/0!</v>
      </c>
      <c r="K28" s="9" t="e">
        <f t="shared" si="6"/>
        <v>#DIV/0!</v>
      </c>
      <c r="L28" s="9" t="e">
        <f t="shared" si="7"/>
        <v>#DIV/0!</v>
      </c>
      <c r="M28" t="e">
        <f t="shared" si="8"/>
        <v>#DIV/0!</v>
      </c>
      <c r="N28">
        <f t="shared" si="9"/>
        <v>0</v>
      </c>
      <c r="O28" t="e">
        <f t="shared" si="24"/>
        <v>#DIV/0!</v>
      </c>
      <c r="P28" t="e">
        <f t="shared" si="22"/>
        <v>#DIV/0!</v>
      </c>
      <c r="Q28" s="9" t="e">
        <f t="shared" si="10"/>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0"/>
        <v>#DIV/0!</v>
      </c>
      <c r="AB28" t="e">
        <f t="shared" si="11"/>
        <v>#DIV/0!</v>
      </c>
      <c r="AC28" t="e">
        <f t="shared" si="12"/>
        <v>#DIV/0!</v>
      </c>
      <c r="AD28" t="e">
        <f t="shared" si="1"/>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2"/>
        <v>0</v>
      </c>
      <c r="F29">
        <f t="shared" si="3"/>
        <v>0</v>
      </c>
      <c r="G29" s="9" t="e">
        <f t="shared" si="4"/>
        <v>#DIV/0!</v>
      </c>
      <c r="H29" s="9" t="e">
        <f t="shared" si="4"/>
        <v>#DIV/0!</v>
      </c>
      <c r="I29" s="9" t="e">
        <f t="shared" si="4"/>
        <v>#DIV/0!</v>
      </c>
      <c r="J29" s="9" t="e">
        <f t="shared" si="5"/>
        <v>#DIV/0!</v>
      </c>
      <c r="K29" s="9" t="e">
        <f t="shared" si="6"/>
        <v>#DIV/0!</v>
      </c>
      <c r="L29" s="9" t="e">
        <f t="shared" si="7"/>
        <v>#DIV/0!</v>
      </c>
      <c r="M29" t="e">
        <f t="shared" si="8"/>
        <v>#DIV/0!</v>
      </c>
      <c r="N29">
        <f t="shared" si="9"/>
        <v>0</v>
      </c>
      <c r="O29" t="e">
        <f t="shared" si="24"/>
        <v>#DIV/0!</v>
      </c>
      <c r="P29" t="e">
        <f t="shared" si="22"/>
        <v>#DIV/0!</v>
      </c>
      <c r="Q29" s="9" t="e">
        <f t="shared" si="10"/>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0"/>
        <v>#DIV/0!</v>
      </c>
      <c r="AB29" t="e">
        <f t="shared" si="11"/>
        <v>#DIV/0!</v>
      </c>
      <c r="AC29" t="e">
        <f t="shared" si="12"/>
        <v>#DIV/0!</v>
      </c>
      <c r="AD29" t="e">
        <f t="shared" si="1"/>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2"/>
        <v>0</v>
      </c>
      <c r="F30">
        <f t="shared" si="3"/>
        <v>0</v>
      </c>
      <c r="G30" s="9" t="e">
        <f t="shared" si="4"/>
        <v>#DIV/0!</v>
      </c>
      <c r="H30" s="9" t="e">
        <f t="shared" si="4"/>
        <v>#DIV/0!</v>
      </c>
      <c r="I30" s="9" t="e">
        <f t="shared" si="4"/>
        <v>#DIV/0!</v>
      </c>
      <c r="J30" s="9" t="e">
        <f t="shared" si="5"/>
        <v>#DIV/0!</v>
      </c>
      <c r="K30" s="9" t="e">
        <f t="shared" si="6"/>
        <v>#DIV/0!</v>
      </c>
      <c r="L30" s="9" t="e">
        <f t="shared" si="7"/>
        <v>#DIV/0!</v>
      </c>
      <c r="M30" t="e">
        <f t="shared" si="8"/>
        <v>#DIV/0!</v>
      </c>
      <c r="N30">
        <f t="shared" si="9"/>
        <v>0</v>
      </c>
      <c r="O30" t="e">
        <f t="shared" si="24"/>
        <v>#DIV/0!</v>
      </c>
      <c r="P30" t="e">
        <f t="shared" si="22"/>
        <v>#DIV/0!</v>
      </c>
      <c r="Q30" s="9" t="e">
        <f t="shared" si="10"/>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0"/>
        <v>#DIV/0!</v>
      </c>
      <c r="AB30" t="e">
        <f t="shared" si="11"/>
        <v>#DIV/0!</v>
      </c>
      <c r="AC30" t="e">
        <f t="shared" si="12"/>
        <v>#DIV/0!</v>
      </c>
      <c r="AD30" t="e">
        <f t="shared" si="1"/>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2"/>
        <v>0</v>
      </c>
      <c r="F31">
        <f t="shared" si="3"/>
        <v>0</v>
      </c>
      <c r="G31" s="9" t="e">
        <f t="shared" si="4"/>
        <v>#DIV/0!</v>
      </c>
      <c r="H31" s="9" t="e">
        <f t="shared" si="4"/>
        <v>#DIV/0!</v>
      </c>
      <c r="I31" s="9" t="e">
        <f t="shared" si="4"/>
        <v>#DIV/0!</v>
      </c>
      <c r="J31" s="9" t="e">
        <f t="shared" si="5"/>
        <v>#DIV/0!</v>
      </c>
      <c r="K31" s="9" t="e">
        <f t="shared" si="6"/>
        <v>#DIV/0!</v>
      </c>
      <c r="L31" s="9" t="e">
        <f t="shared" si="7"/>
        <v>#DIV/0!</v>
      </c>
      <c r="M31" t="e">
        <f t="shared" si="8"/>
        <v>#DIV/0!</v>
      </c>
      <c r="N31">
        <f t="shared" si="9"/>
        <v>0</v>
      </c>
      <c r="O31" t="e">
        <f t="shared" si="24"/>
        <v>#DIV/0!</v>
      </c>
      <c r="P31" t="e">
        <f t="shared" si="22"/>
        <v>#DIV/0!</v>
      </c>
      <c r="Q31" s="9" t="e">
        <f t="shared" si="10"/>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0"/>
        <v>#DIV/0!</v>
      </c>
      <c r="AB31" t="e">
        <f t="shared" si="11"/>
        <v>#DIV/0!</v>
      </c>
      <c r="AC31" t="e">
        <f t="shared" si="12"/>
        <v>#DIV/0!</v>
      </c>
      <c r="AD31" t="e">
        <f t="shared" si="1"/>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2"/>
        <v>0</v>
      </c>
      <c r="F32">
        <f t="shared" si="3"/>
        <v>0</v>
      </c>
      <c r="G32" s="9" t="e">
        <f t="shared" si="4"/>
        <v>#DIV/0!</v>
      </c>
      <c r="H32" s="9" t="e">
        <f t="shared" si="4"/>
        <v>#DIV/0!</v>
      </c>
      <c r="I32" s="9" t="e">
        <f t="shared" si="4"/>
        <v>#DIV/0!</v>
      </c>
      <c r="J32" s="9" t="e">
        <f t="shared" si="5"/>
        <v>#DIV/0!</v>
      </c>
      <c r="K32" s="9" t="e">
        <f t="shared" si="6"/>
        <v>#DIV/0!</v>
      </c>
      <c r="L32" s="9" t="e">
        <f t="shared" si="7"/>
        <v>#DIV/0!</v>
      </c>
      <c r="M32" t="e">
        <f t="shared" si="8"/>
        <v>#DIV/0!</v>
      </c>
      <c r="N32">
        <f t="shared" si="9"/>
        <v>0</v>
      </c>
      <c r="O32" t="e">
        <f t="shared" si="24"/>
        <v>#DIV/0!</v>
      </c>
      <c r="P32" t="e">
        <f t="shared" si="22"/>
        <v>#DIV/0!</v>
      </c>
      <c r="Q32" s="9" t="e">
        <f t="shared" si="10"/>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0"/>
        <v>#DIV/0!</v>
      </c>
      <c r="AB32" t="e">
        <f t="shared" si="11"/>
        <v>#DIV/0!</v>
      </c>
      <c r="AC32" t="e">
        <f t="shared" si="12"/>
        <v>#DIV/0!</v>
      </c>
      <c r="AD32" t="e">
        <f t="shared" si="1"/>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2"/>
        <v>0</v>
      </c>
      <c r="F33">
        <f t="shared" si="3"/>
        <v>0</v>
      </c>
      <c r="G33" s="9" t="e">
        <f t="shared" si="4"/>
        <v>#DIV/0!</v>
      </c>
      <c r="H33" s="9" t="e">
        <f t="shared" si="4"/>
        <v>#DIV/0!</v>
      </c>
      <c r="I33" s="9" t="e">
        <f t="shared" si="4"/>
        <v>#DIV/0!</v>
      </c>
      <c r="J33" s="9" t="e">
        <f t="shared" si="5"/>
        <v>#DIV/0!</v>
      </c>
      <c r="K33" s="9" t="e">
        <f t="shared" si="6"/>
        <v>#DIV/0!</v>
      </c>
      <c r="L33" s="9" t="e">
        <f t="shared" si="7"/>
        <v>#DIV/0!</v>
      </c>
      <c r="M33" t="e">
        <f t="shared" si="8"/>
        <v>#DIV/0!</v>
      </c>
      <c r="N33">
        <f t="shared" si="9"/>
        <v>0</v>
      </c>
      <c r="O33" t="e">
        <f t="shared" si="24"/>
        <v>#DIV/0!</v>
      </c>
      <c r="P33" t="e">
        <f t="shared" si="22"/>
        <v>#DIV/0!</v>
      </c>
      <c r="Q33" s="9" t="e">
        <f t="shared" si="10"/>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0"/>
        <v>#DIV/0!</v>
      </c>
      <c r="AB33" t="e">
        <f t="shared" si="11"/>
        <v>#DIV/0!</v>
      </c>
      <c r="AC33" t="e">
        <f t="shared" si="12"/>
        <v>#DIV/0!</v>
      </c>
      <c r="AD33" t="e">
        <f t="shared" si="1"/>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BB9E-AD92-C045-B112-D6B24964998D}">
  <sheetPr>
    <tabColor theme="4" tint="0.79998168889431442"/>
  </sheetPr>
  <dimension ref="A1:AY37"/>
  <sheetViews>
    <sheetView topLeftCell="H1" zoomScale="93" zoomScaleNormal="125" workbookViewId="0">
      <selection activeCell="AA35" sqref="AA3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28</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54.087614848118321</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54.087614848118321</v>
      </c>
      <c r="N8">
        <f>IF($N$7="LFO",M8/(1+EXP(-$I$4*(B8-$J$4)))-M8/(1+EXP($I$4*$J$4)),IF($N$7="MGO",M8/(1+EXP(-$I$5*(B8-$J$5)))-M8/(1+EXP($I$5*$J$5)),0))</f>
        <v>0</v>
      </c>
      <c r="O8">
        <f>M8-N8</f>
        <v>54.087614848118321</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54.087614848118321</v>
      </c>
      <c r="AB8">
        <f>O8/M8*AA8</f>
        <v>54.087614848118321</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55.223454759928799</v>
      </c>
      <c r="D9">
        <f>IF($E$2=0,0,C9/(1+EXP(-$E$2*(B9-$G$2)))-C9/(1+EXP($E$2*$G$2)))</f>
        <v>0.41228691396669248</v>
      </c>
      <c r="E9">
        <f t="shared" ref="E9:E33" si="4">IF($E$3=0,0,C9/(1+EXP(-$E$3*(B9-$G$3)))-C9/(1+EXP($E$3*$G$3)))</f>
        <v>0.41228691396669248</v>
      </c>
      <c r="F9">
        <f t="shared" ref="F9:F33" si="5">IF($E$4=0,0,C9/(1+EXP(-$E$4*(B9-$G$4)))-C9/(1+EXP($E$4*$G$4)))</f>
        <v>0.13774732500812448</v>
      </c>
      <c r="G9" s="9">
        <f t="shared" ref="G9:I33" si="6">D9/$C9</f>
        <v>7.4657935791778065E-3</v>
      </c>
      <c r="H9" s="9">
        <f t="shared" si="6"/>
        <v>7.4657935791778065E-3</v>
      </c>
      <c r="I9" s="9">
        <f t="shared" si="6"/>
        <v>2.4943626871398957E-3</v>
      </c>
      <c r="J9" s="9">
        <f t="shared" ref="J9:J33" si="7">G9*$F$2</f>
        <v>9.7055316529311489E-4</v>
      </c>
      <c r="K9" s="9">
        <f t="shared" ref="K9:K33" si="8">H9*$F$3</f>
        <v>1.4931587158355615E-3</v>
      </c>
      <c r="L9" s="9">
        <f t="shared" ref="L9:L33" si="9">I9*$F$4</f>
        <v>9.9774507485595842E-4</v>
      </c>
      <c r="M9">
        <f t="shared" si="0"/>
        <v>55.032516845630077</v>
      </c>
      <c r="N9">
        <f t="shared" ref="N9:N33" si="10">IF($N$7="LFO",M9/(1+EXP(-$I$4*(B9-$J$4)))-M9/(1+EXP($I$4*$J$4)),IF($N$7="MGO",M9/(1+EXP(-$I$5*(B9-$J$5)))-M9/(1+EXP($I$5*$J$5)),0))</f>
        <v>0</v>
      </c>
      <c r="O9">
        <f>M9-N9</f>
        <v>55.032516845630077</v>
      </c>
      <c r="P9">
        <f>IF($I$3=0,0,M9/(1+EXP(-$I$3*(B9-$J$3)))-M9/(1+EXP($I$3*$J$3)))</f>
        <v>0.33773954651282689</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54.694777299117249</v>
      </c>
      <c r="AB9">
        <f t="shared" ref="AB9:AB33" si="11">O9/M9*AA9</f>
        <v>54.694777299117249</v>
      </c>
      <c r="AC9">
        <f t="shared" ref="AC9:AC33" si="12">N9/M9*AA9</f>
        <v>0</v>
      </c>
      <c r="AD9">
        <f t="shared" si="3"/>
        <v>6.7547909302565393E-2</v>
      </c>
      <c r="AE9">
        <f t="shared" ref="AE9:AE33" si="13">S9*$O9*$AE$2+S9*$N9*$AE$3</f>
        <v>0</v>
      </c>
      <c r="AF9">
        <f t="shared" ref="AF9:AF33" si="14">T9*$O9*$AF$2+T9*$N9*$AF$3</f>
        <v>7.5053232558405999E-2</v>
      </c>
      <c r="AG9">
        <f t="shared" ref="AG9:AG33" si="15">U9*$O9*$AG$2+U9*$N9*$AG$3</f>
        <v>0.13509581860513076</v>
      </c>
      <c r="AH9">
        <f t="shared" ref="AH9:AH33" si="16">V9*$O9*$AH$2+V9*$N9*$AH$3</f>
        <v>0</v>
      </c>
      <c r="AI9">
        <f t="shared" ref="AI9:AI33" si="17">W9*$O9*$AI$2+W9*$N9*$AI$3</f>
        <v>1.777576560593826E-2</v>
      </c>
      <c r="AJ9">
        <f t="shared" ref="AJ9:AJ33" si="18">X9*$O9*$AJ$2+X9*$N9*$AJ$3</f>
        <v>0</v>
      </c>
      <c r="AK9">
        <f t="shared" ref="AK9:AK33" si="19">Y9*$O9*$AK$2+Y9*$N9*$AK$3</f>
        <v>6.7547909302565393E-2</v>
      </c>
      <c r="AL9">
        <f t="shared" ref="AL9:AL33" si="20">Z9*$O9*$AL$2+Z9*$N9*$AL$3</f>
        <v>0</v>
      </c>
    </row>
    <row r="10" spans="1:51" x14ac:dyDescent="0.2">
      <c r="A10">
        <v>2027</v>
      </c>
      <c r="B10">
        <v>2</v>
      </c>
      <c r="C10">
        <f t="shared" ref="C10:C33" si="21">C9*(1+$I$2)</f>
        <v>56.383147309887299</v>
      </c>
      <c r="D10">
        <f>IF($E$2=0,0,C10/(1+EXP(-$E$2*(B10-$G$2)))-C10/(1+EXP($E$2*$G$2)))</f>
        <v>0.84264729532985783</v>
      </c>
      <c r="E10">
        <f t="shared" si="4"/>
        <v>0.84264729532985783</v>
      </c>
      <c r="F10">
        <f t="shared" si="5"/>
        <v>0.28134329668675306</v>
      </c>
      <c r="G10" s="9">
        <f t="shared" si="6"/>
        <v>1.4945020551949429E-2</v>
      </c>
      <c r="H10" s="9">
        <f t="shared" si="6"/>
        <v>1.4945020551949429E-2</v>
      </c>
      <c r="I10" s="9">
        <f t="shared" si="6"/>
        <v>4.9898473233582147E-3</v>
      </c>
      <c r="J10" s="9">
        <f t="shared" si="7"/>
        <v>1.9428526717534258E-3</v>
      </c>
      <c r="K10" s="9">
        <f t="shared" si="8"/>
        <v>2.989004110389886E-3</v>
      </c>
      <c r="L10" s="9">
        <f t="shared" si="9"/>
        <v>1.995938929343286E-3</v>
      </c>
      <c r="M10">
        <f t="shared" si="0"/>
        <v>55.993418176075807</v>
      </c>
      <c r="N10">
        <f t="shared" si="10"/>
        <v>0</v>
      </c>
      <c r="O10">
        <f>M10-N10</f>
        <v>55.993418176075807</v>
      </c>
      <c r="P10">
        <f t="shared" ref="P10:P33" si="22">IF($I$3=0,0,M10/(1+EXP(-$I$3*(B10-$J$3)))-M10/(1+EXP($I$3*$J$3)))</f>
        <v>0.87406011038449372</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55.119358065691316</v>
      </c>
      <c r="AB10">
        <f t="shared" si="11"/>
        <v>55.119358065691316</v>
      </c>
      <c r="AC10">
        <f t="shared" si="12"/>
        <v>0</v>
      </c>
      <c r="AD10">
        <f t="shared" si="3"/>
        <v>0.17481202207689878</v>
      </c>
      <c r="AE10">
        <f t="shared" si="13"/>
        <v>0</v>
      </c>
      <c r="AF10">
        <f t="shared" si="14"/>
        <v>0.19423558008544309</v>
      </c>
      <c r="AG10">
        <f t="shared" si="15"/>
        <v>0.3496240441537975</v>
      </c>
      <c r="AH10">
        <f t="shared" si="16"/>
        <v>0</v>
      </c>
      <c r="AI10">
        <f t="shared" si="17"/>
        <v>4.6003163704447042E-2</v>
      </c>
      <c r="AJ10">
        <f t="shared" si="18"/>
        <v>0</v>
      </c>
      <c r="AK10">
        <f t="shared" si="19"/>
        <v>0.17481202207689878</v>
      </c>
      <c r="AL10">
        <f t="shared" si="20"/>
        <v>0</v>
      </c>
    </row>
    <row r="11" spans="1:51" x14ac:dyDescent="0.2">
      <c r="A11">
        <v>2028</v>
      </c>
      <c r="B11">
        <v>3</v>
      </c>
      <c r="C11">
        <f t="shared" si="21"/>
        <v>57.567193403394924</v>
      </c>
      <c r="D11">
        <f t="shared" ref="D11:D33" si="23">IF($E$2=0,0,C11/(1+EXP(-$E$2*(B11-$G$2)))-C11/(1+EXP($E$2*$G$2)))</f>
        <v>1.2914822040572886</v>
      </c>
      <c r="E11">
        <f t="shared" si="4"/>
        <v>1.2914822040572886</v>
      </c>
      <c r="F11">
        <f t="shared" si="5"/>
        <v>0.4309669962006808</v>
      </c>
      <c r="G11" s="9">
        <f t="shared" si="6"/>
        <v>2.2434343724339455E-2</v>
      </c>
      <c r="H11" s="9">
        <f t="shared" si="6"/>
        <v>2.2434343724339455E-2</v>
      </c>
      <c r="I11" s="9">
        <f t="shared" si="6"/>
        <v>7.4863298125502379E-3</v>
      </c>
      <c r="J11" s="9">
        <f t="shared" si="7"/>
        <v>2.9164646841641291E-3</v>
      </c>
      <c r="K11" s="9">
        <f t="shared" si="8"/>
        <v>4.4868687448678911E-3</v>
      </c>
      <c r="L11" s="9">
        <f t="shared" si="9"/>
        <v>2.9945319250200952E-3</v>
      </c>
      <c r="M11">
        <f t="shared" si="0"/>
        <v>56.970644771153154</v>
      </c>
      <c r="N11">
        <f t="shared" si="10"/>
        <v>0</v>
      </c>
      <c r="O11">
        <f t="shared" ref="O11:O33" si="24">M11-N11</f>
        <v>56.970644771153154</v>
      </c>
      <c r="P11">
        <f t="shared" si="22"/>
        <v>1.7150634078227589</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55.255581363330393</v>
      </c>
      <c r="AB11">
        <f t="shared" si="11"/>
        <v>55.255581363330393</v>
      </c>
      <c r="AC11">
        <f t="shared" si="12"/>
        <v>0</v>
      </c>
      <c r="AD11">
        <f t="shared" si="3"/>
        <v>0.34301268156455178</v>
      </c>
      <c r="AE11">
        <f t="shared" si="13"/>
        <v>0</v>
      </c>
      <c r="AF11">
        <f t="shared" si="14"/>
        <v>0.38112520173839087</v>
      </c>
      <c r="AG11">
        <f t="shared" si="15"/>
        <v>0.68602536312910356</v>
      </c>
      <c r="AH11">
        <f t="shared" si="16"/>
        <v>0</v>
      </c>
      <c r="AI11">
        <f t="shared" si="17"/>
        <v>9.0266495148566259E-2</v>
      </c>
      <c r="AJ11">
        <f t="shared" si="18"/>
        <v>0</v>
      </c>
      <c r="AK11">
        <f t="shared" si="19"/>
        <v>0.34301268156455178</v>
      </c>
      <c r="AL11">
        <f t="shared" si="20"/>
        <v>0</v>
      </c>
    </row>
    <row r="12" spans="1:51" x14ac:dyDescent="0.2">
      <c r="A12">
        <v>2029</v>
      </c>
      <c r="B12">
        <v>4</v>
      </c>
      <c r="C12">
        <f t="shared" si="21"/>
        <v>58.776104464866215</v>
      </c>
      <c r="D12">
        <f t="shared" si="23"/>
        <v>1.7591927751250047</v>
      </c>
      <c r="E12">
        <f t="shared" si="4"/>
        <v>1.7591927751250047</v>
      </c>
      <c r="F12">
        <f t="shared" si="5"/>
        <v>0.58680216302413868</v>
      </c>
      <c r="G12" s="9">
        <f t="shared" si="6"/>
        <v>2.9930407793129148E-2</v>
      </c>
      <c r="H12" s="9">
        <f t="shared" si="6"/>
        <v>2.9930407793129148E-2</v>
      </c>
      <c r="I12" s="9">
        <f t="shared" si="6"/>
        <v>9.9836858595299272E-3</v>
      </c>
      <c r="J12" s="9">
        <f t="shared" si="7"/>
        <v>3.8909530131067895E-3</v>
      </c>
      <c r="K12" s="9">
        <f t="shared" si="8"/>
        <v>5.9860815586258304E-3</v>
      </c>
      <c r="L12" s="9">
        <f t="shared" si="9"/>
        <v>3.9934743438119714E-3</v>
      </c>
      <c r="M12">
        <f t="shared" si="0"/>
        <v>57.964531850235893</v>
      </c>
      <c r="N12">
        <f t="shared" si="10"/>
        <v>0</v>
      </c>
      <c r="O12">
        <f t="shared" si="24"/>
        <v>57.964531850235893</v>
      </c>
      <c r="P12">
        <f t="shared" si="22"/>
        <v>3.0133681168342847</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54.951163733401607</v>
      </c>
      <c r="AB12">
        <f t="shared" si="11"/>
        <v>54.951163733401607</v>
      </c>
      <c r="AC12">
        <f t="shared" si="12"/>
        <v>0</v>
      </c>
      <c r="AD12">
        <f t="shared" si="3"/>
        <v>0.60267362336685693</v>
      </c>
      <c r="AE12">
        <f t="shared" si="13"/>
        <v>0</v>
      </c>
      <c r="AF12">
        <f t="shared" si="14"/>
        <v>0.66963735929650769</v>
      </c>
      <c r="AG12">
        <f t="shared" si="15"/>
        <v>1.2053472467337141</v>
      </c>
      <c r="AH12">
        <f t="shared" si="16"/>
        <v>0</v>
      </c>
      <c r="AI12">
        <f t="shared" si="17"/>
        <v>0.15859832193864656</v>
      </c>
      <c r="AJ12">
        <f t="shared" si="18"/>
        <v>0</v>
      </c>
      <c r="AK12">
        <f t="shared" si="19"/>
        <v>0.60267362336685693</v>
      </c>
      <c r="AL12">
        <f t="shared" si="20"/>
        <v>0</v>
      </c>
    </row>
    <row r="13" spans="1:51" x14ac:dyDescent="0.2">
      <c r="A13">
        <v>2030</v>
      </c>
      <c r="B13">
        <v>5</v>
      </c>
      <c r="C13">
        <f t="shared" si="21"/>
        <v>60.010402658628401</v>
      </c>
      <c r="D13">
        <f t="shared" si="23"/>
        <v>2.2461800905285969</v>
      </c>
      <c r="E13">
        <f t="shared" si="4"/>
        <v>2.2461800905285969</v>
      </c>
      <c r="F13">
        <f t="shared" si="5"/>
        <v>0.7490373034945641</v>
      </c>
      <c r="G13" s="9">
        <f t="shared" si="6"/>
        <v>3.7429845343749532E-2</v>
      </c>
      <c r="H13" s="9">
        <f t="shared" si="6"/>
        <v>3.7429845343749532E-2</v>
      </c>
      <c r="I13" s="9">
        <f t="shared" si="6"/>
        <v>1.2481790994729581E-2</v>
      </c>
      <c r="J13" s="9">
        <f t="shared" si="7"/>
        <v>4.8658798946874396E-3</v>
      </c>
      <c r="K13" s="9">
        <f t="shared" si="8"/>
        <v>7.4859690687499071E-3</v>
      </c>
      <c r="L13" s="9">
        <f t="shared" si="9"/>
        <v>4.9927163978918327E-3</v>
      </c>
      <c r="M13">
        <f t="shared" si="0"/>
        <v>58.975424120399801</v>
      </c>
      <c r="N13">
        <f t="shared" si="10"/>
        <v>0</v>
      </c>
      <c r="O13">
        <f t="shared" si="24"/>
        <v>58.975424120399801</v>
      </c>
      <c r="P13">
        <f t="shared" si="22"/>
        <v>4.9753155306524217</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54.000108589747377</v>
      </c>
      <c r="AB13">
        <f t="shared" si="11"/>
        <v>54.000108589747377</v>
      </c>
      <c r="AC13">
        <f t="shared" si="12"/>
        <v>0</v>
      </c>
      <c r="AD13">
        <f t="shared" si="3"/>
        <v>0.99506310613048443</v>
      </c>
      <c r="AE13">
        <f t="shared" si="13"/>
        <v>0</v>
      </c>
      <c r="AF13">
        <f t="shared" si="14"/>
        <v>1.1056256734783161</v>
      </c>
      <c r="AG13">
        <f t="shared" si="15"/>
        <v>1.9901262122609689</v>
      </c>
      <c r="AH13">
        <f t="shared" si="16"/>
        <v>0</v>
      </c>
      <c r="AI13">
        <f t="shared" si="17"/>
        <v>0.26185871213960116</v>
      </c>
      <c r="AJ13">
        <f t="shared" si="18"/>
        <v>0</v>
      </c>
      <c r="AK13">
        <f t="shared" si="19"/>
        <v>0.99506310613048443</v>
      </c>
      <c r="AL13">
        <f t="shared" si="20"/>
        <v>0</v>
      </c>
    </row>
    <row r="14" spans="1:51" x14ac:dyDescent="0.2">
      <c r="A14">
        <v>2031</v>
      </c>
      <c r="B14">
        <v>6</v>
      </c>
      <c r="C14">
        <f t="shared" si="21"/>
        <v>61.270621114459594</v>
      </c>
      <c r="D14">
        <f t="shared" si="23"/>
        <v>2.7528450691653106</v>
      </c>
      <c r="E14">
        <f t="shared" si="4"/>
        <v>2.7528450691653106</v>
      </c>
      <c r="F14">
        <f t="shared" si="5"/>
        <v>0.91786580171713084</v>
      </c>
      <c r="G14" s="9">
        <f t="shared" si="6"/>
        <v>4.4929282894369933E-2</v>
      </c>
      <c r="H14" s="9">
        <f t="shared" si="6"/>
        <v>4.4929282894369933E-2</v>
      </c>
      <c r="I14" s="9">
        <f t="shared" si="6"/>
        <v>1.4980520598974614E-2</v>
      </c>
      <c r="J14" s="9">
        <f t="shared" si="7"/>
        <v>5.8408067762680919E-3</v>
      </c>
      <c r="K14" s="9">
        <f t="shared" si="8"/>
        <v>8.9858565788739873E-3</v>
      </c>
      <c r="L14" s="9">
        <f t="shared" si="9"/>
        <v>5.992208239589846E-3</v>
      </c>
      <c r="M14">
        <f t="shared" si="0"/>
        <v>60.003675973527017</v>
      </c>
      <c r="N14">
        <f t="shared" si="10"/>
        <v>0</v>
      </c>
      <c r="O14">
        <f t="shared" si="24"/>
        <v>60.003675973527017</v>
      </c>
      <c r="P14">
        <f t="shared" si="22"/>
        <v>7.8523283892427767</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52.151347584284238</v>
      </c>
      <c r="AB14">
        <f t="shared" si="11"/>
        <v>52.151347584284238</v>
      </c>
      <c r="AC14">
        <f t="shared" si="12"/>
        <v>0</v>
      </c>
      <c r="AD14">
        <f t="shared" si="3"/>
        <v>1.5704656778485553</v>
      </c>
      <c r="AE14">
        <f t="shared" si="13"/>
        <v>0</v>
      </c>
      <c r="AF14">
        <f t="shared" si="14"/>
        <v>1.7449618642761726</v>
      </c>
      <c r="AG14">
        <f t="shared" si="15"/>
        <v>3.140931355697111</v>
      </c>
      <c r="AH14">
        <f t="shared" si="16"/>
        <v>0</v>
      </c>
      <c r="AI14">
        <f t="shared" si="17"/>
        <v>0.41328044153909349</v>
      </c>
      <c r="AJ14">
        <f t="shared" si="18"/>
        <v>0</v>
      </c>
      <c r="AK14">
        <f t="shared" si="19"/>
        <v>1.5704656778485553</v>
      </c>
      <c r="AL14">
        <f t="shared" si="20"/>
        <v>0</v>
      </c>
    </row>
    <row r="15" spans="1:51" x14ac:dyDescent="0.2">
      <c r="A15">
        <v>2032</v>
      </c>
      <c r="B15">
        <v>7</v>
      </c>
      <c r="C15">
        <f t="shared" si="21"/>
        <v>62.557304157863243</v>
      </c>
      <c r="D15">
        <f t="shared" si="23"/>
        <v>3.2795883755558854</v>
      </c>
      <c r="E15">
        <f t="shared" si="4"/>
        <v>3.2795883755558854</v>
      </c>
      <c r="F15">
        <f t="shared" si="5"/>
        <v>1.0934860328692828</v>
      </c>
      <c r="G15" s="9">
        <f t="shared" si="6"/>
        <v>5.2425346963159571E-2</v>
      </c>
      <c r="H15" s="9">
        <f t="shared" si="6"/>
        <v>5.2425346963159571E-2</v>
      </c>
      <c r="I15" s="9">
        <f t="shared" si="6"/>
        <v>1.7479749928319684E-2</v>
      </c>
      <c r="J15" s="9">
        <f t="shared" si="7"/>
        <v>6.8152951052107445E-3</v>
      </c>
      <c r="K15" s="9">
        <f t="shared" si="8"/>
        <v>1.0485069392631914E-2</v>
      </c>
      <c r="L15" s="9">
        <f t="shared" si="9"/>
        <v>6.9918999713278742E-3</v>
      </c>
      <c r="M15">
        <f t="shared" si="0"/>
        <v>61.049651680381167</v>
      </c>
      <c r="N15">
        <f t="shared" si="10"/>
        <v>0</v>
      </c>
      <c r="O15">
        <f t="shared" si="24"/>
        <v>61.049651680381167</v>
      </c>
      <c r="P15">
        <f>IF($I$3=0,0,M15/(1+EXP(-$I$3*(B15-$J$3)))-M15/(1+EXP($I$3*$J$3)))</f>
        <v>11.897565469128356</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49.152086211252808</v>
      </c>
      <c r="AB15">
        <f t="shared" si="11"/>
        <v>49.152086211252808</v>
      </c>
      <c r="AC15">
        <f t="shared" si="12"/>
        <v>0</v>
      </c>
      <c r="AD15">
        <f t="shared" si="3"/>
        <v>2.379513093825671</v>
      </c>
      <c r="AE15">
        <f t="shared" si="13"/>
        <v>0</v>
      </c>
      <c r="AF15">
        <f t="shared" si="14"/>
        <v>2.6439034375840791</v>
      </c>
      <c r="AG15">
        <f t="shared" si="15"/>
        <v>4.759026187651342</v>
      </c>
      <c r="AH15">
        <f t="shared" si="16"/>
        <v>0</v>
      </c>
      <c r="AI15">
        <f t="shared" si="17"/>
        <v>0.62618765626991335</v>
      </c>
      <c r="AJ15">
        <f t="shared" si="18"/>
        <v>0</v>
      </c>
      <c r="AK15">
        <f t="shared" si="19"/>
        <v>2.379513093825671</v>
      </c>
      <c r="AL15">
        <f t="shared" si="20"/>
        <v>0</v>
      </c>
    </row>
    <row r="16" spans="1:51" x14ac:dyDescent="0.2">
      <c r="A16">
        <v>2033</v>
      </c>
      <c r="B16">
        <v>8</v>
      </c>
      <c r="C16">
        <f t="shared" si="21"/>
        <v>63.871007545178365</v>
      </c>
      <c r="D16">
        <f t="shared" si="23"/>
        <v>3.8268103482945648</v>
      </c>
      <c r="E16">
        <f t="shared" si="4"/>
        <v>3.8268103482945648</v>
      </c>
      <c r="F16">
        <f t="shared" si="5"/>
        <v>1.276101478956047</v>
      </c>
      <c r="G16" s="9">
        <f t="shared" si="6"/>
        <v>5.9914670135549651E-2</v>
      </c>
      <c r="H16" s="9">
        <f t="shared" si="6"/>
        <v>5.9914670135549651E-2</v>
      </c>
      <c r="I16" s="9">
        <f t="shared" si="6"/>
        <v>1.9979354138940308E-2</v>
      </c>
      <c r="J16" s="9">
        <f t="shared" si="7"/>
        <v>7.7889071176214545E-3</v>
      </c>
      <c r="K16" s="9">
        <f t="shared" si="8"/>
        <v>1.1982934027109931E-2</v>
      </c>
      <c r="L16" s="9">
        <f t="shared" si="9"/>
        <v>7.991741655576123E-3</v>
      </c>
      <c r="M16">
        <f t="shared" si="0"/>
        <v>62.11372558157943</v>
      </c>
      <c r="N16">
        <f t="shared" si="10"/>
        <v>0</v>
      </c>
      <c r="O16">
        <f t="shared" si="24"/>
        <v>62.11372558157943</v>
      </c>
      <c r="P16">
        <f t="shared" si="22"/>
        <v>17.271563333632326</v>
      </c>
      <c r="Q16" s="9">
        <f t="shared" si="1"/>
        <v>0.27806355474440281</v>
      </c>
      <c r="R16">
        <f>VLOOKUP($B$1,dictionary!$A$3:$K$51,3,FALSE)*Q16</f>
        <v>5.5612710948880567E-2</v>
      </c>
      <c r="S16">
        <f>VLOOKUP($B$1,dictionary!$A$3:$K$51,4,FALSE)*Q16</f>
        <v>0</v>
      </c>
      <c r="T16">
        <f>VLOOKUP($B$1,dictionary!$A$3:$K$51,5,FALSE)*Q16</f>
        <v>5.5612710948880567E-2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5.5612710948880567E-2</v>
      </c>
      <c r="Z16">
        <f>VLOOKUP($B$1,dictionary!$A$3:$K$51,11,FALSE)*Q16</f>
        <v>0</v>
      </c>
      <c r="AA16">
        <f t="shared" si="2"/>
        <v>44.842162247947101</v>
      </c>
      <c r="AB16">
        <f t="shared" si="11"/>
        <v>44.842162247947101</v>
      </c>
      <c r="AC16">
        <f t="shared" si="12"/>
        <v>0</v>
      </c>
      <c r="AD16">
        <f t="shared" si="3"/>
        <v>3.4543126667264654</v>
      </c>
      <c r="AE16">
        <f t="shared" si="13"/>
        <v>0</v>
      </c>
      <c r="AF16">
        <f t="shared" si="14"/>
        <v>3.8381251852516285</v>
      </c>
      <c r="AG16">
        <f t="shared" si="15"/>
        <v>6.9086253334529308</v>
      </c>
      <c r="AH16">
        <f t="shared" si="16"/>
        <v>0</v>
      </c>
      <c r="AI16">
        <f t="shared" si="17"/>
        <v>0.90902964913854345</v>
      </c>
      <c r="AJ16">
        <f t="shared" si="18"/>
        <v>0</v>
      </c>
      <c r="AK16">
        <f t="shared" si="19"/>
        <v>3.4543126667264654</v>
      </c>
      <c r="AL16">
        <f t="shared" si="20"/>
        <v>0</v>
      </c>
    </row>
    <row r="17" spans="1:38" x14ac:dyDescent="0.2">
      <c r="A17">
        <v>2034</v>
      </c>
      <c r="B17">
        <v>9</v>
      </c>
      <c r="C17">
        <f t="shared" si="21"/>
        <v>65.212298703627098</v>
      </c>
      <c r="D17">
        <f t="shared" si="23"/>
        <v>4.3949109490293559</v>
      </c>
      <c r="E17">
        <f t="shared" si="4"/>
        <v>4.3949109490293559</v>
      </c>
      <c r="F17">
        <f t="shared" si="5"/>
        <v>1.4659208470674407</v>
      </c>
      <c r="G17" s="9">
        <f t="shared" si="6"/>
        <v>6.7393897108321249E-2</v>
      </c>
      <c r="H17" s="9">
        <f t="shared" si="6"/>
        <v>6.7393897108321249E-2</v>
      </c>
      <c r="I17" s="9">
        <f t="shared" si="6"/>
        <v>2.2479208312065013E-2</v>
      </c>
      <c r="J17" s="9">
        <f t="shared" si="7"/>
        <v>8.7612066240817625E-3</v>
      </c>
      <c r="K17" s="9">
        <f t="shared" si="8"/>
        <v>1.347877942166425E-2</v>
      </c>
      <c r="L17" s="9">
        <f t="shared" si="9"/>
        <v>8.9916833248260049E-3</v>
      </c>
      <c r="M17">
        <f t="shared" si="0"/>
        <v>63.196282275422391</v>
      </c>
      <c r="N17">
        <f t="shared" si="10"/>
        <v>0</v>
      </c>
      <c r="O17">
        <f t="shared" si="24"/>
        <v>63.196282275422391</v>
      </c>
      <c r="P17">
        <f t="shared" si="22"/>
        <v>23.91181895049283</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39.284463324929561</v>
      </c>
      <c r="AB17">
        <f t="shared" si="11"/>
        <v>39.284463324929561</v>
      </c>
      <c r="AC17">
        <f t="shared" si="12"/>
        <v>0</v>
      </c>
      <c r="AD17">
        <f t="shared" si="3"/>
        <v>4.7823637900985663</v>
      </c>
      <c r="AE17">
        <f t="shared" si="13"/>
        <v>0</v>
      </c>
      <c r="AF17">
        <f t="shared" si="14"/>
        <v>5.3137375445539625</v>
      </c>
      <c r="AG17">
        <f t="shared" si="15"/>
        <v>9.5647275801971325</v>
      </c>
      <c r="AH17">
        <f t="shared" si="16"/>
        <v>0</v>
      </c>
      <c r="AI17">
        <f t="shared" si="17"/>
        <v>1.2585167868680436</v>
      </c>
      <c r="AJ17">
        <f t="shared" si="18"/>
        <v>0</v>
      </c>
      <c r="AK17">
        <f t="shared" si="19"/>
        <v>4.7823637900985663</v>
      </c>
      <c r="AL17">
        <f t="shared" si="20"/>
        <v>0</v>
      </c>
    </row>
    <row r="18" spans="1:38" x14ac:dyDescent="0.2">
      <c r="A18">
        <v>2035</v>
      </c>
      <c r="B18">
        <v>10</v>
      </c>
      <c r="C18">
        <f t="shared" si="21"/>
        <v>66.581756976403256</v>
      </c>
      <c r="D18">
        <f t="shared" si="23"/>
        <v>4.9842897326837807</v>
      </c>
      <c r="E18">
        <f t="shared" si="4"/>
        <v>4.9842897326837807</v>
      </c>
      <c r="F18">
        <f t="shared" si="5"/>
        <v>1.6631581901907992</v>
      </c>
      <c r="G18" s="9">
        <f t="shared" si="6"/>
        <v>7.4859690687499064E-2</v>
      </c>
      <c r="H18" s="9">
        <f t="shared" si="6"/>
        <v>7.4859690687499064E-2</v>
      </c>
      <c r="I18" s="9">
        <f t="shared" si="6"/>
        <v>2.4979187478940016E-2</v>
      </c>
      <c r="J18" s="9">
        <f t="shared" si="7"/>
        <v>9.7317597893748792E-3</v>
      </c>
      <c r="K18" s="9">
        <f t="shared" si="8"/>
        <v>1.4971938137499814E-2</v>
      </c>
      <c r="L18" s="9">
        <f t="shared" si="9"/>
        <v>9.9916749915760078E-3</v>
      </c>
      <c r="M18">
        <f t="shared" si="0"/>
        <v>64.297716802576758</v>
      </c>
      <c r="N18">
        <f t="shared" si="10"/>
        <v>0</v>
      </c>
      <c r="O18">
        <f t="shared" si="24"/>
        <v>64.297716802576758</v>
      </c>
      <c r="P18">
        <f t="shared" si="22"/>
        <v>31.44242307550034</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32.855293727076415</v>
      </c>
      <c r="AB18">
        <f t="shared" si="11"/>
        <v>32.855293727076415</v>
      </c>
      <c r="AC18">
        <f t="shared" si="12"/>
        <v>0</v>
      </c>
      <c r="AD18">
        <f t="shared" si="3"/>
        <v>6.2884846151000682</v>
      </c>
      <c r="AE18">
        <f t="shared" si="13"/>
        <v>0</v>
      </c>
      <c r="AF18">
        <f t="shared" si="14"/>
        <v>6.9872051278889646</v>
      </c>
      <c r="AG18">
        <f t="shared" si="15"/>
        <v>12.576969230200138</v>
      </c>
      <c r="AH18">
        <f t="shared" si="16"/>
        <v>0</v>
      </c>
      <c r="AI18">
        <f t="shared" si="17"/>
        <v>1.6548643723947547</v>
      </c>
      <c r="AJ18">
        <f t="shared" si="18"/>
        <v>0</v>
      </c>
      <c r="AK18">
        <f t="shared" si="19"/>
        <v>6.2884846151000682</v>
      </c>
      <c r="AL18">
        <f t="shared" si="20"/>
        <v>0</v>
      </c>
    </row>
    <row r="19" spans="1:38" x14ac:dyDescent="0.2">
      <c r="A19">
        <v>2036</v>
      </c>
      <c r="B19">
        <v>11</v>
      </c>
      <c r="C19">
        <f t="shared" si="21"/>
        <v>67.979973872907721</v>
      </c>
      <c r="D19">
        <f t="shared" si="23"/>
        <v>5.5953458395360833</v>
      </c>
      <c r="E19">
        <f t="shared" si="4"/>
        <v>5.5953458395360833</v>
      </c>
      <c r="F19">
        <f t="shared" si="5"/>
        <v>1.8680330306317785</v>
      </c>
      <c r="G19" s="9">
        <f t="shared" si="6"/>
        <v>8.2308737717329647E-2</v>
      </c>
      <c r="H19" s="9">
        <f t="shared" si="6"/>
        <v>8.2308737717329647E-2</v>
      </c>
      <c r="I19" s="9">
        <f t="shared" si="6"/>
        <v>2.7479166645814963E-2</v>
      </c>
      <c r="J19" s="9">
        <f t="shared" si="7"/>
        <v>1.0700135903252854E-2</v>
      </c>
      <c r="K19" s="9">
        <f t="shared" si="8"/>
        <v>1.6461747543465931E-2</v>
      </c>
      <c r="L19" s="9">
        <f t="shared" si="9"/>
        <v>1.0991666658325986E-2</v>
      </c>
      <c r="M19">
        <f t="shared" si="0"/>
        <v>65.418434827641946</v>
      </c>
      <c r="N19">
        <f t="shared" si="10"/>
        <v>0</v>
      </c>
      <c r="O19">
        <f t="shared" si="24"/>
        <v>65.418434827641946</v>
      </c>
      <c r="P19">
        <f t="shared" si="22"/>
        <v>39.228314338873879</v>
      </c>
      <c r="Q19" s="9">
        <f t="shared" si="1"/>
        <v>0.59965229131862874</v>
      </c>
      <c r="R19">
        <f>VLOOKUP($B$1,dictionary!$A$3:$K$51,3,FALSE)*Q19</f>
        <v>0.11993045826372575</v>
      </c>
      <c r="S19">
        <f>VLOOKUP($B$1,dictionary!$A$3:$K$51,4,FALSE)*Q19</f>
        <v>0</v>
      </c>
      <c r="T19">
        <f>VLOOKUP($B$1,dictionary!$A$3:$K$51,5,FALSE)*Q19</f>
        <v>0.11993045826372575</v>
      </c>
      <c r="U19">
        <f>VLOOKUP($B$1,dictionary!$A$3:$K$51,6,FALSE)*Q19</f>
        <v>0.20987830196152005</v>
      </c>
      <c r="V19">
        <f>VLOOKUP($B$1,dictionary!$A$3:$K$51,7,FALSE)*Q19</f>
        <v>0</v>
      </c>
      <c r="W19">
        <f>VLOOKUP($B$1,dictionary!$A$3:$K$51,8,FALSE)*Q19</f>
        <v>2.9982614565931438E-2</v>
      </c>
      <c r="X19">
        <f>VLOOKUP($B$1,dictionary!$A$3:$K$51,9,FALSE)*Q19</f>
        <v>0</v>
      </c>
      <c r="Y19">
        <f>VLOOKUP($B$1,dictionary!$A$3:$K$51,10,FALSE)*Q19</f>
        <v>0.11993045826372575</v>
      </c>
      <c r="Z19">
        <f>VLOOKUP($B$1,dictionary!$A$3:$K$51,11,FALSE)*Q19</f>
        <v>0</v>
      </c>
      <c r="AA19">
        <f t="shared" si="2"/>
        <v>26.190120488768066</v>
      </c>
      <c r="AB19">
        <f t="shared" si="11"/>
        <v>26.190120488768066</v>
      </c>
      <c r="AC19">
        <f t="shared" si="12"/>
        <v>0</v>
      </c>
      <c r="AD19">
        <f t="shared" si="3"/>
        <v>7.8456628677747755</v>
      </c>
      <c r="AE19">
        <f t="shared" si="13"/>
        <v>0</v>
      </c>
      <c r="AF19">
        <f t="shared" si="14"/>
        <v>8.7174031864164174</v>
      </c>
      <c r="AG19">
        <f t="shared" si="15"/>
        <v>15.691325735549553</v>
      </c>
      <c r="AH19">
        <f t="shared" si="16"/>
        <v>0</v>
      </c>
      <c r="AI19">
        <f t="shared" si="17"/>
        <v>2.0646481230986251</v>
      </c>
      <c r="AJ19">
        <f t="shared" si="18"/>
        <v>0</v>
      </c>
      <c r="AK19">
        <f t="shared" si="19"/>
        <v>7.8456628677747755</v>
      </c>
      <c r="AL19">
        <f t="shared" si="20"/>
        <v>0</v>
      </c>
    </row>
    <row r="20" spans="1:38" x14ac:dyDescent="0.2">
      <c r="A20">
        <v>2037</v>
      </c>
      <c r="B20">
        <v>12</v>
      </c>
      <c r="C20">
        <f t="shared" si="21"/>
        <v>69.407553324238776</v>
      </c>
      <c r="D20">
        <f t="shared" si="23"/>
        <v>6.2284780096737506</v>
      </c>
      <c r="E20">
        <f t="shared" si="4"/>
        <v>6.2284780096737506</v>
      </c>
      <c r="F20">
        <f t="shared" si="5"/>
        <v>2.0807704860990199</v>
      </c>
      <c r="G20" s="9">
        <f t="shared" si="6"/>
        <v>8.9737754918074855E-2</v>
      </c>
      <c r="H20" s="9">
        <f t="shared" si="6"/>
        <v>8.9737754918074855E-2</v>
      </c>
      <c r="I20" s="9">
        <f t="shared" si="6"/>
        <v>2.9979020818939675E-2</v>
      </c>
      <c r="J20" s="9">
        <f t="shared" si="7"/>
        <v>1.1665908139349732E-2</v>
      </c>
      <c r="K20" s="9">
        <f t="shared" si="8"/>
        <v>1.794755098361497E-2</v>
      </c>
      <c r="L20" s="9">
        <f t="shared" si="9"/>
        <v>1.199160832757587E-2</v>
      </c>
      <c r="M20">
        <f t="shared" si="0"/>
        <v>66.558852817666008</v>
      </c>
      <c r="N20">
        <f t="shared" si="10"/>
        <v>0</v>
      </c>
      <c r="O20">
        <f t="shared" si="24"/>
        <v>66.558852817666008</v>
      </c>
      <c r="P20">
        <f>IF($I$3=0,0,M20/(1+EXP(-$I$3*(B20-$J$3)))-M20/(1+EXP($I$3*$J$3)))</f>
        <v>46.588705008544693</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19.970147809121315</v>
      </c>
      <c r="AB20">
        <f t="shared" si="11"/>
        <v>19.970147809121315</v>
      </c>
      <c r="AC20">
        <f t="shared" si="12"/>
        <v>0</v>
      </c>
      <c r="AD20">
        <f t="shared" si="3"/>
        <v>9.3177410017089404</v>
      </c>
      <c r="AE20">
        <f t="shared" si="13"/>
        <v>0</v>
      </c>
      <c r="AF20">
        <f t="shared" si="14"/>
        <v>10.353045557454379</v>
      </c>
      <c r="AG20">
        <f t="shared" si="15"/>
        <v>18.635482003417881</v>
      </c>
      <c r="AH20">
        <f t="shared" si="16"/>
        <v>0</v>
      </c>
      <c r="AI20">
        <f t="shared" si="17"/>
        <v>2.4520371057128787</v>
      </c>
      <c r="AJ20">
        <f t="shared" si="18"/>
        <v>0</v>
      </c>
      <c r="AK20">
        <f t="shared" si="19"/>
        <v>9.3177410017089404</v>
      </c>
      <c r="AL20">
        <f t="shared" si="20"/>
        <v>0</v>
      </c>
    </row>
    <row r="21" spans="1:38" x14ac:dyDescent="0.2">
      <c r="A21">
        <v>2038</v>
      </c>
      <c r="B21">
        <v>13</v>
      </c>
      <c r="C21">
        <f t="shared" si="21"/>
        <v>70.865111944047783</v>
      </c>
      <c r="D21">
        <f t="shared" si="23"/>
        <v>6.8840846202404364</v>
      </c>
      <c r="E21">
        <f t="shared" si="4"/>
        <v>6.8840846202404364</v>
      </c>
      <c r="F21">
        <f t="shared" si="5"/>
        <v>2.3016013985085451</v>
      </c>
      <c r="G21" s="9">
        <f t="shared" si="6"/>
        <v>9.7143494610942405E-2</v>
      </c>
      <c r="H21" s="9">
        <f t="shared" si="6"/>
        <v>9.7143494610942405E-2</v>
      </c>
      <c r="I21" s="9">
        <f t="shared" si="6"/>
        <v>3.247862502956033E-2</v>
      </c>
      <c r="J21" s="9">
        <f t="shared" si="7"/>
        <v>1.2628654299422512E-2</v>
      </c>
      <c r="K21" s="9">
        <f t="shared" si="8"/>
        <v>1.9428698922188483E-2</v>
      </c>
      <c r="L21" s="9">
        <f t="shared" si="9"/>
        <v>1.2991450011824134E-2</v>
      </c>
      <c r="M21">
        <f t="shared" si="0"/>
        <v>67.719398217712381</v>
      </c>
      <c r="N21">
        <f t="shared" si="10"/>
        <v>0</v>
      </c>
      <c r="O21">
        <f t="shared" si="24"/>
        <v>67.719398217712381</v>
      </c>
      <c r="P21">
        <f t="shared" si="22"/>
        <v>53.033951385299225</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14.685446832413156</v>
      </c>
      <c r="AB21">
        <f t="shared" si="11"/>
        <v>14.685446832413156</v>
      </c>
      <c r="AC21">
        <f t="shared" si="12"/>
        <v>0</v>
      </c>
      <c r="AD21">
        <f t="shared" si="3"/>
        <v>10.606790277059847</v>
      </c>
      <c r="AE21">
        <f t="shared" si="13"/>
        <v>0</v>
      </c>
      <c r="AF21">
        <f t="shared" si="14"/>
        <v>11.785322530066498</v>
      </c>
      <c r="AG21">
        <f t="shared" si="15"/>
        <v>21.213580554119691</v>
      </c>
      <c r="AH21">
        <f t="shared" si="16"/>
        <v>0</v>
      </c>
      <c r="AI21">
        <f t="shared" si="17"/>
        <v>2.7912605992262756</v>
      </c>
      <c r="AJ21">
        <f t="shared" si="18"/>
        <v>0</v>
      </c>
      <c r="AK21">
        <f t="shared" si="19"/>
        <v>10.606790277059847</v>
      </c>
      <c r="AL21">
        <f t="shared" si="20"/>
        <v>0</v>
      </c>
    </row>
    <row r="22" spans="1:38" x14ac:dyDescent="0.2">
      <c r="A22">
        <v>2039</v>
      </c>
      <c r="B22">
        <v>14</v>
      </c>
      <c r="C22">
        <f t="shared" si="21"/>
        <v>72.353279294872777</v>
      </c>
      <c r="D22">
        <f t="shared" si="23"/>
        <v>7.5625637457900794</v>
      </c>
      <c r="E22">
        <f t="shared" si="4"/>
        <v>7.5625637457900794</v>
      </c>
      <c r="F22">
        <f t="shared" si="5"/>
        <v>2.5307624655652745</v>
      </c>
      <c r="G22" s="9">
        <f t="shared" si="6"/>
        <v>0.1045227503092039</v>
      </c>
      <c r="H22" s="9">
        <f t="shared" si="6"/>
        <v>0.1045227503092039</v>
      </c>
      <c r="I22" s="9">
        <f t="shared" si="6"/>
        <v>3.4977854358905526E-2</v>
      </c>
      <c r="J22" s="9">
        <f t="shared" si="7"/>
        <v>1.3587957540196507E-2</v>
      </c>
      <c r="K22" s="9">
        <f t="shared" si="8"/>
        <v>2.090455006184078E-2</v>
      </c>
      <c r="L22" s="9">
        <f t="shared" si="9"/>
        <v>1.399114174356221E-2</v>
      </c>
      <c r="M22">
        <f t="shared" si="0"/>
        <v>68.900509623611811</v>
      </c>
      <c r="N22">
        <f t="shared" si="10"/>
        <v>0</v>
      </c>
      <c r="O22">
        <f t="shared" si="24"/>
        <v>68.900509623611811</v>
      </c>
      <c r="P22">
        <f t="shared" si="22"/>
        <v>58.369893014862917</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10.530616608748893</v>
      </c>
      <c r="AB22">
        <f t="shared" si="11"/>
        <v>10.530616608748893</v>
      </c>
      <c r="AC22">
        <f t="shared" si="12"/>
        <v>0</v>
      </c>
      <c r="AD22">
        <f t="shared" si="3"/>
        <v>11.673978602972584</v>
      </c>
      <c r="AE22">
        <f t="shared" si="13"/>
        <v>0</v>
      </c>
      <c r="AF22">
        <f t="shared" si="14"/>
        <v>12.971087336636204</v>
      </c>
      <c r="AG22">
        <f t="shared" si="15"/>
        <v>23.347957205945168</v>
      </c>
      <c r="AH22">
        <f t="shared" si="16"/>
        <v>0</v>
      </c>
      <c r="AI22">
        <f t="shared" si="17"/>
        <v>3.0720996323612062</v>
      </c>
      <c r="AJ22">
        <f t="shared" si="18"/>
        <v>0</v>
      </c>
      <c r="AK22">
        <f t="shared" si="19"/>
        <v>11.673978602972584</v>
      </c>
      <c r="AL22">
        <f t="shared" si="20"/>
        <v>0</v>
      </c>
    </row>
    <row r="23" spans="1:38" x14ac:dyDescent="0.2">
      <c r="A23">
        <v>2040</v>
      </c>
      <c r="B23">
        <v>15</v>
      </c>
      <c r="C23">
        <f t="shared" si="21"/>
        <v>73.872698160065099</v>
      </c>
      <c r="D23">
        <f t="shared" si="23"/>
        <v>8.2643132419599823</v>
      </c>
      <c r="E23">
        <f t="shared" si="4"/>
        <v>8.2643132419599823</v>
      </c>
      <c r="F23">
        <f t="shared" si="5"/>
        <v>2.7684963751801419</v>
      </c>
      <c r="G23" s="9">
        <f t="shared" si="6"/>
        <v>0.11187236215540851</v>
      </c>
      <c r="H23" s="9">
        <f t="shared" si="6"/>
        <v>0.11187236215540851</v>
      </c>
      <c r="I23" s="9">
        <f t="shared" si="6"/>
        <v>3.7476583963150345E-2</v>
      </c>
      <c r="J23" s="9">
        <f t="shared" si="7"/>
        <v>1.4543407080203106E-2</v>
      </c>
      <c r="K23" s="9">
        <f t="shared" si="8"/>
        <v>2.2374472431081704E-2</v>
      </c>
      <c r="L23" s="9">
        <f t="shared" si="9"/>
        <v>1.4990633585260139E-2</v>
      </c>
      <c r="M23">
        <f t="shared" si="0"/>
        <v>70.102636952069133</v>
      </c>
      <c r="N23">
        <f t="shared" si="10"/>
        <v>0</v>
      </c>
      <c r="O23">
        <f t="shared" si="24"/>
        <v>70.102636952069133</v>
      </c>
      <c r="P23">
        <f t="shared" si="22"/>
        <v>62.648174380227125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7.4544625718420079</v>
      </c>
      <c r="AB23">
        <f t="shared" si="11"/>
        <v>7.4544625718420079</v>
      </c>
      <c r="AC23">
        <f t="shared" si="12"/>
        <v>0</v>
      </c>
      <c r="AD23">
        <f t="shared" si="3"/>
        <v>12.529634876045426</v>
      </c>
      <c r="AE23">
        <f t="shared" si="13"/>
        <v>0</v>
      </c>
      <c r="AF23">
        <f t="shared" si="14"/>
        <v>13.921816528939363</v>
      </c>
      <c r="AG23">
        <f t="shared" si="15"/>
        <v>25.059269752090849</v>
      </c>
      <c r="AH23">
        <f t="shared" si="16"/>
        <v>0</v>
      </c>
      <c r="AI23">
        <f t="shared" si="17"/>
        <v>3.2972723358014275</v>
      </c>
      <c r="AJ23">
        <f t="shared" si="18"/>
        <v>0</v>
      </c>
      <c r="AK23">
        <f t="shared" si="19"/>
        <v>12.529634876045426</v>
      </c>
      <c r="AL23">
        <f t="shared" si="20"/>
        <v>0</v>
      </c>
    </row>
    <row r="24" spans="1:38" x14ac:dyDescent="0.2">
      <c r="A24">
        <v>2041</v>
      </c>
      <c r="B24">
        <v>16</v>
      </c>
      <c r="C24">
        <f t="shared" si="21"/>
        <v>75.424024821426457</v>
      </c>
      <c r="D24">
        <f t="shared" si="23"/>
        <v>8.9897308525721371</v>
      </c>
      <c r="E24">
        <f t="shared" si="4"/>
        <v>8.9897308525721371</v>
      </c>
      <c r="F24">
        <f t="shared" si="5"/>
        <v>3.0150519427827547</v>
      </c>
      <c r="G24" s="9">
        <f t="shared" si="6"/>
        <v>0.11918922218558581</v>
      </c>
      <c r="H24" s="9">
        <f t="shared" si="6"/>
        <v>0.11918922218558581</v>
      </c>
      <c r="I24" s="9">
        <f t="shared" si="6"/>
        <v>3.9974689098349982E-2</v>
      </c>
      <c r="J24" s="9">
        <f t="shared" si="7"/>
        <v>1.5494598884126156E-2</v>
      </c>
      <c r="K24" s="9">
        <f t="shared" si="8"/>
        <v>2.3837844437117162E-2</v>
      </c>
      <c r="L24" s="9">
        <f t="shared" si="9"/>
        <v>1.5989875639339995E-2</v>
      </c>
      <c r="M24">
        <f t="shared" si="0"/>
        <v>71.326241608325375</v>
      </c>
      <c r="N24">
        <f t="shared" si="10"/>
        <v>0</v>
      </c>
      <c r="O24">
        <f t="shared" si="24"/>
        <v>71.326241608325375</v>
      </c>
      <c r="P24">
        <f t="shared" si="22"/>
        <v>66.050931474710453</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5.2753101336149228</v>
      </c>
      <c r="AB24">
        <f t="shared" si="11"/>
        <v>5.2753101336149228</v>
      </c>
      <c r="AC24">
        <f t="shared" si="12"/>
        <v>0</v>
      </c>
      <c r="AD24">
        <f t="shared" si="3"/>
        <v>13.210186294942092</v>
      </c>
      <c r="AE24">
        <f t="shared" si="13"/>
        <v>0</v>
      </c>
      <c r="AF24">
        <f t="shared" si="14"/>
        <v>14.677984772157881</v>
      </c>
      <c r="AG24">
        <f t="shared" si="15"/>
        <v>26.420372589884181</v>
      </c>
      <c r="AH24">
        <f t="shared" si="16"/>
        <v>0</v>
      </c>
      <c r="AI24">
        <f t="shared" si="17"/>
        <v>3.4763648144584454</v>
      </c>
      <c r="AJ24">
        <f t="shared" si="18"/>
        <v>0</v>
      </c>
      <c r="AK24">
        <f t="shared" si="19"/>
        <v>13.210186294942092</v>
      </c>
      <c r="AL24">
        <f t="shared" si="20"/>
        <v>0</v>
      </c>
    </row>
    <row r="25" spans="1:38" x14ac:dyDescent="0.2">
      <c r="A25">
        <v>2042</v>
      </c>
      <c r="B25">
        <v>17</v>
      </c>
      <c r="C25">
        <f t="shared" si="21"/>
        <v>77.007929342676405</v>
      </c>
      <c r="D25">
        <f t="shared" si="23"/>
        <v>9.7392143401696956</v>
      </c>
      <c r="E25">
        <f t="shared" si="4"/>
        <v>9.7392143401696956</v>
      </c>
      <c r="F25">
        <f t="shared" si="5"/>
        <v>3.2706842515905166</v>
      </c>
      <c r="G25" s="9">
        <f t="shared" si="6"/>
        <v>0.1264702794024147</v>
      </c>
      <c r="H25" s="9">
        <f t="shared" si="6"/>
        <v>0.1264702794024147</v>
      </c>
      <c r="I25" s="9">
        <f t="shared" si="6"/>
        <v>4.2472045145329762E-2</v>
      </c>
      <c r="J25" s="9">
        <f t="shared" si="7"/>
        <v>1.6441136322313914E-2</v>
      </c>
      <c r="K25" s="9">
        <f t="shared" si="8"/>
        <v>2.5294055880482943E-2</v>
      </c>
      <c r="L25" s="9">
        <f t="shared" si="9"/>
        <v>1.6988818058131905E-2</v>
      </c>
      <c r="M25">
        <f t="shared" si="0"/>
        <v>72.571796651608636</v>
      </c>
      <c r="N25">
        <f t="shared" si="10"/>
        <v>0</v>
      </c>
      <c r="O25">
        <f t="shared" si="24"/>
        <v>72.571796651608636</v>
      </c>
      <c r="P25">
        <f>IF($I$3=0,0,M25/(1+EXP(-$I$3*(B25-$J$3)))-M25/(1+EXP($I$3*$J$3)))</f>
        <v>68.792386599479514</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3.7794100521291227</v>
      </c>
      <c r="AB25">
        <f t="shared" si="11"/>
        <v>3.7794100521291227</v>
      </c>
      <c r="AC25">
        <f t="shared" si="12"/>
        <v>0</v>
      </c>
      <c r="AD25">
        <f t="shared" si="3"/>
        <v>13.758477319895905</v>
      </c>
      <c r="AE25">
        <f t="shared" si="13"/>
        <v>0</v>
      </c>
      <c r="AF25">
        <f t="shared" si="14"/>
        <v>15.287197022106561</v>
      </c>
      <c r="AG25">
        <f t="shared" si="15"/>
        <v>27.516954639791805</v>
      </c>
      <c r="AH25">
        <f t="shared" si="16"/>
        <v>0</v>
      </c>
      <c r="AI25">
        <f t="shared" si="17"/>
        <v>3.6206519262883958</v>
      </c>
      <c r="AJ25">
        <f t="shared" si="18"/>
        <v>0</v>
      </c>
      <c r="AK25">
        <f t="shared" si="19"/>
        <v>13.758477319895905</v>
      </c>
      <c r="AL25">
        <f t="shared" si="20"/>
        <v>0</v>
      </c>
    </row>
    <row r="26" spans="1:38" x14ac:dyDescent="0.2">
      <c r="A26">
        <v>2043</v>
      </c>
      <c r="B26">
        <v>18</v>
      </c>
      <c r="C26">
        <f t="shared" si="21"/>
        <v>78.625095858872598</v>
      </c>
      <c r="D26">
        <f t="shared" si="23"/>
        <v>10.513161639896033</v>
      </c>
      <c r="E26">
        <f t="shared" si="4"/>
        <v>10.513161639896033</v>
      </c>
      <c r="F26">
        <f t="shared" si="5"/>
        <v>3.5356547958966402</v>
      </c>
      <c r="G26" s="9">
        <f t="shared" si="6"/>
        <v>0.13371254464053739</v>
      </c>
      <c r="H26" s="9">
        <f t="shared" si="6"/>
        <v>0.13371254464053739</v>
      </c>
      <c r="I26" s="9">
        <f t="shared" si="6"/>
        <v>4.4968527634521832E-2</v>
      </c>
      <c r="J26" s="9">
        <f t="shared" si="7"/>
        <v>1.738263080326986E-2</v>
      </c>
      <c r="K26" s="9">
        <f t="shared" si="8"/>
        <v>2.6742508928107478E-2</v>
      </c>
      <c r="L26" s="9">
        <f t="shared" si="9"/>
        <v>1.7987411053808734E-2</v>
      </c>
      <c r="M26">
        <f t="shared" si="0"/>
        <v>73.839786958635315</v>
      </c>
      <c r="N26">
        <f t="shared" si="10"/>
        <v>0</v>
      </c>
      <c r="O26">
        <f t="shared" si="24"/>
        <v>73.839786958635315</v>
      </c>
      <c r="P26">
        <f t="shared" si="22"/>
        <v>71.064597116009594</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2.7751898426257213</v>
      </c>
      <c r="AB26">
        <f t="shared" si="11"/>
        <v>2.7751898426257213</v>
      </c>
      <c r="AC26">
        <f t="shared" si="12"/>
        <v>0</v>
      </c>
      <c r="AD26">
        <f t="shared" si="3"/>
        <v>14.212919423201919</v>
      </c>
      <c r="AE26">
        <f t="shared" si="13"/>
        <v>0</v>
      </c>
      <c r="AF26">
        <f t="shared" si="14"/>
        <v>15.792132692446577</v>
      </c>
      <c r="AG26">
        <f t="shared" si="15"/>
        <v>28.425838846403842</v>
      </c>
      <c r="AH26">
        <f t="shared" si="16"/>
        <v>0</v>
      </c>
      <c r="AI26">
        <f t="shared" si="17"/>
        <v>3.7402419534741891</v>
      </c>
      <c r="AJ26">
        <f t="shared" si="18"/>
        <v>0</v>
      </c>
      <c r="AK26">
        <f t="shared" si="19"/>
        <v>14.212919423201919</v>
      </c>
      <c r="AL26">
        <f t="shared" si="20"/>
        <v>0</v>
      </c>
    </row>
    <row r="27" spans="1:38" x14ac:dyDescent="0.2">
      <c r="A27">
        <v>2044</v>
      </c>
      <c r="B27">
        <v>19</v>
      </c>
      <c r="C27">
        <f t="shared" si="21"/>
        <v>80.276222871908914</v>
      </c>
      <c r="D27">
        <f t="shared" si="23"/>
        <v>11.311971036526124</v>
      </c>
      <c r="E27">
        <f t="shared" si="4"/>
        <v>11.311971036526124</v>
      </c>
      <c r="F27">
        <f t="shared" si="5"/>
        <v>3.810231627440956</v>
      </c>
      <c r="G27" s="9">
        <f t="shared" si="6"/>
        <v>0.14091309520847581</v>
      </c>
      <c r="H27" s="9">
        <f t="shared" si="6"/>
        <v>0.14091309520847581</v>
      </c>
      <c r="I27" s="9">
        <f t="shared" si="6"/>
        <v>4.7464012270740152E-2</v>
      </c>
      <c r="J27" s="9">
        <f t="shared" si="7"/>
        <v>1.8318702377101856E-2</v>
      </c>
      <c r="K27" s="9">
        <f t="shared" si="8"/>
        <v>2.8182619041695164E-2</v>
      </c>
      <c r="L27" s="9">
        <f t="shared" si="9"/>
        <v>1.8985604908296063E-2</v>
      </c>
      <c r="M27">
        <f t="shared" si="0"/>
        <v>75.130709385452562</v>
      </c>
      <c r="N27">
        <f t="shared" si="10"/>
        <v>0</v>
      </c>
      <c r="O27">
        <f t="shared" si="24"/>
        <v>75.130709385452562</v>
      </c>
      <c r="P27">
        <f t="shared" si="22"/>
        <v>73.018711821088075</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2.1119975643644864</v>
      </c>
      <c r="AB27">
        <f t="shared" si="11"/>
        <v>2.1119975643644864</v>
      </c>
      <c r="AC27">
        <f t="shared" si="12"/>
        <v>0</v>
      </c>
      <c r="AD27">
        <f t="shared" si="3"/>
        <v>14.603742364217617</v>
      </c>
      <c r="AE27">
        <f t="shared" si="13"/>
        <v>0</v>
      </c>
      <c r="AF27">
        <f t="shared" si="14"/>
        <v>16.226380404686243</v>
      </c>
      <c r="AG27">
        <f t="shared" si="15"/>
        <v>29.207484728435229</v>
      </c>
      <c r="AH27">
        <f t="shared" si="16"/>
        <v>0</v>
      </c>
      <c r="AI27">
        <f t="shared" si="17"/>
        <v>3.8430900958467409</v>
      </c>
      <c r="AJ27">
        <f t="shared" si="18"/>
        <v>0</v>
      </c>
      <c r="AK27">
        <f t="shared" si="19"/>
        <v>14.603742364217617</v>
      </c>
      <c r="AL27">
        <f t="shared" si="20"/>
        <v>0</v>
      </c>
    </row>
    <row r="28" spans="1:38" x14ac:dyDescent="0.2">
      <c r="A28">
        <v>2045</v>
      </c>
      <c r="B28">
        <v>20</v>
      </c>
      <c r="C28">
        <f t="shared" si="21"/>
        <v>81.962023552218994</v>
      </c>
      <c r="D28">
        <f t="shared" si="23"/>
        <v>12.136041364365916</v>
      </c>
      <c r="E28">
        <f t="shared" si="4"/>
        <v>12.136041364365916</v>
      </c>
      <c r="F28">
        <f t="shared" si="5"/>
        <v>4.094689504928354</v>
      </c>
      <c r="G28" s="9">
        <f t="shared" si="6"/>
        <v>0.14806907929297156</v>
      </c>
      <c r="H28" s="9">
        <f t="shared" si="6"/>
        <v>0.14806907929297156</v>
      </c>
      <c r="I28" s="9">
        <f t="shared" si="6"/>
        <v>4.9958374957880074E-2</v>
      </c>
      <c r="J28" s="9">
        <f t="shared" si="7"/>
        <v>1.9248980308086302E-2</v>
      </c>
      <c r="K28" s="9">
        <f t="shared" si="8"/>
        <v>2.9613815858594312E-2</v>
      </c>
      <c r="L28" s="9">
        <f t="shared" si="9"/>
        <v>1.9983349983152029E-2</v>
      </c>
      <c r="M28">
        <f t="shared" si="0"/>
        <v>76.445072927938327</v>
      </c>
      <c r="N28">
        <f t="shared" si="10"/>
        <v>0</v>
      </c>
      <c r="O28">
        <f t="shared" si="24"/>
        <v>76.445072927938327</v>
      </c>
      <c r="P28">
        <f t="shared" si="22"/>
        <v>74.765277666636791</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1.6797952613015354</v>
      </c>
      <c r="AB28">
        <f t="shared" si="11"/>
        <v>1.6797952613015354</v>
      </c>
      <c r="AC28">
        <f t="shared" si="12"/>
        <v>0</v>
      </c>
      <c r="AD28">
        <f t="shared" si="3"/>
        <v>14.953055533327358</v>
      </c>
      <c r="AE28">
        <f t="shared" si="13"/>
        <v>0</v>
      </c>
      <c r="AF28">
        <f t="shared" si="14"/>
        <v>16.614506148141508</v>
      </c>
      <c r="AG28">
        <f t="shared" si="15"/>
        <v>29.906111066654717</v>
      </c>
      <c r="AH28">
        <f t="shared" si="16"/>
        <v>0</v>
      </c>
      <c r="AI28">
        <f t="shared" si="17"/>
        <v>3.9350146140335149</v>
      </c>
      <c r="AJ28">
        <f t="shared" si="18"/>
        <v>0</v>
      </c>
      <c r="AK28">
        <f t="shared" si="19"/>
        <v>14.953055533327358</v>
      </c>
      <c r="AL28">
        <f t="shared" si="20"/>
        <v>0</v>
      </c>
    </row>
    <row r="29" spans="1:38" x14ac:dyDescent="0.2">
      <c r="A29">
        <v>2046</v>
      </c>
      <c r="B29">
        <v>21</v>
      </c>
      <c r="C29">
        <f t="shared" si="21"/>
        <v>83.683226046815591</v>
      </c>
      <c r="D29">
        <f t="shared" si="23"/>
        <v>12.985772229645534</v>
      </c>
      <c r="E29">
        <f t="shared" si="4"/>
        <v>12.985772229645534</v>
      </c>
      <c r="F29">
        <f t="shared" si="5"/>
        <v>4.389310046761473</v>
      </c>
      <c r="G29" s="9">
        <f t="shared" si="6"/>
        <v>0.15517772011299846</v>
      </c>
      <c r="H29" s="9">
        <f t="shared" si="6"/>
        <v>0.15517772011299846</v>
      </c>
      <c r="I29" s="9">
        <f t="shared" si="6"/>
        <v>5.245149182353373E-2</v>
      </c>
      <c r="J29" s="9">
        <f t="shared" si="7"/>
        <v>2.01731036146898E-2</v>
      </c>
      <c r="K29" s="9">
        <f t="shared" si="8"/>
        <v>3.1035544022599695E-2</v>
      </c>
      <c r="L29" s="9">
        <f t="shared" si="9"/>
        <v>2.0980596729413492E-2</v>
      </c>
      <c r="M29">
        <f t="shared" si="0"/>
        <v>77.783398881299746</v>
      </c>
      <c r="N29">
        <f t="shared" si="10"/>
        <v>0</v>
      </c>
      <c r="O29">
        <f t="shared" si="24"/>
        <v>77.783398881299746</v>
      </c>
      <c r="P29">
        <f t="shared" si="22"/>
        <v>76.381700824934981</v>
      </c>
      <c r="Q29" s="9">
        <f t="shared" si="1"/>
        <v>0.98197947021441157</v>
      </c>
      <c r="R29">
        <f>VLOOKUP($B$1,dictionary!$A$3:$K$51,3,FALSE)*Q29</f>
        <v>0.19639589404288232</v>
      </c>
      <c r="S29">
        <f>VLOOKUP($B$1,dictionary!$A$3:$K$51,4,FALSE)*Q29</f>
        <v>0</v>
      </c>
      <c r="T29">
        <f>VLOOKUP($B$1,dictionary!$A$3:$K$51,5,FALSE)*Q29</f>
        <v>0.19639589404288232</v>
      </c>
      <c r="U29">
        <f>VLOOKUP($B$1,dictionary!$A$3:$K$51,6,FALSE)*Q29</f>
        <v>0.34369281457504403</v>
      </c>
      <c r="V29">
        <f>VLOOKUP($B$1,dictionary!$A$3:$K$51,7,FALSE)*Q29</f>
        <v>0</v>
      </c>
      <c r="W29">
        <f>VLOOKUP($B$1,dictionary!$A$3:$K$51,8,FALSE)*Q29</f>
        <v>4.9098973510720581E-2</v>
      </c>
      <c r="X29">
        <f>VLOOKUP($B$1,dictionary!$A$3:$K$51,9,FALSE)*Q29</f>
        <v>0</v>
      </c>
      <c r="Y29">
        <f>VLOOKUP($B$1,dictionary!$A$3:$K$51,10,FALSE)*Q29</f>
        <v>0.19639589404288232</v>
      </c>
      <c r="Z29">
        <f>VLOOKUP($B$1,dictionary!$A$3:$K$51,11,FALSE)*Q29</f>
        <v>0</v>
      </c>
      <c r="AA29">
        <f t="shared" si="2"/>
        <v>1.401698056364765</v>
      </c>
      <c r="AB29">
        <f t="shared" si="11"/>
        <v>1.401698056364765</v>
      </c>
      <c r="AC29">
        <f t="shared" si="12"/>
        <v>0</v>
      </c>
      <c r="AD29">
        <f t="shared" si="3"/>
        <v>15.276340164986996</v>
      </c>
      <c r="AE29">
        <f t="shared" si="13"/>
        <v>0</v>
      </c>
      <c r="AF29">
        <f t="shared" si="14"/>
        <v>16.973711294429997</v>
      </c>
      <c r="AG29">
        <f t="shared" si="15"/>
        <v>30.552680329973992</v>
      </c>
      <c r="AH29">
        <f t="shared" si="16"/>
        <v>0</v>
      </c>
      <c r="AI29">
        <f t="shared" si="17"/>
        <v>4.0200895171018409</v>
      </c>
      <c r="AJ29">
        <f t="shared" si="18"/>
        <v>0</v>
      </c>
      <c r="AK29">
        <f t="shared" si="19"/>
        <v>15.276340164986996</v>
      </c>
      <c r="AL29">
        <f t="shared" si="20"/>
        <v>0</v>
      </c>
    </row>
    <row r="30" spans="1:38" x14ac:dyDescent="0.2">
      <c r="A30">
        <v>2047</v>
      </c>
      <c r="B30">
        <v>22</v>
      </c>
      <c r="C30">
        <f t="shared" si="21"/>
        <v>85.440573793798706</v>
      </c>
      <c r="D30">
        <f t="shared" si="23"/>
        <v>13.861564254946792</v>
      </c>
      <c r="E30">
        <f t="shared" si="4"/>
        <v>13.861564254946792</v>
      </c>
      <c r="F30">
        <f t="shared" si="5"/>
        <v>4.6943818870556058</v>
      </c>
      <c r="G30" s="9">
        <f t="shared" si="6"/>
        <v>0.16223631981217884</v>
      </c>
      <c r="H30" s="9">
        <f t="shared" si="6"/>
        <v>0.16223631981217884</v>
      </c>
      <c r="I30" s="9">
        <f t="shared" si="6"/>
        <v>5.4943239243511785E-2</v>
      </c>
      <c r="J30" s="9">
        <f t="shared" si="7"/>
        <v>2.1090721575583251E-2</v>
      </c>
      <c r="K30" s="9">
        <f t="shared" si="8"/>
        <v>3.2447263962435767E-2</v>
      </c>
      <c r="L30" s="9">
        <f t="shared" si="9"/>
        <v>2.1977295697404715E-2</v>
      </c>
      <c r="M30">
        <f t="shared" si="0"/>
        <v>79.14622099893252</v>
      </c>
      <c r="N30">
        <f t="shared" si="10"/>
        <v>0</v>
      </c>
      <c r="O30">
        <f t="shared" si="24"/>
        <v>79.14622099893252</v>
      </c>
      <c r="P30">
        <f t="shared" si="22"/>
        <v>77.920782980121587</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1.2254380188109337</v>
      </c>
      <c r="AB30">
        <f t="shared" si="11"/>
        <v>1.2254380188109337</v>
      </c>
      <c r="AC30">
        <f t="shared" si="12"/>
        <v>0</v>
      </c>
      <c r="AD30">
        <f t="shared" si="3"/>
        <v>15.584156596024318</v>
      </c>
      <c r="AE30">
        <f t="shared" si="13"/>
        <v>0</v>
      </c>
      <c r="AF30">
        <f t="shared" si="14"/>
        <v>17.315729551138134</v>
      </c>
      <c r="AG30">
        <f t="shared" si="15"/>
        <v>31.168313192048636</v>
      </c>
      <c r="AH30">
        <f t="shared" si="16"/>
        <v>0</v>
      </c>
      <c r="AI30">
        <f t="shared" si="17"/>
        <v>4.101093841059031</v>
      </c>
      <c r="AJ30">
        <f t="shared" si="18"/>
        <v>0</v>
      </c>
      <c r="AK30">
        <f t="shared" si="19"/>
        <v>15.584156596024318</v>
      </c>
      <c r="AL30">
        <f t="shared" si="20"/>
        <v>0</v>
      </c>
    </row>
    <row r="31" spans="1:38" x14ac:dyDescent="0.2">
      <c r="A31">
        <v>2048</v>
      </c>
      <c r="B31">
        <v>23</v>
      </c>
      <c r="C31">
        <f t="shared" si="21"/>
        <v>87.234825843468471</v>
      </c>
      <c r="D31">
        <f t="shared" si="23"/>
        <v>14.763819345125292</v>
      </c>
      <c r="E31">
        <f t="shared" si="4"/>
        <v>14.763819345125292</v>
      </c>
      <c r="F31">
        <f t="shared" si="5"/>
        <v>5.0102008350049942</v>
      </c>
      <c r="G31" s="9">
        <f t="shared" si="6"/>
        <v>0.16924226307985119</v>
      </c>
      <c r="H31" s="9">
        <f t="shared" si="6"/>
        <v>0.16924226307985119</v>
      </c>
      <c r="I31" s="9">
        <f t="shared" si="6"/>
        <v>5.743349386625872E-2</v>
      </c>
      <c r="J31" s="9">
        <f t="shared" si="7"/>
        <v>2.2001494200380656E-2</v>
      </c>
      <c r="K31" s="9">
        <f t="shared" si="8"/>
        <v>3.3848452615970241E-2</v>
      </c>
      <c r="L31" s="9">
        <f t="shared" si="9"/>
        <v>2.2973397546503488E-2</v>
      </c>
      <c r="M31">
        <f t="shared" si="0"/>
        <v>80.534085651024228</v>
      </c>
      <c r="N31">
        <f t="shared" si="10"/>
        <v>0</v>
      </c>
      <c r="O31">
        <f t="shared" si="24"/>
        <v>80.534085651024228</v>
      </c>
      <c r="P31">
        <f t="shared" si="22"/>
        <v>79.417998243786002</v>
      </c>
      <c r="Q31" s="9">
        <f t="shared" si="1"/>
        <v>0.98614142821370654</v>
      </c>
      <c r="R31">
        <f>VLOOKUP($B$1,dictionary!$A$3:$K$51,3,FALSE)*Q31</f>
        <v>0.19722828564274131</v>
      </c>
      <c r="S31">
        <f>VLOOKUP($B$1,dictionary!$A$3:$K$51,4,FALSE)*Q31</f>
        <v>0</v>
      </c>
      <c r="T31">
        <f>VLOOKUP($B$1,dictionary!$A$3:$K$51,5,FALSE)*Q31</f>
        <v>0.19722828564274131</v>
      </c>
      <c r="U31">
        <f>VLOOKUP($B$1,dictionary!$A$3:$K$51,6,FALSE)*Q31</f>
        <v>0.34514949987479726</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1.1160874072382256</v>
      </c>
      <c r="AB31">
        <f t="shared" si="11"/>
        <v>1.1160874072382256</v>
      </c>
      <c r="AC31">
        <f t="shared" si="12"/>
        <v>0</v>
      </c>
      <c r="AD31">
        <f t="shared" si="3"/>
        <v>15.883599648757201</v>
      </c>
      <c r="AE31">
        <f t="shared" si="13"/>
        <v>0</v>
      </c>
      <c r="AF31">
        <f t="shared" si="14"/>
        <v>17.648444054174668</v>
      </c>
      <c r="AG31">
        <f t="shared" si="15"/>
        <v>31.767199297514402</v>
      </c>
      <c r="AH31">
        <f t="shared" si="16"/>
        <v>0</v>
      </c>
      <c r="AI31">
        <f t="shared" si="17"/>
        <v>4.1798946444097895</v>
      </c>
      <c r="AJ31">
        <f t="shared" si="18"/>
        <v>0</v>
      </c>
      <c r="AK31">
        <f t="shared" si="19"/>
        <v>15.883599648757201</v>
      </c>
      <c r="AL31">
        <f t="shared" si="20"/>
        <v>0</v>
      </c>
    </row>
    <row r="32" spans="1:38" x14ac:dyDescent="0.2">
      <c r="A32">
        <v>2049</v>
      </c>
      <c r="B32">
        <v>24</v>
      </c>
      <c r="C32">
        <f t="shared" si="21"/>
        <v>89.066757186181306</v>
      </c>
      <c r="D32">
        <f t="shared" si="23"/>
        <v>15.692940974113505</v>
      </c>
      <c r="E32">
        <f t="shared" si="4"/>
        <v>15.692940974113505</v>
      </c>
      <c r="F32">
        <f t="shared" si="5"/>
        <v>5.3370700376715874</v>
      </c>
      <c r="G32" s="9">
        <f t="shared" si="6"/>
        <v>0.17619302049259139</v>
      </c>
      <c r="H32" s="9">
        <f t="shared" si="6"/>
        <v>0.17619302049259139</v>
      </c>
      <c r="I32" s="9">
        <f t="shared" si="6"/>
        <v>5.9922132637154471E-2</v>
      </c>
      <c r="J32" s="9">
        <f t="shared" si="7"/>
        <v>2.2905092664036883E-2</v>
      </c>
      <c r="K32" s="9">
        <f t="shared" si="8"/>
        <v>3.5238604098518277E-2</v>
      </c>
      <c r="L32" s="9">
        <f t="shared" si="9"/>
        <v>2.396885305486179E-2</v>
      </c>
      <c r="M32">
        <f t="shared" si="0"/>
        <v>81.947551983300869</v>
      </c>
      <c r="N32">
        <f t="shared" si="10"/>
        <v>0</v>
      </c>
      <c r="O32">
        <f t="shared" si="24"/>
        <v>81.947551983300869</v>
      </c>
      <c r="P32">
        <f t="shared" si="22"/>
        <v>80.896994071670633</v>
      </c>
      <c r="Q32" s="9">
        <f t="shared" si="1"/>
        <v>0.98718011842691389</v>
      </c>
      <c r="R32">
        <f>VLOOKUP($B$1,dictionary!$A$3:$K$51,3,FALSE)*Q32</f>
        <v>0.19743602368538279</v>
      </c>
      <c r="S32">
        <f>VLOOKUP($B$1,dictionary!$A$3:$K$51,4,FALSE)*Q32</f>
        <v>0</v>
      </c>
      <c r="T32">
        <f>VLOOKUP($B$1,dictionary!$A$3:$K$51,5,FALSE)*Q32</f>
        <v>0.19743602368538279</v>
      </c>
      <c r="U32">
        <f>VLOOKUP($B$1,dictionary!$A$3:$K$51,6,FALSE)*Q32</f>
        <v>0.34551304144941986</v>
      </c>
      <c r="V32">
        <f>VLOOKUP($B$1,dictionary!$A$3:$K$51,7,FALSE)*Q32</f>
        <v>0</v>
      </c>
      <c r="W32">
        <f>VLOOKUP($B$1,dictionary!$A$3:$K$51,8,FALSE)*Q32</f>
        <v>4.9359005921345699E-2</v>
      </c>
      <c r="X32">
        <f>VLOOKUP($B$1,dictionary!$A$3:$K$51,9,FALSE)*Q32</f>
        <v>0</v>
      </c>
      <c r="Y32">
        <f>VLOOKUP($B$1,dictionary!$A$3:$K$51,10,FALSE)*Q32</f>
        <v>0.19743602368538279</v>
      </c>
      <c r="Z32">
        <f>VLOOKUP($B$1,dictionary!$A$3:$K$51,11,FALSE)*Q32</f>
        <v>0</v>
      </c>
      <c r="AA32">
        <f t="shared" si="2"/>
        <v>1.0505579116302357</v>
      </c>
      <c r="AB32">
        <f t="shared" si="11"/>
        <v>1.0505579116302357</v>
      </c>
      <c r="AC32">
        <f t="shared" si="12"/>
        <v>0</v>
      </c>
      <c r="AD32">
        <f t="shared" si="3"/>
        <v>16.179398814334128</v>
      </c>
      <c r="AE32">
        <f t="shared" si="13"/>
        <v>0</v>
      </c>
      <c r="AF32">
        <f t="shared" si="14"/>
        <v>17.977109793704589</v>
      </c>
      <c r="AG32">
        <f t="shared" si="15"/>
        <v>32.358797628668256</v>
      </c>
      <c r="AH32">
        <f t="shared" si="16"/>
        <v>0</v>
      </c>
      <c r="AI32">
        <f t="shared" si="17"/>
        <v>4.2577365300879286</v>
      </c>
      <c r="AJ32">
        <f t="shared" si="18"/>
        <v>0</v>
      </c>
      <c r="AK32">
        <f t="shared" si="19"/>
        <v>16.179398814334128</v>
      </c>
      <c r="AL32">
        <f t="shared" si="20"/>
        <v>0</v>
      </c>
    </row>
    <row r="33" spans="1:38" x14ac:dyDescent="0.2">
      <c r="A33">
        <v>2050</v>
      </c>
      <c r="B33">
        <v>25</v>
      </c>
      <c r="C33">
        <f t="shared" si="21"/>
        <v>90.937159087091104</v>
      </c>
      <c r="D33">
        <f t="shared" si="23"/>
        <v>16.649334491922986</v>
      </c>
      <c r="E33">
        <f t="shared" si="4"/>
        <v>16.649334491922986</v>
      </c>
      <c r="F33">
        <f t="shared" si="5"/>
        <v>5.6753001462684125</v>
      </c>
      <c r="G33" s="9">
        <f t="shared" si="6"/>
        <v>0.18308615156954497</v>
      </c>
      <c r="H33" s="9">
        <f t="shared" si="6"/>
        <v>0.18308615156954497</v>
      </c>
      <c r="I33" s="9">
        <f t="shared" si="6"/>
        <v>6.2409032822689579E-2</v>
      </c>
      <c r="J33" s="9">
        <f t="shared" si="7"/>
        <v>2.3801199704040849E-2</v>
      </c>
      <c r="K33" s="9">
        <f t="shared" si="8"/>
        <v>3.6617230313908997E-2</v>
      </c>
      <c r="L33" s="9">
        <f t="shared" si="9"/>
        <v>2.4963613129075832E-2</v>
      </c>
      <c r="M33">
        <f t="shared" si="0"/>
        <v>83.387192076332013</v>
      </c>
      <c r="N33">
        <f t="shared" si="10"/>
        <v>0</v>
      </c>
      <c r="O33">
        <f t="shared" si="24"/>
        <v>83.387192076332013</v>
      </c>
      <c r="P33">
        <f t="shared" si="22"/>
        <v>82.373499603755661</v>
      </c>
      <c r="Q33" s="9">
        <f t="shared" si="1"/>
        <v>0.98784354710435118</v>
      </c>
      <c r="R33">
        <f>VLOOKUP($B$1,dictionary!$A$3:$K$51,3,FALSE)*Q33</f>
        <v>0.19756870942087024</v>
      </c>
      <c r="S33">
        <f>VLOOKUP($B$1,dictionary!$A$3:$K$51,4,FALSE)*Q33</f>
        <v>0</v>
      </c>
      <c r="T33">
        <f>VLOOKUP($B$1,dictionary!$A$3:$K$51,5,FALSE)*Q33</f>
        <v>0.19756870942087024</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0.19756870942087024</v>
      </c>
      <c r="Z33">
        <f>VLOOKUP($B$1,dictionary!$A$3:$K$51,11,FALSE)*Q33</f>
        <v>0</v>
      </c>
      <c r="AA33">
        <f t="shared" si="2"/>
        <v>1.0136924725763521</v>
      </c>
      <c r="AB33">
        <f t="shared" si="11"/>
        <v>1.0136924725763521</v>
      </c>
      <c r="AC33">
        <f t="shared" si="12"/>
        <v>0</v>
      </c>
      <c r="AD33">
        <f t="shared" si="3"/>
        <v>16.474699920751132</v>
      </c>
      <c r="AE33">
        <f t="shared" si="13"/>
        <v>0</v>
      </c>
      <c r="AF33">
        <f t="shared" si="14"/>
        <v>18.305222134167924</v>
      </c>
      <c r="AG33">
        <f t="shared" si="15"/>
        <v>32.94939984150227</v>
      </c>
      <c r="AH33">
        <f t="shared" si="16"/>
        <v>0</v>
      </c>
      <c r="AI33">
        <f t="shared" si="17"/>
        <v>4.3354473475660873</v>
      </c>
      <c r="AJ33">
        <f t="shared" si="18"/>
        <v>0</v>
      </c>
      <c r="AK33">
        <f t="shared" si="19"/>
        <v>16.474699920751132</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1525-72A4-B842-9AB7-50ED17604C62}">
  <sheetPr>
    <tabColor theme="4" tint="0.79998168889431442"/>
  </sheetPr>
  <dimension ref="A1:AY37"/>
  <sheetViews>
    <sheetView topLeftCell="H1" zoomScale="93" zoomScaleNormal="125" workbookViewId="0">
      <selection activeCell="C8" sqref="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28</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emissions!N33</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f>IF($N$7="LFO",M8/(1+EXP(-$I$4*(B8-$J$4)))-M8/(1+EXP($I$4*$J$4)),IF($N$7="MGO",M8/(1+EXP(-$I$5*(B8-$J$5)))-M8/(1+EXP($I$5*$J$5)),0))</f>
        <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f t="shared" ref="N9:N33" si="10">IF($N$7="LFO",M9/(1+EXP(-$I$4*(B9-$J$4)))-M9/(1+EXP($I$4*$J$4)),IF($N$7="MGO",M9/(1+EXP(-$I$5*(B9-$J$5)))-M9/(1+EXP($I$5*$J$5)),0))</f>
        <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f t="shared" si="10"/>
        <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f t="shared" si="10"/>
        <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f t="shared" si="10"/>
        <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f t="shared" si="10"/>
        <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f t="shared" si="10"/>
        <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f t="shared" si="10"/>
        <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f t="shared" si="10"/>
        <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f t="shared" si="10"/>
        <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f t="shared" si="10"/>
        <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f t="shared" si="10"/>
        <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f t="shared" si="10"/>
        <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f t="shared" si="10"/>
        <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f t="shared" si="10"/>
        <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f t="shared" si="10"/>
        <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f t="shared" si="10"/>
        <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f t="shared" si="10"/>
        <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f t="shared" si="10"/>
        <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f t="shared" si="10"/>
        <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f t="shared" si="10"/>
        <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f t="shared" si="10"/>
        <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f t="shared" si="10"/>
        <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f t="shared" si="10"/>
        <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f t="shared" si="10"/>
        <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f t="shared" si="10"/>
        <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B4BB-11B8-BF4A-A927-69F304598203}">
  <sheetPr>
    <tabColor theme="4" tint="0.79998168889431442"/>
  </sheetPr>
  <dimension ref="A1:AY37"/>
  <sheetViews>
    <sheetView topLeftCell="O1" zoomScale="93" zoomScaleNormal="125" workbookViewId="0">
      <selection activeCell="B5" sqref="B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19</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21.54349318047257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21.54349318047257</v>
      </c>
      <c r="N8">
        <f>IF($N$7="LFO",M8/(1+EXP(-$I$4*(B8-$J$4)))-M8/(1+EXP($I$4*$J$4)),IF($N$7="MGO",M8/(1+EXP(-$I$5*(B8-$J$5)))-M8/(1+EXP($I$5*$J$5)),0))</f>
        <v>0</v>
      </c>
      <c r="O8">
        <f>M8-N8</f>
        <v>21.54349318047257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21.54349318047257</v>
      </c>
      <c r="AB8">
        <f>O8/M8*AA8</f>
        <v>21.54349318047257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21.995906537262492</v>
      </c>
      <c r="D9">
        <f>IF($E$2=0,0,C9/(1+EXP(-$E$2*(B9-$G$2)))-C9/(1+EXP($E$2*$G$2)))</f>
        <v>0.16421689779408943</v>
      </c>
      <c r="E9">
        <f t="shared" ref="E9:E33" si="4">IF($E$3=0,0,C9/(1+EXP(-$E$3*(B9-$G$3)))-C9/(1+EXP($E$3*$G$3)))</f>
        <v>0.16421689779408943</v>
      </c>
      <c r="F9">
        <f t="shared" ref="F9:F33" si="5">IF($E$4=0,0,C9/(1+EXP(-$E$4*(B9-$G$4)))-C9/(1+EXP($E$4*$G$4)))</f>
        <v>0</v>
      </c>
      <c r="G9" s="9">
        <f t="shared" ref="G9:I33" si="6">D9/$C9</f>
        <v>7.4657935791778056E-3</v>
      </c>
      <c r="H9" s="9">
        <f t="shared" si="6"/>
        <v>7.4657935791778056E-3</v>
      </c>
      <c r="I9" s="9">
        <f t="shared" si="6"/>
        <v>0</v>
      </c>
      <c r="J9" s="9">
        <f t="shared" ref="J9:J33" si="7">G9*$F$2</f>
        <v>9.7055316529311478E-4</v>
      </c>
      <c r="K9" s="9">
        <f t="shared" ref="K9:K33" si="8">H9*$F$3</f>
        <v>1.4931587158355613E-3</v>
      </c>
      <c r="L9" s="9">
        <f t="shared" ref="L9:L33" si="9">I9*$F$4</f>
        <v>0</v>
      </c>
      <c r="M9">
        <f t="shared" si="0"/>
        <v>21.94174683723643</v>
      </c>
      <c r="N9">
        <f t="shared" ref="N9:N33" si="10">IF($N$7="LFO",M9/(1+EXP(-$I$4*(B9-$J$4)))-M9/(1+EXP($I$4*$J$4)),IF($N$7="MGO",M9/(1+EXP(-$I$5*(B9-$J$5)))-M9/(1+EXP($I$5*$J$5)),0))</f>
        <v>1.0762359395497292</v>
      </c>
      <c r="O9">
        <f>M9-N9</f>
        <v>20.865510897686701</v>
      </c>
      <c r="P9">
        <f>IF($I$3=0,0,M9/(1+EXP(-$I$3*(B9-$J$3)))-M9/(1+EXP($I$3*$J$3)))</f>
        <v>0.13465849013038431</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21.807088347106045</v>
      </c>
      <c r="AB9">
        <f t="shared" ref="AB9:AB33" si="11">O9/M9*AA9</f>
        <v>20.737457365115933</v>
      </c>
      <c r="AC9">
        <f t="shared" ref="AC9:AC33" si="12">N9/M9*AA9</f>
        <v>1.0696309819901115</v>
      </c>
      <c r="AD9">
        <f t="shared" si="3"/>
        <v>2.6931698026076863E-2</v>
      </c>
      <c r="AE9">
        <f t="shared" ref="AE9:AE33" si="13">S9*$O9*$AE$2+S9*$N9*$AE$3</f>
        <v>0</v>
      </c>
      <c r="AF9">
        <f t="shared" ref="AF9:AF33" si="14">T9*$O9*$AF$2+T9*$N9*$AF$3</f>
        <v>2.9924108917863183E-2</v>
      </c>
      <c r="AG9">
        <f t="shared" ref="AG9:AG33" si="15">U9*$O9*$AG$2+U9*$N9*$AG$3</f>
        <v>5.386339605215372E-2</v>
      </c>
      <c r="AH9">
        <f t="shared" ref="AH9:AH33" si="16">V9*$O9*$AH$2+V9*$N9*$AH$3</f>
        <v>0</v>
      </c>
      <c r="AI9">
        <f t="shared" ref="AI9:AI33" si="17">W9*$O9*$AI$2+W9*$N9*$AI$3</f>
        <v>7.0872889542307532E-3</v>
      </c>
      <c r="AJ9">
        <f t="shared" ref="AJ9:AJ33" si="18">X9*$O9*$AJ$2+X9*$N9*$AJ$3</f>
        <v>0</v>
      </c>
      <c r="AK9">
        <f t="shared" ref="AK9:AK33" si="19">Y9*$O9*$AK$2+Y9*$N9*$AK$3</f>
        <v>2.6931698026076863E-2</v>
      </c>
      <c r="AL9">
        <f t="shared" ref="AL9:AL33" si="20">Z9*$O9*$AL$2+Z9*$N9*$AL$3</f>
        <v>0</v>
      </c>
    </row>
    <row r="10" spans="1:51" x14ac:dyDescent="0.2">
      <c r="A10">
        <v>2027</v>
      </c>
      <c r="B10">
        <v>2</v>
      </c>
      <c r="C10">
        <f t="shared" ref="C10:C33" si="21">C9*(1+$I$2)</f>
        <v>22.457820574545003</v>
      </c>
      <c r="D10">
        <f>IF($E$2=0,0,C10/(1+EXP(-$E$2*(B10-$G$2)))-C10/(1+EXP($E$2*$G$2)))</f>
        <v>0.33563259003856949</v>
      </c>
      <c r="E10">
        <f t="shared" si="4"/>
        <v>0.33563259003856949</v>
      </c>
      <c r="F10">
        <f t="shared" si="5"/>
        <v>0</v>
      </c>
      <c r="G10" s="9">
        <f t="shared" si="6"/>
        <v>1.4945020551949503E-2</v>
      </c>
      <c r="H10" s="9">
        <f t="shared" si="6"/>
        <v>1.4945020551949503E-2</v>
      </c>
      <c r="I10" s="9">
        <f t="shared" si="6"/>
        <v>0</v>
      </c>
      <c r="J10" s="9">
        <f t="shared" si="7"/>
        <v>1.9428526717534355E-3</v>
      </c>
      <c r="K10" s="9">
        <f t="shared" si="8"/>
        <v>2.9890041103899007E-3</v>
      </c>
      <c r="L10" s="9">
        <f t="shared" si="9"/>
        <v>0</v>
      </c>
      <c r="M10">
        <f t="shared" si="0"/>
        <v>22.347192236767132</v>
      </c>
      <c r="N10">
        <f t="shared" si="10"/>
        <v>2.3827687815786058</v>
      </c>
      <c r="O10">
        <f>M10-N10</f>
        <v>19.964423455188527</v>
      </c>
      <c r="P10">
        <f t="shared" ref="P10:P33" si="22">IF($I$3=0,0,M10/(1+EXP(-$I$3*(B10-$J$3)))-M10/(1+EXP($I$3*$J$3)))</f>
        <v>0.34884080932208417</v>
      </c>
      <c r="Q10" s="9">
        <f t="shared" si="1"/>
        <v>1.5610050946272677E-2</v>
      </c>
      <c r="R10">
        <f>VLOOKUP($B$1,dictionary!$A$3:$K$51,3,FALSE)*Q10</f>
        <v>3.1220101892545354E-3</v>
      </c>
      <c r="S10">
        <f>VLOOKUP($B$1,dictionary!$A$3:$K$51,4,FALSE)*Q10</f>
        <v>0</v>
      </c>
      <c r="T10">
        <f>VLOOKUP($B$1,dictionary!$A$3:$K$51,5,FALSE)*Q10</f>
        <v>3.1220101892545354E-3</v>
      </c>
      <c r="U10">
        <f>VLOOKUP($B$1,dictionary!$A$3:$K$51,6,FALSE)*Q10</f>
        <v>5.4635178311954365E-3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21.998351427445048</v>
      </c>
      <c r="AB10">
        <f t="shared" si="11"/>
        <v>19.652777787940074</v>
      </c>
      <c r="AC10">
        <f t="shared" si="12"/>
        <v>2.3455736395049755</v>
      </c>
      <c r="AD10">
        <f t="shared" si="3"/>
        <v>6.9768161864416839E-2</v>
      </c>
      <c r="AE10">
        <f t="shared" si="13"/>
        <v>0</v>
      </c>
      <c r="AF10">
        <f t="shared" si="14"/>
        <v>7.7520179849352056E-2</v>
      </c>
      <c r="AG10">
        <f t="shared" si="15"/>
        <v>0.13953632372883368</v>
      </c>
      <c r="AH10">
        <f t="shared" si="16"/>
        <v>0</v>
      </c>
      <c r="AI10">
        <f t="shared" si="17"/>
        <v>1.836004259589917E-2</v>
      </c>
      <c r="AJ10">
        <f t="shared" si="18"/>
        <v>0</v>
      </c>
      <c r="AK10">
        <f t="shared" si="19"/>
        <v>6.9768161864416839E-2</v>
      </c>
      <c r="AL10">
        <f t="shared" si="20"/>
        <v>0</v>
      </c>
    </row>
    <row r="11" spans="1:51" x14ac:dyDescent="0.2">
      <c r="A11">
        <v>2028</v>
      </c>
      <c r="B11">
        <v>3</v>
      </c>
      <c r="C11">
        <f t="shared" si="21"/>
        <v>22.929434806610445</v>
      </c>
      <c r="D11">
        <f t="shared" ref="D11:D33" si="23">IF($E$2=0,0,C11/(1+EXP(-$E$2*(B11-$G$2)))-C11/(1+EXP($E$2*$G$2)))</f>
        <v>0.51440682185633158</v>
      </c>
      <c r="E11">
        <f t="shared" si="4"/>
        <v>0.51440682185633158</v>
      </c>
      <c r="F11">
        <f t="shared" si="5"/>
        <v>0</v>
      </c>
      <c r="G11" s="9">
        <f t="shared" si="6"/>
        <v>2.2434343724339448E-2</v>
      </c>
      <c r="H11" s="9">
        <f t="shared" si="6"/>
        <v>2.2434343724339448E-2</v>
      </c>
      <c r="I11" s="9">
        <f t="shared" si="6"/>
        <v>0</v>
      </c>
      <c r="J11" s="9">
        <f t="shared" si="7"/>
        <v>2.9164646841641283E-3</v>
      </c>
      <c r="K11" s="9">
        <f t="shared" si="8"/>
        <v>4.4868687448678902E-3</v>
      </c>
      <c r="L11" s="9">
        <f t="shared" si="9"/>
        <v>0</v>
      </c>
      <c r="M11">
        <f t="shared" si="0"/>
        <v>22.759980605263703</v>
      </c>
      <c r="N11">
        <f t="shared" si="10"/>
        <v>3.912854214160653</v>
      </c>
      <c r="O11">
        <f t="shared" ref="O11:O33" si="24">M11-N11</f>
        <v>18.84712639110305</v>
      </c>
      <c r="P11">
        <f t="shared" si="22"/>
        <v>0.68517409370463311</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22.074806511559071</v>
      </c>
      <c r="AB11">
        <f t="shared" si="11"/>
        <v>18.279746173697497</v>
      </c>
      <c r="AC11">
        <f t="shared" si="12"/>
        <v>3.7950603378615742</v>
      </c>
      <c r="AD11">
        <f t="shared" si="3"/>
        <v>0.13703481874092663</v>
      </c>
      <c r="AE11">
        <f t="shared" si="13"/>
        <v>0</v>
      </c>
      <c r="AF11">
        <f t="shared" si="14"/>
        <v>0.15226090971214074</v>
      </c>
      <c r="AG11">
        <f t="shared" si="15"/>
        <v>0.27406963748185326</v>
      </c>
      <c r="AH11">
        <f t="shared" si="16"/>
        <v>0</v>
      </c>
      <c r="AI11">
        <f t="shared" si="17"/>
        <v>3.6061794405507011E-2</v>
      </c>
      <c r="AJ11">
        <f t="shared" si="18"/>
        <v>0</v>
      </c>
      <c r="AK11">
        <f t="shared" si="19"/>
        <v>0.13703481874092663</v>
      </c>
      <c r="AL11">
        <f t="shared" si="20"/>
        <v>0</v>
      </c>
    </row>
    <row r="12" spans="1:51" x14ac:dyDescent="0.2">
      <c r="A12">
        <v>2029</v>
      </c>
      <c r="B12">
        <v>4</v>
      </c>
      <c r="C12">
        <f t="shared" si="21"/>
        <v>23.410952937549261</v>
      </c>
      <c r="D12">
        <f t="shared" si="23"/>
        <v>0.70069936824660495</v>
      </c>
      <c r="E12">
        <f t="shared" si="4"/>
        <v>0.70069936824660495</v>
      </c>
      <c r="F12">
        <f t="shared" si="5"/>
        <v>0</v>
      </c>
      <c r="G12" s="9">
        <f t="shared" si="6"/>
        <v>2.9930407793129183E-2</v>
      </c>
      <c r="H12" s="9">
        <f t="shared" si="6"/>
        <v>2.9930407793129183E-2</v>
      </c>
      <c r="I12" s="9">
        <f t="shared" si="6"/>
        <v>0</v>
      </c>
      <c r="J12" s="9">
        <f t="shared" si="7"/>
        <v>3.8909530131067938E-3</v>
      </c>
      <c r="K12" s="9">
        <f t="shared" si="8"/>
        <v>5.9860815586258373E-3</v>
      </c>
      <c r="L12" s="9">
        <f t="shared" si="9"/>
        <v>0</v>
      </c>
      <c r="M12">
        <f t="shared" si="0"/>
        <v>23.180267423691514</v>
      </c>
      <c r="N12">
        <f t="shared" si="10"/>
        <v>5.6358638377205077</v>
      </c>
      <c r="O12">
        <f t="shared" si="24"/>
        <v>17.544403585971008</v>
      </c>
      <c r="P12">
        <f t="shared" si="22"/>
        <v>1.2050589656226156</v>
      </c>
      <c r="Q12" s="9">
        <f t="shared" si="1"/>
        <v>5.1986413426403304E-2</v>
      </c>
      <c r="R12">
        <f>VLOOKUP($B$1,dictionary!$A$3:$K$51,3,FALSE)*Q12</f>
        <v>1.0397282685280661E-2</v>
      </c>
      <c r="S12">
        <f>VLOOKUP($B$1,dictionary!$A$3:$K$51,4,FALSE)*Q12</f>
        <v>0</v>
      </c>
      <c r="T12">
        <f>VLOOKUP($B$1,dictionary!$A$3:$K$51,5,FALSE)*Q12</f>
        <v>1.0397282685280661E-2</v>
      </c>
      <c r="U12">
        <f>VLOOKUP($B$1,dictionary!$A$3:$K$51,6,FALSE)*Q12</f>
        <v>1.8195244699241154E-2</v>
      </c>
      <c r="V12">
        <f>VLOOKUP($B$1,dictionary!$A$3:$K$51,7,FALSE)*Q12</f>
        <v>0</v>
      </c>
      <c r="W12">
        <f>VLOOKUP($B$1,dictionary!$A$3:$K$51,8,FALSE)*Q12</f>
        <v>2.5993206713201653E-3</v>
      </c>
      <c r="X12">
        <f>VLOOKUP($B$1,dictionary!$A$3:$K$51,9,FALSE)*Q12</f>
        <v>0</v>
      </c>
      <c r="Y12">
        <f>VLOOKUP($B$1,dictionary!$A$3:$K$51,10,FALSE)*Q12</f>
        <v>1.0397282685280661E-2</v>
      </c>
      <c r="Z12">
        <f>VLOOKUP($B$1,dictionary!$A$3:$K$51,11,FALSE)*Q12</f>
        <v>0</v>
      </c>
      <c r="AA12">
        <f t="shared" si="2"/>
        <v>21.975208458068899</v>
      </c>
      <c r="AB12">
        <f t="shared" si="11"/>
        <v>16.632332967831047</v>
      </c>
      <c r="AC12">
        <f t="shared" si="12"/>
        <v>5.3428754902378532</v>
      </c>
      <c r="AD12">
        <f t="shared" si="3"/>
        <v>0.24101179312452314</v>
      </c>
      <c r="AE12">
        <f t="shared" si="13"/>
        <v>0</v>
      </c>
      <c r="AF12">
        <f t="shared" si="14"/>
        <v>0.26779088124947015</v>
      </c>
      <c r="AG12">
        <f t="shared" si="15"/>
        <v>0.48202358624904629</v>
      </c>
      <c r="AH12">
        <f t="shared" si="16"/>
        <v>0</v>
      </c>
      <c r="AI12">
        <f t="shared" si="17"/>
        <v>6.3424156085400835E-2</v>
      </c>
      <c r="AJ12">
        <f t="shared" si="18"/>
        <v>0</v>
      </c>
      <c r="AK12">
        <f t="shared" si="19"/>
        <v>0.24101179312452314</v>
      </c>
      <c r="AL12">
        <f t="shared" si="20"/>
        <v>0</v>
      </c>
    </row>
    <row r="13" spans="1:51" x14ac:dyDescent="0.2">
      <c r="A13">
        <v>2030</v>
      </c>
      <c r="B13">
        <v>5</v>
      </c>
      <c r="C13">
        <f t="shared" si="21"/>
        <v>23.902582949237793</v>
      </c>
      <c r="D13">
        <f t="shared" si="23"/>
        <v>0.89466998310611601</v>
      </c>
      <c r="E13">
        <f t="shared" si="4"/>
        <v>0.89466998310611601</v>
      </c>
      <c r="F13">
        <f t="shared" si="5"/>
        <v>0</v>
      </c>
      <c r="G13" s="9">
        <f t="shared" si="6"/>
        <v>3.7429845343749567E-2</v>
      </c>
      <c r="H13" s="9">
        <f t="shared" si="6"/>
        <v>3.7429845343749567E-2</v>
      </c>
      <c r="I13" s="9">
        <f t="shared" si="6"/>
        <v>0</v>
      </c>
      <c r="J13" s="9">
        <f t="shared" si="7"/>
        <v>4.865879894687444E-3</v>
      </c>
      <c r="K13" s="9">
        <f t="shared" si="8"/>
        <v>7.4859690687499141E-3</v>
      </c>
      <c r="L13" s="9">
        <f t="shared" si="9"/>
        <v>0</v>
      </c>
      <c r="M13">
        <f t="shared" si="0"/>
        <v>23.608212526149412</v>
      </c>
      <c r="N13">
        <f t="shared" si="10"/>
        <v>7.4973657268601164</v>
      </c>
      <c r="O13">
        <f t="shared" si="24"/>
        <v>16.110846799289295</v>
      </c>
      <c r="P13">
        <f t="shared" si="22"/>
        <v>1.9916483549571453</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21.616564171192266</v>
      </c>
      <c r="AB13">
        <f t="shared" si="11"/>
        <v>14.751695127419598</v>
      </c>
      <c r="AC13">
        <f t="shared" si="12"/>
        <v>6.8648690437726687</v>
      </c>
      <c r="AD13">
        <f t="shared" si="3"/>
        <v>0.39832967099142907</v>
      </c>
      <c r="AE13">
        <f t="shared" si="13"/>
        <v>0</v>
      </c>
      <c r="AF13">
        <f t="shared" si="14"/>
        <v>0.4425885233238101</v>
      </c>
      <c r="AG13">
        <f t="shared" si="15"/>
        <v>0.79665934198285815</v>
      </c>
      <c r="AH13">
        <f t="shared" si="16"/>
        <v>0</v>
      </c>
      <c r="AI13">
        <f t="shared" si="17"/>
        <v>0.10482359762932345</v>
      </c>
      <c r="AJ13">
        <f t="shared" si="18"/>
        <v>0</v>
      </c>
      <c r="AK13">
        <f t="shared" si="19"/>
        <v>0.39832967099142907</v>
      </c>
      <c r="AL13">
        <f t="shared" si="20"/>
        <v>0</v>
      </c>
    </row>
    <row r="14" spans="1:51" x14ac:dyDescent="0.2">
      <c r="A14">
        <v>2031</v>
      </c>
      <c r="B14">
        <v>6</v>
      </c>
      <c r="C14">
        <f t="shared" si="21"/>
        <v>24.404537191171784</v>
      </c>
      <c r="D14">
        <f t="shared" si="23"/>
        <v>1.0964783553683279</v>
      </c>
      <c r="E14">
        <f t="shared" si="4"/>
        <v>1.0964783553683279</v>
      </c>
      <c r="F14">
        <f t="shared" si="5"/>
        <v>0</v>
      </c>
      <c r="G14" s="9">
        <f t="shared" si="6"/>
        <v>4.4929282894369878E-2</v>
      </c>
      <c r="H14" s="9">
        <f t="shared" si="6"/>
        <v>4.4929282894369878E-2</v>
      </c>
      <c r="I14" s="9">
        <f t="shared" si="6"/>
        <v>0</v>
      </c>
      <c r="J14" s="9">
        <f t="shared" si="7"/>
        <v>5.8408067762680841E-3</v>
      </c>
      <c r="K14" s="9">
        <f t="shared" si="8"/>
        <v>8.9858565788739752E-3</v>
      </c>
      <c r="L14" s="9">
        <f t="shared" si="9"/>
        <v>0</v>
      </c>
      <c r="M14">
        <f t="shared" si="0"/>
        <v>24.043980197541849</v>
      </c>
      <c r="N14">
        <f t="shared" si="10"/>
        <v>9.4256488169193986</v>
      </c>
      <c r="O14">
        <f t="shared" si="24"/>
        <v>14.61833138062245</v>
      </c>
      <c r="P14">
        <f t="shared" si="22"/>
        <v>3.146494364426041</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20.897485833115809</v>
      </c>
      <c r="AB14">
        <f t="shared" si="11"/>
        <v>12.705316275446837</v>
      </c>
      <c r="AC14">
        <f t="shared" si="12"/>
        <v>8.1921695576689721</v>
      </c>
      <c r="AD14">
        <f t="shared" si="3"/>
        <v>0.62929887288520825</v>
      </c>
      <c r="AE14">
        <f t="shared" si="13"/>
        <v>0</v>
      </c>
      <c r="AF14">
        <f t="shared" si="14"/>
        <v>0.69922096987245363</v>
      </c>
      <c r="AG14">
        <f t="shared" si="15"/>
        <v>1.2585977457704165</v>
      </c>
      <c r="AH14">
        <f t="shared" si="16"/>
        <v>0</v>
      </c>
      <c r="AI14">
        <f t="shared" si="17"/>
        <v>0.16560496654873902</v>
      </c>
      <c r="AJ14">
        <f t="shared" si="18"/>
        <v>0</v>
      </c>
      <c r="AK14">
        <f t="shared" si="19"/>
        <v>0.62929887288520825</v>
      </c>
      <c r="AL14">
        <f t="shared" si="20"/>
        <v>0</v>
      </c>
    </row>
    <row r="15" spans="1:51" x14ac:dyDescent="0.2">
      <c r="A15">
        <v>2032</v>
      </c>
      <c r="B15">
        <v>7</v>
      </c>
      <c r="C15">
        <f t="shared" si="21"/>
        <v>24.917032472186389</v>
      </c>
      <c r="D15">
        <f t="shared" si="23"/>
        <v>1.3062840726466867</v>
      </c>
      <c r="E15">
        <f t="shared" si="4"/>
        <v>1.3062840726466867</v>
      </c>
      <c r="F15">
        <f t="shared" si="5"/>
        <v>0</v>
      </c>
      <c r="G15" s="9">
        <f t="shared" si="6"/>
        <v>5.2425346963159633E-2</v>
      </c>
      <c r="H15" s="9">
        <f t="shared" si="6"/>
        <v>5.2425346963159633E-2</v>
      </c>
      <c r="I15" s="9">
        <f t="shared" si="6"/>
        <v>0</v>
      </c>
      <c r="J15" s="9">
        <f t="shared" si="7"/>
        <v>6.8152951052107523E-3</v>
      </c>
      <c r="K15" s="9">
        <f t="shared" si="8"/>
        <v>1.0485069392631927E-2</v>
      </c>
      <c r="L15" s="9">
        <f t="shared" si="9"/>
        <v>0</v>
      </c>
      <c r="M15">
        <f t="shared" si="0"/>
        <v>24.487739270502249</v>
      </c>
      <c r="N15">
        <f t="shared" si="10"/>
        <v>11.343474621957981</v>
      </c>
      <c r="O15">
        <f t="shared" si="24"/>
        <v>13.144264648544269</v>
      </c>
      <c r="P15">
        <f>IF($I$3=0,0,M15/(1+EXP(-$I$3*(B15-$J$3)))-M15/(1+EXP($I$3*$J$3)))</f>
        <v>4.7722546016650247</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19.715484668837224</v>
      </c>
      <c r="AB15">
        <f t="shared" si="11"/>
        <v>10.582665279913302</v>
      </c>
      <c r="AC15">
        <f t="shared" si="12"/>
        <v>9.132819388923922</v>
      </c>
      <c r="AD15">
        <f t="shared" si="3"/>
        <v>0.95445092033300494</v>
      </c>
      <c r="AE15">
        <f t="shared" si="13"/>
        <v>0</v>
      </c>
      <c r="AF15">
        <f t="shared" si="14"/>
        <v>1.0605010225922278</v>
      </c>
      <c r="AG15">
        <f t="shared" si="15"/>
        <v>1.9089018406660099</v>
      </c>
      <c r="AH15">
        <f t="shared" si="16"/>
        <v>0</v>
      </c>
      <c r="AI15">
        <f t="shared" si="17"/>
        <v>0.25117129482447498</v>
      </c>
      <c r="AJ15">
        <f t="shared" si="18"/>
        <v>0</v>
      </c>
      <c r="AK15">
        <f t="shared" si="19"/>
        <v>0.95445092033300494</v>
      </c>
      <c r="AL15">
        <f t="shared" si="20"/>
        <v>0</v>
      </c>
    </row>
    <row r="16" spans="1:51" x14ac:dyDescent="0.2">
      <c r="A16">
        <v>2033</v>
      </c>
      <c r="B16">
        <v>8</v>
      </c>
      <c r="C16">
        <f t="shared" si="21"/>
        <v>25.4402901541023</v>
      </c>
      <c r="D16">
        <f t="shared" si="23"/>
        <v>1.5242465927357109</v>
      </c>
      <c r="E16">
        <f t="shared" si="4"/>
        <v>1.5242465927357109</v>
      </c>
      <c r="F16">
        <f t="shared" si="5"/>
        <v>0</v>
      </c>
      <c r="G16" s="9">
        <f t="shared" si="6"/>
        <v>5.9914670135549651E-2</v>
      </c>
      <c r="H16" s="9">
        <f t="shared" si="6"/>
        <v>5.9914670135549651E-2</v>
      </c>
      <c r="I16" s="9">
        <f t="shared" si="6"/>
        <v>0</v>
      </c>
      <c r="J16" s="9">
        <f t="shared" si="7"/>
        <v>7.7889071176214545E-3</v>
      </c>
      <c r="K16" s="9">
        <f t="shared" si="8"/>
        <v>1.1982934027109931E-2</v>
      </c>
      <c r="L16" s="9">
        <f t="shared" si="9"/>
        <v>0</v>
      </c>
      <c r="M16">
        <f t="shared" si="0"/>
        <v>24.939663221526548</v>
      </c>
      <c r="N16">
        <f t="shared" si="10"/>
        <v>13.181210036238301</v>
      </c>
      <c r="O16">
        <f t="shared" si="24"/>
        <v>11.758453185288246</v>
      </c>
      <c r="P16">
        <f t="shared" si="22"/>
        <v>6.9348114095059179</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18.004851812020629</v>
      </c>
      <c r="AB16">
        <f t="shared" si="11"/>
        <v>8.4888558942913495</v>
      </c>
      <c r="AC16">
        <f t="shared" si="12"/>
        <v>9.5159959177292794</v>
      </c>
      <c r="AD16">
        <f t="shared" si="3"/>
        <v>1.3869622819011838</v>
      </c>
      <c r="AE16">
        <f t="shared" si="13"/>
        <v>0</v>
      </c>
      <c r="AF16">
        <f t="shared" si="14"/>
        <v>1.5410692021124264</v>
      </c>
      <c r="AG16">
        <f t="shared" si="15"/>
        <v>2.7739245638023675</v>
      </c>
      <c r="AH16">
        <f t="shared" si="16"/>
        <v>0</v>
      </c>
      <c r="AI16">
        <f t="shared" si="17"/>
        <v>0.36499007418452201</v>
      </c>
      <c r="AJ16">
        <f t="shared" si="18"/>
        <v>0</v>
      </c>
      <c r="AK16">
        <f t="shared" si="19"/>
        <v>1.3869622819011838</v>
      </c>
      <c r="AL16">
        <f t="shared" si="20"/>
        <v>0</v>
      </c>
    </row>
    <row r="17" spans="1:38" x14ac:dyDescent="0.2">
      <c r="A17">
        <v>2034</v>
      </c>
      <c r="B17">
        <v>9</v>
      </c>
      <c r="C17">
        <f t="shared" si="21"/>
        <v>25.974536247338445</v>
      </c>
      <c r="D17">
        <f t="shared" si="23"/>
        <v>1.7505252232894897</v>
      </c>
      <c r="E17">
        <f t="shared" si="4"/>
        <v>1.7505252232894897</v>
      </c>
      <c r="F17">
        <f t="shared" si="5"/>
        <v>0</v>
      </c>
      <c r="G17" s="9">
        <f t="shared" si="6"/>
        <v>6.7393897108321318E-2</v>
      </c>
      <c r="H17" s="9">
        <f t="shared" si="6"/>
        <v>6.7393897108321318E-2</v>
      </c>
      <c r="I17" s="9">
        <f t="shared" si="6"/>
        <v>0</v>
      </c>
      <c r="J17" s="9">
        <f t="shared" si="7"/>
        <v>8.7612066240817712E-3</v>
      </c>
      <c r="K17" s="9">
        <f t="shared" si="8"/>
        <v>1.3478779421664264E-2</v>
      </c>
      <c r="L17" s="9">
        <f t="shared" si="9"/>
        <v>0</v>
      </c>
      <c r="M17">
        <f t="shared" si="0"/>
        <v>25.399930266289296</v>
      </c>
      <c r="N17">
        <f t="shared" si="10"/>
        <v>14.886880325317376</v>
      </c>
      <c r="O17">
        <f t="shared" si="24"/>
        <v>10.51304994097192</v>
      </c>
      <c r="P17">
        <f t="shared" si="22"/>
        <v>9.6106687294619544</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15.789261536827341</v>
      </c>
      <c r="AB17">
        <f t="shared" si="11"/>
        <v>6.5351870389990259</v>
      </c>
      <c r="AC17">
        <f t="shared" si="12"/>
        <v>9.2540744978283147</v>
      </c>
      <c r="AD17">
        <f t="shared" si="3"/>
        <v>1.9221337458923911</v>
      </c>
      <c r="AE17">
        <f t="shared" si="13"/>
        <v>0</v>
      </c>
      <c r="AF17">
        <f t="shared" si="14"/>
        <v>2.1357041621026567</v>
      </c>
      <c r="AG17">
        <f t="shared" si="15"/>
        <v>3.8442674917847821</v>
      </c>
      <c r="AH17">
        <f t="shared" si="16"/>
        <v>0</v>
      </c>
      <c r="AI17">
        <f t="shared" si="17"/>
        <v>0.50582466997168185</v>
      </c>
      <c r="AJ17">
        <f t="shared" si="18"/>
        <v>0</v>
      </c>
      <c r="AK17">
        <f t="shared" si="19"/>
        <v>1.9221337458923911</v>
      </c>
      <c r="AL17">
        <f t="shared" si="20"/>
        <v>0</v>
      </c>
    </row>
    <row r="18" spans="1:38" x14ac:dyDescent="0.2">
      <c r="A18">
        <v>2035</v>
      </c>
      <c r="B18">
        <v>10</v>
      </c>
      <c r="C18">
        <f t="shared" si="21"/>
        <v>26.520001508532552</v>
      </c>
      <c r="D18">
        <f t="shared" si="23"/>
        <v>1.9852791099607572</v>
      </c>
      <c r="E18">
        <f t="shared" si="4"/>
        <v>1.9852791099607572</v>
      </c>
      <c r="F18">
        <f t="shared" si="5"/>
        <v>0</v>
      </c>
      <c r="G18" s="9">
        <f t="shared" si="6"/>
        <v>7.4859690687499134E-2</v>
      </c>
      <c r="H18" s="9">
        <f t="shared" si="6"/>
        <v>7.4859690687499134E-2</v>
      </c>
      <c r="I18" s="9">
        <f t="shared" si="6"/>
        <v>0</v>
      </c>
      <c r="J18" s="9">
        <f t="shared" si="7"/>
        <v>9.7317597893748879E-3</v>
      </c>
      <c r="K18" s="9">
        <f t="shared" si="8"/>
        <v>1.4971938137499828E-2</v>
      </c>
      <c r="L18" s="9">
        <f t="shared" si="9"/>
        <v>0</v>
      </c>
      <c r="M18">
        <f t="shared" si="0"/>
        <v>25.868723454128101</v>
      </c>
      <c r="N18">
        <f t="shared" si="10"/>
        <v>16.430492601485909</v>
      </c>
      <c r="O18">
        <f t="shared" si="24"/>
        <v>9.4382308526421923</v>
      </c>
      <c r="P18">
        <f t="shared" si="22"/>
        <v>12.650143546546865</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13.218579907581237</v>
      </c>
      <c r="AB18">
        <f t="shared" si="11"/>
        <v>4.8228127272333712</v>
      </c>
      <c r="AC18">
        <f t="shared" si="12"/>
        <v>8.3957671803478657</v>
      </c>
      <c r="AD18">
        <f t="shared" si="3"/>
        <v>2.5300287093093727</v>
      </c>
      <c r="AE18">
        <f t="shared" si="13"/>
        <v>0</v>
      </c>
      <c r="AF18">
        <f t="shared" si="14"/>
        <v>2.8111430103437476</v>
      </c>
      <c r="AG18">
        <f t="shared" si="15"/>
        <v>5.0600574186187472</v>
      </c>
      <c r="AH18">
        <f t="shared" si="16"/>
        <v>0</v>
      </c>
      <c r="AI18">
        <f t="shared" si="17"/>
        <v>0.66579702876562441</v>
      </c>
      <c r="AJ18">
        <f t="shared" si="18"/>
        <v>0</v>
      </c>
      <c r="AK18">
        <f t="shared" si="19"/>
        <v>2.5300287093093727</v>
      </c>
      <c r="AL18">
        <f t="shared" si="20"/>
        <v>0</v>
      </c>
    </row>
    <row r="19" spans="1:38" x14ac:dyDescent="0.2">
      <c r="A19">
        <v>2036</v>
      </c>
      <c r="B19">
        <v>11</v>
      </c>
      <c r="C19">
        <f t="shared" si="21"/>
        <v>27.076921540211732</v>
      </c>
      <c r="D19">
        <f t="shared" si="23"/>
        <v>2.228667233246</v>
      </c>
      <c r="E19">
        <f t="shared" si="4"/>
        <v>2.228667233246</v>
      </c>
      <c r="F19">
        <f t="shared" si="5"/>
        <v>0</v>
      </c>
      <c r="G19" s="9">
        <f t="shared" si="6"/>
        <v>8.2308737717329619E-2</v>
      </c>
      <c r="H19" s="9">
        <f t="shared" si="6"/>
        <v>8.2308737717329619E-2</v>
      </c>
      <c r="I19" s="9">
        <f t="shared" si="6"/>
        <v>0</v>
      </c>
      <c r="J19" s="9">
        <f t="shared" si="7"/>
        <v>1.070013590325285E-2</v>
      </c>
      <c r="K19" s="9">
        <f t="shared" si="8"/>
        <v>1.6461747543465924E-2</v>
      </c>
      <c r="L19" s="9">
        <f t="shared" si="9"/>
        <v>0</v>
      </c>
      <c r="M19">
        <f t="shared" si="0"/>
        <v>26.346230761696326</v>
      </c>
      <c r="N19">
        <f t="shared" si="10"/>
        <v>17.802764925010123</v>
      </c>
      <c r="O19">
        <f t="shared" si="24"/>
        <v>8.5434658366862024</v>
      </c>
      <c r="P19">
        <f t="shared" si="22"/>
        <v>15.798577643860545</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10.547653117835781</v>
      </c>
      <c r="AB19">
        <f t="shared" si="11"/>
        <v>3.4203569719148947</v>
      </c>
      <c r="AC19">
        <f t="shared" si="12"/>
        <v>7.1272961459208855</v>
      </c>
      <c r="AD19">
        <f t="shared" si="3"/>
        <v>3.1597155287721095</v>
      </c>
      <c r="AE19">
        <f t="shared" si="13"/>
        <v>0</v>
      </c>
      <c r="AF19">
        <f t="shared" si="14"/>
        <v>3.5107950319690104</v>
      </c>
      <c r="AG19">
        <f t="shared" si="15"/>
        <v>6.3194310575442181</v>
      </c>
      <c r="AH19">
        <f t="shared" si="16"/>
        <v>0</v>
      </c>
      <c r="AI19">
        <f t="shared" si="17"/>
        <v>0.83150408651897623</v>
      </c>
      <c r="AJ19">
        <f t="shared" si="18"/>
        <v>0</v>
      </c>
      <c r="AK19">
        <f t="shared" si="19"/>
        <v>3.1597155287721095</v>
      </c>
      <c r="AL19">
        <f t="shared" si="20"/>
        <v>0</v>
      </c>
    </row>
    <row r="20" spans="1:38" x14ac:dyDescent="0.2">
      <c r="A20">
        <v>2037</v>
      </c>
      <c r="B20">
        <v>12</v>
      </c>
      <c r="C20">
        <f t="shared" si="21"/>
        <v>27.645536892556176</v>
      </c>
      <c r="D20">
        <f t="shared" si="23"/>
        <v>2.4808484142428018</v>
      </c>
      <c r="E20">
        <f t="shared" si="4"/>
        <v>2.4808484142428018</v>
      </c>
      <c r="F20">
        <f t="shared" si="5"/>
        <v>0</v>
      </c>
      <c r="G20" s="9">
        <f t="shared" si="6"/>
        <v>8.9737754918074814E-2</v>
      </c>
      <c r="H20" s="9">
        <f t="shared" si="6"/>
        <v>8.9737754918074814E-2</v>
      </c>
      <c r="I20" s="9">
        <f t="shared" si="6"/>
        <v>0</v>
      </c>
      <c r="J20" s="9">
        <f t="shared" si="7"/>
        <v>1.1665908139349725E-2</v>
      </c>
      <c r="K20" s="9">
        <f t="shared" si="8"/>
        <v>1.7947550983614963E-2</v>
      </c>
      <c r="L20" s="9">
        <f t="shared" si="9"/>
        <v>0</v>
      </c>
      <c r="M20">
        <f t="shared" si="0"/>
        <v>26.832645185797691</v>
      </c>
      <c r="N20">
        <f t="shared" si="10"/>
        <v>19.010329538628149</v>
      </c>
      <c r="O20">
        <f t="shared" si="24"/>
        <v>7.8223156471695425</v>
      </c>
      <c r="P20">
        <f>IF($I$3=0,0,M20/(1+EXP(-$I$3*(B20-$J$3)))-M20/(1+EXP($I$3*$J$3)))</f>
        <v>18.781847015672653</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8.050798170125038</v>
      </c>
      <c r="AB20">
        <f t="shared" si="11"/>
        <v>2.3469875616924138</v>
      </c>
      <c r="AC20">
        <f t="shared" si="12"/>
        <v>5.703810608432625</v>
      </c>
      <c r="AD20">
        <f t="shared" si="3"/>
        <v>3.7563694031345309</v>
      </c>
      <c r="AE20">
        <f t="shared" si="13"/>
        <v>0</v>
      </c>
      <c r="AF20">
        <f t="shared" si="14"/>
        <v>4.1737437812605904</v>
      </c>
      <c r="AG20">
        <f t="shared" si="15"/>
        <v>7.512738806269061</v>
      </c>
      <c r="AH20">
        <f t="shared" si="16"/>
        <v>0</v>
      </c>
      <c r="AI20">
        <f t="shared" si="17"/>
        <v>0.98851826398277121</v>
      </c>
      <c r="AJ20">
        <f t="shared" si="18"/>
        <v>0</v>
      </c>
      <c r="AK20">
        <f t="shared" si="19"/>
        <v>3.7563694031345309</v>
      </c>
      <c r="AL20">
        <f t="shared" si="20"/>
        <v>0</v>
      </c>
    </row>
    <row r="21" spans="1:38" x14ac:dyDescent="0.2">
      <c r="A21">
        <v>2038</v>
      </c>
      <c r="B21">
        <v>13</v>
      </c>
      <c r="C21">
        <f t="shared" si="21"/>
        <v>28.226093167299855</v>
      </c>
      <c r="D21">
        <f t="shared" si="23"/>
        <v>2.7419813294855544</v>
      </c>
      <c r="E21">
        <f t="shared" si="4"/>
        <v>2.7419813294855544</v>
      </c>
      <c r="F21">
        <f t="shared" si="5"/>
        <v>0</v>
      </c>
      <c r="G21" s="9">
        <f t="shared" si="6"/>
        <v>9.7143494610942502E-2</v>
      </c>
      <c r="H21" s="9">
        <f t="shared" si="6"/>
        <v>9.7143494610942502E-2</v>
      </c>
      <c r="I21" s="9">
        <f t="shared" si="6"/>
        <v>0</v>
      </c>
      <c r="J21" s="9">
        <f t="shared" si="7"/>
        <v>1.2628654299422526E-2</v>
      </c>
      <c r="K21" s="9">
        <f t="shared" si="8"/>
        <v>1.94286989221885E-2</v>
      </c>
      <c r="L21" s="9">
        <f t="shared" si="9"/>
        <v>0</v>
      </c>
      <c r="M21">
        <f t="shared" si="0"/>
        <v>27.32816483543073</v>
      </c>
      <c r="N21">
        <f t="shared" si="10"/>
        <v>20.069852891067669</v>
      </c>
      <c r="O21">
        <f t="shared" si="24"/>
        <v>7.2583119443630615</v>
      </c>
      <c r="P21">
        <f t="shared" si="22"/>
        <v>21.401852400876763</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5.9263124345539673</v>
      </c>
      <c r="AB21">
        <f t="shared" si="11"/>
        <v>1.5740180355609459</v>
      </c>
      <c r="AC21">
        <f t="shared" si="12"/>
        <v>4.3522943989930214</v>
      </c>
      <c r="AD21">
        <f t="shared" si="3"/>
        <v>4.2803704801753533</v>
      </c>
      <c r="AE21">
        <f t="shared" si="13"/>
        <v>0</v>
      </c>
      <c r="AF21">
        <f t="shared" si="14"/>
        <v>4.7559672001948368</v>
      </c>
      <c r="AG21">
        <f t="shared" si="15"/>
        <v>8.5607409603507048</v>
      </c>
      <c r="AH21">
        <f t="shared" si="16"/>
        <v>0</v>
      </c>
      <c r="AI21">
        <f t="shared" si="17"/>
        <v>1.1264132842566719</v>
      </c>
      <c r="AJ21">
        <f t="shared" si="18"/>
        <v>0</v>
      </c>
      <c r="AK21">
        <f t="shared" si="19"/>
        <v>4.2803704801753533</v>
      </c>
      <c r="AL21">
        <f t="shared" si="20"/>
        <v>0</v>
      </c>
    </row>
    <row r="22" spans="1:38" x14ac:dyDescent="0.2">
      <c r="A22">
        <v>2039</v>
      </c>
      <c r="B22">
        <v>14</v>
      </c>
      <c r="C22">
        <f t="shared" si="21"/>
        <v>28.818841123813147</v>
      </c>
      <c r="D22">
        <f t="shared" si="23"/>
        <v>3.0122245349849361</v>
      </c>
      <c r="E22">
        <f t="shared" si="4"/>
        <v>3.0122245349849361</v>
      </c>
      <c r="F22">
        <f t="shared" si="5"/>
        <v>0</v>
      </c>
      <c r="G22" s="9">
        <f t="shared" si="6"/>
        <v>0.10452275030920381</v>
      </c>
      <c r="H22" s="9">
        <f t="shared" si="6"/>
        <v>0.10452275030920381</v>
      </c>
      <c r="I22" s="9">
        <f t="shared" si="6"/>
        <v>0</v>
      </c>
      <c r="J22" s="9">
        <f t="shared" si="7"/>
        <v>1.3587957540196496E-2</v>
      </c>
      <c r="K22" s="9">
        <f t="shared" si="8"/>
        <v>2.0904550061840763E-2</v>
      </c>
      <c r="L22" s="9">
        <f t="shared" si="9"/>
        <v>0</v>
      </c>
      <c r="M22">
        <f t="shared" si="0"/>
        <v>27.8329930230847</v>
      </c>
      <c r="N22">
        <f t="shared" si="10"/>
        <v>21.002807711975201</v>
      </c>
      <c r="O22">
        <f t="shared" si="24"/>
        <v>6.8301853111094992</v>
      </c>
      <c r="P22">
        <f t="shared" si="22"/>
        <v>23.579053825809961</v>
      </c>
      <c r="Q22" s="9">
        <f t="shared" si="1"/>
        <v>0.84716199246891921</v>
      </c>
      <c r="R22">
        <f>VLOOKUP($B$1,dictionary!$A$3:$K$51,3,FALSE)*Q22</f>
        <v>0.16943239849378386</v>
      </c>
      <c r="S22">
        <f>VLOOKUP($B$1,dictionary!$A$3:$K$51,4,FALSE)*Q22</f>
        <v>0</v>
      </c>
      <c r="T22">
        <f>VLOOKUP($B$1,dictionary!$A$3:$K$51,5,FALSE)*Q22</f>
        <v>0.16943239849378386</v>
      </c>
      <c r="U22">
        <f>VLOOKUP($B$1,dictionary!$A$3:$K$51,6,FALSE)*Q22</f>
        <v>0.29650669736412172</v>
      </c>
      <c r="V22">
        <f>VLOOKUP($B$1,dictionary!$A$3:$K$51,7,FALSE)*Q22</f>
        <v>0</v>
      </c>
      <c r="W22">
        <f>VLOOKUP($B$1,dictionary!$A$3:$K$51,8,FALSE)*Q22</f>
        <v>4.2358099623445965E-2</v>
      </c>
      <c r="X22">
        <f>VLOOKUP($B$1,dictionary!$A$3:$K$51,9,FALSE)*Q22</f>
        <v>0</v>
      </c>
      <c r="Y22">
        <f>VLOOKUP($B$1,dictionary!$A$3:$K$51,10,FALSE)*Q22</f>
        <v>0.16943239849378386</v>
      </c>
      <c r="Z22">
        <f>VLOOKUP($B$1,dictionary!$A$3:$K$51,11,FALSE)*Q22</f>
        <v>0</v>
      </c>
      <c r="AA22">
        <f t="shared" si="2"/>
        <v>4.2539391972747396</v>
      </c>
      <c r="AB22">
        <f t="shared" si="11"/>
        <v>1.0439119140180313</v>
      </c>
      <c r="AC22">
        <f t="shared" si="12"/>
        <v>3.2100272832567081</v>
      </c>
      <c r="AD22">
        <f t="shared" si="3"/>
        <v>4.7158107651619927</v>
      </c>
      <c r="AE22">
        <f t="shared" si="13"/>
        <v>0</v>
      </c>
      <c r="AF22">
        <f t="shared" si="14"/>
        <v>5.2397897390688808</v>
      </c>
      <c r="AG22">
        <f t="shared" si="15"/>
        <v>9.4316215303239854</v>
      </c>
      <c r="AH22">
        <f t="shared" si="16"/>
        <v>0</v>
      </c>
      <c r="AI22">
        <f t="shared" si="17"/>
        <v>1.2410028329373666</v>
      </c>
      <c r="AJ22">
        <f t="shared" si="18"/>
        <v>0</v>
      </c>
      <c r="AK22">
        <f t="shared" si="19"/>
        <v>4.7158107651619927</v>
      </c>
      <c r="AL22">
        <f t="shared" si="20"/>
        <v>0</v>
      </c>
    </row>
    <row r="23" spans="1:38" x14ac:dyDescent="0.2">
      <c r="A23">
        <v>2040</v>
      </c>
      <c r="B23">
        <v>15</v>
      </c>
      <c r="C23">
        <f t="shared" si="21"/>
        <v>29.424036787413222</v>
      </c>
      <c r="D23">
        <f t="shared" si="23"/>
        <v>3.2917364995555545</v>
      </c>
      <c r="E23">
        <f t="shared" si="4"/>
        <v>3.2917364995555545</v>
      </c>
      <c r="F23">
        <f t="shared" si="5"/>
        <v>0</v>
      </c>
      <c r="G23" s="9">
        <f t="shared" si="6"/>
        <v>0.11187236215540851</v>
      </c>
      <c r="H23" s="9">
        <f t="shared" si="6"/>
        <v>0.11187236215540851</v>
      </c>
      <c r="I23" s="9">
        <f t="shared" si="6"/>
        <v>0</v>
      </c>
      <c r="J23" s="9">
        <f t="shared" si="7"/>
        <v>1.4543407080203106E-2</v>
      </c>
      <c r="K23" s="9">
        <f t="shared" si="8"/>
        <v>2.2374472431081704E-2</v>
      </c>
      <c r="L23" s="9">
        <f t="shared" si="9"/>
        <v>0</v>
      </c>
      <c r="M23">
        <f t="shared" si="0"/>
        <v>28.34733835534265</v>
      </c>
      <c r="N23">
        <f t="shared" si="10"/>
        <v>21.831663033591198</v>
      </c>
      <c r="O23">
        <f t="shared" si="24"/>
        <v>6.515675321751452</v>
      </c>
      <c r="P23">
        <f t="shared" si="22"/>
        <v>25.332984231606567</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3.0143541237360836</v>
      </c>
      <c r="AB23">
        <f t="shared" si="11"/>
        <v>0.6928535063449881</v>
      </c>
      <c r="AC23">
        <f t="shared" si="12"/>
        <v>2.3215006173910955</v>
      </c>
      <c r="AD23">
        <f t="shared" si="3"/>
        <v>5.0665968463213131</v>
      </c>
      <c r="AE23">
        <f t="shared" si="13"/>
        <v>0</v>
      </c>
      <c r="AF23">
        <f t="shared" si="14"/>
        <v>5.6295520514681261</v>
      </c>
      <c r="AG23">
        <f t="shared" si="15"/>
        <v>10.133193692642626</v>
      </c>
      <c r="AH23">
        <f t="shared" si="16"/>
        <v>0</v>
      </c>
      <c r="AI23">
        <f t="shared" si="17"/>
        <v>1.3333149595582403</v>
      </c>
      <c r="AJ23">
        <f t="shared" si="18"/>
        <v>0</v>
      </c>
      <c r="AK23">
        <f t="shared" si="19"/>
        <v>5.0665968463213131</v>
      </c>
      <c r="AL23">
        <f t="shared" si="20"/>
        <v>0</v>
      </c>
    </row>
    <row r="24" spans="1:38" x14ac:dyDescent="0.2">
      <c r="A24">
        <v>2041</v>
      </c>
      <c r="B24">
        <v>16</v>
      </c>
      <c r="C24">
        <f t="shared" si="21"/>
        <v>30.041941559948896</v>
      </c>
      <c r="D24">
        <f t="shared" si="23"/>
        <v>3.5806756474751325</v>
      </c>
      <c r="E24">
        <f t="shared" si="4"/>
        <v>3.5806756474751325</v>
      </c>
      <c r="F24">
        <f t="shared" si="5"/>
        <v>0</v>
      </c>
      <c r="G24" s="9">
        <f t="shared" si="6"/>
        <v>0.11918922218558578</v>
      </c>
      <c r="H24" s="9">
        <f t="shared" si="6"/>
        <v>0.11918922218558578</v>
      </c>
      <c r="I24" s="9">
        <f t="shared" si="6"/>
        <v>0</v>
      </c>
      <c r="J24" s="9">
        <f t="shared" si="7"/>
        <v>1.5494598884126153E-2</v>
      </c>
      <c r="K24" s="9">
        <f t="shared" si="8"/>
        <v>2.3837844437117159E-2</v>
      </c>
      <c r="L24" s="9">
        <f t="shared" si="9"/>
        <v>0</v>
      </c>
      <c r="M24">
        <f t="shared" si="0"/>
        <v>28.871414822860459</v>
      </c>
      <c r="N24">
        <f t="shared" si="10"/>
        <v>22.577541289536775</v>
      </c>
      <c r="O24">
        <f t="shared" si="24"/>
        <v>6.2938735333236835</v>
      </c>
      <c r="P24">
        <f t="shared" si="22"/>
        <v>26.736076359028395</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2.1353384638320634</v>
      </c>
      <c r="AB24">
        <f t="shared" si="11"/>
        <v>0.46549676642653504</v>
      </c>
      <c r="AC24">
        <f t="shared" si="12"/>
        <v>1.6698416974055286</v>
      </c>
      <c r="AD24">
        <f t="shared" si="3"/>
        <v>5.3472152718056796</v>
      </c>
      <c r="AE24">
        <f t="shared" si="13"/>
        <v>0</v>
      </c>
      <c r="AF24">
        <f t="shared" si="14"/>
        <v>5.9413503020063105</v>
      </c>
      <c r="AG24">
        <f t="shared" si="15"/>
        <v>10.694430543611359</v>
      </c>
      <c r="AH24">
        <f t="shared" si="16"/>
        <v>0</v>
      </c>
      <c r="AI24">
        <f t="shared" si="17"/>
        <v>1.4071619136330735</v>
      </c>
      <c r="AJ24">
        <f t="shared" si="18"/>
        <v>0</v>
      </c>
      <c r="AK24">
        <f t="shared" si="19"/>
        <v>5.3472152718056796</v>
      </c>
      <c r="AL24">
        <f t="shared" si="20"/>
        <v>0</v>
      </c>
    </row>
    <row r="25" spans="1:38" x14ac:dyDescent="0.2">
      <c r="A25">
        <v>2042</v>
      </c>
      <c r="B25">
        <v>17</v>
      </c>
      <c r="C25">
        <f t="shared" si="21"/>
        <v>30.67282233270782</v>
      </c>
      <c r="D25">
        <f t="shared" si="23"/>
        <v>3.8792004104781839</v>
      </c>
      <c r="E25">
        <f t="shared" si="4"/>
        <v>3.8792004104781839</v>
      </c>
      <c r="F25">
        <f t="shared" si="5"/>
        <v>0</v>
      </c>
      <c r="G25" s="9">
        <f t="shared" si="6"/>
        <v>0.1264702794024147</v>
      </c>
      <c r="H25" s="9">
        <f t="shared" si="6"/>
        <v>0.1264702794024147</v>
      </c>
      <c r="I25" s="9">
        <f t="shared" si="6"/>
        <v>0</v>
      </c>
      <c r="J25" s="9">
        <f t="shared" si="7"/>
        <v>1.6441136322313914E-2</v>
      </c>
      <c r="K25" s="9">
        <f t="shared" si="8"/>
        <v>2.5294055880482943E-2</v>
      </c>
      <c r="L25" s="9">
        <f t="shared" si="9"/>
        <v>0</v>
      </c>
      <c r="M25">
        <f t="shared" si="0"/>
        <v>29.40544188980407</v>
      </c>
      <c r="N25">
        <f t="shared" si="10"/>
        <v>23.259042401231167</v>
      </c>
      <c r="O25">
        <f t="shared" si="24"/>
        <v>6.1463994885729036</v>
      </c>
      <c r="P25">
        <f>IF($I$3=0,0,M25/(1+EXP(-$I$3*(B25-$J$3)))-M25/(1+EXP($I$3*$J$3)))</f>
        <v>27.87405879343201</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1.5313830963720605</v>
      </c>
      <c r="AB25">
        <f t="shared" si="11"/>
        <v>0.32009354988180178</v>
      </c>
      <c r="AC25">
        <f t="shared" si="12"/>
        <v>1.2112895464902587</v>
      </c>
      <c r="AD25">
        <f t="shared" si="3"/>
        <v>5.5748117586864021</v>
      </c>
      <c r="AE25">
        <f t="shared" si="13"/>
        <v>0</v>
      </c>
      <c r="AF25">
        <f t="shared" si="14"/>
        <v>6.1942352874293354</v>
      </c>
      <c r="AG25">
        <f t="shared" si="15"/>
        <v>11.149623517372804</v>
      </c>
      <c r="AH25">
        <f t="shared" si="16"/>
        <v>0</v>
      </c>
      <c r="AI25">
        <f t="shared" si="17"/>
        <v>1.4670557259701056</v>
      </c>
      <c r="AJ25">
        <f t="shared" si="18"/>
        <v>0</v>
      </c>
      <c r="AK25">
        <f t="shared" si="19"/>
        <v>5.5748117586864021</v>
      </c>
      <c r="AL25">
        <f t="shared" si="20"/>
        <v>0</v>
      </c>
    </row>
    <row r="26" spans="1:38" x14ac:dyDescent="0.2">
      <c r="A26">
        <v>2043</v>
      </c>
      <c r="B26">
        <v>18</v>
      </c>
      <c r="C26">
        <f t="shared" si="21"/>
        <v>31.316951601694683</v>
      </c>
      <c r="D26">
        <f t="shared" si="23"/>
        <v>4.187469289047149</v>
      </c>
      <c r="E26">
        <f t="shared" si="4"/>
        <v>4.187469289047149</v>
      </c>
      <c r="F26">
        <f t="shared" si="5"/>
        <v>0</v>
      </c>
      <c r="G26" s="9">
        <f t="shared" si="6"/>
        <v>0.13371254464053739</v>
      </c>
      <c r="H26" s="9">
        <f t="shared" si="6"/>
        <v>0.13371254464053739</v>
      </c>
      <c r="I26" s="9">
        <f t="shared" si="6"/>
        <v>0</v>
      </c>
      <c r="J26" s="9">
        <f t="shared" si="7"/>
        <v>1.738263080326986E-2</v>
      </c>
      <c r="K26" s="9">
        <f t="shared" si="8"/>
        <v>2.6742508928107478E-2</v>
      </c>
      <c r="L26" s="9">
        <f t="shared" si="9"/>
        <v>0</v>
      </c>
      <c r="M26">
        <f t="shared" si="0"/>
        <v>29.949644582839433</v>
      </c>
      <c r="N26">
        <f t="shared" si="10"/>
        <v>23.891854876850253</v>
      </c>
      <c r="O26">
        <f t="shared" si="24"/>
        <v>6.0577897059891797</v>
      </c>
      <c r="P26">
        <f t="shared" si="22"/>
        <v>28.824019051401923</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1.1256255314375103</v>
      </c>
      <c r="AB26">
        <f t="shared" si="11"/>
        <v>0.22767558186809975</v>
      </c>
      <c r="AC26">
        <f t="shared" si="12"/>
        <v>0.89794994956941054</v>
      </c>
      <c r="AD26">
        <f t="shared" si="3"/>
        <v>5.7648038102803847</v>
      </c>
      <c r="AE26">
        <f t="shared" si="13"/>
        <v>0</v>
      </c>
      <c r="AF26">
        <f t="shared" si="14"/>
        <v>6.405337566978206</v>
      </c>
      <c r="AG26">
        <f t="shared" si="15"/>
        <v>11.529607620560769</v>
      </c>
      <c r="AH26">
        <f t="shared" si="16"/>
        <v>0</v>
      </c>
      <c r="AI26">
        <f t="shared" si="17"/>
        <v>1.5170536342843115</v>
      </c>
      <c r="AJ26">
        <f t="shared" si="18"/>
        <v>0</v>
      </c>
      <c r="AK26">
        <f t="shared" si="19"/>
        <v>5.7648038102803847</v>
      </c>
      <c r="AL26">
        <f t="shared" si="20"/>
        <v>0</v>
      </c>
    </row>
    <row r="27" spans="1:38" x14ac:dyDescent="0.2">
      <c r="A27">
        <v>2044</v>
      </c>
      <c r="B27">
        <v>19</v>
      </c>
      <c r="C27">
        <f t="shared" si="21"/>
        <v>31.974607585330268</v>
      </c>
      <c r="D27">
        <f t="shared" si="23"/>
        <v>4.5056409229252967</v>
      </c>
      <c r="E27">
        <f t="shared" si="4"/>
        <v>4.5056409229252967</v>
      </c>
      <c r="F27">
        <f t="shared" si="5"/>
        <v>0</v>
      </c>
      <c r="G27" s="9">
        <f t="shared" si="6"/>
        <v>0.14091309520847581</v>
      </c>
      <c r="H27" s="9">
        <f t="shared" si="6"/>
        <v>0.14091309520847581</v>
      </c>
      <c r="I27" s="9">
        <f t="shared" si="6"/>
        <v>0</v>
      </c>
      <c r="J27" s="9">
        <f t="shared" si="7"/>
        <v>1.8318702377101856E-2</v>
      </c>
      <c r="K27" s="9">
        <f t="shared" si="8"/>
        <v>2.8182619041695164E-2</v>
      </c>
      <c r="L27" s="9">
        <f t="shared" si="9"/>
        <v>0</v>
      </c>
      <c r="M27">
        <f t="shared" si="0"/>
        <v>30.504253579781953</v>
      </c>
      <c r="N27">
        <f t="shared" si="10"/>
        <v>24.488828333000971</v>
      </c>
      <c r="O27">
        <f t="shared" si="24"/>
        <v>6.0154252467809819</v>
      </c>
      <c r="P27">
        <f t="shared" si="22"/>
        <v>29.646749241140228</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0.85750433864172493</v>
      </c>
      <c r="AB27">
        <f t="shared" si="11"/>
        <v>0.16909947441915191</v>
      </c>
      <c r="AC27">
        <f t="shared" si="12"/>
        <v>0.68840486422257308</v>
      </c>
      <c r="AD27">
        <f t="shared" si="3"/>
        <v>5.9293498482280453</v>
      </c>
      <c r="AE27">
        <f t="shared" si="13"/>
        <v>0</v>
      </c>
      <c r="AF27">
        <f t="shared" si="14"/>
        <v>6.5881664980311623</v>
      </c>
      <c r="AG27">
        <f t="shared" si="15"/>
        <v>11.858699696456091</v>
      </c>
      <c r="AH27">
        <f t="shared" si="16"/>
        <v>0</v>
      </c>
      <c r="AI27">
        <f t="shared" si="17"/>
        <v>1.5603552232179068</v>
      </c>
      <c r="AJ27">
        <f t="shared" si="18"/>
        <v>0</v>
      </c>
      <c r="AK27">
        <f t="shared" si="19"/>
        <v>5.9293498482280453</v>
      </c>
      <c r="AL27">
        <f t="shared" si="20"/>
        <v>0</v>
      </c>
    </row>
    <row r="28" spans="1:38" x14ac:dyDescent="0.2">
      <c r="A28">
        <v>2045</v>
      </c>
      <c r="B28">
        <v>20</v>
      </c>
      <c r="C28">
        <f t="shared" si="21"/>
        <v>32.6460743446222</v>
      </c>
      <c r="D28">
        <f t="shared" si="23"/>
        <v>4.8338741707381097</v>
      </c>
      <c r="E28">
        <f t="shared" si="4"/>
        <v>4.8338741707381097</v>
      </c>
      <c r="F28">
        <f t="shared" si="5"/>
        <v>0</v>
      </c>
      <c r="G28" s="9">
        <f t="shared" si="6"/>
        <v>0.14806907929297158</v>
      </c>
      <c r="H28" s="9">
        <f t="shared" si="6"/>
        <v>0.14806907929297158</v>
      </c>
      <c r="I28" s="9">
        <f t="shared" si="6"/>
        <v>0</v>
      </c>
      <c r="J28" s="9">
        <f t="shared" si="7"/>
        <v>1.9248980308086305E-2</v>
      </c>
      <c r="K28" s="9">
        <f t="shared" si="8"/>
        <v>2.9613815858594319E-2</v>
      </c>
      <c r="L28" s="9">
        <f t="shared" si="9"/>
        <v>0</v>
      </c>
      <c r="M28">
        <f t="shared" si="0"/>
        <v>31.069505298023483</v>
      </c>
      <c r="N28">
        <f t="shared" si="10"/>
        <v>25.060275647356889</v>
      </c>
      <c r="O28">
        <f t="shared" si="24"/>
        <v>6.0092296506665939</v>
      </c>
      <c r="P28">
        <f t="shared" si="22"/>
        <v>30.386787553482893</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0.68271774454058942</v>
      </c>
      <c r="AB28">
        <f t="shared" si="11"/>
        <v>0.13204612285186665</v>
      </c>
      <c r="AC28">
        <f t="shared" si="12"/>
        <v>0.55067162168872275</v>
      </c>
      <c r="AD28">
        <f t="shared" si="3"/>
        <v>6.0773575106965785</v>
      </c>
      <c r="AE28">
        <f t="shared" si="13"/>
        <v>0</v>
      </c>
      <c r="AF28">
        <f t="shared" si="14"/>
        <v>6.7526194563295316</v>
      </c>
      <c r="AG28">
        <f t="shared" si="15"/>
        <v>12.154715021393157</v>
      </c>
      <c r="AH28">
        <f t="shared" si="16"/>
        <v>0</v>
      </c>
      <c r="AI28">
        <f t="shared" si="17"/>
        <v>1.5993046080780469</v>
      </c>
      <c r="AJ28">
        <f t="shared" si="18"/>
        <v>0</v>
      </c>
      <c r="AK28">
        <f t="shared" si="19"/>
        <v>6.0773575106965785</v>
      </c>
      <c r="AL28">
        <f t="shared" si="20"/>
        <v>0</v>
      </c>
    </row>
    <row r="29" spans="1:38" x14ac:dyDescent="0.2">
      <c r="A29">
        <v>2046</v>
      </c>
      <c r="B29">
        <v>21</v>
      </c>
      <c r="C29">
        <f t="shared" si="21"/>
        <v>33.331641905859264</v>
      </c>
      <c r="D29">
        <f t="shared" si="23"/>
        <v>5.172328198574121</v>
      </c>
      <c r="E29">
        <f t="shared" si="4"/>
        <v>5.172328198574121</v>
      </c>
      <c r="F29">
        <f t="shared" si="5"/>
        <v>0</v>
      </c>
      <c r="G29" s="9">
        <f t="shared" si="6"/>
        <v>0.15517772011299849</v>
      </c>
      <c r="H29" s="9">
        <f t="shared" si="6"/>
        <v>0.15517772011299849</v>
      </c>
      <c r="I29" s="9">
        <f t="shared" si="6"/>
        <v>0</v>
      </c>
      <c r="J29" s="9">
        <f t="shared" si="7"/>
        <v>2.0173103614689804E-2</v>
      </c>
      <c r="K29" s="9">
        <f t="shared" si="8"/>
        <v>3.1035544022599698E-2</v>
      </c>
      <c r="L29" s="9">
        <f t="shared" si="9"/>
        <v>0</v>
      </c>
      <c r="M29">
        <f t="shared" si="0"/>
        <v>31.645641982865609</v>
      </c>
      <c r="N29">
        <f t="shared" si="10"/>
        <v>25.614359363580363</v>
      </c>
      <c r="O29">
        <f t="shared" si="24"/>
        <v>6.0312826192852462</v>
      </c>
      <c r="P29">
        <f t="shared" si="22"/>
        <v>31.075370748929316</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0.57027123393629253</v>
      </c>
      <c r="AB29">
        <f t="shared" si="11"/>
        <v>0.10868690808613064</v>
      </c>
      <c r="AC29">
        <f t="shared" si="12"/>
        <v>0.46158432585016185</v>
      </c>
      <c r="AD29">
        <f t="shared" si="3"/>
        <v>6.2150741497858633</v>
      </c>
      <c r="AE29">
        <f t="shared" si="13"/>
        <v>0</v>
      </c>
      <c r="AF29">
        <f t="shared" si="14"/>
        <v>6.9056379442065152</v>
      </c>
      <c r="AG29">
        <f t="shared" si="15"/>
        <v>12.430148299571728</v>
      </c>
      <c r="AH29">
        <f t="shared" si="16"/>
        <v>0</v>
      </c>
      <c r="AI29">
        <f t="shared" si="17"/>
        <v>1.6355458288910165</v>
      </c>
      <c r="AJ29">
        <f t="shared" si="18"/>
        <v>0</v>
      </c>
      <c r="AK29">
        <f t="shared" si="19"/>
        <v>6.2150741497858633</v>
      </c>
      <c r="AL29">
        <f t="shared" si="20"/>
        <v>0</v>
      </c>
    </row>
    <row r="30" spans="1:38" x14ac:dyDescent="0.2">
      <c r="A30">
        <v>2047</v>
      </c>
      <c r="B30">
        <v>22</v>
      </c>
      <c r="C30">
        <f t="shared" si="21"/>
        <v>34.031606385882306</v>
      </c>
      <c r="D30">
        <f t="shared" si="23"/>
        <v>5.5211625773421886</v>
      </c>
      <c r="E30">
        <f t="shared" si="4"/>
        <v>5.5211625773421886</v>
      </c>
      <c r="F30">
        <f t="shared" si="5"/>
        <v>0</v>
      </c>
      <c r="G30" s="9">
        <f t="shared" si="6"/>
        <v>0.16223631981217881</v>
      </c>
      <c r="H30" s="9">
        <f t="shared" si="6"/>
        <v>0.16223631981217881</v>
      </c>
      <c r="I30" s="9">
        <f t="shared" si="6"/>
        <v>0</v>
      </c>
      <c r="J30" s="9">
        <f t="shared" si="7"/>
        <v>2.1090721575583248E-2</v>
      </c>
      <c r="K30" s="9">
        <f t="shared" si="8"/>
        <v>3.2447263962435767E-2</v>
      </c>
      <c r="L30" s="9">
        <f t="shared" si="9"/>
        <v>0</v>
      </c>
      <c r="M30">
        <f t="shared" si="0"/>
        <v>32.232911795897834</v>
      </c>
      <c r="N30">
        <f t="shared" si="10"/>
        <v>26.157480930748203</v>
      </c>
      <c r="O30">
        <f t="shared" si="24"/>
        <v>6.0754308651496309</v>
      </c>
      <c r="P30">
        <f t="shared" si="22"/>
        <v>31.733842666972453</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0.49906912892538102</v>
      </c>
      <c r="AB30">
        <f t="shared" si="11"/>
        <v>9.4067207111660306E-2</v>
      </c>
      <c r="AC30">
        <f t="shared" si="12"/>
        <v>0.40500192181372074</v>
      </c>
      <c r="AD30">
        <f t="shared" si="3"/>
        <v>6.3467685333944912</v>
      </c>
      <c r="AE30">
        <f t="shared" si="13"/>
        <v>0</v>
      </c>
      <c r="AF30">
        <f t="shared" si="14"/>
        <v>7.0519650371049902</v>
      </c>
      <c r="AG30">
        <f t="shared" si="15"/>
        <v>12.693537066788981</v>
      </c>
      <c r="AH30">
        <f t="shared" si="16"/>
        <v>0</v>
      </c>
      <c r="AI30">
        <f t="shared" si="17"/>
        <v>1.6702022456301291</v>
      </c>
      <c r="AJ30">
        <f t="shared" si="18"/>
        <v>0</v>
      </c>
      <c r="AK30">
        <f t="shared" si="19"/>
        <v>6.3467685333944912</v>
      </c>
      <c r="AL30">
        <f t="shared" si="20"/>
        <v>0</v>
      </c>
    </row>
    <row r="31" spans="1:38" x14ac:dyDescent="0.2">
      <c r="A31">
        <v>2048</v>
      </c>
      <c r="B31">
        <v>23</v>
      </c>
      <c r="C31">
        <f t="shared" si="21"/>
        <v>34.74627011998583</v>
      </c>
      <c r="D31">
        <f t="shared" si="23"/>
        <v>5.8805373886902146</v>
      </c>
      <c r="E31">
        <f t="shared" si="4"/>
        <v>5.8805373886902146</v>
      </c>
      <c r="F31">
        <f t="shared" si="5"/>
        <v>0</v>
      </c>
      <c r="G31" s="9">
        <f t="shared" si="6"/>
        <v>0.16924226307985119</v>
      </c>
      <c r="H31" s="9">
        <f t="shared" si="6"/>
        <v>0.16924226307985119</v>
      </c>
      <c r="I31" s="9">
        <f t="shared" si="6"/>
        <v>0</v>
      </c>
      <c r="J31" s="9">
        <f t="shared" si="7"/>
        <v>2.2001494200380656E-2</v>
      </c>
      <c r="K31" s="9">
        <f t="shared" si="8"/>
        <v>3.3848452615970241E-2</v>
      </c>
      <c r="L31" s="9">
        <f t="shared" si="9"/>
        <v>0</v>
      </c>
      <c r="M31">
        <f t="shared" si="0"/>
        <v>32.831568903568538</v>
      </c>
      <c r="N31">
        <f t="shared" si="10"/>
        <v>26.694633046857863</v>
      </c>
      <c r="O31">
        <f t="shared" si="24"/>
        <v>6.1369358567106751</v>
      </c>
      <c r="P31">
        <f t="shared" si="22"/>
        <v>32.376570249061785</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0.45499865450675259</v>
      </c>
      <c r="AB31">
        <f t="shared" si="11"/>
        <v>8.504916611810473E-2</v>
      </c>
      <c r="AC31">
        <f t="shared" si="12"/>
        <v>0.36994948838864783</v>
      </c>
      <c r="AD31">
        <f t="shared" si="3"/>
        <v>6.4753140498123578</v>
      </c>
      <c r="AE31">
        <f t="shared" si="13"/>
        <v>0</v>
      </c>
      <c r="AF31">
        <f t="shared" si="14"/>
        <v>7.1947933886803979</v>
      </c>
      <c r="AG31">
        <f t="shared" si="15"/>
        <v>12.950628099624716</v>
      </c>
      <c r="AH31">
        <f t="shared" si="16"/>
        <v>0</v>
      </c>
      <c r="AI31">
        <f t="shared" si="17"/>
        <v>1.7040300131085151</v>
      </c>
      <c r="AJ31">
        <f t="shared" si="18"/>
        <v>0</v>
      </c>
      <c r="AK31">
        <f t="shared" si="19"/>
        <v>6.4753140498123578</v>
      </c>
      <c r="AL31">
        <f t="shared" si="20"/>
        <v>0</v>
      </c>
    </row>
    <row r="32" spans="1:38" x14ac:dyDescent="0.2">
      <c r="A32">
        <v>2049</v>
      </c>
      <c r="B32">
        <v>24</v>
      </c>
      <c r="C32">
        <f t="shared" si="21"/>
        <v>35.47594179250553</v>
      </c>
      <c r="D32">
        <f t="shared" si="23"/>
        <v>6.2506133392409069</v>
      </c>
      <c r="E32">
        <f t="shared" si="4"/>
        <v>6.2506133392409069</v>
      </c>
      <c r="F32">
        <f t="shared" si="5"/>
        <v>0</v>
      </c>
      <c r="G32" s="9">
        <f t="shared" si="6"/>
        <v>0.17619302049259142</v>
      </c>
      <c r="H32" s="9">
        <f t="shared" si="6"/>
        <v>0.17619302049259142</v>
      </c>
      <c r="I32" s="9">
        <f t="shared" si="6"/>
        <v>0</v>
      </c>
      <c r="J32" s="9">
        <f t="shared" si="7"/>
        <v>2.2905092664036886E-2</v>
      </c>
      <c r="K32" s="9">
        <f t="shared" si="8"/>
        <v>3.5238604098518284E-2</v>
      </c>
      <c r="L32" s="9">
        <f t="shared" si="9"/>
        <v>0</v>
      </c>
      <c r="M32">
        <f t="shared" si="0"/>
        <v>33.441873566104505</v>
      </c>
      <c r="N32">
        <f t="shared" si="10"/>
        <v>27.229700059400109</v>
      </c>
      <c r="O32">
        <f t="shared" si="24"/>
        <v>6.2121735067043957</v>
      </c>
      <c r="P32">
        <f t="shared" si="22"/>
        <v>33.013152707404927</v>
      </c>
      <c r="Q32" s="9">
        <f t="shared" si="1"/>
        <v>0.98718011842691389</v>
      </c>
      <c r="R32">
        <f>VLOOKUP($B$1,dictionary!$A$3:$K$51,3,FALSE)*Q32</f>
        <v>0.19743602368538279</v>
      </c>
      <c r="S32">
        <f>VLOOKUP($B$1,dictionary!$A$3:$K$51,4,FALSE)*Q32</f>
        <v>0</v>
      </c>
      <c r="T32">
        <f>VLOOKUP($B$1,dictionary!$A$3:$K$51,5,FALSE)*Q32</f>
        <v>0.19743602368538279</v>
      </c>
      <c r="U32">
        <f>VLOOKUP($B$1,dictionary!$A$3:$K$51,6,FALSE)*Q32</f>
        <v>0.34551304144941986</v>
      </c>
      <c r="V32">
        <f>VLOOKUP($B$1,dictionary!$A$3:$K$51,7,FALSE)*Q32</f>
        <v>0</v>
      </c>
      <c r="W32">
        <f>VLOOKUP($B$1,dictionary!$A$3:$K$51,8,FALSE)*Q32</f>
        <v>4.9359005921345699E-2</v>
      </c>
      <c r="X32">
        <f>VLOOKUP($B$1,dictionary!$A$3:$K$51,9,FALSE)*Q32</f>
        <v>0</v>
      </c>
      <c r="Y32">
        <f>VLOOKUP($B$1,dictionary!$A$3:$K$51,10,FALSE)*Q32</f>
        <v>0.19743602368538279</v>
      </c>
      <c r="Z32">
        <f>VLOOKUP($B$1,dictionary!$A$3:$K$51,11,FALSE)*Q32</f>
        <v>0</v>
      </c>
      <c r="AA32">
        <f t="shared" si="2"/>
        <v>0.42872085869957743</v>
      </c>
      <c r="AB32">
        <f t="shared" si="11"/>
        <v>7.9639328667413189E-2</v>
      </c>
      <c r="AC32">
        <f t="shared" si="12"/>
        <v>0.34908153003216424</v>
      </c>
      <c r="AD32">
        <f t="shared" si="3"/>
        <v>6.6026305414809858</v>
      </c>
      <c r="AE32">
        <f t="shared" si="13"/>
        <v>0</v>
      </c>
      <c r="AF32">
        <f t="shared" si="14"/>
        <v>7.3362561572010963</v>
      </c>
      <c r="AG32">
        <f t="shared" si="15"/>
        <v>13.205261082961972</v>
      </c>
      <c r="AH32">
        <f t="shared" si="16"/>
        <v>0</v>
      </c>
      <c r="AI32">
        <f t="shared" si="17"/>
        <v>1.7375343530213119</v>
      </c>
      <c r="AJ32">
        <f t="shared" si="18"/>
        <v>0</v>
      </c>
      <c r="AK32">
        <f t="shared" si="19"/>
        <v>6.6026305414809858</v>
      </c>
      <c r="AL32">
        <f t="shared" si="20"/>
        <v>0</v>
      </c>
    </row>
    <row r="33" spans="1:38" x14ac:dyDescent="0.2">
      <c r="A33">
        <v>2050</v>
      </c>
      <c r="B33">
        <v>25</v>
      </c>
      <c r="C33">
        <f t="shared" si="21"/>
        <v>36.22093657014814</v>
      </c>
      <c r="D33">
        <f t="shared" si="23"/>
        <v>6.6315518828730156</v>
      </c>
      <c r="E33">
        <f t="shared" si="4"/>
        <v>6.6315518828730156</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34.064092226942442</v>
      </c>
      <c r="N33">
        <f t="shared" si="10"/>
        <v>27.765704696204359</v>
      </c>
      <c r="O33">
        <f t="shared" si="24"/>
        <v>6.2983875307380828</v>
      </c>
      <c r="P33">
        <f t="shared" si="22"/>
        <v>33.649993694352581</v>
      </c>
      <c r="Q33" s="9">
        <f t="shared" si="1"/>
        <v>0.98784354710435118</v>
      </c>
      <c r="R33">
        <f>VLOOKUP($B$1,dictionary!$A$3:$K$51,3,FALSE)*Q33</f>
        <v>0.19756870942087024</v>
      </c>
      <c r="S33">
        <f>VLOOKUP($B$1,dictionary!$A$3:$K$51,4,FALSE)*Q33</f>
        <v>0</v>
      </c>
      <c r="T33">
        <f>VLOOKUP($B$1,dictionary!$A$3:$K$51,5,FALSE)*Q33</f>
        <v>0.19756870942087024</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0.19756870942087024</v>
      </c>
      <c r="Z33">
        <f>VLOOKUP($B$1,dictionary!$A$3:$K$51,11,FALSE)*Q33</f>
        <v>0</v>
      </c>
      <c r="AA33">
        <f t="shared" si="2"/>
        <v>0.41409853258986118</v>
      </c>
      <c r="AB33">
        <f t="shared" si="11"/>
        <v>7.6566051335959076E-2</v>
      </c>
      <c r="AC33">
        <f t="shared" si="12"/>
        <v>0.33753248125390212</v>
      </c>
      <c r="AD33">
        <f t="shared" si="3"/>
        <v>6.7299987388705151</v>
      </c>
      <c r="AE33">
        <f t="shared" si="13"/>
        <v>0</v>
      </c>
      <c r="AF33">
        <f t="shared" si="14"/>
        <v>7.4777763765227956</v>
      </c>
      <c r="AG33">
        <f t="shared" si="15"/>
        <v>13.459997477741034</v>
      </c>
      <c r="AH33">
        <f t="shared" si="16"/>
        <v>0</v>
      </c>
      <c r="AI33">
        <f t="shared" si="17"/>
        <v>1.7710522997027671</v>
      </c>
      <c r="AJ33">
        <f t="shared" si="18"/>
        <v>0</v>
      </c>
      <c r="AK33">
        <f t="shared" si="19"/>
        <v>6.7299987388705151</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C066-BD8C-684B-B83A-3E43B3343D01}">
  <sheetPr>
    <tabColor theme="4" tint="0.79998168889431442"/>
  </sheetPr>
  <dimension ref="A1:AY37"/>
  <sheetViews>
    <sheetView topLeftCell="J1" zoomScale="93" zoomScaleNormal="125" workbookViewId="0">
      <selection activeCell="C8" sqref="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19</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emissions!N34</f>
        <v>21.54349318047257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21.54349318047257</v>
      </c>
      <c r="N8">
        <f>IF($N$7="LFO",M8/(1+EXP(-$I$4*(B8-$J$4)))-M8/(1+EXP($I$4*$J$4)),IF($N$7="MGO",M8/(1+EXP(-$I$5*(B8-$J$5)))-M8/(1+EXP($I$5*$J$5)),0))</f>
        <v>0</v>
      </c>
      <c r="O8">
        <f>M8-N8</f>
        <v>21.54349318047257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21.54349318047257</v>
      </c>
      <c r="AB8">
        <f>O8/M8*AA8</f>
        <v>21.54349318047257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21.995906537262492</v>
      </c>
      <c r="D9">
        <f>IF($E$2=0,0,C9/(1+EXP(-$E$2*(B9-$G$2)))-C9/(1+EXP($E$2*$G$2)))</f>
        <v>0.16421689779408943</v>
      </c>
      <c r="E9">
        <f t="shared" ref="E9:E33" si="4">IF($E$3=0,0,C9/(1+EXP(-$E$3*(B9-$G$3)))-C9/(1+EXP($E$3*$G$3)))</f>
        <v>0.16421689779408943</v>
      </c>
      <c r="F9">
        <f t="shared" ref="F9:F33" si="5">IF($E$4=0,0,C9/(1+EXP(-$E$4*(B9-$G$4)))-C9/(1+EXP($E$4*$G$4)))</f>
        <v>0</v>
      </c>
      <c r="G9" s="9">
        <f t="shared" ref="G9:I33" si="6">D9/$C9</f>
        <v>7.4657935791778056E-3</v>
      </c>
      <c r="H9" s="9">
        <f t="shared" si="6"/>
        <v>7.4657935791778056E-3</v>
      </c>
      <c r="I9" s="9">
        <f t="shared" si="6"/>
        <v>0</v>
      </c>
      <c r="J9" s="9">
        <f t="shared" ref="J9:J33" si="7">G9*$F$2</f>
        <v>9.7055316529311478E-4</v>
      </c>
      <c r="K9" s="9">
        <f t="shared" ref="K9:K33" si="8">H9*$F$3</f>
        <v>1.4931587158355613E-3</v>
      </c>
      <c r="L9" s="9">
        <f t="shared" ref="L9:L33" si="9">I9*$F$4</f>
        <v>0</v>
      </c>
      <c r="M9">
        <f t="shared" si="0"/>
        <v>21.94174683723643</v>
      </c>
      <c r="N9">
        <f t="shared" ref="N9:N33" si="10">IF($N$7="LFO",M9/(1+EXP(-$I$4*(B9-$J$4)))-M9/(1+EXP($I$4*$J$4)),IF($N$7="MGO",M9/(1+EXP(-$I$5*(B9-$J$5)))-M9/(1+EXP($I$5*$J$5)),0))</f>
        <v>1.0762359395497292</v>
      </c>
      <c r="O9">
        <f>M9-N9</f>
        <v>20.865510897686701</v>
      </c>
      <c r="P9">
        <f>IF($I$3=0,0,M9/(1+EXP(-$I$3*(B9-$J$3)))-M9/(1+EXP($I$3*$J$3)))</f>
        <v>0.13465849013038431</v>
      </c>
      <c r="Q9" s="9">
        <f t="shared" si="1"/>
        <v>6.1370906851345563E-3</v>
      </c>
      <c r="R9">
        <f>VLOOKUP($B$1,dictionary!$A$3:$K$51,3,FALSE)*Q9</f>
        <v>1.2274181370269114E-3</v>
      </c>
      <c r="S9">
        <f>VLOOKUP($B$1,dictionary!$A$3:$K$51,4,FALSE)*Q9</f>
        <v>0</v>
      </c>
      <c r="T9">
        <f>VLOOKUP($B$1,dictionary!$A$3:$K$51,5,FALSE)*Q9</f>
        <v>1.2274181370269114E-3</v>
      </c>
      <c r="U9">
        <f>VLOOKUP($B$1,dictionary!$A$3:$K$51,6,FALSE)*Q9</f>
        <v>2.1479817397970944E-3</v>
      </c>
      <c r="V9">
        <f>VLOOKUP($B$1,dictionary!$A$3:$K$51,7,FALSE)*Q9</f>
        <v>0</v>
      </c>
      <c r="W9">
        <f>VLOOKUP($B$1,dictionary!$A$3:$K$51,8,FALSE)*Q9</f>
        <v>3.0685453425672785E-4</v>
      </c>
      <c r="X9">
        <f>VLOOKUP($B$1,dictionary!$A$3:$K$51,9,FALSE)*Q9</f>
        <v>0</v>
      </c>
      <c r="Y9">
        <f>VLOOKUP($B$1,dictionary!$A$3:$K$51,10,FALSE)*Q9</f>
        <v>1.2274181370269114E-3</v>
      </c>
      <c r="Z9">
        <f>VLOOKUP($B$1,dictionary!$A$3:$K$51,11,FALSE)*Q9</f>
        <v>0</v>
      </c>
      <c r="AA9">
        <f t="shared" si="2"/>
        <v>21.807088347106045</v>
      </c>
      <c r="AB9">
        <f t="shared" ref="AB9:AB33" si="11">O9/M9*AA9</f>
        <v>20.737457365115933</v>
      </c>
      <c r="AC9">
        <f t="shared" ref="AC9:AC33" si="12">N9/M9*AA9</f>
        <v>1.0696309819901115</v>
      </c>
      <c r="AD9">
        <f t="shared" si="3"/>
        <v>2.6931698026076863E-2</v>
      </c>
      <c r="AE9">
        <f t="shared" ref="AE9:AE33" si="13">S9*$O9*$AE$2+S9*$N9*$AE$3</f>
        <v>0</v>
      </c>
      <c r="AF9">
        <f t="shared" ref="AF9:AF33" si="14">T9*$O9*$AF$2+T9*$N9*$AF$3</f>
        <v>2.9924108917863183E-2</v>
      </c>
      <c r="AG9">
        <f t="shared" ref="AG9:AG33" si="15">U9*$O9*$AG$2+U9*$N9*$AG$3</f>
        <v>5.386339605215372E-2</v>
      </c>
      <c r="AH9">
        <f t="shared" ref="AH9:AH33" si="16">V9*$O9*$AH$2+V9*$N9*$AH$3</f>
        <v>0</v>
      </c>
      <c r="AI9">
        <f t="shared" ref="AI9:AI33" si="17">W9*$O9*$AI$2+W9*$N9*$AI$3</f>
        <v>7.0872889542307532E-3</v>
      </c>
      <c r="AJ9">
        <f t="shared" ref="AJ9:AJ33" si="18">X9*$O9*$AJ$2+X9*$N9*$AJ$3</f>
        <v>0</v>
      </c>
      <c r="AK9">
        <f t="shared" ref="AK9:AK33" si="19">Y9*$O9*$AK$2+Y9*$N9*$AK$3</f>
        <v>2.6931698026076863E-2</v>
      </c>
      <c r="AL9">
        <f t="shared" ref="AL9:AL33" si="20">Z9*$O9*$AL$2+Z9*$N9*$AL$3</f>
        <v>0</v>
      </c>
    </row>
    <row r="10" spans="1:51" x14ac:dyDescent="0.2">
      <c r="A10">
        <v>2027</v>
      </c>
      <c r="B10">
        <v>2</v>
      </c>
      <c r="C10">
        <f t="shared" ref="C10:C33" si="21">C9*(1+$I$2)</f>
        <v>22.457820574545003</v>
      </c>
      <c r="D10">
        <f>IF($E$2=0,0,C10/(1+EXP(-$E$2*(B10-$G$2)))-C10/(1+EXP($E$2*$G$2)))</f>
        <v>0.33563259003856949</v>
      </c>
      <c r="E10">
        <f t="shared" si="4"/>
        <v>0.33563259003856949</v>
      </c>
      <c r="F10">
        <f t="shared" si="5"/>
        <v>0</v>
      </c>
      <c r="G10" s="9">
        <f t="shared" si="6"/>
        <v>1.4945020551949503E-2</v>
      </c>
      <c r="H10" s="9">
        <f t="shared" si="6"/>
        <v>1.4945020551949503E-2</v>
      </c>
      <c r="I10" s="9">
        <f t="shared" si="6"/>
        <v>0</v>
      </c>
      <c r="J10" s="9">
        <f t="shared" si="7"/>
        <v>1.9428526717534355E-3</v>
      </c>
      <c r="K10" s="9">
        <f t="shared" si="8"/>
        <v>2.9890041103899007E-3</v>
      </c>
      <c r="L10" s="9">
        <f t="shared" si="9"/>
        <v>0</v>
      </c>
      <c r="M10">
        <f t="shared" si="0"/>
        <v>22.347192236767132</v>
      </c>
      <c r="N10">
        <f t="shared" si="10"/>
        <v>2.3827687815786058</v>
      </c>
      <c r="O10">
        <f>M10-N10</f>
        <v>19.964423455188527</v>
      </c>
      <c r="P10">
        <f t="shared" ref="P10:P33" si="22">IF($I$3=0,0,M10/(1+EXP(-$I$3*(B10-$J$3)))-M10/(1+EXP($I$3*$J$3)))</f>
        <v>0.34884080932208417</v>
      </c>
      <c r="Q10" s="9">
        <f t="shared" si="1"/>
        <v>1.5610050946272677E-2</v>
      </c>
      <c r="R10">
        <f>VLOOKUP($B$1,dictionary!$A$3:$K$51,3,FALSE)*Q10</f>
        <v>3.1220101892545354E-3</v>
      </c>
      <c r="S10">
        <f>VLOOKUP($B$1,dictionary!$A$3:$K$51,4,FALSE)*Q10</f>
        <v>0</v>
      </c>
      <c r="T10">
        <f>VLOOKUP($B$1,dictionary!$A$3:$K$51,5,FALSE)*Q10</f>
        <v>3.1220101892545354E-3</v>
      </c>
      <c r="U10">
        <f>VLOOKUP($B$1,dictionary!$A$3:$K$51,6,FALSE)*Q10</f>
        <v>5.4635178311954365E-3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21.998351427445048</v>
      </c>
      <c r="AB10">
        <f t="shared" si="11"/>
        <v>19.652777787940074</v>
      </c>
      <c r="AC10">
        <f t="shared" si="12"/>
        <v>2.3455736395049755</v>
      </c>
      <c r="AD10">
        <f t="shared" si="3"/>
        <v>6.9768161864416839E-2</v>
      </c>
      <c r="AE10">
        <f t="shared" si="13"/>
        <v>0</v>
      </c>
      <c r="AF10">
        <f t="shared" si="14"/>
        <v>7.7520179849352056E-2</v>
      </c>
      <c r="AG10">
        <f t="shared" si="15"/>
        <v>0.13953632372883368</v>
      </c>
      <c r="AH10">
        <f t="shared" si="16"/>
        <v>0</v>
      </c>
      <c r="AI10">
        <f t="shared" si="17"/>
        <v>1.836004259589917E-2</v>
      </c>
      <c r="AJ10">
        <f t="shared" si="18"/>
        <v>0</v>
      </c>
      <c r="AK10">
        <f t="shared" si="19"/>
        <v>6.9768161864416839E-2</v>
      </c>
      <c r="AL10">
        <f t="shared" si="20"/>
        <v>0</v>
      </c>
    </row>
    <row r="11" spans="1:51" x14ac:dyDescent="0.2">
      <c r="A11">
        <v>2028</v>
      </c>
      <c r="B11">
        <v>3</v>
      </c>
      <c r="C11">
        <f t="shared" si="21"/>
        <v>22.929434806610445</v>
      </c>
      <c r="D11">
        <f t="shared" ref="D11:D33" si="23">IF($E$2=0,0,C11/(1+EXP(-$E$2*(B11-$G$2)))-C11/(1+EXP($E$2*$G$2)))</f>
        <v>0.51440682185633158</v>
      </c>
      <c r="E11">
        <f t="shared" si="4"/>
        <v>0.51440682185633158</v>
      </c>
      <c r="F11">
        <f t="shared" si="5"/>
        <v>0</v>
      </c>
      <c r="G11" s="9">
        <f t="shared" si="6"/>
        <v>2.2434343724339448E-2</v>
      </c>
      <c r="H11" s="9">
        <f t="shared" si="6"/>
        <v>2.2434343724339448E-2</v>
      </c>
      <c r="I11" s="9">
        <f t="shared" si="6"/>
        <v>0</v>
      </c>
      <c r="J11" s="9">
        <f t="shared" si="7"/>
        <v>2.9164646841641283E-3</v>
      </c>
      <c r="K11" s="9">
        <f t="shared" si="8"/>
        <v>4.4868687448678902E-3</v>
      </c>
      <c r="L11" s="9">
        <f t="shared" si="9"/>
        <v>0</v>
      </c>
      <c r="M11">
        <f t="shared" si="0"/>
        <v>22.759980605263703</v>
      </c>
      <c r="N11">
        <f t="shared" si="10"/>
        <v>3.912854214160653</v>
      </c>
      <c r="O11">
        <f t="shared" ref="O11:O33" si="24">M11-N11</f>
        <v>18.84712639110305</v>
      </c>
      <c r="P11">
        <f t="shared" si="22"/>
        <v>0.68517409370463311</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22.074806511559071</v>
      </c>
      <c r="AB11">
        <f t="shared" si="11"/>
        <v>18.279746173697497</v>
      </c>
      <c r="AC11">
        <f t="shared" si="12"/>
        <v>3.7950603378615742</v>
      </c>
      <c r="AD11">
        <f t="shared" si="3"/>
        <v>0.13703481874092663</v>
      </c>
      <c r="AE11">
        <f t="shared" si="13"/>
        <v>0</v>
      </c>
      <c r="AF11">
        <f t="shared" si="14"/>
        <v>0.15226090971214074</v>
      </c>
      <c r="AG11">
        <f t="shared" si="15"/>
        <v>0.27406963748185326</v>
      </c>
      <c r="AH11">
        <f t="shared" si="16"/>
        <v>0</v>
      </c>
      <c r="AI11">
        <f t="shared" si="17"/>
        <v>3.6061794405507011E-2</v>
      </c>
      <c r="AJ11">
        <f t="shared" si="18"/>
        <v>0</v>
      </c>
      <c r="AK11">
        <f t="shared" si="19"/>
        <v>0.13703481874092663</v>
      </c>
      <c r="AL11">
        <f t="shared" si="20"/>
        <v>0</v>
      </c>
    </row>
    <row r="12" spans="1:51" x14ac:dyDescent="0.2">
      <c r="A12">
        <v>2029</v>
      </c>
      <c r="B12">
        <v>4</v>
      </c>
      <c r="C12">
        <f t="shared" si="21"/>
        <v>23.410952937549261</v>
      </c>
      <c r="D12">
        <f t="shared" si="23"/>
        <v>0.70069936824660495</v>
      </c>
      <c r="E12">
        <f t="shared" si="4"/>
        <v>0.70069936824660495</v>
      </c>
      <c r="F12">
        <f t="shared" si="5"/>
        <v>0</v>
      </c>
      <c r="G12" s="9">
        <f t="shared" si="6"/>
        <v>2.9930407793129183E-2</v>
      </c>
      <c r="H12" s="9">
        <f t="shared" si="6"/>
        <v>2.9930407793129183E-2</v>
      </c>
      <c r="I12" s="9">
        <f t="shared" si="6"/>
        <v>0</v>
      </c>
      <c r="J12" s="9">
        <f t="shared" si="7"/>
        <v>3.8909530131067938E-3</v>
      </c>
      <c r="K12" s="9">
        <f t="shared" si="8"/>
        <v>5.9860815586258373E-3</v>
      </c>
      <c r="L12" s="9">
        <f t="shared" si="9"/>
        <v>0</v>
      </c>
      <c r="M12">
        <f t="shared" si="0"/>
        <v>23.180267423691514</v>
      </c>
      <c r="N12">
        <f t="shared" si="10"/>
        <v>5.6358638377205077</v>
      </c>
      <c r="O12">
        <f t="shared" si="24"/>
        <v>17.544403585971008</v>
      </c>
      <c r="P12">
        <f t="shared" si="22"/>
        <v>1.2050589656226156</v>
      </c>
      <c r="Q12" s="9">
        <f t="shared" si="1"/>
        <v>5.1986413426403304E-2</v>
      </c>
      <c r="R12">
        <f>VLOOKUP($B$1,dictionary!$A$3:$K$51,3,FALSE)*Q12</f>
        <v>1.0397282685280661E-2</v>
      </c>
      <c r="S12">
        <f>VLOOKUP($B$1,dictionary!$A$3:$K$51,4,FALSE)*Q12</f>
        <v>0</v>
      </c>
      <c r="T12">
        <f>VLOOKUP($B$1,dictionary!$A$3:$K$51,5,FALSE)*Q12</f>
        <v>1.0397282685280661E-2</v>
      </c>
      <c r="U12">
        <f>VLOOKUP($B$1,dictionary!$A$3:$K$51,6,FALSE)*Q12</f>
        <v>1.8195244699241154E-2</v>
      </c>
      <c r="V12">
        <f>VLOOKUP($B$1,dictionary!$A$3:$K$51,7,FALSE)*Q12</f>
        <v>0</v>
      </c>
      <c r="W12">
        <f>VLOOKUP($B$1,dictionary!$A$3:$K$51,8,FALSE)*Q12</f>
        <v>2.5993206713201653E-3</v>
      </c>
      <c r="X12">
        <f>VLOOKUP($B$1,dictionary!$A$3:$K$51,9,FALSE)*Q12</f>
        <v>0</v>
      </c>
      <c r="Y12">
        <f>VLOOKUP($B$1,dictionary!$A$3:$K$51,10,FALSE)*Q12</f>
        <v>1.0397282685280661E-2</v>
      </c>
      <c r="Z12">
        <f>VLOOKUP($B$1,dictionary!$A$3:$K$51,11,FALSE)*Q12</f>
        <v>0</v>
      </c>
      <c r="AA12">
        <f t="shared" si="2"/>
        <v>21.975208458068899</v>
      </c>
      <c r="AB12">
        <f t="shared" si="11"/>
        <v>16.632332967831047</v>
      </c>
      <c r="AC12">
        <f t="shared" si="12"/>
        <v>5.3428754902378532</v>
      </c>
      <c r="AD12">
        <f t="shared" si="3"/>
        <v>0.24101179312452314</v>
      </c>
      <c r="AE12">
        <f t="shared" si="13"/>
        <v>0</v>
      </c>
      <c r="AF12">
        <f t="shared" si="14"/>
        <v>0.26779088124947015</v>
      </c>
      <c r="AG12">
        <f t="shared" si="15"/>
        <v>0.48202358624904629</v>
      </c>
      <c r="AH12">
        <f t="shared" si="16"/>
        <v>0</v>
      </c>
      <c r="AI12">
        <f t="shared" si="17"/>
        <v>6.3424156085400835E-2</v>
      </c>
      <c r="AJ12">
        <f t="shared" si="18"/>
        <v>0</v>
      </c>
      <c r="AK12">
        <f t="shared" si="19"/>
        <v>0.24101179312452314</v>
      </c>
      <c r="AL12">
        <f t="shared" si="20"/>
        <v>0</v>
      </c>
    </row>
    <row r="13" spans="1:51" x14ac:dyDescent="0.2">
      <c r="A13">
        <v>2030</v>
      </c>
      <c r="B13">
        <v>5</v>
      </c>
      <c r="C13">
        <f t="shared" si="21"/>
        <v>23.902582949237793</v>
      </c>
      <c r="D13">
        <f t="shared" si="23"/>
        <v>0.89466998310611601</v>
      </c>
      <c r="E13">
        <f t="shared" si="4"/>
        <v>0.89466998310611601</v>
      </c>
      <c r="F13">
        <f t="shared" si="5"/>
        <v>0</v>
      </c>
      <c r="G13" s="9">
        <f t="shared" si="6"/>
        <v>3.7429845343749567E-2</v>
      </c>
      <c r="H13" s="9">
        <f t="shared" si="6"/>
        <v>3.7429845343749567E-2</v>
      </c>
      <c r="I13" s="9">
        <f t="shared" si="6"/>
        <v>0</v>
      </c>
      <c r="J13" s="9">
        <f t="shared" si="7"/>
        <v>4.865879894687444E-3</v>
      </c>
      <c r="K13" s="9">
        <f t="shared" si="8"/>
        <v>7.4859690687499141E-3</v>
      </c>
      <c r="L13" s="9">
        <f t="shared" si="9"/>
        <v>0</v>
      </c>
      <c r="M13">
        <f t="shared" si="0"/>
        <v>23.608212526149412</v>
      </c>
      <c r="N13">
        <f t="shared" si="10"/>
        <v>7.4973657268601164</v>
      </c>
      <c r="O13">
        <f t="shared" si="24"/>
        <v>16.110846799289295</v>
      </c>
      <c r="P13">
        <f t="shared" si="22"/>
        <v>1.9916483549571453</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21.616564171192266</v>
      </c>
      <c r="AB13">
        <f t="shared" si="11"/>
        <v>14.751695127419598</v>
      </c>
      <c r="AC13">
        <f t="shared" si="12"/>
        <v>6.8648690437726687</v>
      </c>
      <c r="AD13">
        <f t="shared" si="3"/>
        <v>0.39832967099142907</v>
      </c>
      <c r="AE13">
        <f t="shared" si="13"/>
        <v>0</v>
      </c>
      <c r="AF13">
        <f t="shared" si="14"/>
        <v>0.4425885233238101</v>
      </c>
      <c r="AG13">
        <f t="shared" si="15"/>
        <v>0.79665934198285815</v>
      </c>
      <c r="AH13">
        <f t="shared" si="16"/>
        <v>0</v>
      </c>
      <c r="AI13">
        <f t="shared" si="17"/>
        <v>0.10482359762932345</v>
      </c>
      <c r="AJ13">
        <f t="shared" si="18"/>
        <v>0</v>
      </c>
      <c r="AK13">
        <f t="shared" si="19"/>
        <v>0.39832967099142907</v>
      </c>
      <c r="AL13">
        <f t="shared" si="20"/>
        <v>0</v>
      </c>
    </row>
    <row r="14" spans="1:51" x14ac:dyDescent="0.2">
      <c r="A14">
        <v>2031</v>
      </c>
      <c r="B14">
        <v>6</v>
      </c>
      <c r="C14">
        <f t="shared" si="21"/>
        <v>24.404537191171784</v>
      </c>
      <c r="D14">
        <f t="shared" si="23"/>
        <v>1.0964783553683279</v>
      </c>
      <c r="E14">
        <f t="shared" si="4"/>
        <v>1.0964783553683279</v>
      </c>
      <c r="F14">
        <f t="shared" si="5"/>
        <v>0</v>
      </c>
      <c r="G14" s="9">
        <f t="shared" si="6"/>
        <v>4.4929282894369878E-2</v>
      </c>
      <c r="H14" s="9">
        <f t="shared" si="6"/>
        <v>4.4929282894369878E-2</v>
      </c>
      <c r="I14" s="9">
        <f t="shared" si="6"/>
        <v>0</v>
      </c>
      <c r="J14" s="9">
        <f t="shared" si="7"/>
        <v>5.8408067762680841E-3</v>
      </c>
      <c r="K14" s="9">
        <f t="shared" si="8"/>
        <v>8.9858565788739752E-3</v>
      </c>
      <c r="L14" s="9">
        <f t="shared" si="9"/>
        <v>0</v>
      </c>
      <c r="M14">
        <f t="shared" si="0"/>
        <v>24.043980197541849</v>
      </c>
      <c r="N14">
        <f t="shared" si="10"/>
        <v>9.4256488169193986</v>
      </c>
      <c r="O14">
        <f t="shared" si="24"/>
        <v>14.61833138062245</v>
      </c>
      <c r="P14">
        <f t="shared" si="22"/>
        <v>3.146494364426041</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20.897485833115809</v>
      </c>
      <c r="AB14">
        <f t="shared" si="11"/>
        <v>12.705316275446837</v>
      </c>
      <c r="AC14">
        <f t="shared" si="12"/>
        <v>8.1921695576689721</v>
      </c>
      <c r="AD14">
        <f t="shared" si="3"/>
        <v>0.62929887288520825</v>
      </c>
      <c r="AE14">
        <f t="shared" si="13"/>
        <v>0</v>
      </c>
      <c r="AF14">
        <f t="shared" si="14"/>
        <v>0.69922096987245363</v>
      </c>
      <c r="AG14">
        <f t="shared" si="15"/>
        <v>1.2585977457704165</v>
      </c>
      <c r="AH14">
        <f t="shared" si="16"/>
        <v>0</v>
      </c>
      <c r="AI14">
        <f t="shared" si="17"/>
        <v>0.16560496654873902</v>
      </c>
      <c r="AJ14">
        <f t="shared" si="18"/>
        <v>0</v>
      </c>
      <c r="AK14">
        <f t="shared" si="19"/>
        <v>0.62929887288520825</v>
      </c>
      <c r="AL14">
        <f t="shared" si="20"/>
        <v>0</v>
      </c>
    </row>
    <row r="15" spans="1:51" x14ac:dyDescent="0.2">
      <c r="A15">
        <v>2032</v>
      </c>
      <c r="B15">
        <v>7</v>
      </c>
      <c r="C15">
        <f t="shared" si="21"/>
        <v>24.917032472186389</v>
      </c>
      <c r="D15">
        <f t="shared" si="23"/>
        <v>1.3062840726466867</v>
      </c>
      <c r="E15">
        <f t="shared" si="4"/>
        <v>1.3062840726466867</v>
      </c>
      <c r="F15">
        <f t="shared" si="5"/>
        <v>0</v>
      </c>
      <c r="G15" s="9">
        <f t="shared" si="6"/>
        <v>5.2425346963159633E-2</v>
      </c>
      <c r="H15" s="9">
        <f t="shared" si="6"/>
        <v>5.2425346963159633E-2</v>
      </c>
      <c r="I15" s="9">
        <f t="shared" si="6"/>
        <v>0</v>
      </c>
      <c r="J15" s="9">
        <f t="shared" si="7"/>
        <v>6.8152951052107523E-3</v>
      </c>
      <c r="K15" s="9">
        <f t="shared" si="8"/>
        <v>1.0485069392631927E-2</v>
      </c>
      <c r="L15" s="9">
        <f t="shared" si="9"/>
        <v>0</v>
      </c>
      <c r="M15">
        <f t="shared" si="0"/>
        <v>24.487739270502249</v>
      </c>
      <c r="N15">
        <f t="shared" si="10"/>
        <v>11.343474621957981</v>
      </c>
      <c r="O15">
        <f t="shared" si="24"/>
        <v>13.144264648544269</v>
      </c>
      <c r="P15">
        <f>IF($I$3=0,0,M15/(1+EXP(-$I$3*(B15-$J$3)))-M15/(1+EXP($I$3*$J$3)))</f>
        <v>4.7722546016650247</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19.715484668837224</v>
      </c>
      <c r="AB15">
        <f t="shared" si="11"/>
        <v>10.582665279913302</v>
      </c>
      <c r="AC15">
        <f t="shared" si="12"/>
        <v>9.132819388923922</v>
      </c>
      <c r="AD15">
        <f t="shared" si="3"/>
        <v>0.95445092033300494</v>
      </c>
      <c r="AE15">
        <f t="shared" si="13"/>
        <v>0</v>
      </c>
      <c r="AF15">
        <f t="shared" si="14"/>
        <v>1.0605010225922278</v>
      </c>
      <c r="AG15">
        <f t="shared" si="15"/>
        <v>1.9089018406660099</v>
      </c>
      <c r="AH15">
        <f t="shared" si="16"/>
        <v>0</v>
      </c>
      <c r="AI15">
        <f t="shared" si="17"/>
        <v>0.25117129482447498</v>
      </c>
      <c r="AJ15">
        <f t="shared" si="18"/>
        <v>0</v>
      </c>
      <c r="AK15">
        <f t="shared" si="19"/>
        <v>0.95445092033300494</v>
      </c>
      <c r="AL15">
        <f t="shared" si="20"/>
        <v>0</v>
      </c>
    </row>
    <row r="16" spans="1:51" x14ac:dyDescent="0.2">
      <c r="A16">
        <v>2033</v>
      </c>
      <c r="B16">
        <v>8</v>
      </c>
      <c r="C16">
        <f t="shared" si="21"/>
        <v>25.4402901541023</v>
      </c>
      <c r="D16">
        <f t="shared" si="23"/>
        <v>1.5242465927357109</v>
      </c>
      <c r="E16">
        <f t="shared" si="4"/>
        <v>1.5242465927357109</v>
      </c>
      <c r="F16">
        <f t="shared" si="5"/>
        <v>0</v>
      </c>
      <c r="G16" s="9">
        <f t="shared" si="6"/>
        <v>5.9914670135549651E-2</v>
      </c>
      <c r="H16" s="9">
        <f t="shared" si="6"/>
        <v>5.9914670135549651E-2</v>
      </c>
      <c r="I16" s="9">
        <f t="shared" si="6"/>
        <v>0</v>
      </c>
      <c r="J16" s="9">
        <f t="shared" si="7"/>
        <v>7.7889071176214545E-3</v>
      </c>
      <c r="K16" s="9">
        <f t="shared" si="8"/>
        <v>1.1982934027109931E-2</v>
      </c>
      <c r="L16" s="9">
        <f t="shared" si="9"/>
        <v>0</v>
      </c>
      <c r="M16">
        <f t="shared" si="0"/>
        <v>24.939663221526548</v>
      </c>
      <c r="N16">
        <f t="shared" si="10"/>
        <v>13.181210036238301</v>
      </c>
      <c r="O16">
        <f t="shared" si="24"/>
        <v>11.758453185288246</v>
      </c>
      <c r="P16">
        <f t="shared" si="22"/>
        <v>6.9348114095059179</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18.004851812020629</v>
      </c>
      <c r="AB16">
        <f t="shared" si="11"/>
        <v>8.4888558942913495</v>
      </c>
      <c r="AC16">
        <f t="shared" si="12"/>
        <v>9.5159959177292794</v>
      </c>
      <c r="AD16">
        <f t="shared" si="3"/>
        <v>1.3869622819011838</v>
      </c>
      <c r="AE16">
        <f t="shared" si="13"/>
        <v>0</v>
      </c>
      <c r="AF16">
        <f t="shared" si="14"/>
        <v>1.5410692021124264</v>
      </c>
      <c r="AG16">
        <f t="shared" si="15"/>
        <v>2.7739245638023675</v>
      </c>
      <c r="AH16">
        <f t="shared" si="16"/>
        <v>0</v>
      </c>
      <c r="AI16">
        <f t="shared" si="17"/>
        <v>0.36499007418452201</v>
      </c>
      <c r="AJ16">
        <f t="shared" si="18"/>
        <v>0</v>
      </c>
      <c r="AK16">
        <f t="shared" si="19"/>
        <v>1.3869622819011838</v>
      </c>
      <c r="AL16">
        <f t="shared" si="20"/>
        <v>0</v>
      </c>
    </row>
    <row r="17" spans="1:38" x14ac:dyDescent="0.2">
      <c r="A17">
        <v>2034</v>
      </c>
      <c r="B17">
        <v>9</v>
      </c>
      <c r="C17">
        <f t="shared" si="21"/>
        <v>25.974536247338445</v>
      </c>
      <c r="D17">
        <f t="shared" si="23"/>
        <v>1.7505252232894897</v>
      </c>
      <c r="E17">
        <f t="shared" si="4"/>
        <v>1.7505252232894897</v>
      </c>
      <c r="F17">
        <f t="shared" si="5"/>
        <v>0</v>
      </c>
      <c r="G17" s="9">
        <f t="shared" si="6"/>
        <v>6.7393897108321318E-2</v>
      </c>
      <c r="H17" s="9">
        <f t="shared" si="6"/>
        <v>6.7393897108321318E-2</v>
      </c>
      <c r="I17" s="9">
        <f t="shared" si="6"/>
        <v>0</v>
      </c>
      <c r="J17" s="9">
        <f t="shared" si="7"/>
        <v>8.7612066240817712E-3</v>
      </c>
      <c r="K17" s="9">
        <f t="shared" si="8"/>
        <v>1.3478779421664264E-2</v>
      </c>
      <c r="L17" s="9">
        <f t="shared" si="9"/>
        <v>0</v>
      </c>
      <c r="M17">
        <f t="shared" si="0"/>
        <v>25.399930266289296</v>
      </c>
      <c r="N17">
        <f t="shared" si="10"/>
        <v>14.886880325317376</v>
      </c>
      <c r="O17">
        <f t="shared" si="24"/>
        <v>10.51304994097192</v>
      </c>
      <c r="P17">
        <f t="shared" si="22"/>
        <v>9.6106687294619544</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15.789261536827341</v>
      </c>
      <c r="AB17">
        <f t="shared" si="11"/>
        <v>6.5351870389990259</v>
      </c>
      <c r="AC17">
        <f t="shared" si="12"/>
        <v>9.2540744978283147</v>
      </c>
      <c r="AD17">
        <f t="shared" si="3"/>
        <v>1.9221337458923911</v>
      </c>
      <c r="AE17">
        <f t="shared" si="13"/>
        <v>0</v>
      </c>
      <c r="AF17">
        <f t="shared" si="14"/>
        <v>2.1357041621026567</v>
      </c>
      <c r="AG17">
        <f t="shared" si="15"/>
        <v>3.8442674917847821</v>
      </c>
      <c r="AH17">
        <f t="shared" si="16"/>
        <v>0</v>
      </c>
      <c r="AI17">
        <f t="shared" si="17"/>
        <v>0.50582466997168185</v>
      </c>
      <c r="AJ17">
        <f t="shared" si="18"/>
        <v>0</v>
      </c>
      <c r="AK17">
        <f t="shared" si="19"/>
        <v>1.9221337458923911</v>
      </c>
      <c r="AL17">
        <f t="shared" si="20"/>
        <v>0</v>
      </c>
    </row>
    <row r="18" spans="1:38" x14ac:dyDescent="0.2">
      <c r="A18">
        <v>2035</v>
      </c>
      <c r="B18">
        <v>10</v>
      </c>
      <c r="C18">
        <f t="shared" si="21"/>
        <v>26.520001508532552</v>
      </c>
      <c r="D18">
        <f t="shared" si="23"/>
        <v>1.9852791099607572</v>
      </c>
      <c r="E18">
        <f t="shared" si="4"/>
        <v>1.9852791099607572</v>
      </c>
      <c r="F18">
        <f t="shared" si="5"/>
        <v>0</v>
      </c>
      <c r="G18" s="9">
        <f t="shared" si="6"/>
        <v>7.4859690687499134E-2</v>
      </c>
      <c r="H18" s="9">
        <f t="shared" si="6"/>
        <v>7.4859690687499134E-2</v>
      </c>
      <c r="I18" s="9">
        <f t="shared" si="6"/>
        <v>0</v>
      </c>
      <c r="J18" s="9">
        <f t="shared" si="7"/>
        <v>9.7317597893748879E-3</v>
      </c>
      <c r="K18" s="9">
        <f t="shared" si="8"/>
        <v>1.4971938137499828E-2</v>
      </c>
      <c r="L18" s="9">
        <f t="shared" si="9"/>
        <v>0</v>
      </c>
      <c r="M18">
        <f t="shared" si="0"/>
        <v>25.868723454128101</v>
      </c>
      <c r="N18">
        <f t="shared" si="10"/>
        <v>16.430492601485909</v>
      </c>
      <c r="O18">
        <f t="shared" si="24"/>
        <v>9.4382308526421923</v>
      </c>
      <c r="P18">
        <f t="shared" si="22"/>
        <v>12.650143546546865</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13.218579907581237</v>
      </c>
      <c r="AB18">
        <f t="shared" si="11"/>
        <v>4.8228127272333712</v>
      </c>
      <c r="AC18">
        <f t="shared" si="12"/>
        <v>8.3957671803478657</v>
      </c>
      <c r="AD18">
        <f t="shared" si="3"/>
        <v>2.5300287093093727</v>
      </c>
      <c r="AE18">
        <f t="shared" si="13"/>
        <v>0</v>
      </c>
      <c r="AF18">
        <f t="shared" si="14"/>
        <v>2.8111430103437476</v>
      </c>
      <c r="AG18">
        <f t="shared" si="15"/>
        <v>5.0600574186187472</v>
      </c>
      <c r="AH18">
        <f t="shared" si="16"/>
        <v>0</v>
      </c>
      <c r="AI18">
        <f t="shared" si="17"/>
        <v>0.66579702876562441</v>
      </c>
      <c r="AJ18">
        <f t="shared" si="18"/>
        <v>0</v>
      </c>
      <c r="AK18">
        <f t="shared" si="19"/>
        <v>2.5300287093093727</v>
      </c>
      <c r="AL18">
        <f t="shared" si="20"/>
        <v>0</v>
      </c>
    </row>
    <row r="19" spans="1:38" x14ac:dyDescent="0.2">
      <c r="A19">
        <v>2036</v>
      </c>
      <c r="B19">
        <v>11</v>
      </c>
      <c r="C19">
        <f t="shared" si="21"/>
        <v>27.076921540211732</v>
      </c>
      <c r="D19">
        <f t="shared" si="23"/>
        <v>2.228667233246</v>
      </c>
      <c r="E19">
        <f t="shared" si="4"/>
        <v>2.228667233246</v>
      </c>
      <c r="F19">
        <f t="shared" si="5"/>
        <v>0</v>
      </c>
      <c r="G19" s="9">
        <f t="shared" si="6"/>
        <v>8.2308737717329619E-2</v>
      </c>
      <c r="H19" s="9">
        <f t="shared" si="6"/>
        <v>8.2308737717329619E-2</v>
      </c>
      <c r="I19" s="9">
        <f t="shared" si="6"/>
        <v>0</v>
      </c>
      <c r="J19" s="9">
        <f t="shared" si="7"/>
        <v>1.070013590325285E-2</v>
      </c>
      <c r="K19" s="9">
        <f t="shared" si="8"/>
        <v>1.6461747543465924E-2</v>
      </c>
      <c r="L19" s="9">
        <f t="shared" si="9"/>
        <v>0</v>
      </c>
      <c r="M19">
        <f t="shared" si="0"/>
        <v>26.346230761696326</v>
      </c>
      <c r="N19">
        <f t="shared" si="10"/>
        <v>17.802764925010123</v>
      </c>
      <c r="O19">
        <f t="shared" si="24"/>
        <v>8.5434658366862024</v>
      </c>
      <c r="P19">
        <f t="shared" si="22"/>
        <v>15.798577643860545</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10.547653117835781</v>
      </c>
      <c r="AB19">
        <f t="shared" si="11"/>
        <v>3.4203569719148947</v>
      </c>
      <c r="AC19">
        <f t="shared" si="12"/>
        <v>7.1272961459208855</v>
      </c>
      <c r="AD19">
        <f t="shared" si="3"/>
        <v>3.1597155287721095</v>
      </c>
      <c r="AE19">
        <f t="shared" si="13"/>
        <v>0</v>
      </c>
      <c r="AF19">
        <f t="shared" si="14"/>
        <v>3.5107950319690104</v>
      </c>
      <c r="AG19">
        <f t="shared" si="15"/>
        <v>6.3194310575442181</v>
      </c>
      <c r="AH19">
        <f t="shared" si="16"/>
        <v>0</v>
      </c>
      <c r="AI19">
        <f t="shared" si="17"/>
        <v>0.83150408651897623</v>
      </c>
      <c r="AJ19">
        <f t="shared" si="18"/>
        <v>0</v>
      </c>
      <c r="AK19">
        <f t="shared" si="19"/>
        <v>3.1597155287721095</v>
      </c>
      <c r="AL19">
        <f t="shared" si="20"/>
        <v>0</v>
      </c>
    </row>
    <row r="20" spans="1:38" x14ac:dyDescent="0.2">
      <c r="A20">
        <v>2037</v>
      </c>
      <c r="B20">
        <v>12</v>
      </c>
      <c r="C20">
        <f t="shared" si="21"/>
        <v>27.645536892556176</v>
      </c>
      <c r="D20">
        <f t="shared" si="23"/>
        <v>2.4808484142428018</v>
      </c>
      <c r="E20">
        <f t="shared" si="4"/>
        <v>2.4808484142428018</v>
      </c>
      <c r="F20">
        <f t="shared" si="5"/>
        <v>0</v>
      </c>
      <c r="G20" s="9">
        <f t="shared" si="6"/>
        <v>8.9737754918074814E-2</v>
      </c>
      <c r="H20" s="9">
        <f t="shared" si="6"/>
        <v>8.9737754918074814E-2</v>
      </c>
      <c r="I20" s="9">
        <f t="shared" si="6"/>
        <v>0</v>
      </c>
      <c r="J20" s="9">
        <f t="shared" si="7"/>
        <v>1.1665908139349725E-2</v>
      </c>
      <c r="K20" s="9">
        <f t="shared" si="8"/>
        <v>1.7947550983614963E-2</v>
      </c>
      <c r="L20" s="9">
        <f t="shared" si="9"/>
        <v>0</v>
      </c>
      <c r="M20">
        <f t="shared" si="0"/>
        <v>26.832645185797691</v>
      </c>
      <c r="N20">
        <f t="shared" si="10"/>
        <v>19.010329538628149</v>
      </c>
      <c r="O20">
        <f t="shared" si="24"/>
        <v>7.8223156471695425</v>
      </c>
      <c r="P20">
        <f>IF($I$3=0,0,M20/(1+EXP(-$I$3*(B20-$J$3)))-M20/(1+EXP($I$3*$J$3)))</f>
        <v>18.781847015672653</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8.050798170125038</v>
      </c>
      <c r="AB20">
        <f t="shared" si="11"/>
        <v>2.3469875616924138</v>
      </c>
      <c r="AC20">
        <f t="shared" si="12"/>
        <v>5.703810608432625</v>
      </c>
      <c r="AD20">
        <f t="shared" si="3"/>
        <v>3.7563694031345309</v>
      </c>
      <c r="AE20">
        <f t="shared" si="13"/>
        <v>0</v>
      </c>
      <c r="AF20">
        <f t="shared" si="14"/>
        <v>4.1737437812605904</v>
      </c>
      <c r="AG20">
        <f t="shared" si="15"/>
        <v>7.512738806269061</v>
      </c>
      <c r="AH20">
        <f t="shared" si="16"/>
        <v>0</v>
      </c>
      <c r="AI20">
        <f t="shared" si="17"/>
        <v>0.98851826398277121</v>
      </c>
      <c r="AJ20">
        <f t="shared" si="18"/>
        <v>0</v>
      </c>
      <c r="AK20">
        <f t="shared" si="19"/>
        <v>3.7563694031345309</v>
      </c>
      <c r="AL20">
        <f t="shared" si="20"/>
        <v>0</v>
      </c>
    </row>
    <row r="21" spans="1:38" x14ac:dyDescent="0.2">
      <c r="A21">
        <v>2038</v>
      </c>
      <c r="B21">
        <v>13</v>
      </c>
      <c r="C21">
        <f t="shared" si="21"/>
        <v>28.226093167299855</v>
      </c>
      <c r="D21">
        <f t="shared" si="23"/>
        <v>2.7419813294855544</v>
      </c>
      <c r="E21">
        <f t="shared" si="4"/>
        <v>2.7419813294855544</v>
      </c>
      <c r="F21">
        <f t="shared" si="5"/>
        <v>0</v>
      </c>
      <c r="G21" s="9">
        <f t="shared" si="6"/>
        <v>9.7143494610942502E-2</v>
      </c>
      <c r="H21" s="9">
        <f t="shared" si="6"/>
        <v>9.7143494610942502E-2</v>
      </c>
      <c r="I21" s="9">
        <f t="shared" si="6"/>
        <v>0</v>
      </c>
      <c r="J21" s="9">
        <f t="shared" si="7"/>
        <v>1.2628654299422526E-2</v>
      </c>
      <c r="K21" s="9">
        <f t="shared" si="8"/>
        <v>1.94286989221885E-2</v>
      </c>
      <c r="L21" s="9">
        <f t="shared" si="9"/>
        <v>0</v>
      </c>
      <c r="M21">
        <f t="shared" si="0"/>
        <v>27.32816483543073</v>
      </c>
      <c r="N21">
        <f t="shared" si="10"/>
        <v>20.069852891067669</v>
      </c>
      <c r="O21">
        <f t="shared" si="24"/>
        <v>7.2583119443630615</v>
      </c>
      <c r="P21">
        <f t="shared" si="22"/>
        <v>21.401852400876763</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5.9263124345539673</v>
      </c>
      <c r="AB21">
        <f t="shared" si="11"/>
        <v>1.5740180355609459</v>
      </c>
      <c r="AC21">
        <f t="shared" si="12"/>
        <v>4.3522943989930214</v>
      </c>
      <c r="AD21">
        <f t="shared" si="3"/>
        <v>4.2803704801753533</v>
      </c>
      <c r="AE21">
        <f t="shared" si="13"/>
        <v>0</v>
      </c>
      <c r="AF21">
        <f t="shared" si="14"/>
        <v>4.7559672001948368</v>
      </c>
      <c r="AG21">
        <f t="shared" si="15"/>
        <v>8.5607409603507048</v>
      </c>
      <c r="AH21">
        <f t="shared" si="16"/>
        <v>0</v>
      </c>
      <c r="AI21">
        <f t="shared" si="17"/>
        <v>1.1264132842566719</v>
      </c>
      <c r="AJ21">
        <f t="shared" si="18"/>
        <v>0</v>
      </c>
      <c r="AK21">
        <f t="shared" si="19"/>
        <v>4.2803704801753533</v>
      </c>
      <c r="AL21">
        <f t="shared" si="20"/>
        <v>0</v>
      </c>
    </row>
    <row r="22" spans="1:38" x14ac:dyDescent="0.2">
      <c r="A22">
        <v>2039</v>
      </c>
      <c r="B22">
        <v>14</v>
      </c>
      <c r="C22">
        <f t="shared" si="21"/>
        <v>28.818841123813147</v>
      </c>
      <c r="D22">
        <f t="shared" si="23"/>
        <v>3.0122245349849361</v>
      </c>
      <c r="E22">
        <f t="shared" si="4"/>
        <v>3.0122245349849361</v>
      </c>
      <c r="F22">
        <f t="shared" si="5"/>
        <v>0</v>
      </c>
      <c r="G22" s="9">
        <f t="shared" si="6"/>
        <v>0.10452275030920381</v>
      </c>
      <c r="H22" s="9">
        <f t="shared" si="6"/>
        <v>0.10452275030920381</v>
      </c>
      <c r="I22" s="9">
        <f t="shared" si="6"/>
        <v>0</v>
      </c>
      <c r="J22" s="9">
        <f t="shared" si="7"/>
        <v>1.3587957540196496E-2</v>
      </c>
      <c r="K22" s="9">
        <f t="shared" si="8"/>
        <v>2.0904550061840763E-2</v>
      </c>
      <c r="L22" s="9">
        <f t="shared" si="9"/>
        <v>0</v>
      </c>
      <c r="M22">
        <f t="shared" si="0"/>
        <v>27.8329930230847</v>
      </c>
      <c r="N22">
        <f t="shared" si="10"/>
        <v>21.002807711975201</v>
      </c>
      <c r="O22">
        <f t="shared" si="24"/>
        <v>6.8301853111094992</v>
      </c>
      <c r="P22">
        <f t="shared" si="22"/>
        <v>23.579053825809961</v>
      </c>
      <c r="Q22" s="9">
        <f t="shared" si="1"/>
        <v>0.84716199246891921</v>
      </c>
      <c r="R22">
        <f>VLOOKUP($B$1,dictionary!$A$3:$K$51,3,FALSE)*Q22</f>
        <v>0.16943239849378386</v>
      </c>
      <c r="S22">
        <f>VLOOKUP($B$1,dictionary!$A$3:$K$51,4,FALSE)*Q22</f>
        <v>0</v>
      </c>
      <c r="T22">
        <f>VLOOKUP($B$1,dictionary!$A$3:$K$51,5,FALSE)*Q22</f>
        <v>0.16943239849378386</v>
      </c>
      <c r="U22">
        <f>VLOOKUP($B$1,dictionary!$A$3:$K$51,6,FALSE)*Q22</f>
        <v>0.29650669736412172</v>
      </c>
      <c r="V22">
        <f>VLOOKUP($B$1,dictionary!$A$3:$K$51,7,FALSE)*Q22</f>
        <v>0</v>
      </c>
      <c r="W22">
        <f>VLOOKUP($B$1,dictionary!$A$3:$K$51,8,FALSE)*Q22</f>
        <v>4.2358099623445965E-2</v>
      </c>
      <c r="X22">
        <f>VLOOKUP($B$1,dictionary!$A$3:$K$51,9,FALSE)*Q22</f>
        <v>0</v>
      </c>
      <c r="Y22">
        <f>VLOOKUP($B$1,dictionary!$A$3:$K$51,10,FALSE)*Q22</f>
        <v>0.16943239849378386</v>
      </c>
      <c r="Z22">
        <f>VLOOKUP($B$1,dictionary!$A$3:$K$51,11,FALSE)*Q22</f>
        <v>0</v>
      </c>
      <c r="AA22">
        <f t="shared" si="2"/>
        <v>4.2539391972747396</v>
      </c>
      <c r="AB22">
        <f t="shared" si="11"/>
        <v>1.0439119140180313</v>
      </c>
      <c r="AC22">
        <f t="shared" si="12"/>
        <v>3.2100272832567081</v>
      </c>
      <c r="AD22">
        <f t="shared" si="3"/>
        <v>4.7158107651619927</v>
      </c>
      <c r="AE22">
        <f t="shared" si="13"/>
        <v>0</v>
      </c>
      <c r="AF22">
        <f t="shared" si="14"/>
        <v>5.2397897390688808</v>
      </c>
      <c r="AG22">
        <f t="shared" si="15"/>
        <v>9.4316215303239854</v>
      </c>
      <c r="AH22">
        <f t="shared" si="16"/>
        <v>0</v>
      </c>
      <c r="AI22">
        <f t="shared" si="17"/>
        <v>1.2410028329373666</v>
      </c>
      <c r="AJ22">
        <f t="shared" si="18"/>
        <v>0</v>
      </c>
      <c r="AK22">
        <f t="shared" si="19"/>
        <v>4.7158107651619927</v>
      </c>
      <c r="AL22">
        <f t="shared" si="20"/>
        <v>0</v>
      </c>
    </row>
    <row r="23" spans="1:38" x14ac:dyDescent="0.2">
      <c r="A23">
        <v>2040</v>
      </c>
      <c r="B23">
        <v>15</v>
      </c>
      <c r="C23">
        <f t="shared" si="21"/>
        <v>29.424036787413222</v>
      </c>
      <c r="D23">
        <f t="shared" si="23"/>
        <v>3.2917364995555545</v>
      </c>
      <c r="E23">
        <f t="shared" si="4"/>
        <v>3.2917364995555545</v>
      </c>
      <c r="F23">
        <f t="shared" si="5"/>
        <v>0</v>
      </c>
      <c r="G23" s="9">
        <f t="shared" si="6"/>
        <v>0.11187236215540851</v>
      </c>
      <c r="H23" s="9">
        <f t="shared" si="6"/>
        <v>0.11187236215540851</v>
      </c>
      <c r="I23" s="9">
        <f t="shared" si="6"/>
        <v>0</v>
      </c>
      <c r="J23" s="9">
        <f t="shared" si="7"/>
        <v>1.4543407080203106E-2</v>
      </c>
      <c r="K23" s="9">
        <f t="shared" si="8"/>
        <v>2.2374472431081704E-2</v>
      </c>
      <c r="L23" s="9">
        <f t="shared" si="9"/>
        <v>0</v>
      </c>
      <c r="M23">
        <f t="shared" si="0"/>
        <v>28.34733835534265</v>
      </c>
      <c r="N23">
        <f t="shared" si="10"/>
        <v>21.831663033591198</v>
      </c>
      <c r="O23">
        <f t="shared" si="24"/>
        <v>6.515675321751452</v>
      </c>
      <c r="P23">
        <f t="shared" si="22"/>
        <v>25.332984231606567</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3.0143541237360836</v>
      </c>
      <c r="AB23">
        <f t="shared" si="11"/>
        <v>0.6928535063449881</v>
      </c>
      <c r="AC23">
        <f t="shared" si="12"/>
        <v>2.3215006173910955</v>
      </c>
      <c r="AD23">
        <f t="shared" si="3"/>
        <v>5.0665968463213131</v>
      </c>
      <c r="AE23">
        <f t="shared" si="13"/>
        <v>0</v>
      </c>
      <c r="AF23">
        <f t="shared" si="14"/>
        <v>5.6295520514681261</v>
      </c>
      <c r="AG23">
        <f t="shared" si="15"/>
        <v>10.133193692642626</v>
      </c>
      <c r="AH23">
        <f t="shared" si="16"/>
        <v>0</v>
      </c>
      <c r="AI23">
        <f t="shared" si="17"/>
        <v>1.3333149595582403</v>
      </c>
      <c r="AJ23">
        <f t="shared" si="18"/>
        <v>0</v>
      </c>
      <c r="AK23">
        <f t="shared" si="19"/>
        <v>5.0665968463213131</v>
      </c>
      <c r="AL23">
        <f t="shared" si="20"/>
        <v>0</v>
      </c>
    </row>
    <row r="24" spans="1:38" x14ac:dyDescent="0.2">
      <c r="A24">
        <v>2041</v>
      </c>
      <c r="B24">
        <v>16</v>
      </c>
      <c r="C24">
        <f t="shared" si="21"/>
        <v>30.041941559948896</v>
      </c>
      <c r="D24">
        <f t="shared" si="23"/>
        <v>3.5806756474751325</v>
      </c>
      <c r="E24">
        <f t="shared" si="4"/>
        <v>3.5806756474751325</v>
      </c>
      <c r="F24">
        <f t="shared" si="5"/>
        <v>0</v>
      </c>
      <c r="G24" s="9">
        <f t="shared" si="6"/>
        <v>0.11918922218558578</v>
      </c>
      <c r="H24" s="9">
        <f t="shared" si="6"/>
        <v>0.11918922218558578</v>
      </c>
      <c r="I24" s="9">
        <f t="shared" si="6"/>
        <v>0</v>
      </c>
      <c r="J24" s="9">
        <f t="shared" si="7"/>
        <v>1.5494598884126153E-2</v>
      </c>
      <c r="K24" s="9">
        <f t="shared" si="8"/>
        <v>2.3837844437117159E-2</v>
      </c>
      <c r="L24" s="9">
        <f t="shared" si="9"/>
        <v>0</v>
      </c>
      <c r="M24">
        <f t="shared" si="0"/>
        <v>28.871414822860459</v>
      </c>
      <c r="N24">
        <f t="shared" si="10"/>
        <v>22.577541289536775</v>
      </c>
      <c r="O24">
        <f t="shared" si="24"/>
        <v>6.2938735333236835</v>
      </c>
      <c r="P24">
        <f t="shared" si="22"/>
        <v>26.736076359028395</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2.1353384638320634</v>
      </c>
      <c r="AB24">
        <f t="shared" si="11"/>
        <v>0.46549676642653504</v>
      </c>
      <c r="AC24">
        <f t="shared" si="12"/>
        <v>1.6698416974055286</v>
      </c>
      <c r="AD24">
        <f t="shared" si="3"/>
        <v>5.3472152718056796</v>
      </c>
      <c r="AE24">
        <f t="shared" si="13"/>
        <v>0</v>
      </c>
      <c r="AF24">
        <f t="shared" si="14"/>
        <v>5.9413503020063105</v>
      </c>
      <c r="AG24">
        <f t="shared" si="15"/>
        <v>10.694430543611359</v>
      </c>
      <c r="AH24">
        <f t="shared" si="16"/>
        <v>0</v>
      </c>
      <c r="AI24">
        <f t="shared" si="17"/>
        <v>1.4071619136330735</v>
      </c>
      <c r="AJ24">
        <f t="shared" si="18"/>
        <v>0</v>
      </c>
      <c r="AK24">
        <f t="shared" si="19"/>
        <v>5.3472152718056796</v>
      </c>
      <c r="AL24">
        <f t="shared" si="20"/>
        <v>0</v>
      </c>
    </row>
    <row r="25" spans="1:38" x14ac:dyDescent="0.2">
      <c r="A25">
        <v>2042</v>
      </c>
      <c r="B25">
        <v>17</v>
      </c>
      <c r="C25">
        <f t="shared" si="21"/>
        <v>30.67282233270782</v>
      </c>
      <c r="D25">
        <f t="shared" si="23"/>
        <v>3.8792004104781839</v>
      </c>
      <c r="E25">
        <f t="shared" si="4"/>
        <v>3.8792004104781839</v>
      </c>
      <c r="F25">
        <f t="shared" si="5"/>
        <v>0</v>
      </c>
      <c r="G25" s="9">
        <f t="shared" si="6"/>
        <v>0.1264702794024147</v>
      </c>
      <c r="H25" s="9">
        <f t="shared" si="6"/>
        <v>0.1264702794024147</v>
      </c>
      <c r="I25" s="9">
        <f t="shared" si="6"/>
        <v>0</v>
      </c>
      <c r="J25" s="9">
        <f t="shared" si="7"/>
        <v>1.6441136322313914E-2</v>
      </c>
      <c r="K25" s="9">
        <f t="shared" si="8"/>
        <v>2.5294055880482943E-2</v>
      </c>
      <c r="L25" s="9">
        <f t="shared" si="9"/>
        <v>0</v>
      </c>
      <c r="M25">
        <f t="shared" si="0"/>
        <v>29.40544188980407</v>
      </c>
      <c r="N25">
        <f t="shared" si="10"/>
        <v>23.259042401231167</v>
      </c>
      <c r="O25">
        <f t="shared" si="24"/>
        <v>6.1463994885729036</v>
      </c>
      <c r="P25">
        <f>IF($I$3=0,0,M25/(1+EXP(-$I$3*(B25-$J$3)))-M25/(1+EXP($I$3*$J$3)))</f>
        <v>27.87405879343201</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1.5313830963720605</v>
      </c>
      <c r="AB25">
        <f t="shared" si="11"/>
        <v>0.32009354988180178</v>
      </c>
      <c r="AC25">
        <f t="shared" si="12"/>
        <v>1.2112895464902587</v>
      </c>
      <c r="AD25">
        <f t="shared" si="3"/>
        <v>5.5748117586864021</v>
      </c>
      <c r="AE25">
        <f t="shared" si="13"/>
        <v>0</v>
      </c>
      <c r="AF25">
        <f t="shared" si="14"/>
        <v>6.1942352874293354</v>
      </c>
      <c r="AG25">
        <f t="shared" si="15"/>
        <v>11.149623517372804</v>
      </c>
      <c r="AH25">
        <f t="shared" si="16"/>
        <v>0</v>
      </c>
      <c r="AI25">
        <f t="shared" si="17"/>
        <v>1.4670557259701056</v>
      </c>
      <c r="AJ25">
        <f t="shared" si="18"/>
        <v>0</v>
      </c>
      <c r="AK25">
        <f t="shared" si="19"/>
        <v>5.5748117586864021</v>
      </c>
      <c r="AL25">
        <f t="shared" si="20"/>
        <v>0</v>
      </c>
    </row>
    <row r="26" spans="1:38" x14ac:dyDescent="0.2">
      <c r="A26">
        <v>2043</v>
      </c>
      <c r="B26">
        <v>18</v>
      </c>
      <c r="C26">
        <f t="shared" si="21"/>
        <v>31.316951601694683</v>
      </c>
      <c r="D26">
        <f t="shared" si="23"/>
        <v>4.187469289047149</v>
      </c>
      <c r="E26">
        <f t="shared" si="4"/>
        <v>4.187469289047149</v>
      </c>
      <c r="F26">
        <f t="shared" si="5"/>
        <v>0</v>
      </c>
      <c r="G26" s="9">
        <f t="shared" si="6"/>
        <v>0.13371254464053739</v>
      </c>
      <c r="H26" s="9">
        <f t="shared" si="6"/>
        <v>0.13371254464053739</v>
      </c>
      <c r="I26" s="9">
        <f t="shared" si="6"/>
        <v>0</v>
      </c>
      <c r="J26" s="9">
        <f t="shared" si="7"/>
        <v>1.738263080326986E-2</v>
      </c>
      <c r="K26" s="9">
        <f t="shared" si="8"/>
        <v>2.6742508928107478E-2</v>
      </c>
      <c r="L26" s="9">
        <f t="shared" si="9"/>
        <v>0</v>
      </c>
      <c r="M26">
        <f t="shared" si="0"/>
        <v>29.949644582839433</v>
      </c>
      <c r="N26">
        <f t="shared" si="10"/>
        <v>23.891854876850253</v>
      </c>
      <c r="O26">
        <f t="shared" si="24"/>
        <v>6.0577897059891797</v>
      </c>
      <c r="P26">
        <f t="shared" si="22"/>
        <v>28.824019051401923</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1.1256255314375103</v>
      </c>
      <c r="AB26">
        <f t="shared" si="11"/>
        <v>0.22767558186809975</v>
      </c>
      <c r="AC26">
        <f t="shared" si="12"/>
        <v>0.89794994956941054</v>
      </c>
      <c r="AD26">
        <f t="shared" si="3"/>
        <v>5.7648038102803847</v>
      </c>
      <c r="AE26">
        <f t="shared" si="13"/>
        <v>0</v>
      </c>
      <c r="AF26">
        <f t="shared" si="14"/>
        <v>6.405337566978206</v>
      </c>
      <c r="AG26">
        <f t="shared" si="15"/>
        <v>11.529607620560769</v>
      </c>
      <c r="AH26">
        <f t="shared" si="16"/>
        <v>0</v>
      </c>
      <c r="AI26">
        <f t="shared" si="17"/>
        <v>1.5170536342843115</v>
      </c>
      <c r="AJ26">
        <f t="shared" si="18"/>
        <v>0</v>
      </c>
      <c r="AK26">
        <f t="shared" si="19"/>
        <v>5.7648038102803847</v>
      </c>
      <c r="AL26">
        <f t="shared" si="20"/>
        <v>0</v>
      </c>
    </row>
    <row r="27" spans="1:38" x14ac:dyDescent="0.2">
      <c r="A27">
        <v>2044</v>
      </c>
      <c r="B27">
        <v>19</v>
      </c>
      <c r="C27">
        <f t="shared" si="21"/>
        <v>31.974607585330268</v>
      </c>
      <c r="D27">
        <f t="shared" si="23"/>
        <v>4.5056409229252967</v>
      </c>
      <c r="E27">
        <f t="shared" si="4"/>
        <v>4.5056409229252967</v>
      </c>
      <c r="F27">
        <f t="shared" si="5"/>
        <v>0</v>
      </c>
      <c r="G27" s="9">
        <f t="shared" si="6"/>
        <v>0.14091309520847581</v>
      </c>
      <c r="H27" s="9">
        <f t="shared" si="6"/>
        <v>0.14091309520847581</v>
      </c>
      <c r="I27" s="9">
        <f t="shared" si="6"/>
        <v>0</v>
      </c>
      <c r="J27" s="9">
        <f t="shared" si="7"/>
        <v>1.8318702377101856E-2</v>
      </c>
      <c r="K27" s="9">
        <f t="shared" si="8"/>
        <v>2.8182619041695164E-2</v>
      </c>
      <c r="L27" s="9">
        <f t="shared" si="9"/>
        <v>0</v>
      </c>
      <c r="M27">
        <f t="shared" si="0"/>
        <v>30.504253579781953</v>
      </c>
      <c r="N27">
        <f t="shared" si="10"/>
        <v>24.488828333000971</v>
      </c>
      <c r="O27">
        <f t="shared" si="24"/>
        <v>6.0154252467809819</v>
      </c>
      <c r="P27">
        <f t="shared" si="22"/>
        <v>29.646749241140228</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0.85750433864172493</v>
      </c>
      <c r="AB27">
        <f t="shared" si="11"/>
        <v>0.16909947441915191</v>
      </c>
      <c r="AC27">
        <f t="shared" si="12"/>
        <v>0.68840486422257308</v>
      </c>
      <c r="AD27">
        <f t="shared" si="3"/>
        <v>5.9293498482280453</v>
      </c>
      <c r="AE27">
        <f t="shared" si="13"/>
        <v>0</v>
      </c>
      <c r="AF27">
        <f t="shared" si="14"/>
        <v>6.5881664980311623</v>
      </c>
      <c r="AG27">
        <f t="shared" si="15"/>
        <v>11.858699696456091</v>
      </c>
      <c r="AH27">
        <f t="shared" si="16"/>
        <v>0</v>
      </c>
      <c r="AI27">
        <f t="shared" si="17"/>
        <v>1.5603552232179068</v>
      </c>
      <c r="AJ27">
        <f t="shared" si="18"/>
        <v>0</v>
      </c>
      <c r="AK27">
        <f t="shared" si="19"/>
        <v>5.9293498482280453</v>
      </c>
      <c r="AL27">
        <f t="shared" si="20"/>
        <v>0</v>
      </c>
    </row>
    <row r="28" spans="1:38" x14ac:dyDescent="0.2">
      <c r="A28">
        <v>2045</v>
      </c>
      <c r="B28">
        <v>20</v>
      </c>
      <c r="C28">
        <f t="shared" si="21"/>
        <v>32.6460743446222</v>
      </c>
      <c r="D28">
        <f t="shared" si="23"/>
        <v>4.8338741707381097</v>
      </c>
      <c r="E28">
        <f t="shared" si="4"/>
        <v>4.8338741707381097</v>
      </c>
      <c r="F28">
        <f t="shared" si="5"/>
        <v>0</v>
      </c>
      <c r="G28" s="9">
        <f t="shared" si="6"/>
        <v>0.14806907929297158</v>
      </c>
      <c r="H28" s="9">
        <f t="shared" si="6"/>
        <v>0.14806907929297158</v>
      </c>
      <c r="I28" s="9">
        <f t="shared" si="6"/>
        <v>0</v>
      </c>
      <c r="J28" s="9">
        <f t="shared" si="7"/>
        <v>1.9248980308086305E-2</v>
      </c>
      <c r="K28" s="9">
        <f t="shared" si="8"/>
        <v>2.9613815858594319E-2</v>
      </c>
      <c r="L28" s="9">
        <f t="shared" si="9"/>
        <v>0</v>
      </c>
      <c r="M28">
        <f t="shared" si="0"/>
        <v>31.069505298023483</v>
      </c>
      <c r="N28">
        <f t="shared" si="10"/>
        <v>25.060275647356889</v>
      </c>
      <c r="O28">
        <f t="shared" si="24"/>
        <v>6.0092296506665939</v>
      </c>
      <c r="P28">
        <f t="shared" si="22"/>
        <v>30.386787553482893</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0.68271774454058942</v>
      </c>
      <c r="AB28">
        <f t="shared" si="11"/>
        <v>0.13204612285186665</v>
      </c>
      <c r="AC28">
        <f t="shared" si="12"/>
        <v>0.55067162168872275</v>
      </c>
      <c r="AD28">
        <f t="shared" si="3"/>
        <v>6.0773575106965785</v>
      </c>
      <c r="AE28">
        <f t="shared" si="13"/>
        <v>0</v>
      </c>
      <c r="AF28">
        <f t="shared" si="14"/>
        <v>6.7526194563295316</v>
      </c>
      <c r="AG28">
        <f t="shared" si="15"/>
        <v>12.154715021393157</v>
      </c>
      <c r="AH28">
        <f t="shared" si="16"/>
        <v>0</v>
      </c>
      <c r="AI28">
        <f t="shared" si="17"/>
        <v>1.5993046080780469</v>
      </c>
      <c r="AJ28">
        <f t="shared" si="18"/>
        <v>0</v>
      </c>
      <c r="AK28">
        <f t="shared" si="19"/>
        <v>6.0773575106965785</v>
      </c>
      <c r="AL28">
        <f t="shared" si="20"/>
        <v>0</v>
      </c>
    </row>
    <row r="29" spans="1:38" x14ac:dyDescent="0.2">
      <c r="A29">
        <v>2046</v>
      </c>
      <c r="B29">
        <v>21</v>
      </c>
      <c r="C29">
        <f t="shared" si="21"/>
        <v>33.331641905859264</v>
      </c>
      <c r="D29">
        <f t="shared" si="23"/>
        <v>5.172328198574121</v>
      </c>
      <c r="E29">
        <f t="shared" si="4"/>
        <v>5.172328198574121</v>
      </c>
      <c r="F29">
        <f t="shared" si="5"/>
        <v>0</v>
      </c>
      <c r="G29" s="9">
        <f t="shared" si="6"/>
        <v>0.15517772011299849</v>
      </c>
      <c r="H29" s="9">
        <f t="shared" si="6"/>
        <v>0.15517772011299849</v>
      </c>
      <c r="I29" s="9">
        <f t="shared" si="6"/>
        <v>0</v>
      </c>
      <c r="J29" s="9">
        <f t="shared" si="7"/>
        <v>2.0173103614689804E-2</v>
      </c>
      <c r="K29" s="9">
        <f t="shared" si="8"/>
        <v>3.1035544022599698E-2</v>
      </c>
      <c r="L29" s="9">
        <f t="shared" si="9"/>
        <v>0</v>
      </c>
      <c r="M29">
        <f t="shared" si="0"/>
        <v>31.645641982865609</v>
      </c>
      <c r="N29">
        <f t="shared" si="10"/>
        <v>25.614359363580363</v>
      </c>
      <c r="O29">
        <f t="shared" si="24"/>
        <v>6.0312826192852462</v>
      </c>
      <c r="P29">
        <f t="shared" si="22"/>
        <v>31.075370748929316</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0.57027123393629253</v>
      </c>
      <c r="AB29">
        <f t="shared" si="11"/>
        <v>0.10868690808613064</v>
      </c>
      <c r="AC29">
        <f t="shared" si="12"/>
        <v>0.46158432585016185</v>
      </c>
      <c r="AD29">
        <f t="shared" si="3"/>
        <v>6.2150741497858633</v>
      </c>
      <c r="AE29">
        <f t="shared" si="13"/>
        <v>0</v>
      </c>
      <c r="AF29">
        <f t="shared" si="14"/>
        <v>6.9056379442065152</v>
      </c>
      <c r="AG29">
        <f t="shared" si="15"/>
        <v>12.430148299571728</v>
      </c>
      <c r="AH29">
        <f t="shared" si="16"/>
        <v>0</v>
      </c>
      <c r="AI29">
        <f t="shared" si="17"/>
        <v>1.6355458288910165</v>
      </c>
      <c r="AJ29">
        <f t="shared" si="18"/>
        <v>0</v>
      </c>
      <c r="AK29">
        <f t="shared" si="19"/>
        <v>6.2150741497858633</v>
      </c>
      <c r="AL29">
        <f t="shared" si="20"/>
        <v>0</v>
      </c>
    </row>
    <row r="30" spans="1:38" x14ac:dyDescent="0.2">
      <c r="A30">
        <v>2047</v>
      </c>
      <c r="B30">
        <v>22</v>
      </c>
      <c r="C30">
        <f t="shared" si="21"/>
        <v>34.031606385882306</v>
      </c>
      <c r="D30">
        <f t="shared" si="23"/>
        <v>5.5211625773421886</v>
      </c>
      <c r="E30">
        <f t="shared" si="4"/>
        <v>5.5211625773421886</v>
      </c>
      <c r="F30">
        <f t="shared" si="5"/>
        <v>0</v>
      </c>
      <c r="G30" s="9">
        <f t="shared" si="6"/>
        <v>0.16223631981217881</v>
      </c>
      <c r="H30" s="9">
        <f t="shared" si="6"/>
        <v>0.16223631981217881</v>
      </c>
      <c r="I30" s="9">
        <f t="shared" si="6"/>
        <v>0</v>
      </c>
      <c r="J30" s="9">
        <f t="shared" si="7"/>
        <v>2.1090721575583248E-2</v>
      </c>
      <c r="K30" s="9">
        <f t="shared" si="8"/>
        <v>3.2447263962435767E-2</v>
      </c>
      <c r="L30" s="9">
        <f t="shared" si="9"/>
        <v>0</v>
      </c>
      <c r="M30">
        <f t="shared" si="0"/>
        <v>32.232911795897834</v>
      </c>
      <c r="N30">
        <f t="shared" si="10"/>
        <v>26.157480930748203</v>
      </c>
      <c r="O30">
        <f t="shared" si="24"/>
        <v>6.0754308651496309</v>
      </c>
      <c r="P30">
        <f t="shared" si="22"/>
        <v>31.733842666972453</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0.49906912892538102</v>
      </c>
      <c r="AB30">
        <f t="shared" si="11"/>
        <v>9.4067207111660306E-2</v>
      </c>
      <c r="AC30">
        <f t="shared" si="12"/>
        <v>0.40500192181372074</v>
      </c>
      <c r="AD30">
        <f t="shared" si="3"/>
        <v>6.3467685333944912</v>
      </c>
      <c r="AE30">
        <f t="shared" si="13"/>
        <v>0</v>
      </c>
      <c r="AF30">
        <f t="shared" si="14"/>
        <v>7.0519650371049902</v>
      </c>
      <c r="AG30">
        <f t="shared" si="15"/>
        <v>12.693537066788981</v>
      </c>
      <c r="AH30">
        <f t="shared" si="16"/>
        <v>0</v>
      </c>
      <c r="AI30">
        <f t="shared" si="17"/>
        <v>1.6702022456301291</v>
      </c>
      <c r="AJ30">
        <f t="shared" si="18"/>
        <v>0</v>
      </c>
      <c r="AK30">
        <f t="shared" si="19"/>
        <v>6.3467685333944912</v>
      </c>
      <c r="AL30">
        <f t="shared" si="20"/>
        <v>0</v>
      </c>
    </row>
    <row r="31" spans="1:38" x14ac:dyDescent="0.2">
      <c r="A31">
        <v>2048</v>
      </c>
      <c r="B31">
        <v>23</v>
      </c>
      <c r="C31">
        <f t="shared" si="21"/>
        <v>34.74627011998583</v>
      </c>
      <c r="D31">
        <f t="shared" si="23"/>
        <v>5.8805373886902146</v>
      </c>
      <c r="E31">
        <f t="shared" si="4"/>
        <v>5.8805373886902146</v>
      </c>
      <c r="F31">
        <f t="shared" si="5"/>
        <v>0</v>
      </c>
      <c r="G31" s="9">
        <f t="shared" si="6"/>
        <v>0.16924226307985119</v>
      </c>
      <c r="H31" s="9">
        <f t="shared" si="6"/>
        <v>0.16924226307985119</v>
      </c>
      <c r="I31" s="9">
        <f t="shared" si="6"/>
        <v>0</v>
      </c>
      <c r="J31" s="9">
        <f t="shared" si="7"/>
        <v>2.2001494200380656E-2</v>
      </c>
      <c r="K31" s="9">
        <f t="shared" si="8"/>
        <v>3.3848452615970241E-2</v>
      </c>
      <c r="L31" s="9">
        <f t="shared" si="9"/>
        <v>0</v>
      </c>
      <c r="M31">
        <f t="shared" si="0"/>
        <v>32.831568903568538</v>
      </c>
      <c r="N31">
        <f t="shared" si="10"/>
        <v>26.694633046857863</v>
      </c>
      <c r="O31">
        <f t="shared" si="24"/>
        <v>6.1369358567106751</v>
      </c>
      <c r="P31">
        <f t="shared" si="22"/>
        <v>32.376570249061785</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0.45499865450675259</v>
      </c>
      <c r="AB31">
        <f t="shared" si="11"/>
        <v>8.504916611810473E-2</v>
      </c>
      <c r="AC31">
        <f t="shared" si="12"/>
        <v>0.36994948838864783</v>
      </c>
      <c r="AD31">
        <f t="shared" si="3"/>
        <v>6.4753140498123578</v>
      </c>
      <c r="AE31">
        <f t="shared" si="13"/>
        <v>0</v>
      </c>
      <c r="AF31">
        <f t="shared" si="14"/>
        <v>7.1947933886803979</v>
      </c>
      <c r="AG31">
        <f t="shared" si="15"/>
        <v>12.950628099624716</v>
      </c>
      <c r="AH31">
        <f t="shared" si="16"/>
        <v>0</v>
      </c>
      <c r="AI31">
        <f t="shared" si="17"/>
        <v>1.7040300131085151</v>
      </c>
      <c r="AJ31">
        <f t="shared" si="18"/>
        <v>0</v>
      </c>
      <c r="AK31">
        <f t="shared" si="19"/>
        <v>6.4753140498123578</v>
      </c>
      <c r="AL31">
        <f t="shared" si="20"/>
        <v>0</v>
      </c>
    </row>
    <row r="32" spans="1:38" x14ac:dyDescent="0.2">
      <c r="A32">
        <v>2049</v>
      </c>
      <c r="B32">
        <v>24</v>
      </c>
      <c r="C32">
        <f t="shared" si="21"/>
        <v>35.47594179250553</v>
      </c>
      <c r="D32">
        <f t="shared" si="23"/>
        <v>6.2506133392409069</v>
      </c>
      <c r="E32">
        <f t="shared" si="4"/>
        <v>6.2506133392409069</v>
      </c>
      <c r="F32">
        <f t="shared" si="5"/>
        <v>0</v>
      </c>
      <c r="G32" s="9">
        <f t="shared" si="6"/>
        <v>0.17619302049259142</v>
      </c>
      <c r="H32" s="9">
        <f t="shared" si="6"/>
        <v>0.17619302049259142</v>
      </c>
      <c r="I32" s="9">
        <f t="shared" si="6"/>
        <v>0</v>
      </c>
      <c r="J32" s="9">
        <f t="shared" si="7"/>
        <v>2.2905092664036886E-2</v>
      </c>
      <c r="K32" s="9">
        <f t="shared" si="8"/>
        <v>3.5238604098518284E-2</v>
      </c>
      <c r="L32" s="9">
        <f t="shared" si="9"/>
        <v>0</v>
      </c>
      <c r="M32">
        <f t="shared" si="0"/>
        <v>33.441873566104505</v>
      </c>
      <c r="N32">
        <f t="shared" si="10"/>
        <v>27.229700059400109</v>
      </c>
      <c r="O32">
        <f t="shared" si="24"/>
        <v>6.2121735067043957</v>
      </c>
      <c r="P32">
        <f t="shared" si="22"/>
        <v>33.013152707404927</v>
      </c>
      <c r="Q32" s="9">
        <f t="shared" si="1"/>
        <v>0.98718011842691389</v>
      </c>
      <c r="R32">
        <f>VLOOKUP($B$1,dictionary!$A$3:$K$51,3,FALSE)*Q32</f>
        <v>0.19743602368538279</v>
      </c>
      <c r="S32">
        <f>VLOOKUP($B$1,dictionary!$A$3:$K$51,4,FALSE)*Q32</f>
        <v>0</v>
      </c>
      <c r="T32">
        <f>VLOOKUP($B$1,dictionary!$A$3:$K$51,5,FALSE)*Q32</f>
        <v>0.19743602368538279</v>
      </c>
      <c r="U32">
        <f>VLOOKUP($B$1,dictionary!$A$3:$K$51,6,FALSE)*Q32</f>
        <v>0.34551304144941986</v>
      </c>
      <c r="V32">
        <f>VLOOKUP($B$1,dictionary!$A$3:$K$51,7,FALSE)*Q32</f>
        <v>0</v>
      </c>
      <c r="W32">
        <f>VLOOKUP($B$1,dictionary!$A$3:$K$51,8,FALSE)*Q32</f>
        <v>4.9359005921345699E-2</v>
      </c>
      <c r="X32">
        <f>VLOOKUP($B$1,dictionary!$A$3:$K$51,9,FALSE)*Q32</f>
        <v>0</v>
      </c>
      <c r="Y32">
        <f>VLOOKUP($B$1,dictionary!$A$3:$K$51,10,FALSE)*Q32</f>
        <v>0.19743602368538279</v>
      </c>
      <c r="Z32">
        <f>VLOOKUP($B$1,dictionary!$A$3:$K$51,11,FALSE)*Q32</f>
        <v>0</v>
      </c>
      <c r="AA32">
        <f t="shared" si="2"/>
        <v>0.42872085869957743</v>
      </c>
      <c r="AB32">
        <f t="shared" si="11"/>
        <v>7.9639328667413189E-2</v>
      </c>
      <c r="AC32">
        <f t="shared" si="12"/>
        <v>0.34908153003216424</v>
      </c>
      <c r="AD32">
        <f t="shared" si="3"/>
        <v>6.6026305414809858</v>
      </c>
      <c r="AE32">
        <f t="shared" si="13"/>
        <v>0</v>
      </c>
      <c r="AF32">
        <f t="shared" si="14"/>
        <v>7.3362561572010963</v>
      </c>
      <c r="AG32">
        <f t="shared" si="15"/>
        <v>13.205261082961972</v>
      </c>
      <c r="AH32">
        <f t="shared" si="16"/>
        <v>0</v>
      </c>
      <c r="AI32">
        <f t="shared" si="17"/>
        <v>1.7375343530213119</v>
      </c>
      <c r="AJ32">
        <f t="shared" si="18"/>
        <v>0</v>
      </c>
      <c r="AK32">
        <f t="shared" si="19"/>
        <v>6.6026305414809858</v>
      </c>
      <c r="AL32">
        <f t="shared" si="20"/>
        <v>0</v>
      </c>
    </row>
    <row r="33" spans="1:38" x14ac:dyDescent="0.2">
      <c r="A33">
        <v>2050</v>
      </c>
      <c r="B33">
        <v>25</v>
      </c>
      <c r="C33">
        <f t="shared" si="21"/>
        <v>36.22093657014814</v>
      </c>
      <c r="D33">
        <f t="shared" si="23"/>
        <v>6.6315518828730156</v>
      </c>
      <c r="E33">
        <f t="shared" si="4"/>
        <v>6.6315518828730156</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34.064092226942442</v>
      </c>
      <c r="N33">
        <f t="shared" si="10"/>
        <v>27.765704696204359</v>
      </c>
      <c r="O33">
        <f t="shared" si="24"/>
        <v>6.2983875307380828</v>
      </c>
      <c r="P33">
        <f t="shared" si="22"/>
        <v>33.649993694352581</v>
      </c>
      <c r="Q33" s="9">
        <f t="shared" si="1"/>
        <v>0.98784354710435118</v>
      </c>
      <c r="R33">
        <f>VLOOKUP($B$1,dictionary!$A$3:$K$51,3,FALSE)*Q33</f>
        <v>0.19756870942087024</v>
      </c>
      <c r="S33">
        <f>VLOOKUP($B$1,dictionary!$A$3:$K$51,4,FALSE)*Q33</f>
        <v>0</v>
      </c>
      <c r="T33">
        <f>VLOOKUP($B$1,dictionary!$A$3:$K$51,5,FALSE)*Q33</f>
        <v>0.19756870942087024</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0.19756870942087024</v>
      </c>
      <c r="Z33">
        <f>VLOOKUP($B$1,dictionary!$A$3:$K$51,11,FALSE)*Q33</f>
        <v>0</v>
      </c>
      <c r="AA33">
        <f t="shared" si="2"/>
        <v>0.41409853258986118</v>
      </c>
      <c r="AB33">
        <f t="shared" si="11"/>
        <v>7.6566051335959076E-2</v>
      </c>
      <c r="AC33">
        <f t="shared" si="12"/>
        <v>0.33753248125390212</v>
      </c>
      <c r="AD33">
        <f t="shared" si="3"/>
        <v>6.7299987388705151</v>
      </c>
      <c r="AE33">
        <f t="shared" si="13"/>
        <v>0</v>
      </c>
      <c r="AF33">
        <f t="shared" si="14"/>
        <v>7.4777763765227956</v>
      </c>
      <c r="AG33">
        <f t="shared" si="15"/>
        <v>13.459997477741034</v>
      </c>
      <c r="AH33">
        <f t="shared" si="16"/>
        <v>0</v>
      </c>
      <c r="AI33">
        <f t="shared" si="17"/>
        <v>1.7710522997027671</v>
      </c>
      <c r="AJ33">
        <f t="shared" si="18"/>
        <v>0</v>
      </c>
      <c r="AK33">
        <f t="shared" si="19"/>
        <v>6.7299987388705151</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4F01-D077-1D45-AAA4-062C25F071C6}">
  <sheetPr>
    <tabColor theme="4" tint="0.79998168889431442"/>
  </sheetPr>
  <dimension ref="A1:AY37"/>
  <sheetViews>
    <sheetView topLeftCell="O1" zoomScale="93" zoomScaleNormal="125" workbookViewId="0">
      <selection activeCell="B6" sqref="B6"/>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36.664777637605233</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36.664777637605233</v>
      </c>
      <c r="N8">
        <f>IF($N$7="LFO",M8/(1+EXP(-$I$4*(B8-$J$4)))-M8/(1+EXP($I$4*$J$4)),IF($N$7="MGO",M8/(1+EXP(-$I$5*(B8-$J$5)))-M8/(1+EXP($I$5*$J$5)),0))</f>
        <v>0</v>
      </c>
      <c r="O8">
        <f>M8-N8</f>
        <v>36.664777637605233</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36.664777637605233</v>
      </c>
      <c r="AB8">
        <f>O8/M8*AA8</f>
        <v>36.664777637605233</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37.434737967994941</v>
      </c>
      <c r="D9">
        <f>IF($E$2=0,0,C9/(1+EXP(-$E$2*(B9-$G$2)))-C9/(1+EXP($E$2*$G$2)))</f>
        <v>0.27948002635966063</v>
      </c>
      <c r="E9">
        <f t="shared" ref="E9:E33" si="4">IF($E$3=0,0,C9/(1+EXP(-$E$3*(B9-$G$3)))-C9/(1+EXP($E$3*$G$3)))</f>
        <v>0.27948002635966063</v>
      </c>
      <c r="F9">
        <f t="shared" ref="F9:F33" si="5">IF($E$4=0,0,C9/(1+EXP(-$E$4*(B9-$G$4)))-C9/(1+EXP($E$4*$G$4)))</f>
        <v>0</v>
      </c>
      <c r="G9" s="9">
        <f t="shared" ref="G9:I33" si="6">D9/$C9</f>
        <v>7.465793579177816E-3</v>
      </c>
      <c r="H9" s="9">
        <f t="shared" si="6"/>
        <v>7.465793579177816E-3</v>
      </c>
      <c r="I9" s="9">
        <f t="shared" si="6"/>
        <v>0</v>
      </c>
      <c r="J9" s="9">
        <f t="shared" ref="J9:J33" si="7">G9*$F$2</f>
        <v>9.7055316529311608E-4</v>
      </c>
      <c r="K9" s="9">
        <f t="shared" ref="K9:K33" si="8">H9*$F$3</f>
        <v>1.4931587158355632E-3</v>
      </c>
      <c r="L9" s="9">
        <f t="shared" ref="L9:L33" si="9">I9*$F$4</f>
        <v>0</v>
      </c>
      <c r="M9">
        <f t="shared" si="0"/>
        <v>37.342563809341101</v>
      </c>
      <c r="N9">
        <f t="shared" ref="N9:N33" si="10">IF($N$7="LFO",M9/(1+EXP(-$I$4*(B9-$J$4)))-M9/(1+EXP($I$4*$J$4)),IF($N$7="MGO",M9/(1+EXP(-$I$5*(B9-$J$5)))-M9/(1+EXP($I$5*$J$5)),0))</f>
        <v>1.831641279277644</v>
      </c>
      <c r="O9">
        <f>M9-N9</f>
        <v>35.510922530063453</v>
      </c>
      <c r="P9">
        <f>IF($I$3=0,0,M9/(1+EXP(-$I$3*(B9-$J$3)))-M9/(1+EXP($I$3*$J$3)))</f>
        <v>0.22917470051335015</v>
      </c>
      <c r="Q9" s="9">
        <f t="shared" si="1"/>
        <v>6.1370906851345589E-3</v>
      </c>
      <c r="R9">
        <f>VLOOKUP($B$1,dictionary!$A$3:$K$51,3,FALSE)*Q9</f>
        <v>1.2274181370269118E-3</v>
      </c>
      <c r="S9">
        <f>VLOOKUP($B$1,dictionary!$A$3:$K$51,4,FALSE)*Q9</f>
        <v>0</v>
      </c>
      <c r="T9">
        <f>VLOOKUP($B$1,dictionary!$A$3:$K$51,5,FALSE)*Q9</f>
        <v>1.2274181370269118E-3</v>
      </c>
      <c r="U9">
        <f>VLOOKUP($B$1,dictionary!$A$3:$K$51,6,FALSE)*Q9</f>
        <v>2.1479817397970953E-3</v>
      </c>
      <c r="V9">
        <f>VLOOKUP($B$1,dictionary!$A$3:$K$51,7,FALSE)*Q9</f>
        <v>0</v>
      </c>
      <c r="W9">
        <f>VLOOKUP($B$1,dictionary!$A$3:$K$51,8,FALSE)*Q9</f>
        <v>3.0685453425672796E-4</v>
      </c>
      <c r="X9">
        <f>VLOOKUP($B$1,dictionary!$A$3:$K$51,9,FALSE)*Q9</f>
        <v>0</v>
      </c>
      <c r="Y9">
        <f>VLOOKUP($B$1,dictionary!$A$3:$K$51,10,FALSE)*Q9</f>
        <v>1.2274181370269118E-3</v>
      </c>
      <c r="Z9">
        <f>VLOOKUP($B$1,dictionary!$A$3:$K$51,11,FALSE)*Q9</f>
        <v>0</v>
      </c>
      <c r="AA9">
        <f t="shared" si="2"/>
        <v>37.113389108827754</v>
      </c>
      <c r="AB9">
        <f t="shared" ref="AB9:AB33" si="11">O9/M9*AA9</f>
        <v>35.29298877818367</v>
      </c>
      <c r="AC9">
        <f t="shared" ref="AC9:AC33" si="12">N9/M9*AA9</f>
        <v>1.8204003306440815</v>
      </c>
      <c r="AD9">
        <f t="shared" si="3"/>
        <v>4.583494010267003E-2</v>
      </c>
      <c r="AE9">
        <f t="shared" ref="AE9:AE33" si="13">S9*$O9*$AE$2+S9*$N9*$AE$3</f>
        <v>0</v>
      </c>
      <c r="AF9">
        <f t="shared" ref="AF9:AF33" si="14">T9*$O9*$AF$2+T9*$N9*$AF$3</f>
        <v>5.0927711225188924E-2</v>
      </c>
      <c r="AG9">
        <f t="shared" ref="AG9:AG33" si="15">U9*$O9*$AG$2+U9*$N9*$AG$3</f>
        <v>9.1669880205340046E-2</v>
      </c>
      <c r="AH9">
        <f t="shared" ref="AH9:AH33" si="16">V9*$O9*$AH$2+V9*$N9*$AH$3</f>
        <v>0</v>
      </c>
      <c r="AI9">
        <f t="shared" ref="AI9:AI33" si="17">W9*$O9*$AI$2+W9*$N9*$AI$3</f>
        <v>1.2061826342807901E-2</v>
      </c>
      <c r="AJ9">
        <f t="shared" ref="AJ9:AJ33" si="18">X9*$O9*$AJ$2+X9*$N9*$AJ$3</f>
        <v>0</v>
      </c>
      <c r="AK9">
        <f t="shared" ref="AK9:AK33" si="19">Y9*$O9*$AK$2+Y9*$N9*$AK$3</f>
        <v>4.583494010267003E-2</v>
      </c>
      <c r="AL9">
        <f t="shared" ref="AL9:AL33" si="20">Z9*$O9*$AL$2+Z9*$N9*$AL$3</f>
        <v>0</v>
      </c>
    </row>
    <row r="10" spans="1:51" x14ac:dyDescent="0.2">
      <c r="A10">
        <v>2027</v>
      </c>
      <c r="B10">
        <v>2</v>
      </c>
      <c r="C10">
        <f t="shared" ref="C10:C33" si="21">C9*(1+$I$2)</f>
        <v>38.220867465322833</v>
      </c>
      <c r="D10">
        <f>IF($E$2=0,0,C10/(1+EXP(-$E$2*(B10-$G$2)))-C10/(1+EXP($E$2*$G$2)))</f>
        <v>0.57121164978258676</v>
      </c>
      <c r="E10">
        <f t="shared" si="4"/>
        <v>0.57121164978258676</v>
      </c>
      <c r="F10">
        <f t="shared" si="5"/>
        <v>0</v>
      </c>
      <c r="G10" s="9">
        <f t="shared" si="6"/>
        <v>1.4945020551949474E-2</v>
      </c>
      <c r="H10" s="9">
        <f t="shared" si="6"/>
        <v>1.4945020551949474E-2</v>
      </c>
      <c r="I10" s="9">
        <f t="shared" si="6"/>
        <v>0</v>
      </c>
      <c r="J10" s="9">
        <f t="shared" si="7"/>
        <v>1.9428526717534316E-3</v>
      </c>
      <c r="K10" s="9">
        <f t="shared" si="8"/>
        <v>2.9890041103898951E-3</v>
      </c>
      <c r="L10" s="9">
        <f t="shared" si="9"/>
        <v>0</v>
      </c>
      <c r="M10">
        <f t="shared" si="0"/>
        <v>38.03258957691056</v>
      </c>
      <c r="N10">
        <f t="shared" si="10"/>
        <v>4.05522385838501</v>
      </c>
      <c r="O10">
        <f>M10-N10</f>
        <v>33.977365718525547</v>
      </c>
      <c r="P10">
        <f t="shared" ref="P10:P33" si="22">IF($I$3=0,0,M10/(1+EXP(-$I$3*(B10-$J$3)))-M10/(1+EXP($I$3*$J$3)))</f>
        <v>0.59369066091425293</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37.438898915996305</v>
      </c>
      <c r="AB10">
        <f t="shared" si="11"/>
        <v>33.446977308639219</v>
      </c>
      <c r="AC10">
        <f t="shared" si="12"/>
        <v>3.9919216073570789</v>
      </c>
      <c r="AD10">
        <f t="shared" si="3"/>
        <v>0.11873813218285058</v>
      </c>
      <c r="AE10">
        <f t="shared" si="13"/>
        <v>0</v>
      </c>
      <c r="AF10">
        <f t="shared" si="14"/>
        <v>0.13193125798094507</v>
      </c>
      <c r="AG10">
        <f t="shared" si="15"/>
        <v>0.23747626436570118</v>
      </c>
      <c r="AH10">
        <f t="shared" si="16"/>
        <v>0</v>
      </c>
      <c r="AI10">
        <f t="shared" si="17"/>
        <v>3.1246876890223832E-2</v>
      </c>
      <c r="AJ10">
        <f t="shared" si="18"/>
        <v>0</v>
      </c>
      <c r="AK10">
        <f t="shared" si="19"/>
        <v>0.11873813218285058</v>
      </c>
      <c r="AL10">
        <f t="shared" si="20"/>
        <v>0</v>
      </c>
    </row>
    <row r="11" spans="1:51" x14ac:dyDescent="0.2">
      <c r="A11">
        <v>2028</v>
      </c>
      <c r="B11">
        <v>3</v>
      </c>
      <c r="C11">
        <f t="shared" si="21"/>
        <v>39.023505682094608</v>
      </c>
      <c r="D11">
        <f t="shared" ref="D11:D33" si="23">IF($E$2=0,0,C11/(1+EXP(-$E$2*(B11-$G$2)))-C11/(1+EXP($E$2*$G$2)))</f>
        <v>0.87546673980082446</v>
      </c>
      <c r="E11">
        <f t="shared" si="4"/>
        <v>0.87546673980082446</v>
      </c>
      <c r="F11">
        <f t="shared" si="5"/>
        <v>0</v>
      </c>
      <c r="G11" s="9">
        <f t="shared" si="6"/>
        <v>2.2434343724339459E-2</v>
      </c>
      <c r="H11" s="9">
        <f t="shared" si="6"/>
        <v>2.2434343724339459E-2</v>
      </c>
      <c r="I11" s="9">
        <f t="shared" si="6"/>
        <v>0</v>
      </c>
      <c r="J11" s="9">
        <f t="shared" si="7"/>
        <v>2.9164646841641296E-3</v>
      </c>
      <c r="K11" s="9">
        <f t="shared" si="8"/>
        <v>4.486868744867892E-3</v>
      </c>
      <c r="L11" s="9">
        <f t="shared" si="9"/>
        <v>0</v>
      </c>
      <c r="M11">
        <f t="shared" si="0"/>
        <v>38.735112311526088</v>
      </c>
      <c r="N11">
        <f t="shared" si="10"/>
        <v>6.6592696220966312</v>
      </c>
      <c r="O11">
        <f t="shared" ref="O11:O33" si="24">M11-N11</f>
        <v>32.075842689429457</v>
      </c>
      <c r="P11">
        <f t="shared" si="22"/>
        <v>1.1660948193628551</v>
      </c>
      <c r="Q11" s="9">
        <f t="shared" si="1"/>
        <v>3.010433556987183E-2</v>
      </c>
      <c r="R11">
        <f>VLOOKUP($B$1,dictionary!$A$3:$K$51,3,FALSE)*Q11</f>
        <v>6.0208671139743665E-3</v>
      </c>
      <c r="S11">
        <f>VLOOKUP($B$1,dictionary!$A$3:$K$51,4,FALSE)*Q11</f>
        <v>0</v>
      </c>
      <c r="T11">
        <f>VLOOKUP($B$1,dictionary!$A$3:$K$51,5,FALSE)*Q11</f>
        <v>6.0208671139743665E-3</v>
      </c>
      <c r="U11">
        <f>VLOOKUP($B$1,dictionary!$A$3:$K$51,6,FALSE)*Q11</f>
        <v>1.053651744945514E-2</v>
      </c>
      <c r="V11">
        <f>VLOOKUP($B$1,dictionary!$A$3:$K$51,7,FALSE)*Q11</f>
        <v>0</v>
      </c>
      <c r="W11">
        <f>VLOOKUP($B$1,dictionary!$A$3:$K$51,8,FALSE)*Q11</f>
        <v>1.5052167784935916E-3</v>
      </c>
      <c r="X11">
        <f>VLOOKUP($B$1,dictionary!$A$3:$K$51,9,FALSE)*Q11</f>
        <v>0</v>
      </c>
      <c r="Y11">
        <f>VLOOKUP($B$1,dictionary!$A$3:$K$51,10,FALSE)*Q11</f>
        <v>6.0208671139743665E-3</v>
      </c>
      <c r="Z11">
        <f>VLOOKUP($B$1,dictionary!$A$3:$K$51,11,FALSE)*Q11</f>
        <v>0</v>
      </c>
      <c r="AA11">
        <f t="shared" si="2"/>
        <v>37.569017492163233</v>
      </c>
      <c r="AB11">
        <f t="shared" si="11"/>
        <v>31.110220757420453</v>
      </c>
      <c r="AC11">
        <f t="shared" si="12"/>
        <v>6.4587967347427808</v>
      </c>
      <c r="AD11">
        <f t="shared" si="3"/>
        <v>0.23321896387257102</v>
      </c>
      <c r="AE11">
        <f t="shared" si="13"/>
        <v>0</v>
      </c>
      <c r="AF11">
        <f t="shared" si="14"/>
        <v>0.25913218208063449</v>
      </c>
      <c r="AG11">
        <f t="shared" si="15"/>
        <v>0.46643792774514203</v>
      </c>
      <c r="AH11">
        <f t="shared" si="16"/>
        <v>0</v>
      </c>
      <c r="AI11">
        <f t="shared" si="17"/>
        <v>6.1373411545413425E-2</v>
      </c>
      <c r="AJ11">
        <f t="shared" si="18"/>
        <v>0</v>
      </c>
      <c r="AK11">
        <f t="shared" si="19"/>
        <v>0.23321896387257102</v>
      </c>
      <c r="AL11">
        <f t="shared" si="20"/>
        <v>0</v>
      </c>
    </row>
    <row r="12" spans="1:51" x14ac:dyDescent="0.2">
      <c r="A12">
        <v>2029</v>
      </c>
      <c r="B12">
        <v>4</v>
      </c>
      <c r="C12">
        <f t="shared" si="21"/>
        <v>39.842999301418594</v>
      </c>
      <c r="D12">
        <f t="shared" si="23"/>
        <v>1.1925172167928189</v>
      </c>
      <c r="E12">
        <f t="shared" si="4"/>
        <v>1.1925172167928189</v>
      </c>
      <c r="F12">
        <f t="shared" si="5"/>
        <v>0</v>
      </c>
      <c r="G12" s="9">
        <f t="shared" si="6"/>
        <v>2.9930407793129162E-2</v>
      </c>
      <c r="H12" s="9">
        <f t="shared" si="6"/>
        <v>2.9930407793129162E-2</v>
      </c>
      <c r="I12" s="9">
        <f t="shared" si="6"/>
        <v>0</v>
      </c>
      <c r="J12" s="9">
        <f t="shared" si="7"/>
        <v>3.8909530131067912E-3</v>
      </c>
      <c r="K12" s="9">
        <f t="shared" si="8"/>
        <v>5.986081558625833E-3</v>
      </c>
      <c r="L12" s="9">
        <f t="shared" si="9"/>
        <v>0</v>
      </c>
      <c r="M12">
        <f t="shared" si="0"/>
        <v>39.450396625568537</v>
      </c>
      <c r="N12">
        <f t="shared" si="10"/>
        <v>9.5916522299709115</v>
      </c>
      <c r="O12">
        <f t="shared" si="24"/>
        <v>29.858744395597625</v>
      </c>
      <c r="P12">
        <f t="shared" si="22"/>
        <v>2.0508846288123914</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37.399511996756146</v>
      </c>
      <c r="AB12">
        <f t="shared" si="11"/>
        <v>28.306495365054783</v>
      </c>
      <c r="AC12">
        <f t="shared" si="12"/>
        <v>9.0930166317013601</v>
      </c>
      <c r="AD12">
        <f t="shared" si="3"/>
        <v>0.41017692576247827</v>
      </c>
      <c r="AE12">
        <f t="shared" si="13"/>
        <v>0</v>
      </c>
      <c r="AF12">
        <f t="shared" si="14"/>
        <v>0.45575213973608697</v>
      </c>
      <c r="AG12">
        <f t="shared" si="15"/>
        <v>0.82035385152495666</v>
      </c>
      <c r="AH12">
        <f t="shared" si="16"/>
        <v>0</v>
      </c>
      <c r="AI12">
        <f t="shared" si="17"/>
        <v>0.10794129625328375</v>
      </c>
      <c r="AJ12">
        <f t="shared" si="18"/>
        <v>0</v>
      </c>
      <c r="AK12">
        <f t="shared" si="19"/>
        <v>0.41017692576247827</v>
      </c>
      <c r="AL12">
        <f t="shared" si="20"/>
        <v>0</v>
      </c>
    </row>
    <row r="13" spans="1:51" x14ac:dyDescent="0.2">
      <c r="A13">
        <v>2030</v>
      </c>
      <c r="B13">
        <v>5</v>
      </c>
      <c r="C13">
        <f t="shared" si="21"/>
        <v>40.67970228674838</v>
      </c>
      <c r="D13">
        <f t="shared" si="23"/>
        <v>1.5226349652227675</v>
      </c>
      <c r="E13">
        <f t="shared" si="4"/>
        <v>1.5226349652227675</v>
      </c>
      <c r="F13">
        <f t="shared" si="5"/>
        <v>0</v>
      </c>
      <c r="G13" s="9">
        <f t="shared" si="6"/>
        <v>3.7429845343749567E-2</v>
      </c>
      <c r="H13" s="9">
        <f t="shared" si="6"/>
        <v>3.7429845343749567E-2</v>
      </c>
      <c r="I13" s="9">
        <f t="shared" si="6"/>
        <v>0</v>
      </c>
      <c r="J13" s="9">
        <f t="shared" si="7"/>
        <v>4.865879894687444E-3</v>
      </c>
      <c r="K13" s="9">
        <f t="shared" si="8"/>
        <v>7.4859690687499141E-3</v>
      </c>
      <c r="L13" s="9">
        <f t="shared" si="9"/>
        <v>0</v>
      </c>
      <c r="M13">
        <f t="shared" si="0"/>
        <v>40.178714539997713</v>
      </c>
      <c r="N13">
        <f t="shared" si="10"/>
        <v>12.759734224173709</v>
      </c>
      <c r="O13">
        <f t="shared" si="24"/>
        <v>27.418980315824005</v>
      </c>
      <c r="P13">
        <f t="shared" si="22"/>
        <v>3.3895777001009169</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36.789136839896798</v>
      </c>
      <c r="AB13">
        <f t="shared" si="11"/>
        <v>25.105845978350295</v>
      </c>
      <c r="AC13">
        <f t="shared" si="12"/>
        <v>11.683290861546505</v>
      </c>
      <c r="AD13">
        <f t="shared" si="3"/>
        <v>0.67791554002018339</v>
      </c>
      <c r="AE13">
        <f t="shared" si="13"/>
        <v>0</v>
      </c>
      <c r="AF13">
        <f t="shared" si="14"/>
        <v>0.75323948891131498</v>
      </c>
      <c r="AG13">
        <f t="shared" si="15"/>
        <v>1.3558310800403668</v>
      </c>
      <c r="AH13">
        <f t="shared" si="16"/>
        <v>0</v>
      </c>
      <c r="AI13">
        <f t="shared" si="17"/>
        <v>0.17839882632110088</v>
      </c>
      <c r="AJ13">
        <f t="shared" si="18"/>
        <v>0</v>
      </c>
      <c r="AK13">
        <f t="shared" si="19"/>
        <v>0.67791554002018339</v>
      </c>
      <c r="AL13">
        <f t="shared" si="20"/>
        <v>0</v>
      </c>
    </row>
    <row r="14" spans="1:51" x14ac:dyDescent="0.2">
      <c r="A14">
        <v>2031</v>
      </c>
      <c r="B14">
        <v>6</v>
      </c>
      <c r="C14">
        <f t="shared" si="21"/>
        <v>41.533976034770092</v>
      </c>
      <c r="D14">
        <f t="shared" si="23"/>
        <v>1.8660917589941661</v>
      </c>
      <c r="E14">
        <f t="shared" si="4"/>
        <v>1.8660917589941661</v>
      </c>
      <c r="F14">
        <f t="shared" si="5"/>
        <v>0</v>
      </c>
      <c r="G14" s="9">
        <f t="shared" si="6"/>
        <v>4.4929282894369919E-2</v>
      </c>
      <c r="H14" s="9">
        <f t="shared" si="6"/>
        <v>4.4929282894369919E-2</v>
      </c>
      <c r="I14" s="9">
        <f t="shared" si="6"/>
        <v>0</v>
      </c>
      <c r="J14" s="9">
        <f t="shared" si="7"/>
        <v>5.8408067762680893E-3</v>
      </c>
      <c r="K14" s="9">
        <f t="shared" si="8"/>
        <v>8.9858565788739839E-3</v>
      </c>
      <c r="L14" s="9">
        <f t="shared" si="9"/>
        <v>0</v>
      </c>
      <c r="M14">
        <f t="shared" si="0"/>
        <v>40.920345650580231</v>
      </c>
      <c r="N14">
        <f t="shared" si="10"/>
        <v>16.041470854678078</v>
      </c>
      <c r="O14">
        <f t="shared" si="24"/>
        <v>24.878874795902153</v>
      </c>
      <c r="P14">
        <f t="shared" si="22"/>
        <v>5.3550051165438814</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35.565340534036352</v>
      </c>
      <c r="AB14">
        <f t="shared" si="11"/>
        <v>21.623122682673817</v>
      </c>
      <c r="AC14">
        <f t="shared" si="12"/>
        <v>13.942217851362537</v>
      </c>
      <c r="AD14">
        <f t="shared" si="3"/>
        <v>1.0710010233087761</v>
      </c>
      <c r="AE14">
        <f t="shared" si="13"/>
        <v>0</v>
      </c>
      <c r="AF14">
        <f t="shared" si="14"/>
        <v>1.1900011370097514</v>
      </c>
      <c r="AG14">
        <f t="shared" si="15"/>
        <v>2.1420020466175527</v>
      </c>
      <c r="AH14">
        <f t="shared" si="16"/>
        <v>0</v>
      </c>
      <c r="AI14">
        <f t="shared" si="17"/>
        <v>0.2818423745549411</v>
      </c>
      <c r="AJ14">
        <f t="shared" si="18"/>
        <v>0</v>
      </c>
      <c r="AK14">
        <f t="shared" si="19"/>
        <v>1.0710010233087761</v>
      </c>
      <c r="AL14">
        <f t="shared" si="20"/>
        <v>0</v>
      </c>
    </row>
    <row r="15" spans="1:51" x14ac:dyDescent="0.2">
      <c r="A15">
        <v>2032</v>
      </c>
      <c r="B15">
        <v>7</v>
      </c>
      <c r="C15">
        <f t="shared" si="21"/>
        <v>42.40618953150026</v>
      </c>
      <c r="D15">
        <f t="shared" si="23"/>
        <v>2.2231591995744076</v>
      </c>
      <c r="E15">
        <f t="shared" si="4"/>
        <v>2.2231591995744076</v>
      </c>
      <c r="F15">
        <f t="shared" si="5"/>
        <v>0</v>
      </c>
      <c r="G15" s="9">
        <f t="shared" si="6"/>
        <v>5.2425346963159598E-2</v>
      </c>
      <c r="H15" s="9">
        <f t="shared" si="6"/>
        <v>5.2425346963159598E-2</v>
      </c>
      <c r="I15" s="9">
        <f t="shared" si="6"/>
        <v>0</v>
      </c>
      <c r="J15" s="9">
        <f t="shared" si="7"/>
        <v>6.815295105210748E-3</v>
      </c>
      <c r="K15" s="9">
        <f t="shared" si="8"/>
        <v>1.048506939263192E-2</v>
      </c>
      <c r="L15" s="9">
        <f t="shared" si="9"/>
        <v>0</v>
      </c>
      <c r="M15">
        <f t="shared" si="0"/>
        <v>41.675577292842895</v>
      </c>
      <c r="N15">
        <f t="shared" si="10"/>
        <v>19.305410277145423</v>
      </c>
      <c r="O15">
        <f t="shared" si="24"/>
        <v>22.370167015697472</v>
      </c>
      <c r="P15">
        <f>IF($I$3=0,0,M15/(1+EXP(-$I$3*(B15-$J$3)))-M15/(1+EXP($I$3*$J$3)))</f>
        <v>8.1218794154833667</v>
      </c>
      <c r="Q15" s="9">
        <f t="shared" si="1"/>
        <v>0.19488342917035412</v>
      </c>
      <c r="R15">
        <f>VLOOKUP($B$1,dictionary!$A$3:$K$51,3,FALSE)*Q15</f>
        <v>3.8976685834070823E-2</v>
      </c>
      <c r="S15">
        <f>VLOOKUP($B$1,dictionary!$A$3:$K$51,4,FALSE)*Q15</f>
        <v>0</v>
      </c>
      <c r="T15">
        <f>VLOOKUP($B$1,dictionary!$A$3:$K$51,5,FALSE)*Q15</f>
        <v>3.8976685834070823E-2</v>
      </c>
      <c r="U15">
        <f>VLOOKUP($B$1,dictionary!$A$3:$K$51,6,FALSE)*Q15</f>
        <v>6.8209200209623941E-2</v>
      </c>
      <c r="V15">
        <f>VLOOKUP($B$1,dictionary!$A$3:$K$51,7,FALSE)*Q15</f>
        <v>0</v>
      </c>
      <c r="W15">
        <f>VLOOKUP($B$1,dictionary!$A$3:$K$51,8,FALSE)*Q15</f>
        <v>9.7441714585177058E-3</v>
      </c>
      <c r="X15">
        <f>VLOOKUP($B$1,dictionary!$A$3:$K$51,9,FALSE)*Q15</f>
        <v>0</v>
      </c>
      <c r="Y15">
        <f>VLOOKUP($B$1,dictionary!$A$3:$K$51,10,FALSE)*Q15</f>
        <v>3.8976685834070823E-2</v>
      </c>
      <c r="Z15">
        <f>VLOOKUP($B$1,dictionary!$A$3:$K$51,11,FALSE)*Q15</f>
        <v>0</v>
      </c>
      <c r="AA15">
        <f t="shared" si="2"/>
        <v>33.553697877359525</v>
      </c>
      <c r="AB15">
        <f t="shared" si="11"/>
        <v>18.010592156564801</v>
      </c>
      <c r="AC15">
        <f t="shared" si="12"/>
        <v>15.543105720794726</v>
      </c>
      <c r="AD15">
        <f t="shared" si="3"/>
        <v>1.6243758830966732</v>
      </c>
      <c r="AE15">
        <f t="shared" si="13"/>
        <v>0</v>
      </c>
      <c r="AF15">
        <f t="shared" si="14"/>
        <v>1.8048620923296372</v>
      </c>
      <c r="AG15">
        <f t="shared" si="15"/>
        <v>3.2487517661933474</v>
      </c>
      <c r="AH15">
        <f t="shared" si="16"/>
        <v>0</v>
      </c>
      <c r="AI15">
        <f t="shared" si="17"/>
        <v>0.42746733765701928</v>
      </c>
      <c r="AJ15">
        <f t="shared" si="18"/>
        <v>0</v>
      </c>
      <c r="AK15">
        <f t="shared" si="19"/>
        <v>1.6243758830966732</v>
      </c>
      <c r="AL15">
        <f t="shared" si="20"/>
        <v>0</v>
      </c>
    </row>
    <row r="16" spans="1:51" x14ac:dyDescent="0.2">
      <c r="A16">
        <v>2033</v>
      </c>
      <c r="B16">
        <v>8</v>
      </c>
      <c r="C16">
        <f t="shared" si="21"/>
        <v>43.296719511661763</v>
      </c>
      <c r="D16">
        <f t="shared" si="23"/>
        <v>2.5941086674926339</v>
      </c>
      <c r="E16">
        <f t="shared" si="4"/>
        <v>2.5941086674926339</v>
      </c>
      <c r="F16">
        <f t="shared" si="5"/>
        <v>0</v>
      </c>
      <c r="G16" s="9">
        <f t="shared" si="6"/>
        <v>5.991467013554972E-2</v>
      </c>
      <c r="H16" s="9">
        <f t="shared" si="6"/>
        <v>5.991467013554972E-2</v>
      </c>
      <c r="I16" s="9">
        <f t="shared" si="6"/>
        <v>0</v>
      </c>
      <c r="J16" s="9">
        <f t="shared" si="7"/>
        <v>7.7889071176214641E-3</v>
      </c>
      <c r="K16" s="9">
        <f t="shared" si="8"/>
        <v>1.1982934027109945E-2</v>
      </c>
      <c r="L16" s="9">
        <f t="shared" si="9"/>
        <v>0</v>
      </c>
      <c r="M16">
        <f t="shared" si="0"/>
        <v>42.444704705682021</v>
      </c>
      <c r="N16">
        <f t="shared" si="10"/>
        <v>22.433044210829635</v>
      </c>
      <c r="O16">
        <f t="shared" si="24"/>
        <v>20.011660494852386</v>
      </c>
      <c r="P16">
        <f t="shared" si="22"/>
        <v>11.802325470538426</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30.642379235143594</v>
      </c>
      <c r="AB16">
        <f t="shared" si="11"/>
        <v>14.447147041315596</v>
      </c>
      <c r="AC16">
        <f t="shared" si="12"/>
        <v>16.195232193827998</v>
      </c>
      <c r="AD16">
        <f t="shared" si="3"/>
        <v>2.3604650941076852</v>
      </c>
      <c r="AE16">
        <f t="shared" si="13"/>
        <v>0</v>
      </c>
      <c r="AF16">
        <f t="shared" si="14"/>
        <v>2.6227389934529839</v>
      </c>
      <c r="AG16">
        <f t="shared" si="15"/>
        <v>4.7209301882153714</v>
      </c>
      <c r="AH16">
        <f t="shared" si="16"/>
        <v>0</v>
      </c>
      <c r="AI16">
        <f t="shared" si="17"/>
        <v>0.62117502476518027</v>
      </c>
      <c r="AJ16">
        <f t="shared" si="18"/>
        <v>0</v>
      </c>
      <c r="AK16">
        <f t="shared" si="19"/>
        <v>2.3604650941076852</v>
      </c>
      <c r="AL16">
        <f t="shared" si="20"/>
        <v>0</v>
      </c>
    </row>
    <row r="17" spans="1:38" x14ac:dyDescent="0.2">
      <c r="A17">
        <v>2034</v>
      </c>
      <c r="B17">
        <v>9</v>
      </c>
      <c r="C17">
        <f t="shared" si="21"/>
        <v>44.205950621406657</v>
      </c>
      <c r="D17">
        <f t="shared" si="23"/>
        <v>2.9792112877546124</v>
      </c>
      <c r="E17">
        <f t="shared" si="4"/>
        <v>2.9792112877546124</v>
      </c>
      <c r="F17">
        <f t="shared" si="5"/>
        <v>0</v>
      </c>
      <c r="G17" s="9">
        <f t="shared" si="6"/>
        <v>6.7393897108321305E-2</v>
      </c>
      <c r="H17" s="9">
        <f t="shared" si="6"/>
        <v>6.7393897108321305E-2</v>
      </c>
      <c r="I17" s="9">
        <f t="shared" si="6"/>
        <v>0</v>
      </c>
      <c r="J17" s="9">
        <f t="shared" si="7"/>
        <v>8.7612066240817695E-3</v>
      </c>
      <c r="K17" s="9">
        <f t="shared" si="8"/>
        <v>1.3478779421664262E-2</v>
      </c>
      <c r="L17" s="9">
        <f t="shared" si="9"/>
        <v>0</v>
      </c>
      <c r="M17">
        <f t="shared" si="0"/>
        <v>43.228031193581401</v>
      </c>
      <c r="N17">
        <f t="shared" si="10"/>
        <v>25.335917080529324</v>
      </c>
      <c r="O17">
        <f t="shared" si="24"/>
        <v>17.892114113052077</v>
      </c>
      <c r="P17">
        <f t="shared" si="22"/>
        <v>16.356355441642414</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26.871675751938987</v>
      </c>
      <c r="AB17">
        <f t="shared" si="11"/>
        <v>11.122206487026313</v>
      </c>
      <c r="AC17">
        <f t="shared" si="12"/>
        <v>15.749469264912674</v>
      </c>
      <c r="AD17">
        <f t="shared" si="3"/>
        <v>3.2712710883284828</v>
      </c>
      <c r="AE17">
        <f t="shared" si="13"/>
        <v>0</v>
      </c>
      <c r="AF17">
        <f t="shared" si="14"/>
        <v>3.6347456536983147</v>
      </c>
      <c r="AG17">
        <f t="shared" si="15"/>
        <v>6.5425421766569656</v>
      </c>
      <c r="AH17">
        <f t="shared" si="16"/>
        <v>0</v>
      </c>
      <c r="AI17">
        <f t="shared" si="17"/>
        <v>0.86086081271802173</v>
      </c>
      <c r="AJ17">
        <f t="shared" si="18"/>
        <v>0</v>
      </c>
      <c r="AK17">
        <f t="shared" si="19"/>
        <v>3.2712710883284828</v>
      </c>
      <c r="AL17">
        <f t="shared" si="20"/>
        <v>0</v>
      </c>
    </row>
    <row r="18" spans="1:38" x14ac:dyDescent="0.2">
      <c r="A18">
        <v>2035</v>
      </c>
      <c r="B18">
        <v>10</v>
      </c>
      <c r="C18">
        <f t="shared" si="21"/>
        <v>45.134275584456191</v>
      </c>
      <c r="D18">
        <f t="shared" si="23"/>
        <v>3.3787379096567349</v>
      </c>
      <c r="E18">
        <f t="shared" si="4"/>
        <v>3.3787379096567349</v>
      </c>
      <c r="F18">
        <f t="shared" si="5"/>
        <v>0</v>
      </c>
      <c r="G18" s="9">
        <f t="shared" si="6"/>
        <v>7.4859690687499147E-2</v>
      </c>
      <c r="H18" s="9">
        <f t="shared" si="6"/>
        <v>7.4859690687499147E-2</v>
      </c>
      <c r="I18" s="9">
        <f t="shared" si="6"/>
        <v>0</v>
      </c>
      <c r="J18" s="9">
        <f t="shared" si="7"/>
        <v>9.7317597893748897E-3</v>
      </c>
      <c r="K18" s="9">
        <f t="shared" si="8"/>
        <v>1.497193813749983E-2</v>
      </c>
      <c r="L18" s="9">
        <f t="shared" si="9"/>
        <v>0</v>
      </c>
      <c r="M18">
        <f t="shared" si="0"/>
        <v>44.025868287415072</v>
      </c>
      <c r="N18">
        <f t="shared" si="10"/>
        <v>27.962984120692376</v>
      </c>
      <c r="O18">
        <f t="shared" si="24"/>
        <v>16.062884166722696</v>
      </c>
      <c r="P18">
        <f t="shared" si="22"/>
        <v>21.529224454571654</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22.496643832843418</v>
      </c>
      <c r="AB18">
        <f t="shared" si="11"/>
        <v>8.2079240701829939</v>
      </c>
      <c r="AC18">
        <f t="shared" si="12"/>
        <v>14.288719762660424</v>
      </c>
      <c r="AD18">
        <f t="shared" si="3"/>
        <v>4.3058448909143312</v>
      </c>
      <c r="AE18">
        <f t="shared" si="13"/>
        <v>0</v>
      </c>
      <c r="AF18">
        <f t="shared" si="14"/>
        <v>4.7842721010159242</v>
      </c>
      <c r="AG18">
        <f t="shared" si="15"/>
        <v>8.6116897818286624</v>
      </c>
      <c r="AH18">
        <f t="shared" si="16"/>
        <v>0</v>
      </c>
      <c r="AI18">
        <f t="shared" si="17"/>
        <v>1.1331170765564029</v>
      </c>
      <c r="AJ18">
        <f t="shared" si="18"/>
        <v>0</v>
      </c>
      <c r="AK18">
        <f t="shared" si="19"/>
        <v>4.3058448909143312</v>
      </c>
      <c r="AL18">
        <f t="shared" si="20"/>
        <v>0</v>
      </c>
    </row>
    <row r="19" spans="1:38" x14ac:dyDescent="0.2">
      <c r="A19">
        <v>2036</v>
      </c>
      <c r="B19">
        <v>11</v>
      </c>
      <c r="C19">
        <f t="shared" si="21"/>
        <v>46.082095371729764</v>
      </c>
      <c r="D19">
        <f t="shared" si="23"/>
        <v>3.7929591014166739</v>
      </c>
      <c r="E19">
        <f t="shared" si="4"/>
        <v>3.7929591014166739</v>
      </c>
      <c r="F19">
        <f t="shared" si="5"/>
        <v>0</v>
      </c>
      <c r="G19" s="9">
        <f t="shared" si="6"/>
        <v>8.2308737717329605E-2</v>
      </c>
      <c r="H19" s="9">
        <f t="shared" si="6"/>
        <v>8.2308737717329605E-2</v>
      </c>
      <c r="I19" s="9">
        <f t="shared" si="6"/>
        <v>0</v>
      </c>
      <c r="J19" s="9">
        <f t="shared" si="7"/>
        <v>1.0700135903252849E-2</v>
      </c>
      <c r="K19" s="9">
        <f t="shared" si="8"/>
        <v>1.646174754346592E-2</v>
      </c>
      <c r="L19" s="9">
        <f t="shared" si="9"/>
        <v>0</v>
      </c>
      <c r="M19">
        <f t="shared" si="0"/>
        <v>44.838535903834391</v>
      </c>
      <c r="N19">
        <f t="shared" si="10"/>
        <v>30.298448438329629</v>
      </c>
      <c r="O19">
        <f t="shared" si="24"/>
        <v>14.540087465504762</v>
      </c>
      <c r="P19">
        <f t="shared" si="22"/>
        <v>26.887530794106898</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17.951005109727493</v>
      </c>
      <c r="AB19">
        <f t="shared" si="11"/>
        <v>5.8210907008415571</v>
      </c>
      <c r="AC19">
        <f t="shared" si="12"/>
        <v>12.129914408885936</v>
      </c>
      <c r="AD19">
        <f t="shared" si="3"/>
        <v>5.3775061588213804</v>
      </c>
      <c r="AE19">
        <f t="shared" si="13"/>
        <v>0</v>
      </c>
      <c r="AF19">
        <f t="shared" si="14"/>
        <v>5.9750068431348673</v>
      </c>
      <c r="AG19">
        <f t="shared" si="15"/>
        <v>10.755012317642759</v>
      </c>
      <c r="AH19">
        <f t="shared" si="16"/>
        <v>0</v>
      </c>
      <c r="AI19">
        <f t="shared" si="17"/>
        <v>1.4151331996898369</v>
      </c>
      <c r="AJ19">
        <f t="shared" si="18"/>
        <v>0</v>
      </c>
      <c r="AK19">
        <f t="shared" si="19"/>
        <v>5.3775061588213804</v>
      </c>
      <c r="AL19">
        <f t="shared" si="20"/>
        <v>0</v>
      </c>
    </row>
    <row r="20" spans="1:38" x14ac:dyDescent="0.2">
      <c r="A20">
        <v>2037</v>
      </c>
      <c r="B20">
        <v>12</v>
      </c>
      <c r="C20">
        <f t="shared" si="21"/>
        <v>47.049819374536085</v>
      </c>
      <c r="D20">
        <f t="shared" si="23"/>
        <v>4.2221451599718094</v>
      </c>
      <c r="E20">
        <f t="shared" si="4"/>
        <v>4.2221451599718094</v>
      </c>
      <c r="F20">
        <f t="shared" si="5"/>
        <v>0</v>
      </c>
      <c r="G20" s="9">
        <f t="shared" si="6"/>
        <v>8.9737754918074855E-2</v>
      </c>
      <c r="H20" s="9">
        <f t="shared" si="6"/>
        <v>8.9737754918074855E-2</v>
      </c>
      <c r="I20" s="9">
        <f t="shared" si="6"/>
        <v>0</v>
      </c>
      <c r="J20" s="9">
        <f t="shared" si="7"/>
        <v>1.1665908139349732E-2</v>
      </c>
      <c r="K20" s="9">
        <f t="shared" si="8"/>
        <v>1.794755098361497E-2</v>
      </c>
      <c r="L20" s="9">
        <f t="shared" si="9"/>
        <v>0</v>
      </c>
      <c r="M20">
        <f t="shared" si="0"/>
        <v>45.666362503262832</v>
      </c>
      <c r="N20">
        <f t="shared" si="10"/>
        <v>32.353597418601652</v>
      </c>
      <c r="O20">
        <f t="shared" si="24"/>
        <v>13.31276508466118</v>
      </c>
      <c r="P20">
        <f>IF($I$3=0,0,M20/(1+EXP(-$I$3*(B20-$J$3)))-M20/(1+EXP($I$3*$J$3)))</f>
        <v>31.964744003416623</v>
      </c>
      <c r="Q20" s="9">
        <f t="shared" si="1"/>
        <v>0.69996255999441082</v>
      </c>
      <c r="R20">
        <f>VLOOKUP($B$1,dictionary!$A$3:$K$51,3,FALSE)*Q20</f>
        <v>0.13999251199888216</v>
      </c>
      <c r="S20">
        <f>VLOOKUP($B$1,dictionary!$A$3:$K$51,4,FALSE)*Q20</f>
        <v>0</v>
      </c>
      <c r="T20">
        <f>VLOOKUP($B$1,dictionary!$A$3:$K$51,5,FALSE)*Q20</f>
        <v>0.13999251199888216</v>
      </c>
      <c r="U20">
        <f>VLOOKUP($B$1,dictionary!$A$3:$K$51,6,FALSE)*Q20</f>
        <v>0.24498689599804377</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13.701618499846209</v>
      </c>
      <c r="AB20">
        <f t="shared" si="11"/>
        <v>3.994327955397531</v>
      </c>
      <c r="AC20">
        <f t="shared" si="12"/>
        <v>9.7072905444486768</v>
      </c>
      <c r="AD20">
        <f t="shared" si="3"/>
        <v>6.3929488006833237</v>
      </c>
      <c r="AE20">
        <f t="shared" si="13"/>
        <v>0</v>
      </c>
      <c r="AF20">
        <f t="shared" si="14"/>
        <v>7.1032764452036936</v>
      </c>
      <c r="AG20">
        <f t="shared" si="15"/>
        <v>12.785897601366649</v>
      </c>
      <c r="AH20">
        <f t="shared" si="16"/>
        <v>0</v>
      </c>
      <c r="AI20">
        <f t="shared" si="17"/>
        <v>1.6823549475482431</v>
      </c>
      <c r="AJ20">
        <f t="shared" si="18"/>
        <v>0</v>
      </c>
      <c r="AK20">
        <f t="shared" si="19"/>
        <v>6.3929488006833237</v>
      </c>
      <c r="AL20">
        <f t="shared" si="20"/>
        <v>0</v>
      </c>
    </row>
    <row r="21" spans="1:38" x14ac:dyDescent="0.2">
      <c r="A21">
        <v>2038</v>
      </c>
      <c r="B21">
        <v>13</v>
      </c>
      <c r="C21">
        <f t="shared" si="21"/>
        <v>48.037865581401341</v>
      </c>
      <c r="D21">
        <f t="shared" si="23"/>
        <v>4.6665661362280417</v>
      </c>
      <c r="E21">
        <f t="shared" si="4"/>
        <v>4.6665661362280417</v>
      </c>
      <c r="F21">
        <f t="shared" si="5"/>
        <v>0</v>
      </c>
      <c r="G21" s="9">
        <f t="shared" si="6"/>
        <v>9.7143494610942502E-2</v>
      </c>
      <c r="H21" s="9">
        <f t="shared" si="6"/>
        <v>9.7143494610942502E-2</v>
      </c>
      <c r="I21" s="9">
        <f t="shared" si="6"/>
        <v>0</v>
      </c>
      <c r="J21" s="9">
        <f t="shared" si="7"/>
        <v>1.2628654299422526E-2</v>
      </c>
      <c r="K21" s="9">
        <f t="shared" si="8"/>
        <v>1.94286989221885E-2</v>
      </c>
      <c r="L21" s="9">
        <f t="shared" si="9"/>
        <v>0</v>
      </c>
      <c r="M21">
        <f t="shared" si="0"/>
        <v>46.509685246546056</v>
      </c>
      <c r="N21">
        <f t="shared" si="10"/>
        <v>34.156795618337291</v>
      </c>
      <c r="O21">
        <f t="shared" si="24"/>
        <v>12.352889628208764</v>
      </c>
      <c r="P21">
        <f t="shared" si="22"/>
        <v>36.423719808923835</v>
      </c>
      <c r="Q21" s="9">
        <f t="shared" si="1"/>
        <v>0.78314268556845945</v>
      </c>
      <c r="R21">
        <f>VLOOKUP($B$1,dictionary!$A$3:$K$51,3,FALSE)*Q21</f>
        <v>0.1566285371136919</v>
      </c>
      <c r="S21">
        <f>VLOOKUP($B$1,dictionary!$A$3:$K$51,4,FALSE)*Q21</f>
        <v>0</v>
      </c>
      <c r="T21">
        <f>VLOOKUP($B$1,dictionary!$A$3:$K$51,5,FALSE)*Q21</f>
        <v>0.1566285371136919</v>
      </c>
      <c r="U21">
        <f>VLOOKUP($B$1,dictionary!$A$3:$K$51,6,FALSE)*Q21</f>
        <v>0.27409993994896081</v>
      </c>
      <c r="V21">
        <f>VLOOKUP($B$1,dictionary!$A$3:$K$51,7,FALSE)*Q21</f>
        <v>0</v>
      </c>
      <c r="W21">
        <f>VLOOKUP($B$1,dictionary!$A$3:$K$51,8,FALSE)*Q21</f>
        <v>3.9157134278422975E-2</v>
      </c>
      <c r="X21">
        <f>VLOOKUP($B$1,dictionary!$A$3:$K$51,9,FALSE)*Q21</f>
        <v>0</v>
      </c>
      <c r="Y21">
        <f>VLOOKUP($B$1,dictionary!$A$3:$K$51,10,FALSE)*Q21</f>
        <v>0.1566285371136919</v>
      </c>
      <c r="Z21">
        <f>VLOOKUP($B$1,dictionary!$A$3:$K$51,11,FALSE)*Q21</f>
        <v>0</v>
      </c>
      <c r="AA21">
        <f t="shared" si="2"/>
        <v>10.085965437622221</v>
      </c>
      <c r="AB21">
        <f t="shared" si="11"/>
        <v>2.678814470242584</v>
      </c>
      <c r="AC21">
        <f t="shared" si="12"/>
        <v>7.4071509673796365</v>
      </c>
      <c r="AD21">
        <f t="shared" si="3"/>
        <v>7.2847439617847671</v>
      </c>
      <c r="AE21">
        <f t="shared" si="13"/>
        <v>0</v>
      </c>
      <c r="AF21">
        <f t="shared" si="14"/>
        <v>8.0941599575386309</v>
      </c>
      <c r="AG21">
        <f t="shared" si="15"/>
        <v>14.569487923569536</v>
      </c>
      <c r="AH21">
        <f t="shared" si="16"/>
        <v>0</v>
      </c>
      <c r="AI21">
        <f t="shared" si="17"/>
        <v>1.9170378846802016</v>
      </c>
      <c r="AJ21">
        <f t="shared" si="18"/>
        <v>0</v>
      </c>
      <c r="AK21">
        <f t="shared" si="19"/>
        <v>7.2847439617847671</v>
      </c>
      <c r="AL21">
        <f t="shared" si="20"/>
        <v>0</v>
      </c>
    </row>
    <row r="22" spans="1:38" x14ac:dyDescent="0.2">
      <c r="A22">
        <v>2039</v>
      </c>
      <c r="B22">
        <v>14</v>
      </c>
      <c r="C22">
        <f t="shared" si="21"/>
        <v>49.046660758610763</v>
      </c>
      <c r="D22">
        <f t="shared" si="23"/>
        <v>5.1264918759724978</v>
      </c>
      <c r="E22">
        <f t="shared" si="4"/>
        <v>5.1264918759724978</v>
      </c>
      <c r="F22">
        <f t="shared" si="5"/>
        <v>0</v>
      </c>
      <c r="G22" s="9">
        <f t="shared" si="6"/>
        <v>0.10452275030920381</v>
      </c>
      <c r="H22" s="9">
        <f t="shared" si="6"/>
        <v>0.10452275030920381</v>
      </c>
      <c r="I22" s="9">
        <f t="shared" si="6"/>
        <v>0</v>
      </c>
      <c r="J22" s="9">
        <f t="shared" si="7"/>
        <v>1.3587957540196496E-2</v>
      </c>
      <c r="K22" s="9">
        <f t="shared" si="8"/>
        <v>2.0904550061840763E-2</v>
      </c>
      <c r="L22" s="9">
        <f t="shared" si="9"/>
        <v>0</v>
      </c>
      <c r="M22">
        <f t="shared" si="0"/>
        <v>47.368850150328015</v>
      </c>
      <c r="N22">
        <f t="shared" si="10"/>
        <v>35.744587383022512</v>
      </c>
      <c r="O22">
        <f t="shared" si="24"/>
        <v>11.624262767305503</v>
      </c>
      <c r="P22">
        <f t="shared" si="22"/>
        <v>40.129089474313538</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7.2397606760144768</v>
      </c>
      <c r="AB22">
        <f t="shared" si="11"/>
        <v>1.776629160372702</v>
      </c>
      <c r="AC22">
        <f t="shared" si="12"/>
        <v>5.4631315156417752</v>
      </c>
      <c r="AD22">
        <f t="shared" si="3"/>
        <v>8.0258178948627084</v>
      </c>
      <c r="AE22">
        <f t="shared" si="13"/>
        <v>0</v>
      </c>
      <c r="AF22">
        <f t="shared" si="14"/>
        <v>8.9175754387363426</v>
      </c>
      <c r="AG22">
        <f t="shared" si="15"/>
        <v>16.051635789725417</v>
      </c>
      <c r="AH22">
        <f t="shared" si="16"/>
        <v>0</v>
      </c>
      <c r="AI22">
        <f t="shared" si="17"/>
        <v>2.1120573407533443</v>
      </c>
      <c r="AJ22">
        <f t="shared" si="18"/>
        <v>0</v>
      </c>
      <c r="AK22">
        <f t="shared" si="19"/>
        <v>8.0258178948627084</v>
      </c>
      <c r="AL22">
        <f t="shared" si="20"/>
        <v>0</v>
      </c>
    </row>
    <row r="23" spans="1:38" x14ac:dyDescent="0.2">
      <c r="A23">
        <v>2040</v>
      </c>
      <c r="B23">
        <v>15</v>
      </c>
      <c r="C23">
        <f t="shared" si="21"/>
        <v>50.076640634541583</v>
      </c>
      <c r="D23">
        <f t="shared" si="23"/>
        <v>5.6021920765936848</v>
      </c>
      <c r="E23">
        <f t="shared" si="4"/>
        <v>5.6021920765936848</v>
      </c>
      <c r="F23">
        <f t="shared" si="5"/>
        <v>0</v>
      </c>
      <c r="G23" s="9">
        <f t="shared" si="6"/>
        <v>0.11187236215540856</v>
      </c>
      <c r="H23" s="9">
        <f t="shared" si="6"/>
        <v>0.11187236215540856</v>
      </c>
      <c r="I23" s="9">
        <f t="shared" si="6"/>
        <v>0</v>
      </c>
      <c r="J23" s="9">
        <f t="shared" si="7"/>
        <v>1.4543407080203114E-2</v>
      </c>
      <c r="K23" s="9">
        <f t="shared" si="8"/>
        <v>2.2374472431081715E-2</v>
      </c>
      <c r="L23" s="9">
        <f t="shared" si="9"/>
        <v>0</v>
      </c>
      <c r="M23">
        <f t="shared" si="0"/>
        <v>48.244212241247943</v>
      </c>
      <c r="N23">
        <f t="shared" si="10"/>
        <v>37.155212661208225</v>
      </c>
      <c r="O23">
        <f t="shared" si="24"/>
        <v>11.088999580039719</v>
      </c>
      <c r="P23">
        <f t="shared" si="22"/>
        <v>43.11409602741314</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5.1301162138348033</v>
      </c>
      <c r="AB23">
        <f t="shared" si="11"/>
        <v>1.1791643784398034</v>
      </c>
      <c r="AC23">
        <f t="shared" si="12"/>
        <v>3.9509518353950002</v>
      </c>
      <c r="AD23">
        <f t="shared" si="3"/>
        <v>8.622819205482628</v>
      </c>
      <c r="AE23">
        <f t="shared" si="13"/>
        <v>0</v>
      </c>
      <c r="AF23">
        <f t="shared" si="14"/>
        <v>9.5809102283140319</v>
      </c>
      <c r="AG23">
        <f t="shared" si="15"/>
        <v>17.245638410965256</v>
      </c>
      <c r="AH23">
        <f t="shared" si="16"/>
        <v>0</v>
      </c>
      <c r="AI23">
        <f t="shared" si="17"/>
        <v>2.2691629488112177</v>
      </c>
      <c r="AJ23">
        <f t="shared" si="18"/>
        <v>0</v>
      </c>
      <c r="AK23">
        <f t="shared" si="19"/>
        <v>8.622819205482628</v>
      </c>
      <c r="AL23">
        <f t="shared" si="20"/>
        <v>0</v>
      </c>
    </row>
    <row r="24" spans="1:38" x14ac:dyDescent="0.2">
      <c r="A24">
        <v>2041</v>
      </c>
      <c r="B24">
        <v>16</v>
      </c>
      <c r="C24">
        <f t="shared" si="21"/>
        <v>51.128250087866952</v>
      </c>
      <c r="D24">
        <f t="shared" si="23"/>
        <v>6.0939363596829708</v>
      </c>
      <c r="E24">
        <f t="shared" si="4"/>
        <v>6.0939363596829708</v>
      </c>
      <c r="F24">
        <f t="shared" si="5"/>
        <v>0</v>
      </c>
      <c r="G24" s="9">
        <f t="shared" si="6"/>
        <v>0.11918922218558579</v>
      </c>
      <c r="H24" s="9">
        <f t="shared" si="6"/>
        <v>0.11918922218558579</v>
      </c>
      <c r="I24" s="9">
        <f t="shared" si="6"/>
        <v>0</v>
      </c>
      <c r="J24" s="9">
        <f t="shared" si="7"/>
        <v>1.5494598884126154E-2</v>
      </c>
      <c r="K24" s="9">
        <f t="shared" si="8"/>
        <v>2.3837844437117159E-2</v>
      </c>
      <c r="L24" s="9">
        <f t="shared" si="9"/>
        <v>0</v>
      </c>
      <c r="M24">
        <f t="shared" si="0"/>
        <v>49.136135709075312</v>
      </c>
      <c r="N24">
        <f t="shared" si="10"/>
        <v>38.424619631093577</v>
      </c>
      <c r="O24">
        <f t="shared" si="24"/>
        <v>10.711516077981734</v>
      </c>
      <c r="P24">
        <f t="shared" si="22"/>
        <v>45.502012435678161</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3.6341232733971509</v>
      </c>
      <c r="AB24">
        <f t="shared" si="11"/>
        <v>0.7922269285244482</v>
      </c>
      <c r="AC24">
        <f t="shared" si="12"/>
        <v>2.841896344872703</v>
      </c>
      <c r="AD24">
        <f t="shared" si="3"/>
        <v>9.1004024871356322</v>
      </c>
      <c r="AE24">
        <f t="shared" si="13"/>
        <v>0</v>
      </c>
      <c r="AF24">
        <f t="shared" si="14"/>
        <v>10.111558319039592</v>
      </c>
      <c r="AG24">
        <f t="shared" si="15"/>
        <v>18.200804974271268</v>
      </c>
      <c r="AH24">
        <f t="shared" si="16"/>
        <v>0</v>
      </c>
      <c r="AI24">
        <f t="shared" si="17"/>
        <v>2.3948427597725348</v>
      </c>
      <c r="AJ24">
        <f t="shared" si="18"/>
        <v>0</v>
      </c>
      <c r="AK24">
        <f t="shared" si="19"/>
        <v>9.1004024871356322</v>
      </c>
      <c r="AL24">
        <f t="shared" si="20"/>
        <v>0</v>
      </c>
    </row>
    <row r="25" spans="1:38" x14ac:dyDescent="0.2">
      <c r="A25">
        <v>2042</v>
      </c>
      <c r="B25">
        <v>17</v>
      </c>
      <c r="C25">
        <f t="shared" si="21"/>
        <v>52.201943339712152</v>
      </c>
      <c r="D25">
        <f t="shared" si="23"/>
        <v>6.6019943595224149</v>
      </c>
      <c r="E25">
        <f t="shared" si="4"/>
        <v>6.6019943595224149</v>
      </c>
      <c r="F25">
        <f t="shared" si="5"/>
        <v>0</v>
      </c>
      <c r="G25" s="9">
        <f t="shared" si="6"/>
        <v>0.12647027940241465</v>
      </c>
      <c r="H25" s="9">
        <f t="shared" si="6"/>
        <v>0.12647027940241465</v>
      </c>
      <c r="I25" s="9">
        <f t="shared" si="6"/>
        <v>0</v>
      </c>
      <c r="J25" s="9">
        <f t="shared" si="7"/>
        <v>1.6441136322313903E-2</v>
      </c>
      <c r="K25" s="9">
        <f t="shared" si="8"/>
        <v>2.5294055880482932E-2</v>
      </c>
      <c r="L25" s="9">
        <f t="shared" si="9"/>
        <v>0</v>
      </c>
      <c r="M25">
        <f t="shared" si="0"/>
        <v>50.044994058922562</v>
      </c>
      <c r="N25">
        <f t="shared" si="10"/>
        <v>39.584463418298164</v>
      </c>
      <c r="O25">
        <f t="shared" si="24"/>
        <v>10.460530640624398</v>
      </c>
      <c r="P25">
        <f>IF($I$3=0,0,M25/(1+EXP(-$I$3*(B25-$J$3)))-M25/(1+EXP($I$3*$J$3)))</f>
        <v>47.438739806833006</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2.6062542520895562</v>
      </c>
      <c r="AB25">
        <f t="shared" si="11"/>
        <v>0.54476582471248636</v>
      </c>
      <c r="AC25">
        <f t="shared" si="12"/>
        <v>2.0614884273770699</v>
      </c>
      <c r="AD25">
        <f t="shared" si="3"/>
        <v>9.4877479613666029</v>
      </c>
      <c r="AE25">
        <f t="shared" si="13"/>
        <v>0</v>
      </c>
      <c r="AF25">
        <f t="shared" si="14"/>
        <v>10.541942179296225</v>
      </c>
      <c r="AG25">
        <f t="shared" si="15"/>
        <v>18.975495922733202</v>
      </c>
      <c r="AH25">
        <f t="shared" si="16"/>
        <v>0</v>
      </c>
      <c r="AI25">
        <f t="shared" si="17"/>
        <v>2.4967757793070007</v>
      </c>
      <c r="AJ25">
        <f t="shared" si="18"/>
        <v>0</v>
      </c>
      <c r="AK25">
        <f t="shared" si="19"/>
        <v>9.4877479613666029</v>
      </c>
      <c r="AL25">
        <f t="shared" si="20"/>
        <v>0</v>
      </c>
    </row>
    <row r="26" spans="1:38" x14ac:dyDescent="0.2">
      <c r="A26">
        <v>2043</v>
      </c>
      <c r="B26">
        <v>18</v>
      </c>
      <c r="C26">
        <f t="shared" si="21"/>
        <v>53.298184149846101</v>
      </c>
      <c r="D26">
        <f t="shared" si="23"/>
        <v>7.1266358273958801</v>
      </c>
      <c r="E26">
        <f t="shared" si="4"/>
        <v>7.1266358273958801</v>
      </c>
      <c r="F26">
        <f t="shared" si="5"/>
        <v>0</v>
      </c>
      <c r="G26" s="9">
        <f t="shared" si="6"/>
        <v>0.13371254464053742</v>
      </c>
      <c r="H26" s="9">
        <f t="shared" si="6"/>
        <v>0.13371254464053742</v>
      </c>
      <c r="I26" s="9">
        <f t="shared" si="6"/>
        <v>0</v>
      </c>
      <c r="J26" s="9">
        <f t="shared" si="7"/>
        <v>1.7382630803269863E-2</v>
      </c>
      <c r="K26" s="9">
        <f t="shared" si="8"/>
        <v>2.6742508928107485E-2</v>
      </c>
      <c r="L26" s="9">
        <f t="shared" si="9"/>
        <v>0</v>
      </c>
      <c r="M26">
        <f t="shared" si="0"/>
        <v>50.971170262696852</v>
      </c>
      <c r="N26">
        <f t="shared" si="10"/>
        <v>40.661444226865783</v>
      </c>
      <c r="O26">
        <f t="shared" si="24"/>
        <v>10.309726035831069</v>
      </c>
      <c r="P26">
        <f t="shared" si="22"/>
        <v>49.055473051124117</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1.9156972115727342</v>
      </c>
      <c r="AB26">
        <f t="shared" si="11"/>
        <v>0.38748008564705499</v>
      </c>
      <c r="AC26">
        <f t="shared" si="12"/>
        <v>1.5282171259256792</v>
      </c>
      <c r="AD26">
        <f t="shared" si="3"/>
        <v>9.811094610224826</v>
      </c>
      <c r="AE26">
        <f t="shared" si="13"/>
        <v>0</v>
      </c>
      <c r="AF26">
        <f t="shared" si="14"/>
        <v>10.90121623358314</v>
      </c>
      <c r="AG26">
        <f t="shared" si="15"/>
        <v>19.622189220449648</v>
      </c>
      <c r="AH26">
        <f t="shared" si="16"/>
        <v>0</v>
      </c>
      <c r="AI26">
        <f t="shared" si="17"/>
        <v>2.5818670026907435</v>
      </c>
      <c r="AJ26">
        <f t="shared" si="18"/>
        <v>0</v>
      </c>
      <c r="AK26">
        <f t="shared" si="19"/>
        <v>9.811094610224826</v>
      </c>
      <c r="AL26">
        <f t="shared" si="20"/>
        <v>0</v>
      </c>
    </row>
    <row r="27" spans="1:38" x14ac:dyDescent="0.2">
      <c r="A27">
        <v>2044</v>
      </c>
      <c r="B27">
        <v>19</v>
      </c>
      <c r="C27">
        <f t="shared" si="21"/>
        <v>54.417446016992862</v>
      </c>
      <c r="D27">
        <f t="shared" si="23"/>
        <v>7.6681307515946102</v>
      </c>
      <c r="E27">
        <f t="shared" si="4"/>
        <v>7.6681307515946102</v>
      </c>
      <c r="F27">
        <f t="shared" si="5"/>
        <v>0</v>
      </c>
      <c r="G27" s="9">
        <f t="shared" si="6"/>
        <v>0.14091309520847586</v>
      </c>
      <c r="H27" s="9">
        <f t="shared" si="6"/>
        <v>0.14091309520847586</v>
      </c>
      <c r="I27" s="9">
        <f t="shared" si="6"/>
        <v>0</v>
      </c>
      <c r="J27" s="9">
        <f t="shared" si="7"/>
        <v>1.8318702377101863E-2</v>
      </c>
      <c r="K27" s="9">
        <f t="shared" si="8"/>
        <v>2.8182619041695174E-2</v>
      </c>
      <c r="L27" s="9">
        <f t="shared" si="9"/>
        <v>0</v>
      </c>
      <c r="M27">
        <f t="shared" si="0"/>
        <v>51.915056909972073</v>
      </c>
      <c r="N27">
        <f t="shared" si="10"/>
        <v>41.677430763587616</v>
      </c>
      <c r="O27">
        <f t="shared" si="24"/>
        <v>10.237626146384457</v>
      </c>
      <c r="P27">
        <f t="shared" si="22"/>
        <v>50.455673993923966</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1.4593829160481064</v>
      </c>
      <c r="AB27">
        <f t="shared" si="11"/>
        <v>0.28778966234843961</v>
      </c>
      <c r="AC27">
        <f t="shared" si="12"/>
        <v>1.1715932536996669</v>
      </c>
      <c r="AD27">
        <f t="shared" si="3"/>
        <v>10.091134798784793</v>
      </c>
      <c r="AE27">
        <f t="shared" si="13"/>
        <v>0</v>
      </c>
      <c r="AF27">
        <f t="shared" si="14"/>
        <v>11.212371998649772</v>
      </c>
      <c r="AG27">
        <f t="shared" si="15"/>
        <v>20.182269597569586</v>
      </c>
      <c r="AH27">
        <f t="shared" si="16"/>
        <v>0</v>
      </c>
      <c r="AI27">
        <f t="shared" si="17"/>
        <v>2.655561789153893</v>
      </c>
      <c r="AJ27">
        <f t="shared" si="18"/>
        <v>0</v>
      </c>
      <c r="AK27">
        <f t="shared" si="19"/>
        <v>10.091134798784793</v>
      </c>
      <c r="AL27">
        <f t="shared" si="20"/>
        <v>0</v>
      </c>
    </row>
    <row r="28" spans="1:38" x14ac:dyDescent="0.2">
      <c r="A28">
        <v>2045</v>
      </c>
      <c r="B28">
        <v>20</v>
      </c>
      <c r="C28">
        <f t="shared" si="21"/>
        <v>55.560212383349707</v>
      </c>
      <c r="D28">
        <f t="shared" si="23"/>
        <v>8.2267494929245473</v>
      </c>
      <c r="E28">
        <f t="shared" si="4"/>
        <v>8.2267494929245473</v>
      </c>
      <c r="F28">
        <f t="shared" si="5"/>
        <v>0</v>
      </c>
      <c r="G28" s="9">
        <f t="shared" si="6"/>
        <v>0.14806907929297156</v>
      </c>
      <c r="H28" s="9">
        <f t="shared" si="6"/>
        <v>0.14806907929297156</v>
      </c>
      <c r="I28" s="9">
        <f t="shared" si="6"/>
        <v>0</v>
      </c>
      <c r="J28" s="9">
        <f t="shared" si="7"/>
        <v>1.9248980308086302E-2</v>
      </c>
      <c r="K28" s="9">
        <f t="shared" si="8"/>
        <v>2.9613815858594312E-2</v>
      </c>
      <c r="L28" s="9">
        <f t="shared" si="9"/>
        <v>0</v>
      </c>
      <c r="M28">
        <f t="shared" si="0"/>
        <v>52.877056358482378</v>
      </c>
      <c r="N28">
        <f t="shared" si="10"/>
        <v>42.649974470262713</v>
      </c>
      <c r="O28">
        <f t="shared" si="24"/>
        <v>10.227081888219665</v>
      </c>
      <c r="P28">
        <f t="shared" si="22"/>
        <v>51.7151419891118</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1.161914369370578</v>
      </c>
      <c r="AB28">
        <f t="shared" si="11"/>
        <v>0.22472872396849639</v>
      </c>
      <c r="AC28">
        <f t="shared" si="12"/>
        <v>0.9371856454020816</v>
      </c>
      <c r="AD28">
        <f t="shared" si="3"/>
        <v>10.34302839782236</v>
      </c>
      <c r="AE28">
        <f t="shared" si="13"/>
        <v>0</v>
      </c>
      <c r="AF28">
        <f t="shared" si="14"/>
        <v>11.492253775358179</v>
      </c>
      <c r="AG28">
        <f t="shared" si="15"/>
        <v>20.686056795644724</v>
      </c>
      <c r="AH28">
        <f t="shared" si="16"/>
        <v>0</v>
      </c>
      <c r="AI28">
        <f t="shared" si="17"/>
        <v>2.7218495783743051</v>
      </c>
      <c r="AJ28">
        <f t="shared" si="18"/>
        <v>0</v>
      </c>
      <c r="AK28">
        <f t="shared" si="19"/>
        <v>10.34302839782236</v>
      </c>
      <c r="AL28">
        <f t="shared" si="20"/>
        <v>0</v>
      </c>
    </row>
    <row r="29" spans="1:38" x14ac:dyDescent="0.2">
      <c r="A29">
        <v>2046</v>
      </c>
      <c r="B29">
        <v>21</v>
      </c>
      <c r="C29">
        <f t="shared" si="21"/>
        <v>56.726976843400045</v>
      </c>
      <c r="D29">
        <f t="shared" si="23"/>
        <v>8.8027629354616792</v>
      </c>
      <c r="E29">
        <f t="shared" si="4"/>
        <v>8.8027629354616792</v>
      </c>
      <c r="F29">
        <f t="shared" si="5"/>
        <v>0</v>
      </c>
      <c r="G29" s="9">
        <f t="shared" si="6"/>
        <v>0.15517772011299849</v>
      </c>
      <c r="H29" s="9">
        <f t="shared" si="6"/>
        <v>0.15517772011299849</v>
      </c>
      <c r="I29" s="9">
        <f t="shared" si="6"/>
        <v>0</v>
      </c>
      <c r="J29" s="9">
        <f t="shared" si="7"/>
        <v>2.0173103614689804E-2</v>
      </c>
      <c r="K29" s="9">
        <f t="shared" si="8"/>
        <v>3.1035544022599698E-2</v>
      </c>
      <c r="L29" s="9">
        <f t="shared" si="9"/>
        <v>0</v>
      </c>
      <c r="M29">
        <f t="shared" si="0"/>
        <v>53.857580884456212</v>
      </c>
      <c r="N29">
        <f t="shared" si="10"/>
        <v>43.592967144559644</v>
      </c>
      <c r="O29">
        <f t="shared" si="24"/>
        <v>10.264613739896568</v>
      </c>
      <c r="P29">
        <f t="shared" si="22"/>
        <v>52.887038743948139</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0.97054214050807275</v>
      </c>
      <c r="AB29">
        <f t="shared" si="11"/>
        <v>0.18497377763736475</v>
      </c>
      <c r="AC29">
        <f t="shared" si="12"/>
        <v>0.78556836287070808</v>
      </c>
      <c r="AD29">
        <f t="shared" si="3"/>
        <v>10.577407748789629</v>
      </c>
      <c r="AE29">
        <f t="shared" si="13"/>
        <v>0</v>
      </c>
      <c r="AF29">
        <f t="shared" si="14"/>
        <v>11.752675276432921</v>
      </c>
      <c r="AG29">
        <f t="shared" si="15"/>
        <v>21.154815497579261</v>
      </c>
      <c r="AH29">
        <f t="shared" si="16"/>
        <v>0</v>
      </c>
      <c r="AI29">
        <f t="shared" si="17"/>
        <v>2.7835283549446386</v>
      </c>
      <c r="AJ29">
        <f t="shared" si="18"/>
        <v>0</v>
      </c>
      <c r="AK29">
        <f t="shared" si="19"/>
        <v>10.577407748789629</v>
      </c>
      <c r="AL29">
        <f t="shared" si="20"/>
        <v>0</v>
      </c>
    </row>
    <row r="30" spans="1:38" x14ac:dyDescent="0.2">
      <c r="A30">
        <v>2047</v>
      </c>
      <c r="B30">
        <v>22</v>
      </c>
      <c r="C30">
        <f t="shared" si="21"/>
        <v>57.918243357111443</v>
      </c>
      <c r="D30">
        <f t="shared" si="23"/>
        <v>9.3964426522439339</v>
      </c>
      <c r="E30">
        <f t="shared" si="4"/>
        <v>9.3964426522439339</v>
      </c>
      <c r="F30">
        <f t="shared" si="5"/>
        <v>0</v>
      </c>
      <c r="G30" s="9">
        <f t="shared" si="6"/>
        <v>0.16223631981217881</v>
      </c>
      <c r="H30" s="9">
        <f t="shared" si="6"/>
        <v>0.16223631981217881</v>
      </c>
      <c r="I30" s="9">
        <f t="shared" si="6"/>
        <v>0</v>
      </c>
      <c r="J30" s="9">
        <f t="shared" si="7"/>
        <v>2.1090721575583248E-2</v>
      </c>
      <c r="K30" s="9">
        <f t="shared" si="8"/>
        <v>3.2447263962435767E-2</v>
      </c>
      <c r="L30" s="9">
        <f t="shared" si="9"/>
        <v>0</v>
      </c>
      <c r="M30">
        <f t="shared" si="0"/>
        <v>54.857052833026827</v>
      </c>
      <c r="N30">
        <f t="shared" si="10"/>
        <v>44.517303384907457</v>
      </c>
      <c r="O30">
        <f t="shared" si="24"/>
        <v>10.33974944811937</v>
      </c>
      <c r="P30">
        <f t="shared" si="22"/>
        <v>54.007689246325469</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0.84936358670135803</v>
      </c>
      <c r="AB30">
        <f t="shared" si="11"/>
        <v>0.16009257193563098</v>
      </c>
      <c r="AC30">
        <f t="shared" si="12"/>
        <v>0.68927101476572705</v>
      </c>
      <c r="AD30">
        <f t="shared" si="3"/>
        <v>10.801537849265095</v>
      </c>
      <c r="AE30">
        <f t="shared" si="13"/>
        <v>0</v>
      </c>
      <c r="AF30">
        <f t="shared" si="14"/>
        <v>12.001708721405663</v>
      </c>
      <c r="AG30">
        <f t="shared" si="15"/>
        <v>21.603075698530191</v>
      </c>
      <c r="AH30">
        <f t="shared" si="16"/>
        <v>0</v>
      </c>
      <c r="AI30">
        <f t="shared" si="17"/>
        <v>2.8425099603329196</v>
      </c>
      <c r="AJ30">
        <f t="shared" si="18"/>
        <v>0</v>
      </c>
      <c r="AK30">
        <f t="shared" si="19"/>
        <v>10.801537849265095</v>
      </c>
      <c r="AL30">
        <f t="shared" si="20"/>
        <v>0</v>
      </c>
    </row>
    <row r="31" spans="1:38" x14ac:dyDescent="0.2">
      <c r="A31">
        <v>2048</v>
      </c>
      <c r="B31">
        <v>23</v>
      </c>
      <c r="C31">
        <f t="shared" si="21"/>
        <v>59.134526467610776</v>
      </c>
      <c r="D31">
        <f t="shared" si="23"/>
        <v>10.008061085533804</v>
      </c>
      <c r="E31">
        <f t="shared" si="4"/>
        <v>10.008061085533804</v>
      </c>
      <c r="F31">
        <f t="shared" si="5"/>
        <v>0</v>
      </c>
      <c r="G31" s="9">
        <f t="shared" si="6"/>
        <v>0.16924226307985116</v>
      </c>
      <c r="H31" s="9">
        <f t="shared" si="6"/>
        <v>0.16924226307985116</v>
      </c>
      <c r="I31" s="9">
        <f t="shared" si="6"/>
        <v>0</v>
      </c>
      <c r="J31" s="9">
        <f t="shared" si="7"/>
        <v>2.2001494200380649E-2</v>
      </c>
      <c r="K31" s="9">
        <f t="shared" si="8"/>
        <v>3.3848452615970234E-2</v>
      </c>
      <c r="L31" s="9">
        <f t="shared" si="9"/>
        <v>0</v>
      </c>
      <c r="M31">
        <f t="shared" si="0"/>
        <v>55.875904768970706</v>
      </c>
      <c r="N31">
        <f t="shared" si="10"/>
        <v>45.431480242381113</v>
      </c>
      <c r="O31">
        <f t="shared" si="24"/>
        <v>10.444424526589593</v>
      </c>
      <c r="P31">
        <f t="shared" si="22"/>
        <v>55.101544531605825</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0.77436023736488124</v>
      </c>
      <c r="AB31">
        <f t="shared" si="11"/>
        <v>0.14474480706826665</v>
      </c>
      <c r="AC31">
        <f t="shared" si="12"/>
        <v>0.6296154302966146</v>
      </c>
      <c r="AD31">
        <f t="shared" si="3"/>
        <v>11.020308906321166</v>
      </c>
      <c r="AE31">
        <f t="shared" si="13"/>
        <v>0</v>
      </c>
      <c r="AF31">
        <f t="shared" si="14"/>
        <v>12.244787673690183</v>
      </c>
      <c r="AG31">
        <f t="shared" si="15"/>
        <v>22.040617812642331</v>
      </c>
      <c r="AH31">
        <f t="shared" si="16"/>
        <v>0</v>
      </c>
      <c r="AI31">
        <f t="shared" si="17"/>
        <v>2.9000812911371483</v>
      </c>
      <c r="AJ31">
        <f t="shared" si="18"/>
        <v>0</v>
      </c>
      <c r="AK31">
        <f t="shared" si="19"/>
        <v>11.020308906321166</v>
      </c>
      <c r="AL31">
        <f t="shared" si="20"/>
        <v>0</v>
      </c>
    </row>
    <row r="32" spans="1:38" x14ac:dyDescent="0.2">
      <c r="A32">
        <v>2049</v>
      </c>
      <c r="B32">
        <v>24</v>
      </c>
      <c r="C32">
        <f t="shared" si="21"/>
        <v>60.3763515234306</v>
      </c>
      <c r="D32">
        <f t="shared" si="23"/>
        <v>10.637891741235713</v>
      </c>
      <c r="E32">
        <f t="shared" si="4"/>
        <v>10.637891741235713</v>
      </c>
      <c r="F32">
        <f t="shared" si="5"/>
        <v>0</v>
      </c>
      <c r="G32" s="9">
        <f t="shared" si="6"/>
        <v>0.17619302049259145</v>
      </c>
      <c r="H32" s="9">
        <f t="shared" si="6"/>
        <v>0.17619302049259145</v>
      </c>
      <c r="I32" s="9">
        <f t="shared" si="6"/>
        <v>0</v>
      </c>
      <c r="J32" s="9">
        <f t="shared" si="7"/>
        <v>2.290509266403689E-2</v>
      </c>
      <c r="K32" s="9">
        <f t="shared" si="8"/>
        <v>3.5238604098518291E-2</v>
      </c>
      <c r="L32" s="9">
        <f t="shared" si="9"/>
        <v>0</v>
      </c>
      <c r="M32">
        <f t="shared" si="0"/>
        <v>56.914579628039412</v>
      </c>
      <c r="N32">
        <f t="shared" si="10"/>
        <v>46.342108471133798</v>
      </c>
      <c r="O32">
        <f t="shared" si="24"/>
        <v>10.572471156905614</v>
      </c>
      <c r="P32">
        <f t="shared" si="22"/>
        <v>56.184941457425971</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0.72963817061344116</v>
      </c>
      <c r="AB32">
        <f t="shared" si="11"/>
        <v>0.13553782816639803</v>
      </c>
      <c r="AC32">
        <f t="shared" si="12"/>
        <v>0.59410034244704313</v>
      </c>
      <c r="AD32">
        <f t="shared" si="3"/>
        <v>11.236988291485195</v>
      </c>
      <c r="AE32">
        <f t="shared" si="13"/>
        <v>0</v>
      </c>
      <c r="AF32">
        <f t="shared" si="14"/>
        <v>12.485542546094663</v>
      </c>
      <c r="AG32">
        <f t="shared" si="15"/>
        <v>22.473976582970391</v>
      </c>
      <c r="AH32">
        <f t="shared" si="16"/>
        <v>0</v>
      </c>
      <c r="AI32">
        <f t="shared" si="17"/>
        <v>2.957102181969788</v>
      </c>
      <c r="AJ32">
        <f t="shared" si="18"/>
        <v>0</v>
      </c>
      <c r="AK32">
        <f t="shared" si="19"/>
        <v>11.236988291485195</v>
      </c>
      <c r="AL32">
        <f t="shared" si="20"/>
        <v>0</v>
      </c>
    </row>
    <row r="33" spans="1:38" x14ac:dyDescent="0.2">
      <c r="A33">
        <v>2050</v>
      </c>
      <c r="B33">
        <v>25</v>
      </c>
      <c r="C33">
        <f t="shared" si="21"/>
        <v>61.644254905422635</v>
      </c>
      <c r="D33">
        <f t="shared" si="23"/>
        <v>11.286209397005873</v>
      </c>
      <c r="E33">
        <f t="shared" si="4"/>
        <v>11.286209397005873</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57.973530869162651</v>
      </c>
      <c r="N33">
        <f t="shared" si="10"/>
        <v>47.254332438552723</v>
      </c>
      <c r="O33">
        <f t="shared" si="24"/>
        <v>10.719198430609929</v>
      </c>
      <c r="P33">
        <f t="shared" si="22"/>
        <v>57.268778371957239</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0.704752497205412</v>
      </c>
      <c r="AB33">
        <f t="shared" si="11"/>
        <v>0.13030743080082113</v>
      </c>
      <c r="AC33">
        <f t="shared" si="12"/>
        <v>0.57444506640459081</v>
      </c>
      <c r="AD33">
        <f t="shared" si="3"/>
        <v>11.453755674391449</v>
      </c>
      <c r="AE33">
        <f t="shared" si="13"/>
        <v>0</v>
      </c>
      <c r="AF33">
        <f t="shared" si="14"/>
        <v>12.726395193768276</v>
      </c>
      <c r="AG33">
        <f t="shared" si="15"/>
        <v>22.907511348782897</v>
      </c>
      <c r="AH33">
        <f t="shared" si="16"/>
        <v>0</v>
      </c>
      <c r="AI33">
        <f t="shared" si="17"/>
        <v>3.0141462301030124</v>
      </c>
      <c r="AJ33">
        <f t="shared" si="18"/>
        <v>0</v>
      </c>
      <c r="AK33">
        <f t="shared" si="19"/>
        <v>11.453755674391449</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6B11D-C000-D84D-A44C-A3A309F27EB5}">
  <sheetPr>
    <tabColor theme="4" tint="0.79998168889431442"/>
  </sheetPr>
  <dimension ref="A1:AY37"/>
  <sheetViews>
    <sheetView topLeftCell="F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emissions!N35</f>
        <v>36.664777637605233</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36.664777637605233</v>
      </c>
      <c r="N8">
        <f>IF($N$7="LFO",M8/(1+EXP(-$I$4*(B8-$J$4)))-M8/(1+EXP($I$4*$J$4)),IF($N$7="MGO",M8/(1+EXP(-$I$5*(B8-$J$5)))-M8/(1+EXP($I$5*$J$5)),0))</f>
        <v>0</v>
      </c>
      <c r="O8">
        <f>M8-N8</f>
        <v>36.664777637605233</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36.664777637605233</v>
      </c>
      <c r="AB8">
        <f>O8/M8*AA8</f>
        <v>36.664777637605233</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37.434737967994941</v>
      </c>
      <c r="D9">
        <f>IF($E$2=0,0,C9/(1+EXP(-$E$2*(B9-$G$2)))-C9/(1+EXP($E$2*$G$2)))</f>
        <v>0.27948002635966063</v>
      </c>
      <c r="E9">
        <f t="shared" ref="E9:E33" si="4">IF($E$3=0,0,C9/(1+EXP(-$E$3*(B9-$G$3)))-C9/(1+EXP($E$3*$G$3)))</f>
        <v>0.27948002635966063</v>
      </c>
      <c r="F9">
        <f t="shared" ref="F9:F33" si="5">IF($E$4=0,0,C9/(1+EXP(-$E$4*(B9-$G$4)))-C9/(1+EXP($E$4*$G$4)))</f>
        <v>0</v>
      </c>
      <c r="G9" s="9">
        <f t="shared" ref="G9:I33" si="6">D9/$C9</f>
        <v>7.465793579177816E-3</v>
      </c>
      <c r="H9" s="9">
        <f t="shared" si="6"/>
        <v>7.465793579177816E-3</v>
      </c>
      <c r="I9" s="9">
        <f t="shared" si="6"/>
        <v>0</v>
      </c>
      <c r="J9" s="9">
        <f t="shared" ref="J9:J33" si="7">G9*$F$2</f>
        <v>9.7055316529311608E-4</v>
      </c>
      <c r="K9" s="9">
        <f t="shared" ref="K9:K33" si="8">H9*$F$3</f>
        <v>1.4931587158355632E-3</v>
      </c>
      <c r="L9" s="9">
        <f t="shared" ref="L9:L33" si="9">I9*$F$4</f>
        <v>0</v>
      </c>
      <c r="M9">
        <f t="shared" si="0"/>
        <v>37.342563809341101</v>
      </c>
      <c r="N9">
        <f t="shared" ref="N9:N33" si="10">IF($N$7="LFO",M9/(1+EXP(-$I$4*(B9-$J$4)))-M9/(1+EXP($I$4*$J$4)),IF($N$7="MGO",M9/(1+EXP(-$I$5*(B9-$J$5)))-M9/(1+EXP($I$5*$J$5)),0))</f>
        <v>1.831641279277644</v>
      </c>
      <c r="O9">
        <f>M9-N9</f>
        <v>35.510922530063453</v>
      </c>
      <c r="P9">
        <f>IF($I$3=0,0,M9/(1+EXP(-$I$3*(B9-$J$3)))-M9/(1+EXP($I$3*$J$3)))</f>
        <v>0.22917470051335015</v>
      </c>
      <c r="Q9" s="9">
        <f t="shared" si="1"/>
        <v>6.1370906851345589E-3</v>
      </c>
      <c r="R9">
        <f>VLOOKUP($B$1,dictionary!$A$3:$K$51,3,FALSE)*Q9</f>
        <v>1.2274181370269118E-3</v>
      </c>
      <c r="S9">
        <f>VLOOKUP($B$1,dictionary!$A$3:$K$51,4,FALSE)*Q9</f>
        <v>0</v>
      </c>
      <c r="T9">
        <f>VLOOKUP($B$1,dictionary!$A$3:$K$51,5,FALSE)*Q9</f>
        <v>1.2274181370269118E-3</v>
      </c>
      <c r="U9">
        <f>VLOOKUP($B$1,dictionary!$A$3:$K$51,6,FALSE)*Q9</f>
        <v>2.1479817397970953E-3</v>
      </c>
      <c r="V9">
        <f>VLOOKUP($B$1,dictionary!$A$3:$K$51,7,FALSE)*Q9</f>
        <v>0</v>
      </c>
      <c r="W9">
        <f>VLOOKUP($B$1,dictionary!$A$3:$K$51,8,FALSE)*Q9</f>
        <v>3.0685453425672796E-4</v>
      </c>
      <c r="X9">
        <f>VLOOKUP($B$1,dictionary!$A$3:$K$51,9,FALSE)*Q9</f>
        <v>0</v>
      </c>
      <c r="Y9">
        <f>VLOOKUP($B$1,dictionary!$A$3:$K$51,10,FALSE)*Q9</f>
        <v>1.2274181370269118E-3</v>
      </c>
      <c r="Z9">
        <f>VLOOKUP($B$1,dictionary!$A$3:$K$51,11,FALSE)*Q9</f>
        <v>0</v>
      </c>
      <c r="AA9">
        <f t="shared" si="2"/>
        <v>37.113389108827754</v>
      </c>
      <c r="AB9">
        <f t="shared" ref="AB9:AB33" si="11">O9/M9*AA9</f>
        <v>35.29298877818367</v>
      </c>
      <c r="AC9">
        <f t="shared" ref="AC9:AC33" si="12">N9/M9*AA9</f>
        <v>1.8204003306440815</v>
      </c>
      <c r="AD9">
        <f t="shared" si="3"/>
        <v>4.583494010267003E-2</v>
      </c>
      <c r="AE9">
        <f t="shared" ref="AE9:AE33" si="13">S9*$O9*$AE$2+S9*$N9*$AE$3</f>
        <v>0</v>
      </c>
      <c r="AF9">
        <f t="shared" ref="AF9:AF33" si="14">T9*$O9*$AF$2+T9*$N9*$AF$3</f>
        <v>5.0927711225188924E-2</v>
      </c>
      <c r="AG9">
        <f t="shared" ref="AG9:AG33" si="15">U9*$O9*$AG$2+U9*$N9*$AG$3</f>
        <v>9.1669880205340046E-2</v>
      </c>
      <c r="AH9">
        <f t="shared" ref="AH9:AH33" si="16">V9*$O9*$AH$2+V9*$N9*$AH$3</f>
        <v>0</v>
      </c>
      <c r="AI9">
        <f t="shared" ref="AI9:AI33" si="17">W9*$O9*$AI$2+W9*$N9*$AI$3</f>
        <v>1.2061826342807901E-2</v>
      </c>
      <c r="AJ9">
        <f t="shared" ref="AJ9:AJ33" si="18">X9*$O9*$AJ$2+X9*$N9*$AJ$3</f>
        <v>0</v>
      </c>
      <c r="AK9">
        <f t="shared" ref="AK9:AK33" si="19">Y9*$O9*$AK$2+Y9*$N9*$AK$3</f>
        <v>4.583494010267003E-2</v>
      </c>
      <c r="AL9">
        <f t="shared" ref="AL9:AL33" si="20">Z9*$O9*$AL$2+Z9*$N9*$AL$3</f>
        <v>0</v>
      </c>
    </row>
    <row r="10" spans="1:51" x14ac:dyDescent="0.2">
      <c r="A10">
        <v>2027</v>
      </c>
      <c r="B10">
        <v>2</v>
      </c>
      <c r="C10">
        <f t="shared" ref="C10:C33" si="21">C9*(1+$I$2)</f>
        <v>38.220867465322833</v>
      </c>
      <c r="D10">
        <f>IF($E$2=0,0,C10/(1+EXP(-$E$2*(B10-$G$2)))-C10/(1+EXP($E$2*$G$2)))</f>
        <v>0.57121164978258676</v>
      </c>
      <c r="E10">
        <f t="shared" si="4"/>
        <v>0.57121164978258676</v>
      </c>
      <c r="F10">
        <f t="shared" si="5"/>
        <v>0</v>
      </c>
      <c r="G10" s="9">
        <f t="shared" si="6"/>
        <v>1.4945020551949474E-2</v>
      </c>
      <c r="H10" s="9">
        <f t="shared" si="6"/>
        <v>1.4945020551949474E-2</v>
      </c>
      <c r="I10" s="9">
        <f t="shared" si="6"/>
        <v>0</v>
      </c>
      <c r="J10" s="9">
        <f t="shared" si="7"/>
        <v>1.9428526717534316E-3</v>
      </c>
      <c r="K10" s="9">
        <f t="shared" si="8"/>
        <v>2.9890041103898951E-3</v>
      </c>
      <c r="L10" s="9">
        <f t="shared" si="9"/>
        <v>0</v>
      </c>
      <c r="M10">
        <f t="shared" si="0"/>
        <v>38.03258957691056</v>
      </c>
      <c r="N10">
        <f t="shared" si="10"/>
        <v>4.05522385838501</v>
      </c>
      <c r="O10">
        <f>M10-N10</f>
        <v>33.977365718525547</v>
      </c>
      <c r="P10">
        <f t="shared" ref="P10:P33" si="22">IF($I$3=0,0,M10/(1+EXP(-$I$3*(B10-$J$3)))-M10/(1+EXP($I$3*$J$3)))</f>
        <v>0.59369066091425293</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37.438898915996305</v>
      </c>
      <c r="AB10">
        <f t="shared" si="11"/>
        <v>33.446977308639219</v>
      </c>
      <c r="AC10">
        <f t="shared" si="12"/>
        <v>3.9919216073570789</v>
      </c>
      <c r="AD10">
        <f t="shared" si="3"/>
        <v>0.11873813218285058</v>
      </c>
      <c r="AE10">
        <f t="shared" si="13"/>
        <v>0</v>
      </c>
      <c r="AF10">
        <f t="shared" si="14"/>
        <v>0.13193125798094507</v>
      </c>
      <c r="AG10">
        <f t="shared" si="15"/>
        <v>0.23747626436570118</v>
      </c>
      <c r="AH10">
        <f t="shared" si="16"/>
        <v>0</v>
      </c>
      <c r="AI10">
        <f t="shared" si="17"/>
        <v>3.1246876890223832E-2</v>
      </c>
      <c r="AJ10">
        <f t="shared" si="18"/>
        <v>0</v>
      </c>
      <c r="AK10">
        <f t="shared" si="19"/>
        <v>0.11873813218285058</v>
      </c>
      <c r="AL10">
        <f t="shared" si="20"/>
        <v>0</v>
      </c>
    </row>
    <row r="11" spans="1:51" x14ac:dyDescent="0.2">
      <c r="A11">
        <v>2028</v>
      </c>
      <c r="B11">
        <v>3</v>
      </c>
      <c r="C11">
        <f t="shared" si="21"/>
        <v>39.023505682094608</v>
      </c>
      <c r="D11">
        <f t="shared" ref="D11:D33" si="23">IF($E$2=0,0,C11/(1+EXP(-$E$2*(B11-$G$2)))-C11/(1+EXP($E$2*$G$2)))</f>
        <v>0.87546673980082446</v>
      </c>
      <c r="E11">
        <f t="shared" si="4"/>
        <v>0.87546673980082446</v>
      </c>
      <c r="F11">
        <f t="shared" si="5"/>
        <v>0</v>
      </c>
      <c r="G11" s="9">
        <f t="shared" si="6"/>
        <v>2.2434343724339459E-2</v>
      </c>
      <c r="H11" s="9">
        <f t="shared" si="6"/>
        <v>2.2434343724339459E-2</v>
      </c>
      <c r="I11" s="9">
        <f t="shared" si="6"/>
        <v>0</v>
      </c>
      <c r="J11" s="9">
        <f t="shared" si="7"/>
        <v>2.9164646841641296E-3</v>
      </c>
      <c r="K11" s="9">
        <f t="shared" si="8"/>
        <v>4.486868744867892E-3</v>
      </c>
      <c r="L11" s="9">
        <f t="shared" si="9"/>
        <v>0</v>
      </c>
      <c r="M11">
        <f t="shared" si="0"/>
        <v>38.735112311526088</v>
      </c>
      <c r="N11">
        <f t="shared" si="10"/>
        <v>6.6592696220966312</v>
      </c>
      <c r="O11">
        <f t="shared" ref="O11:O33" si="24">M11-N11</f>
        <v>32.075842689429457</v>
      </c>
      <c r="P11">
        <f t="shared" si="22"/>
        <v>1.1660948193628551</v>
      </c>
      <c r="Q11" s="9">
        <f t="shared" si="1"/>
        <v>3.010433556987183E-2</v>
      </c>
      <c r="R11">
        <f>VLOOKUP($B$1,dictionary!$A$3:$K$51,3,FALSE)*Q11</f>
        <v>6.0208671139743665E-3</v>
      </c>
      <c r="S11">
        <f>VLOOKUP($B$1,dictionary!$A$3:$K$51,4,FALSE)*Q11</f>
        <v>0</v>
      </c>
      <c r="T11">
        <f>VLOOKUP($B$1,dictionary!$A$3:$K$51,5,FALSE)*Q11</f>
        <v>6.0208671139743665E-3</v>
      </c>
      <c r="U11">
        <f>VLOOKUP($B$1,dictionary!$A$3:$K$51,6,FALSE)*Q11</f>
        <v>1.053651744945514E-2</v>
      </c>
      <c r="V11">
        <f>VLOOKUP($B$1,dictionary!$A$3:$K$51,7,FALSE)*Q11</f>
        <v>0</v>
      </c>
      <c r="W11">
        <f>VLOOKUP($B$1,dictionary!$A$3:$K$51,8,FALSE)*Q11</f>
        <v>1.5052167784935916E-3</v>
      </c>
      <c r="X11">
        <f>VLOOKUP($B$1,dictionary!$A$3:$K$51,9,FALSE)*Q11</f>
        <v>0</v>
      </c>
      <c r="Y11">
        <f>VLOOKUP($B$1,dictionary!$A$3:$K$51,10,FALSE)*Q11</f>
        <v>6.0208671139743665E-3</v>
      </c>
      <c r="Z11">
        <f>VLOOKUP($B$1,dictionary!$A$3:$K$51,11,FALSE)*Q11</f>
        <v>0</v>
      </c>
      <c r="AA11">
        <f t="shared" si="2"/>
        <v>37.569017492163233</v>
      </c>
      <c r="AB11">
        <f t="shared" si="11"/>
        <v>31.110220757420453</v>
      </c>
      <c r="AC11">
        <f t="shared" si="12"/>
        <v>6.4587967347427808</v>
      </c>
      <c r="AD11">
        <f t="shared" si="3"/>
        <v>0.23321896387257102</v>
      </c>
      <c r="AE11">
        <f t="shared" si="13"/>
        <v>0</v>
      </c>
      <c r="AF11">
        <f t="shared" si="14"/>
        <v>0.25913218208063449</v>
      </c>
      <c r="AG11">
        <f t="shared" si="15"/>
        <v>0.46643792774514203</v>
      </c>
      <c r="AH11">
        <f t="shared" si="16"/>
        <v>0</v>
      </c>
      <c r="AI11">
        <f t="shared" si="17"/>
        <v>6.1373411545413425E-2</v>
      </c>
      <c r="AJ11">
        <f t="shared" si="18"/>
        <v>0</v>
      </c>
      <c r="AK11">
        <f t="shared" si="19"/>
        <v>0.23321896387257102</v>
      </c>
      <c r="AL11">
        <f t="shared" si="20"/>
        <v>0</v>
      </c>
    </row>
    <row r="12" spans="1:51" x14ac:dyDescent="0.2">
      <c r="A12">
        <v>2029</v>
      </c>
      <c r="B12">
        <v>4</v>
      </c>
      <c r="C12">
        <f t="shared" si="21"/>
        <v>39.842999301418594</v>
      </c>
      <c r="D12">
        <f t="shared" si="23"/>
        <v>1.1925172167928189</v>
      </c>
      <c r="E12">
        <f t="shared" si="4"/>
        <v>1.1925172167928189</v>
      </c>
      <c r="F12">
        <f t="shared" si="5"/>
        <v>0</v>
      </c>
      <c r="G12" s="9">
        <f t="shared" si="6"/>
        <v>2.9930407793129162E-2</v>
      </c>
      <c r="H12" s="9">
        <f t="shared" si="6"/>
        <v>2.9930407793129162E-2</v>
      </c>
      <c r="I12" s="9">
        <f t="shared" si="6"/>
        <v>0</v>
      </c>
      <c r="J12" s="9">
        <f t="shared" si="7"/>
        <v>3.8909530131067912E-3</v>
      </c>
      <c r="K12" s="9">
        <f t="shared" si="8"/>
        <v>5.986081558625833E-3</v>
      </c>
      <c r="L12" s="9">
        <f t="shared" si="9"/>
        <v>0</v>
      </c>
      <c r="M12">
        <f t="shared" si="0"/>
        <v>39.450396625568537</v>
      </c>
      <c r="N12">
        <f t="shared" si="10"/>
        <v>9.5916522299709115</v>
      </c>
      <c r="O12">
        <f t="shared" si="24"/>
        <v>29.858744395597625</v>
      </c>
      <c r="P12">
        <f t="shared" si="22"/>
        <v>2.0508846288123914</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37.399511996756146</v>
      </c>
      <c r="AB12">
        <f t="shared" si="11"/>
        <v>28.306495365054783</v>
      </c>
      <c r="AC12">
        <f t="shared" si="12"/>
        <v>9.0930166317013601</v>
      </c>
      <c r="AD12">
        <f t="shared" si="3"/>
        <v>0.41017692576247827</v>
      </c>
      <c r="AE12">
        <f t="shared" si="13"/>
        <v>0</v>
      </c>
      <c r="AF12">
        <f t="shared" si="14"/>
        <v>0.45575213973608697</v>
      </c>
      <c r="AG12">
        <f t="shared" si="15"/>
        <v>0.82035385152495666</v>
      </c>
      <c r="AH12">
        <f t="shared" si="16"/>
        <v>0</v>
      </c>
      <c r="AI12">
        <f t="shared" si="17"/>
        <v>0.10794129625328375</v>
      </c>
      <c r="AJ12">
        <f t="shared" si="18"/>
        <v>0</v>
      </c>
      <c r="AK12">
        <f t="shared" si="19"/>
        <v>0.41017692576247827</v>
      </c>
      <c r="AL12">
        <f t="shared" si="20"/>
        <v>0</v>
      </c>
    </row>
    <row r="13" spans="1:51" x14ac:dyDescent="0.2">
      <c r="A13">
        <v>2030</v>
      </c>
      <c r="B13">
        <v>5</v>
      </c>
      <c r="C13">
        <f t="shared" si="21"/>
        <v>40.67970228674838</v>
      </c>
      <c r="D13">
        <f t="shared" si="23"/>
        <v>1.5226349652227675</v>
      </c>
      <c r="E13">
        <f t="shared" si="4"/>
        <v>1.5226349652227675</v>
      </c>
      <c r="F13">
        <f t="shared" si="5"/>
        <v>0</v>
      </c>
      <c r="G13" s="9">
        <f t="shared" si="6"/>
        <v>3.7429845343749567E-2</v>
      </c>
      <c r="H13" s="9">
        <f t="shared" si="6"/>
        <v>3.7429845343749567E-2</v>
      </c>
      <c r="I13" s="9">
        <f t="shared" si="6"/>
        <v>0</v>
      </c>
      <c r="J13" s="9">
        <f t="shared" si="7"/>
        <v>4.865879894687444E-3</v>
      </c>
      <c r="K13" s="9">
        <f t="shared" si="8"/>
        <v>7.4859690687499141E-3</v>
      </c>
      <c r="L13" s="9">
        <f t="shared" si="9"/>
        <v>0</v>
      </c>
      <c r="M13">
        <f t="shared" si="0"/>
        <v>40.178714539997713</v>
      </c>
      <c r="N13">
        <f t="shared" si="10"/>
        <v>12.759734224173709</v>
      </c>
      <c r="O13">
        <f t="shared" si="24"/>
        <v>27.418980315824005</v>
      </c>
      <c r="P13">
        <f t="shared" si="22"/>
        <v>3.3895777001009169</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36.789136839896798</v>
      </c>
      <c r="AB13">
        <f t="shared" si="11"/>
        <v>25.105845978350295</v>
      </c>
      <c r="AC13">
        <f t="shared" si="12"/>
        <v>11.683290861546505</v>
      </c>
      <c r="AD13">
        <f t="shared" si="3"/>
        <v>0.67791554002018339</v>
      </c>
      <c r="AE13">
        <f t="shared" si="13"/>
        <v>0</v>
      </c>
      <c r="AF13">
        <f t="shared" si="14"/>
        <v>0.75323948891131498</v>
      </c>
      <c r="AG13">
        <f t="shared" si="15"/>
        <v>1.3558310800403668</v>
      </c>
      <c r="AH13">
        <f t="shared" si="16"/>
        <v>0</v>
      </c>
      <c r="AI13">
        <f t="shared" si="17"/>
        <v>0.17839882632110088</v>
      </c>
      <c r="AJ13">
        <f t="shared" si="18"/>
        <v>0</v>
      </c>
      <c r="AK13">
        <f t="shared" si="19"/>
        <v>0.67791554002018339</v>
      </c>
      <c r="AL13">
        <f t="shared" si="20"/>
        <v>0</v>
      </c>
    </row>
    <row r="14" spans="1:51" x14ac:dyDescent="0.2">
      <c r="A14">
        <v>2031</v>
      </c>
      <c r="B14">
        <v>6</v>
      </c>
      <c r="C14">
        <f t="shared" si="21"/>
        <v>41.533976034770092</v>
      </c>
      <c r="D14">
        <f t="shared" si="23"/>
        <v>1.8660917589941661</v>
      </c>
      <c r="E14">
        <f t="shared" si="4"/>
        <v>1.8660917589941661</v>
      </c>
      <c r="F14">
        <f t="shared" si="5"/>
        <v>0</v>
      </c>
      <c r="G14" s="9">
        <f t="shared" si="6"/>
        <v>4.4929282894369919E-2</v>
      </c>
      <c r="H14" s="9">
        <f t="shared" si="6"/>
        <v>4.4929282894369919E-2</v>
      </c>
      <c r="I14" s="9">
        <f t="shared" si="6"/>
        <v>0</v>
      </c>
      <c r="J14" s="9">
        <f t="shared" si="7"/>
        <v>5.8408067762680893E-3</v>
      </c>
      <c r="K14" s="9">
        <f t="shared" si="8"/>
        <v>8.9858565788739839E-3</v>
      </c>
      <c r="L14" s="9">
        <f t="shared" si="9"/>
        <v>0</v>
      </c>
      <c r="M14">
        <f t="shared" si="0"/>
        <v>40.920345650580231</v>
      </c>
      <c r="N14">
        <f t="shared" si="10"/>
        <v>16.041470854678078</v>
      </c>
      <c r="O14">
        <f t="shared" si="24"/>
        <v>24.878874795902153</v>
      </c>
      <c r="P14">
        <f t="shared" si="22"/>
        <v>5.3550051165438814</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35.565340534036352</v>
      </c>
      <c r="AB14">
        <f t="shared" si="11"/>
        <v>21.623122682673817</v>
      </c>
      <c r="AC14">
        <f t="shared" si="12"/>
        <v>13.942217851362537</v>
      </c>
      <c r="AD14">
        <f t="shared" si="3"/>
        <v>1.0710010233087761</v>
      </c>
      <c r="AE14">
        <f t="shared" si="13"/>
        <v>0</v>
      </c>
      <c r="AF14">
        <f t="shared" si="14"/>
        <v>1.1900011370097514</v>
      </c>
      <c r="AG14">
        <f t="shared" si="15"/>
        <v>2.1420020466175527</v>
      </c>
      <c r="AH14">
        <f t="shared" si="16"/>
        <v>0</v>
      </c>
      <c r="AI14">
        <f t="shared" si="17"/>
        <v>0.2818423745549411</v>
      </c>
      <c r="AJ14">
        <f t="shared" si="18"/>
        <v>0</v>
      </c>
      <c r="AK14">
        <f t="shared" si="19"/>
        <v>1.0710010233087761</v>
      </c>
      <c r="AL14">
        <f t="shared" si="20"/>
        <v>0</v>
      </c>
    </row>
    <row r="15" spans="1:51" x14ac:dyDescent="0.2">
      <c r="A15">
        <v>2032</v>
      </c>
      <c r="B15">
        <v>7</v>
      </c>
      <c r="C15">
        <f t="shared" si="21"/>
        <v>42.40618953150026</v>
      </c>
      <c r="D15">
        <f t="shared" si="23"/>
        <v>2.2231591995744076</v>
      </c>
      <c r="E15">
        <f t="shared" si="4"/>
        <v>2.2231591995744076</v>
      </c>
      <c r="F15">
        <f t="shared" si="5"/>
        <v>0</v>
      </c>
      <c r="G15" s="9">
        <f t="shared" si="6"/>
        <v>5.2425346963159598E-2</v>
      </c>
      <c r="H15" s="9">
        <f t="shared" si="6"/>
        <v>5.2425346963159598E-2</v>
      </c>
      <c r="I15" s="9">
        <f t="shared" si="6"/>
        <v>0</v>
      </c>
      <c r="J15" s="9">
        <f t="shared" si="7"/>
        <v>6.815295105210748E-3</v>
      </c>
      <c r="K15" s="9">
        <f t="shared" si="8"/>
        <v>1.048506939263192E-2</v>
      </c>
      <c r="L15" s="9">
        <f t="shared" si="9"/>
        <v>0</v>
      </c>
      <c r="M15">
        <f t="shared" si="0"/>
        <v>41.675577292842895</v>
      </c>
      <c r="N15">
        <f t="shared" si="10"/>
        <v>19.305410277145423</v>
      </c>
      <c r="O15">
        <f t="shared" si="24"/>
        <v>22.370167015697472</v>
      </c>
      <c r="P15">
        <f>IF($I$3=0,0,M15/(1+EXP(-$I$3*(B15-$J$3)))-M15/(1+EXP($I$3*$J$3)))</f>
        <v>8.1218794154833667</v>
      </c>
      <c r="Q15" s="9">
        <f t="shared" si="1"/>
        <v>0.19488342917035412</v>
      </c>
      <c r="R15">
        <f>VLOOKUP($B$1,dictionary!$A$3:$K$51,3,FALSE)*Q15</f>
        <v>3.8976685834070823E-2</v>
      </c>
      <c r="S15">
        <f>VLOOKUP($B$1,dictionary!$A$3:$K$51,4,FALSE)*Q15</f>
        <v>0</v>
      </c>
      <c r="T15">
        <f>VLOOKUP($B$1,dictionary!$A$3:$K$51,5,FALSE)*Q15</f>
        <v>3.8976685834070823E-2</v>
      </c>
      <c r="U15">
        <f>VLOOKUP($B$1,dictionary!$A$3:$K$51,6,FALSE)*Q15</f>
        <v>6.8209200209623941E-2</v>
      </c>
      <c r="V15">
        <f>VLOOKUP($B$1,dictionary!$A$3:$K$51,7,FALSE)*Q15</f>
        <v>0</v>
      </c>
      <c r="W15">
        <f>VLOOKUP($B$1,dictionary!$A$3:$K$51,8,FALSE)*Q15</f>
        <v>9.7441714585177058E-3</v>
      </c>
      <c r="X15">
        <f>VLOOKUP($B$1,dictionary!$A$3:$K$51,9,FALSE)*Q15</f>
        <v>0</v>
      </c>
      <c r="Y15">
        <f>VLOOKUP($B$1,dictionary!$A$3:$K$51,10,FALSE)*Q15</f>
        <v>3.8976685834070823E-2</v>
      </c>
      <c r="Z15">
        <f>VLOOKUP($B$1,dictionary!$A$3:$K$51,11,FALSE)*Q15</f>
        <v>0</v>
      </c>
      <c r="AA15">
        <f t="shared" si="2"/>
        <v>33.553697877359525</v>
      </c>
      <c r="AB15">
        <f t="shared" si="11"/>
        <v>18.010592156564801</v>
      </c>
      <c r="AC15">
        <f t="shared" si="12"/>
        <v>15.543105720794726</v>
      </c>
      <c r="AD15">
        <f t="shared" si="3"/>
        <v>1.6243758830966732</v>
      </c>
      <c r="AE15">
        <f t="shared" si="13"/>
        <v>0</v>
      </c>
      <c r="AF15">
        <f t="shared" si="14"/>
        <v>1.8048620923296372</v>
      </c>
      <c r="AG15">
        <f t="shared" si="15"/>
        <v>3.2487517661933474</v>
      </c>
      <c r="AH15">
        <f t="shared" si="16"/>
        <v>0</v>
      </c>
      <c r="AI15">
        <f t="shared" si="17"/>
        <v>0.42746733765701928</v>
      </c>
      <c r="AJ15">
        <f t="shared" si="18"/>
        <v>0</v>
      </c>
      <c r="AK15">
        <f t="shared" si="19"/>
        <v>1.6243758830966732</v>
      </c>
      <c r="AL15">
        <f t="shared" si="20"/>
        <v>0</v>
      </c>
    </row>
    <row r="16" spans="1:51" x14ac:dyDescent="0.2">
      <c r="A16">
        <v>2033</v>
      </c>
      <c r="B16">
        <v>8</v>
      </c>
      <c r="C16">
        <f t="shared" si="21"/>
        <v>43.296719511661763</v>
      </c>
      <c r="D16">
        <f t="shared" si="23"/>
        <v>2.5941086674926339</v>
      </c>
      <c r="E16">
        <f t="shared" si="4"/>
        <v>2.5941086674926339</v>
      </c>
      <c r="F16">
        <f t="shared" si="5"/>
        <v>0</v>
      </c>
      <c r="G16" s="9">
        <f t="shared" si="6"/>
        <v>5.991467013554972E-2</v>
      </c>
      <c r="H16" s="9">
        <f t="shared" si="6"/>
        <v>5.991467013554972E-2</v>
      </c>
      <c r="I16" s="9">
        <f t="shared" si="6"/>
        <v>0</v>
      </c>
      <c r="J16" s="9">
        <f t="shared" si="7"/>
        <v>7.7889071176214641E-3</v>
      </c>
      <c r="K16" s="9">
        <f t="shared" si="8"/>
        <v>1.1982934027109945E-2</v>
      </c>
      <c r="L16" s="9">
        <f t="shared" si="9"/>
        <v>0</v>
      </c>
      <c r="M16">
        <f t="shared" si="0"/>
        <v>42.444704705682021</v>
      </c>
      <c r="N16">
        <f t="shared" si="10"/>
        <v>22.433044210829635</v>
      </c>
      <c r="O16">
        <f t="shared" si="24"/>
        <v>20.011660494852386</v>
      </c>
      <c r="P16">
        <f t="shared" si="22"/>
        <v>11.802325470538426</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30.642379235143594</v>
      </c>
      <c r="AB16">
        <f t="shared" si="11"/>
        <v>14.447147041315596</v>
      </c>
      <c r="AC16">
        <f t="shared" si="12"/>
        <v>16.195232193827998</v>
      </c>
      <c r="AD16">
        <f t="shared" si="3"/>
        <v>2.3604650941076852</v>
      </c>
      <c r="AE16">
        <f t="shared" si="13"/>
        <v>0</v>
      </c>
      <c r="AF16">
        <f t="shared" si="14"/>
        <v>2.6227389934529839</v>
      </c>
      <c r="AG16">
        <f t="shared" si="15"/>
        <v>4.7209301882153714</v>
      </c>
      <c r="AH16">
        <f t="shared" si="16"/>
        <v>0</v>
      </c>
      <c r="AI16">
        <f t="shared" si="17"/>
        <v>0.62117502476518027</v>
      </c>
      <c r="AJ16">
        <f t="shared" si="18"/>
        <v>0</v>
      </c>
      <c r="AK16">
        <f t="shared" si="19"/>
        <v>2.3604650941076852</v>
      </c>
      <c r="AL16">
        <f t="shared" si="20"/>
        <v>0</v>
      </c>
    </row>
    <row r="17" spans="1:38" x14ac:dyDescent="0.2">
      <c r="A17">
        <v>2034</v>
      </c>
      <c r="B17">
        <v>9</v>
      </c>
      <c r="C17">
        <f t="shared" si="21"/>
        <v>44.205950621406657</v>
      </c>
      <c r="D17">
        <f t="shared" si="23"/>
        <v>2.9792112877546124</v>
      </c>
      <c r="E17">
        <f t="shared" si="4"/>
        <v>2.9792112877546124</v>
      </c>
      <c r="F17">
        <f t="shared" si="5"/>
        <v>0</v>
      </c>
      <c r="G17" s="9">
        <f t="shared" si="6"/>
        <v>6.7393897108321305E-2</v>
      </c>
      <c r="H17" s="9">
        <f t="shared" si="6"/>
        <v>6.7393897108321305E-2</v>
      </c>
      <c r="I17" s="9">
        <f t="shared" si="6"/>
        <v>0</v>
      </c>
      <c r="J17" s="9">
        <f t="shared" si="7"/>
        <v>8.7612066240817695E-3</v>
      </c>
      <c r="K17" s="9">
        <f t="shared" si="8"/>
        <v>1.3478779421664262E-2</v>
      </c>
      <c r="L17" s="9">
        <f t="shared" si="9"/>
        <v>0</v>
      </c>
      <c r="M17">
        <f t="shared" si="0"/>
        <v>43.228031193581401</v>
      </c>
      <c r="N17">
        <f t="shared" si="10"/>
        <v>25.335917080529324</v>
      </c>
      <c r="O17">
        <f t="shared" si="24"/>
        <v>17.892114113052077</v>
      </c>
      <c r="P17">
        <f t="shared" si="22"/>
        <v>16.356355441642414</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26.871675751938987</v>
      </c>
      <c r="AB17">
        <f t="shared" si="11"/>
        <v>11.122206487026313</v>
      </c>
      <c r="AC17">
        <f t="shared" si="12"/>
        <v>15.749469264912674</v>
      </c>
      <c r="AD17">
        <f t="shared" si="3"/>
        <v>3.2712710883284828</v>
      </c>
      <c r="AE17">
        <f t="shared" si="13"/>
        <v>0</v>
      </c>
      <c r="AF17">
        <f t="shared" si="14"/>
        <v>3.6347456536983147</v>
      </c>
      <c r="AG17">
        <f t="shared" si="15"/>
        <v>6.5425421766569656</v>
      </c>
      <c r="AH17">
        <f t="shared" si="16"/>
        <v>0</v>
      </c>
      <c r="AI17">
        <f t="shared" si="17"/>
        <v>0.86086081271802173</v>
      </c>
      <c r="AJ17">
        <f t="shared" si="18"/>
        <v>0</v>
      </c>
      <c r="AK17">
        <f t="shared" si="19"/>
        <v>3.2712710883284828</v>
      </c>
      <c r="AL17">
        <f t="shared" si="20"/>
        <v>0</v>
      </c>
    </row>
    <row r="18" spans="1:38" x14ac:dyDescent="0.2">
      <c r="A18">
        <v>2035</v>
      </c>
      <c r="B18">
        <v>10</v>
      </c>
      <c r="C18">
        <f t="shared" si="21"/>
        <v>45.134275584456191</v>
      </c>
      <c r="D18">
        <f t="shared" si="23"/>
        <v>3.3787379096567349</v>
      </c>
      <c r="E18">
        <f t="shared" si="4"/>
        <v>3.3787379096567349</v>
      </c>
      <c r="F18">
        <f t="shared" si="5"/>
        <v>0</v>
      </c>
      <c r="G18" s="9">
        <f t="shared" si="6"/>
        <v>7.4859690687499147E-2</v>
      </c>
      <c r="H18" s="9">
        <f t="shared" si="6"/>
        <v>7.4859690687499147E-2</v>
      </c>
      <c r="I18" s="9">
        <f t="shared" si="6"/>
        <v>0</v>
      </c>
      <c r="J18" s="9">
        <f t="shared" si="7"/>
        <v>9.7317597893748897E-3</v>
      </c>
      <c r="K18" s="9">
        <f t="shared" si="8"/>
        <v>1.497193813749983E-2</v>
      </c>
      <c r="L18" s="9">
        <f t="shared" si="9"/>
        <v>0</v>
      </c>
      <c r="M18">
        <f t="shared" si="0"/>
        <v>44.025868287415072</v>
      </c>
      <c r="N18">
        <f t="shared" si="10"/>
        <v>27.962984120692376</v>
      </c>
      <c r="O18">
        <f t="shared" si="24"/>
        <v>16.062884166722696</v>
      </c>
      <c r="P18">
        <f t="shared" si="22"/>
        <v>21.529224454571654</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22.496643832843418</v>
      </c>
      <c r="AB18">
        <f t="shared" si="11"/>
        <v>8.2079240701829939</v>
      </c>
      <c r="AC18">
        <f t="shared" si="12"/>
        <v>14.288719762660424</v>
      </c>
      <c r="AD18">
        <f t="shared" si="3"/>
        <v>4.3058448909143312</v>
      </c>
      <c r="AE18">
        <f t="shared" si="13"/>
        <v>0</v>
      </c>
      <c r="AF18">
        <f t="shared" si="14"/>
        <v>4.7842721010159242</v>
      </c>
      <c r="AG18">
        <f t="shared" si="15"/>
        <v>8.6116897818286624</v>
      </c>
      <c r="AH18">
        <f t="shared" si="16"/>
        <v>0</v>
      </c>
      <c r="AI18">
        <f t="shared" si="17"/>
        <v>1.1331170765564029</v>
      </c>
      <c r="AJ18">
        <f t="shared" si="18"/>
        <v>0</v>
      </c>
      <c r="AK18">
        <f t="shared" si="19"/>
        <v>4.3058448909143312</v>
      </c>
      <c r="AL18">
        <f t="shared" si="20"/>
        <v>0</v>
      </c>
    </row>
    <row r="19" spans="1:38" x14ac:dyDescent="0.2">
      <c r="A19">
        <v>2036</v>
      </c>
      <c r="B19">
        <v>11</v>
      </c>
      <c r="C19">
        <f t="shared" si="21"/>
        <v>46.082095371729764</v>
      </c>
      <c r="D19">
        <f t="shared" si="23"/>
        <v>3.7929591014166739</v>
      </c>
      <c r="E19">
        <f t="shared" si="4"/>
        <v>3.7929591014166739</v>
      </c>
      <c r="F19">
        <f t="shared" si="5"/>
        <v>0</v>
      </c>
      <c r="G19" s="9">
        <f t="shared" si="6"/>
        <v>8.2308737717329605E-2</v>
      </c>
      <c r="H19" s="9">
        <f t="shared" si="6"/>
        <v>8.2308737717329605E-2</v>
      </c>
      <c r="I19" s="9">
        <f t="shared" si="6"/>
        <v>0</v>
      </c>
      <c r="J19" s="9">
        <f t="shared" si="7"/>
        <v>1.0700135903252849E-2</v>
      </c>
      <c r="K19" s="9">
        <f t="shared" si="8"/>
        <v>1.646174754346592E-2</v>
      </c>
      <c r="L19" s="9">
        <f t="shared" si="9"/>
        <v>0</v>
      </c>
      <c r="M19">
        <f t="shared" si="0"/>
        <v>44.838535903834391</v>
      </c>
      <c r="N19">
        <f t="shared" si="10"/>
        <v>30.298448438329629</v>
      </c>
      <c r="O19">
        <f t="shared" si="24"/>
        <v>14.540087465504762</v>
      </c>
      <c r="P19">
        <f t="shared" si="22"/>
        <v>26.887530794106898</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17.951005109727493</v>
      </c>
      <c r="AB19">
        <f t="shared" si="11"/>
        <v>5.8210907008415571</v>
      </c>
      <c r="AC19">
        <f t="shared" si="12"/>
        <v>12.129914408885936</v>
      </c>
      <c r="AD19">
        <f t="shared" si="3"/>
        <v>5.3775061588213804</v>
      </c>
      <c r="AE19">
        <f t="shared" si="13"/>
        <v>0</v>
      </c>
      <c r="AF19">
        <f t="shared" si="14"/>
        <v>5.9750068431348673</v>
      </c>
      <c r="AG19">
        <f t="shared" si="15"/>
        <v>10.755012317642759</v>
      </c>
      <c r="AH19">
        <f t="shared" si="16"/>
        <v>0</v>
      </c>
      <c r="AI19">
        <f t="shared" si="17"/>
        <v>1.4151331996898369</v>
      </c>
      <c r="AJ19">
        <f t="shared" si="18"/>
        <v>0</v>
      </c>
      <c r="AK19">
        <f t="shared" si="19"/>
        <v>5.3775061588213804</v>
      </c>
      <c r="AL19">
        <f t="shared" si="20"/>
        <v>0</v>
      </c>
    </row>
    <row r="20" spans="1:38" x14ac:dyDescent="0.2">
      <c r="A20">
        <v>2037</v>
      </c>
      <c r="B20">
        <v>12</v>
      </c>
      <c r="C20">
        <f t="shared" si="21"/>
        <v>47.049819374536085</v>
      </c>
      <c r="D20">
        <f t="shared" si="23"/>
        <v>4.2221451599718094</v>
      </c>
      <c r="E20">
        <f t="shared" si="4"/>
        <v>4.2221451599718094</v>
      </c>
      <c r="F20">
        <f t="shared" si="5"/>
        <v>0</v>
      </c>
      <c r="G20" s="9">
        <f t="shared" si="6"/>
        <v>8.9737754918074855E-2</v>
      </c>
      <c r="H20" s="9">
        <f t="shared" si="6"/>
        <v>8.9737754918074855E-2</v>
      </c>
      <c r="I20" s="9">
        <f t="shared" si="6"/>
        <v>0</v>
      </c>
      <c r="J20" s="9">
        <f t="shared" si="7"/>
        <v>1.1665908139349732E-2</v>
      </c>
      <c r="K20" s="9">
        <f t="shared" si="8"/>
        <v>1.794755098361497E-2</v>
      </c>
      <c r="L20" s="9">
        <f t="shared" si="9"/>
        <v>0</v>
      </c>
      <c r="M20">
        <f t="shared" si="0"/>
        <v>45.666362503262832</v>
      </c>
      <c r="N20">
        <f t="shared" si="10"/>
        <v>32.353597418601652</v>
      </c>
      <c r="O20">
        <f t="shared" si="24"/>
        <v>13.31276508466118</v>
      </c>
      <c r="P20">
        <f>IF($I$3=0,0,M20/(1+EXP(-$I$3*(B20-$J$3)))-M20/(1+EXP($I$3*$J$3)))</f>
        <v>31.964744003416623</v>
      </c>
      <c r="Q20" s="9">
        <f t="shared" si="1"/>
        <v>0.69996255999441082</v>
      </c>
      <c r="R20">
        <f>VLOOKUP($B$1,dictionary!$A$3:$K$51,3,FALSE)*Q20</f>
        <v>0.13999251199888216</v>
      </c>
      <c r="S20">
        <f>VLOOKUP($B$1,dictionary!$A$3:$K$51,4,FALSE)*Q20</f>
        <v>0</v>
      </c>
      <c r="T20">
        <f>VLOOKUP($B$1,dictionary!$A$3:$K$51,5,FALSE)*Q20</f>
        <v>0.13999251199888216</v>
      </c>
      <c r="U20">
        <f>VLOOKUP($B$1,dictionary!$A$3:$K$51,6,FALSE)*Q20</f>
        <v>0.24498689599804377</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13.701618499846209</v>
      </c>
      <c r="AB20">
        <f t="shared" si="11"/>
        <v>3.994327955397531</v>
      </c>
      <c r="AC20">
        <f t="shared" si="12"/>
        <v>9.7072905444486768</v>
      </c>
      <c r="AD20">
        <f t="shared" si="3"/>
        <v>6.3929488006833237</v>
      </c>
      <c r="AE20">
        <f t="shared" si="13"/>
        <v>0</v>
      </c>
      <c r="AF20">
        <f t="shared" si="14"/>
        <v>7.1032764452036936</v>
      </c>
      <c r="AG20">
        <f t="shared" si="15"/>
        <v>12.785897601366649</v>
      </c>
      <c r="AH20">
        <f t="shared" si="16"/>
        <v>0</v>
      </c>
      <c r="AI20">
        <f t="shared" si="17"/>
        <v>1.6823549475482431</v>
      </c>
      <c r="AJ20">
        <f t="shared" si="18"/>
        <v>0</v>
      </c>
      <c r="AK20">
        <f t="shared" si="19"/>
        <v>6.3929488006833237</v>
      </c>
      <c r="AL20">
        <f t="shared" si="20"/>
        <v>0</v>
      </c>
    </row>
    <row r="21" spans="1:38" x14ac:dyDescent="0.2">
      <c r="A21">
        <v>2038</v>
      </c>
      <c r="B21">
        <v>13</v>
      </c>
      <c r="C21">
        <f t="shared" si="21"/>
        <v>48.037865581401341</v>
      </c>
      <c r="D21">
        <f t="shared" si="23"/>
        <v>4.6665661362280417</v>
      </c>
      <c r="E21">
        <f t="shared" si="4"/>
        <v>4.6665661362280417</v>
      </c>
      <c r="F21">
        <f t="shared" si="5"/>
        <v>0</v>
      </c>
      <c r="G21" s="9">
        <f t="shared" si="6"/>
        <v>9.7143494610942502E-2</v>
      </c>
      <c r="H21" s="9">
        <f t="shared" si="6"/>
        <v>9.7143494610942502E-2</v>
      </c>
      <c r="I21" s="9">
        <f t="shared" si="6"/>
        <v>0</v>
      </c>
      <c r="J21" s="9">
        <f t="shared" si="7"/>
        <v>1.2628654299422526E-2</v>
      </c>
      <c r="K21" s="9">
        <f t="shared" si="8"/>
        <v>1.94286989221885E-2</v>
      </c>
      <c r="L21" s="9">
        <f t="shared" si="9"/>
        <v>0</v>
      </c>
      <c r="M21">
        <f t="shared" si="0"/>
        <v>46.509685246546056</v>
      </c>
      <c r="N21">
        <f t="shared" si="10"/>
        <v>34.156795618337291</v>
      </c>
      <c r="O21">
        <f t="shared" si="24"/>
        <v>12.352889628208764</v>
      </c>
      <c r="P21">
        <f t="shared" si="22"/>
        <v>36.423719808923835</v>
      </c>
      <c r="Q21" s="9">
        <f t="shared" si="1"/>
        <v>0.78314268556845945</v>
      </c>
      <c r="R21">
        <f>VLOOKUP($B$1,dictionary!$A$3:$K$51,3,FALSE)*Q21</f>
        <v>0.1566285371136919</v>
      </c>
      <c r="S21">
        <f>VLOOKUP($B$1,dictionary!$A$3:$K$51,4,FALSE)*Q21</f>
        <v>0</v>
      </c>
      <c r="T21">
        <f>VLOOKUP($B$1,dictionary!$A$3:$K$51,5,FALSE)*Q21</f>
        <v>0.1566285371136919</v>
      </c>
      <c r="U21">
        <f>VLOOKUP($B$1,dictionary!$A$3:$K$51,6,FALSE)*Q21</f>
        <v>0.27409993994896081</v>
      </c>
      <c r="V21">
        <f>VLOOKUP($B$1,dictionary!$A$3:$K$51,7,FALSE)*Q21</f>
        <v>0</v>
      </c>
      <c r="W21">
        <f>VLOOKUP($B$1,dictionary!$A$3:$K$51,8,FALSE)*Q21</f>
        <v>3.9157134278422975E-2</v>
      </c>
      <c r="X21">
        <f>VLOOKUP($B$1,dictionary!$A$3:$K$51,9,FALSE)*Q21</f>
        <v>0</v>
      </c>
      <c r="Y21">
        <f>VLOOKUP($B$1,dictionary!$A$3:$K$51,10,FALSE)*Q21</f>
        <v>0.1566285371136919</v>
      </c>
      <c r="Z21">
        <f>VLOOKUP($B$1,dictionary!$A$3:$K$51,11,FALSE)*Q21</f>
        <v>0</v>
      </c>
      <c r="AA21">
        <f t="shared" si="2"/>
        <v>10.085965437622221</v>
      </c>
      <c r="AB21">
        <f t="shared" si="11"/>
        <v>2.678814470242584</v>
      </c>
      <c r="AC21">
        <f t="shared" si="12"/>
        <v>7.4071509673796365</v>
      </c>
      <c r="AD21">
        <f t="shared" si="3"/>
        <v>7.2847439617847671</v>
      </c>
      <c r="AE21">
        <f t="shared" si="13"/>
        <v>0</v>
      </c>
      <c r="AF21">
        <f t="shared" si="14"/>
        <v>8.0941599575386309</v>
      </c>
      <c r="AG21">
        <f t="shared" si="15"/>
        <v>14.569487923569536</v>
      </c>
      <c r="AH21">
        <f t="shared" si="16"/>
        <v>0</v>
      </c>
      <c r="AI21">
        <f t="shared" si="17"/>
        <v>1.9170378846802016</v>
      </c>
      <c r="AJ21">
        <f t="shared" si="18"/>
        <v>0</v>
      </c>
      <c r="AK21">
        <f t="shared" si="19"/>
        <v>7.2847439617847671</v>
      </c>
      <c r="AL21">
        <f t="shared" si="20"/>
        <v>0</v>
      </c>
    </row>
    <row r="22" spans="1:38" x14ac:dyDescent="0.2">
      <c r="A22">
        <v>2039</v>
      </c>
      <c r="B22">
        <v>14</v>
      </c>
      <c r="C22">
        <f t="shared" si="21"/>
        <v>49.046660758610763</v>
      </c>
      <c r="D22">
        <f t="shared" si="23"/>
        <v>5.1264918759724978</v>
      </c>
      <c r="E22">
        <f t="shared" si="4"/>
        <v>5.1264918759724978</v>
      </c>
      <c r="F22">
        <f t="shared" si="5"/>
        <v>0</v>
      </c>
      <c r="G22" s="9">
        <f t="shared" si="6"/>
        <v>0.10452275030920381</v>
      </c>
      <c r="H22" s="9">
        <f t="shared" si="6"/>
        <v>0.10452275030920381</v>
      </c>
      <c r="I22" s="9">
        <f t="shared" si="6"/>
        <v>0</v>
      </c>
      <c r="J22" s="9">
        <f t="shared" si="7"/>
        <v>1.3587957540196496E-2</v>
      </c>
      <c r="K22" s="9">
        <f t="shared" si="8"/>
        <v>2.0904550061840763E-2</v>
      </c>
      <c r="L22" s="9">
        <f t="shared" si="9"/>
        <v>0</v>
      </c>
      <c r="M22">
        <f t="shared" si="0"/>
        <v>47.368850150328015</v>
      </c>
      <c r="N22">
        <f t="shared" si="10"/>
        <v>35.744587383022512</v>
      </c>
      <c r="O22">
        <f t="shared" si="24"/>
        <v>11.624262767305503</v>
      </c>
      <c r="P22">
        <f t="shared" si="22"/>
        <v>40.129089474313538</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7.2397606760144768</v>
      </c>
      <c r="AB22">
        <f t="shared" si="11"/>
        <v>1.776629160372702</v>
      </c>
      <c r="AC22">
        <f t="shared" si="12"/>
        <v>5.4631315156417752</v>
      </c>
      <c r="AD22">
        <f t="shared" si="3"/>
        <v>8.0258178948627084</v>
      </c>
      <c r="AE22">
        <f t="shared" si="13"/>
        <v>0</v>
      </c>
      <c r="AF22">
        <f t="shared" si="14"/>
        <v>8.9175754387363426</v>
      </c>
      <c r="AG22">
        <f t="shared" si="15"/>
        <v>16.051635789725417</v>
      </c>
      <c r="AH22">
        <f t="shared" si="16"/>
        <v>0</v>
      </c>
      <c r="AI22">
        <f t="shared" si="17"/>
        <v>2.1120573407533443</v>
      </c>
      <c r="AJ22">
        <f t="shared" si="18"/>
        <v>0</v>
      </c>
      <c r="AK22">
        <f t="shared" si="19"/>
        <v>8.0258178948627084</v>
      </c>
      <c r="AL22">
        <f t="shared" si="20"/>
        <v>0</v>
      </c>
    </row>
    <row r="23" spans="1:38" x14ac:dyDescent="0.2">
      <c r="A23">
        <v>2040</v>
      </c>
      <c r="B23">
        <v>15</v>
      </c>
      <c r="C23">
        <f t="shared" si="21"/>
        <v>50.076640634541583</v>
      </c>
      <c r="D23">
        <f t="shared" si="23"/>
        <v>5.6021920765936848</v>
      </c>
      <c r="E23">
        <f t="shared" si="4"/>
        <v>5.6021920765936848</v>
      </c>
      <c r="F23">
        <f t="shared" si="5"/>
        <v>0</v>
      </c>
      <c r="G23" s="9">
        <f t="shared" si="6"/>
        <v>0.11187236215540856</v>
      </c>
      <c r="H23" s="9">
        <f t="shared" si="6"/>
        <v>0.11187236215540856</v>
      </c>
      <c r="I23" s="9">
        <f t="shared" si="6"/>
        <v>0</v>
      </c>
      <c r="J23" s="9">
        <f t="shared" si="7"/>
        <v>1.4543407080203114E-2</v>
      </c>
      <c r="K23" s="9">
        <f t="shared" si="8"/>
        <v>2.2374472431081715E-2</v>
      </c>
      <c r="L23" s="9">
        <f t="shared" si="9"/>
        <v>0</v>
      </c>
      <c r="M23">
        <f t="shared" si="0"/>
        <v>48.244212241247943</v>
      </c>
      <c r="N23">
        <f t="shared" si="10"/>
        <v>37.155212661208225</v>
      </c>
      <c r="O23">
        <f t="shared" si="24"/>
        <v>11.088999580039719</v>
      </c>
      <c r="P23">
        <f t="shared" si="22"/>
        <v>43.11409602741314</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5.1301162138348033</v>
      </c>
      <c r="AB23">
        <f t="shared" si="11"/>
        <v>1.1791643784398034</v>
      </c>
      <c r="AC23">
        <f t="shared" si="12"/>
        <v>3.9509518353950002</v>
      </c>
      <c r="AD23">
        <f t="shared" si="3"/>
        <v>8.622819205482628</v>
      </c>
      <c r="AE23">
        <f t="shared" si="13"/>
        <v>0</v>
      </c>
      <c r="AF23">
        <f t="shared" si="14"/>
        <v>9.5809102283140319</v>
      </c>
      <c r="AG23">
        <f t="shared" si="15"/>
        <v>17.245638410965256</v>
      </c>
      <c r="AH23">
        <f t="shared" si="16"/>
        <v>0</v>
      </c>
      <c r="AI23">
        <f t="shared" si="17"/>
        <v>2.2691629488112177</v>
      </c>
      <c r="AJ23">
        <f t="shared" si="18"/>
        <v>0</v>
      </c>
      <c r="AK23">
        <f t="shared" si="19"/>
        <v>8.622819205482628</v>
      </c>
      <c r="AL23">
        <f t="shared" si="20"/>
        <v>0</v>
      </c>
    </row>
    <row r="24" spans="1:38" x14ac:dyDescent="0.2">
      <c r="A24">
        <v>2041</v>
      </c>
      <c r="B24">
        <v>16</v>
      </c>
      <c r="C24">
        <f t="shared" si="21"/>
        <v>51.128250087866952</v>
      </c>
      <c r="D24">
        <f t="shared" si="23"/>
        <v>6.0939363596829708</v>
      </c>
      <c r="E24">
        <f t="shared" si="4"/>
        <v>6.0939363596829708</v>
      </c>
      <c r="F24">
        <f t="shared" si="5"/>
        <v>0</v>
      </c>
      <c r="G24" s="9">
        <f t="shared" si="6"/>
        <v>0.11918922218558579</v>
      </c>
      <c r="H24" s="9">
        <f t="shared" si="6"/>
        <v>0.11918922218558579</v>
      </c>
      <c r="I24" s="9">
        <f t="shared" si="6"/>
        <v>0</v>
      </c>
      <c r="J24" s="9">
        <f t="shared" si="7"/>
        <v>1.5494598884126154E-2</v>
      </c>
      <c r="K24" s="9">
        <f t="shared" si="8"/>
        <v>2.3837844437117159E-2</v>
      </c>
      <c r="L24" s="9">
        <f t="shared" si="9"/>
        <v>0</v>
      </c>
      <c r="M24">
        <f t="shared" si="0"/>
        <v>49.136135709075312</v>
      </c>
      <c r="N24">
        <f t="shared" si="10"/>
        <v>38.424619631093577</v>
      </c>
      <c r="O24">
        <f t="shared" si="24"/>
        <v>10.711516077981734</v>
      </c>
      <c r="P24">
        <f t="shared" si="22"/>
        <v>45.502012435678161</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3.6341232733971509</v>
      </c>
      <c r="AB24">
        <f t="shared" si="11"/>
        <v>0.7922269285244482</v>
      </c>
      <c r="AC24">
        <f t="shared" si="12"/>
        <v>2.841896344872703</v>
      </c>
      <c r="AD24">
        <f t="shared" si="3"/>
        <v>9.1004024871356322</v>
      </c>
      <c r="AE24">
        <f t="shared" si="13"/>
        <v>0</v>
      </c>
      <c r="AF24">
        <f t="shared" si="14"/>
        <v>10.111558319039592</v>
      </c>
      <c r="AG24">
        <f t="shared" si="15"/>
        <v>18.200804974271268</v>
      </c>
      <c r="AH24">
        <f t="shared" si="16"/>
        <v>0</v>
      </c>
      <c r="AI24">
        <f t="shared" si="17"/>
        <v>2.3948427597725348</v>
      </c>
      <c r="AJ24">
        <f t="shared" si="18"/>
        <v>0</v>
      </c>
      <c r="AK24">
        <f t="shared" si="19"/>
        <v>9.1004024871356322</v>
      </c>
      <c r="AL24">
        <f t="shared" si="20"/>
        <v>0</v>
      </c>
    </row>
    <row r="25" spans="1:38" x14ac:dyDescent="0.2">
      <c r="A25">
        <v>2042</v>
      </c>
      <c r="B25">
        <v>17</v>
      </c>
      <c r="C25">
        <f t="shared" si="21"/>
        <v>52.201943339712152</v>
      </c>
      <c r="D25">
        <f t="shared" si="23"/>
        <v>6.6019943595224149</v>
      </c>
      <c r="E25">
        <f t="shared" si="4"/>
        <v>6.6019943595224149</v>
      </c>
      <c r="F25">
        <f t="shared" si="5"/>
        <v>0</v>
      </c>
      <c r="G25" s="9">
        <f t="shared" si="6"/>
        <v>0.12647027940241465</v>
      </c>
      <c r="H25" s="9">
        <f t="shared" si="6"/>
        <v>0.12647027940241465</v>
      </c>
      <c r="I25" s="9">
        <f t="shared" si="6"/>
        <v>0</v>
      </c>
      <c r="J25" s="9">
        <f t="shared" si="7"/>
        <v>1.6441136322313903E-2</v>
      </c>
      <c r="K25" s="9">
        <f t="shared" si="8"/>
        <v>2.5294055880482932E-2</v>
      </c>
      <c r="L25" s="9">
        <f t="shared" si="9"/>
        <v>0</v>
      </c>
      <c r="M25">
        <f t="shared" si="0"/>
        <v>50.044994058922562</v>
      </c>
      <c r="N25">
        <f t="shared" si="10"/>
        <v>39.584463418298164</v>
      </c>
      <c r="O25">
        <f t="shared" si="24"/>
        <v>10.460530640624398</v>
      </c>
      <c r="P25">
        <f>IF($I$3=0,0,M25/(1+EXP(-$I$3*(B25-$J$3)))-M25/(1+EXP($I$3*$J$3)))</f>
        <v>47.438739806833006</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2.6062542520895562</v>
      </c>
      <c r="AB25">
        <f t="shared" si="11"/>
        <v>0.54476582471248636</v>
      </c>
      <c r="AC25">
        <f t="shared" si="12"/>
        <v>2.0614884273770699</v>
      </c>
      <c r="AD25">
        <f t="shared" si="3"/>
        <v>9.4877479613666029</v>
      </c>
      <c r="AE25">
        <f t="shared" si="13"/>
        <v>0</v>
      </c>
      <c r="AF25">
        <f t="shared" si="14"/>
        <v>10.541942179296225</v>
      </c>
      <c r="AG25">
        <f t="shared" si="15"/>
        <v>18.975495922733202</v>
      </c>
      <c r="AH25">
        <f t="shared" si="16"/>
        <v>0</v>
      </c>
      <c r="AI25">
        <f t="shared" si="17"/>
        <v>2.4967757793070007</v>
      </c>
      <c r="AJ25">
        <f t="shared" si="18"/>
        <v>0</v>
      </c>
      <c r="AK25">
        <f t="shared" si="19"/>
        <v>9.4877479613666029</v>
      </c>
      <c r="AL25">
        <f t="shared" si="20"/>
        <v>0</v>
      </c>
    </row>
    <row r="26" spans="1:38" x14ac:dyDescent="0.2">
      <c r="A26">
        <v>2043</v>
      </c>
      <c r="B26">
        <v>18</v>
      </c>
      <c r="C26">
        <f t="shared" si="21"/>
        <v>53.298184149846101</v>
      </c>
      <c r="D26">
        <f t="shared" si="23"/>
        <v>7.1266358273958801</v>
      </c>
      <c r="E26">
        <f t="shared" si="4"/>
        <v>7.1266358273958801</v>
      </c>
      <c r="F26">
        <f t="shared" si="5"/>
        <v>0</v>
      </c>
      <c r="G26" s="9">
        <f t="shared" si="6"/>
        <v>0.13371254464053742</v>
      </c>
      <c r="H26" s="9">
        <f t="shared" si="6"/>
        <v>0.13371254464053742</v>
      </c>
      <c r="I26" s="9">
        <f t="shared" si="6"/>
        <v>0</v>
      </c>
      <c r="J26" s="9">
        <f t="shared" si="7"/>
        <v>1.7382630803269863E-2</v>
      </c>
      <c r="K26" s="9">
        <f t="shared" si="8"/>
        <v>2.6742508928107485E-2</v>
      </c>
      <c r="L26" s="9">
        <f t="shared" si="9"/>
        <v>0</v>
      </c>
      <c r="M26">
        <f t="shared" si="0"/>
        <v>50.971170262696852</v>
      </c>
      <c r="N26">
        <f t="shared" si="10"/>
        <v>40.661444226865783</v>
      </c>
      <c r="O26">
        <f t="shared" si="24"/>
        <v>10.309726035831069</v>
      </c>
      <c r="P26">
        <f t="shared" si="22"/>
        <v>49.055473051124117</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1.9156972115727342</v>
      </c>
      <c r="AB26">
        <f t="shared" si="11"/>
        <v>0.38748008564705499</v>
      </c>
      <c r="AC26">
        <f t="shared" si="12"/>
        <v>1.5282171259256792</v>
      </c>
      <c r="AD26">
        <f t="shared" si="3"/>
        <v>9.811094610224826</v>
      </c>
      <c r="AE26">
        <f t="shared" si="13"/>
        <v>0</v>
      </c>
      <c r="AF26">
        <f t="shared" si="14"/>
        <v>10.90121623358314</v>
      </c>
      <c r="AG26">
        <f t="shared" si="15"/>
        <v>19.622189220449648</v>
      </c>
      <c r="AH26">
        <f t="shared" si="16"/>
        <v>0</v>
      </c>
      <c r="AI26">
        <f t="shared" si="17"/>
        <v>2.5818670026907435</v>
      </c>
      <c r="AJ26">
        <f t="shared" si="18"/>
        <v>0</v>
      </c>
      <c r="AK26">
        <f t="shared" si="19"/>
        <v>9.811094610224826</v>
      </c>
      <c r="AL26">
        <f t="shared" si="20"/>
        <v>0</v>
      </c>
    </row>
    <row r="27" spans="1:38" x14ac:dyDescent="0.2">
      <c r="A27">
        <v>2044</v>
      </c>
      <c r="B27">
        <v>19</v>
      </c>
      <c r="C27">
        <f t="shared" si="21"/>
        <v>54.417446016992862</v>
      </c>
      <c r="D27">
        <f t="shared" si="23"/>
        <v>7.6681307515946102</v>
      </c>
      <c r="E27">
        <f t="shared" si="4"/>
        <v>7.6681307515946102</v>
      </c>
      <c r="F27">
        <f t="shared" si="5"/>
        <v>0</v>
      </c>
      <c r="G27" s="9">
        <f t="shared" si="6"/>
        <v>0.14091309520847586</v>
      </c>
      <c r="H27" s="9">
        <f t="shared" si="6"/>
        <v>0.14091309520847586</v>
      </c>
      <c r="I27" s="9">
        <f t="shared" si="6"/>
        <v>0</v>
      </c>
      <c r="J27" s="9">
        <f t="shared" si="7"/>
        <v>1.8318702377101863E-2</v>
      </c>
      <c r="K27" s="9">
        <f t="shared" si="8"/>
        <v>2.8182619041695174E-2</v>
      </c>
      <c r="L27" s="9">
        <f t="shared" si="9"/>
        <v>0</v>
      </c>
      <c r="M27">
        <f t="shared" si="0"/>
        <v>51.915056909972073</v>
      </c>
      <c r="N27">
        <f t="shared" si="10"/>
        <v>41.677430763587616</v>
      </c>
      <c r="O27">
        <f t="shared" si="24"/>
        <v>10.237626146384457</v>
      </c>
      <c r="P27">
        <f t="shared" si="22"/>
        <v>50.455673993923966</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1.4593829160481064</v>
      </c>
      <c r="AB27">
        <f t="shared" si="11"/>
        <v>0.28778966234843961</v>
      </c>
      <c r="AC27">
        <f t="shared" si="12"/>
        <v>1.1715932536996669</v>
      </c>
      <c r="AD27">
        <f t="shared" si="3"/>
        <v>10.091134798784793</v>
      </c>
      <c r="AE27">
        <f t="shared" si="13"/>
        <v>0</v>
      </c>
      <c r="AF27">
        <f t="shared" si="14"/>
        <v>11.212371998649772</v>
      </c>
      <c r="AG27">
        <f t="shared" si="15"/>
        <v>20.182269597569586</v>
      </c>
      <c r="AH27">
        <f t="shared" si="16"/>
        <v>0</v>
      </c>
      <c r="AI27">
        <f t="shared" si="17"/>
        <v>2.655561789153893</v>
      </c>
      <c r="AJ27">
        <f t="shared" si="18"/>
        <v>0</v>
      </c>
      <c r="AK27">
        <f t="shared" si="19"/>
        <v>10.091134798784793</v>
      </c>
      <c r="AL27">
        <f t="shared" si="20"/>
        <v>0</v>
      </c>
    </row>
    <row r="28" spans="1:38" x14ac:dyDescent="0.2">
      <c r="A28">
        <v>2045</v>
      </c>
      <c r="B28">
        <v>20</v>
      </c>
      <c r="C28">
        <f t="shared" si="21"/>
        <v>55.560212383349707</v>
      </c>
      <c r="D28">
        <f t="shared" si="23"/>
        <v>8.2267494929245473</v>
      </c>
      <c r="E28">
        <f t="shared" si="4"/>
        <v>8.2267494929245473</v>
      </c>
      <c r="F28">
        <f t="shared" si="5"/>
        <v>0</v>
      </c>
      <c r="G28" s="9">
        <f t="shared" si="6"/>
        <v>0.14806907929297156</v>
      </c>
      <c r="H28" s="9">
        <f t="shared" si="6"/>
        <v>0.14806907929297156</v>
      </c>
      <c r="I28" s="9">
        <f t="shared" si="6"/>
        <v>0</v>
      </c>
      <c r="J28" s="9">
        <f t="shared" si="7"/>
        <v>1.9248980308086302E-2</v>
      </c>
      <c r="K28" s="9">
        <f t="shared" si="8"/>
        <v>2.9613815858594312E-2</v>
      </c>
      <c r="L28" s="9">
        <f t="shared" si="9"/>
        <v>0</v>
      </c>
      <c r="M28">
        <f t="shared" si="0"/>
        <v>52.877056358482378</v>
      </c>
      <c r="N28">
        <f t="shared" si="10"/>
        <v>42.649974470262713</v>
      </c>
      <c r="O28">
        <f t="shared" si="24"/>
        <v>10.227081888219665</v>
      </c>
      <c r="P28">
        <f t="shared" si="22"/>
        <v>51.7151419891118</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1.161914369370578</v>
      </c>
      <c r="AB28">
        <f t="shared" si="11"/>
        <v>0.22472872396849639</v>
      </c>
      <c r="AC28">
        <f t="shared" si="12"/>
        <v>0.9371856454020816</v>
      </c>
      <c r="AD28">
        <f t="shared" si="3"/>
        <v>10.34302839782236</v>
      </c>
      <c r="AE28">
        <f t="shared" si="13"/>
        <v>0</v>
      </c>
      <c r="AF28">
        <f t="shared" si="14"/>
        <v>11.492253775358179</v>
      </c>
      <c r="AG28">
        <f t="shared" si="15"/>
        <v>20.686056795644724</v>
      </c>
      <c r="AH28">
        <f t="shared" si="16"/>
        <v>0</v>
      </c>
      <c r="AI28">
        <f t="shared" si="17"/>
        <v>2.7218495783743051</v>
      </c>
      <c r="AJ28">
        <f t="shared" si="18"/>
        <v>0</v>
      </c>
      <c r="AK28">
        <f t="shared" si="19"/>
        <v>10.34302839782236</v>
      </c>
      <c r="AL28">
        <f t="shared" si="20"/>
        <v>0</v>
      </c>
    </row>
    <row r="29" spans="1:38" x14ac:dyDescent="0.2">
      <c r="A29">
        <v>2046</v>
      </c>
      <c r="B29">
        <v>21</v>
      </c>
      <c r="C29">
        <f t="shared" si="21"/>
        <v>56.726976843400045</v>
      </c>
      <c r="D29">
        <f t="shared" si="23"/>
        <v>8.8027629354616792</v>
      </c>
      <c r="E29">
        <f t="shared" si="4"/>
        <v>8.8027629354616792</v>
      </c>
      <c r="F29">
        <f t="shared" si="5"/>
        <v>0</v>
      </c>
      <c r="G29" s="9">
        <f t="shared" si="6"/>
        <v>0.15517772011299849</v>
      </c>
      <c r="H29" s="9">
        <f t="shared" si="6"/>
        <v>0.15517772011299849</v>
      </c>
      <c r="I29" s="9">
        <f t="shared" si="6"/>
        <v>0</v>
      </c>
      <c r="J29" s="9">
        <f t="shared" si="7"/>
        <v>2.0173103614689804E-2</v>
      </c>
      <c r="K29" s="9">
        <f t="shared" si="8"/>
        <v>3.1035544022599698E-2</v>
      </c>
      <c r="L29" s="9">
        <f t="shared" si="9"/>
        <v>0</v>
      </c>
      <c r="M29">
        <f t="shared" si="0"/>
        <v>53.857580884456212</v>
      </c>
      <c r="N29">
        <f t="shared" si="10"/>
        <v>43.592967144559644</v>
      </c>
      <c r="O29">
        <f t="shared" si="24"/>
        <v>10.264613739896568</v>
      </c>
      <c r="P29">
        <f t="shared" si="22"/>
        <v>52.887038743948139</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0.97054214050807275</v>
      </c>
      <c r="AB29">
        <f t="shared" si="11"/>
        <v>0.18497377763736475</v>
      </c>
      <c r="AC29">
        <f t="shared" si="12"/>
        <v>0.78556836287070808</v>
      </c>
      <c r="AD29">
        <f t="shared" si="3"/>
        <v>10.577407748789629</v>
      </c>
      <c r="AE29">
        <f t="shared" si="13"/>
        <v>0</v>
      </c>
      <c r="AF29">
        <f t="shared" si="14"/>
        <v>11.752675276432921</v>
      </c>
      <c r="AG29">
        <f t="shared" si="15"/>
        <v>21.154815497579261</v>
      </c>
      <c r="AH29">
        <f t="shared" si="16"/>
        <v>0</v>
      </c>
      <c r="AI29">
        <f t="shared" si="17"/>
        <v>2.7835283549446386</v>
      </c>
      <c r="AJ29">
        <f t="shared" si="18"/>
        <v>0</v>
      </c>
      <c r="AK29">
        <f t="shared" si="19"/>
        <v>10.577407748789629</v>
      </c>
      <c r="AL29">
        <f t="shared" si="20"/>
        <v>0</v>
      </c>
    </row>
    <row r="30" spans="1:38" x14ac:dyDescent="0.2">
      <c r="A30">
        <v>2047</v>
      </c>
      <c r="B30">
        <v>22</v>
      </c>
      <c r="C30">
        <f t="shared" si="21"/>
        <v>57.918243357111443</v>
      </c>
      <c r="D30">
        <f t="shared" si="23"/>
        <v>9.3964426522439339</v>
      </c>
      <c r="E30">
        <f t="shared" si="4"/>
        <v>9.3964426522439339</v>
      </c>
      <c r="F30">
        <f t="shared" si="5"/>
        <v>0</v>
      </c>
      <c r="G30" s="9">
        <f t="shared" si="6"/>
        <v>0.16223631981217881</v>
      </c>
      <c r="H30" s="9">
        <f t="shared" si="6"/>
        <v>0.16223631981217881</v>
      </c>
      <c r="I30" s="9">
        <f t="shared" si="6"/>
        <v>0</v>
      </c>
      <c r="J30" s="9">
        <f t="shared" si="7"/>
        <v>2.1090721575583248E-2</v>
      </c>
      <c r="K30" s="9">
        <f t="shared" si="8"/>
        <v>3.2447263962435767E-2</v>
      </c>
      <c r="L30" s="9">
        <f t="shared" si="9"/>
        <v>0</v>
      </c>
      <c r="M30">
        <f t="shared" si="0"/>
        <v>54.857052833026827</v>
      </c>
      <c r="N30">
        <f t="shared" si="10"/>
        <v>44.517303384907457</v>
      </c>
      <c r="O30">
        <f t="shared" si="24"/>
        <v>10.33974944811937</v>
      </c>
      <c r="P30">
        <f t="shared" si="22"/>
        <v>54.007689246325469</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0.84936358670135803</v>
      </c>
      <c r="AB30">
        <f t="shared" si="11"/>
        <v>0.16009257193563098</v>
      </c>
      <c r="AC30">
        <f t="shared" si="12"/>
        <v>0.68927101476572705</v>
      </c>
      <c r="AD30">
        <f t="shared" si="3"/>
        <v>10.801537849265095</v>
      </c>
      <c r="AE30">
        <f t="shared" si="13"/>
        <v>0</v>
      </c>
      <c r="AF30">
        <f t="shared" si="14"/>
        <v>12.001708721405663</v>
      </c>
      <c r="AG30">
        <f t="shared" si="15"/>
        <v>21.603075698530191</v>
      </c>
      <c r="AH30">
        <f t="shared" si="16"/>
        <v>0</v>
      </c>
      <c r="AI30">
        <f t="shared" si="17"/>
        <v>2.8425099603329196</v>
      </c>
      <c r="AJ30">
        <f t="shared" si="18"/>
        <v>0</v>
      </c>
      <c r="AK30">
        <f t="shared" si="19"/>
        <v>10.801537849265095</v>
      </c>
      <c r="AL30">
        <f t="shared" si="20"/>
        <v>0</v>
      </c>
    </row>
    <row r="31" spans="1:38" x14ac:dyDescent="0.2">
      <c r="A31">
        <v>2048</v>
      </c>
      <c r="B31">
        <v>23</v>
      </c>
      <c r="C31">
        <f t="shared" si="21"/>
        <v>59.134526467610776</v>
      </c>
      <c r="D31">
        <f t="shared" si="23"/>
        <v>10.008061085533804</v>
      </c>
      <c r="E31">
        <f t="shared" si="4"/>
        <v>10.008061085533804</v>
      </c>
      <c r="F31">
        <f t="shared" si="5"/>
        <v>0</v>
      </c>
      <c r="G31" s="9">
        <f t="shared" si="6"/>
        <v>0.16924226307985116</v>
      </c>
      <c r="H31" s="9">
        <f t="shared" si="6"/>
        <v>0.16924226307985116</v>
      </c>
      <c r="I31" s="9">
        <f t="shared" si="6"/>
        <v>0</v>
      </c>
      <c r="J31" s="9">
        <f t="shared" si="7"/>
        <v>2.2001494200380649E-2</v>
      </c>
      <c r="K31" s="9">
        <f t="shared" si="8"/>
        <v>3.3848452615970234E-2</v>
      </c>
      <c r="L31" s="9">
        <f t="shared" si="9"/>
        <v>0</v>
      </c>
      <c r="M31">
        <f t="shared" si="0"/>
        <v>55.875904768970706</v>
      </c>
      <c r="N31">
        <f t="shared" si="10"/>
        <v>45.431480242381113</v>
      </c>
      <c r="O31">
        <f t="shared" si="24"/>
        <v>10.444424526589593</v>
      </c>
      <c r="P31">
        <f t="shared" si="22"/>
        <v>55.101544531605825</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0.77436023736488124</v>
      </c>
      <c r="AB31">
        <f t="shared" si="11"/>
        <v>0.14474480706826665</v>
      </c>
      <c r="AC31">
        <f t="shared" si="12"/>
        <v>0.6296154302966146</v>
      </c>
      <c r="AD31">
        <f t="shared" si="3"/>
        <v>11.020308906321166</v>
      </c>
      <c r="AE31">
        <f t="shared" si="13"/>
        <v>0</v>
      </c>
      <c r="AF31">
        <f t="shared" si="14"/>
        <v>12.244787673690183</v>
      </c>
      <c r="AG31">
        <f t="shared" si="15"/>
        <v>22.040617812642331</v>
      </c>
      <c r="AH31">
        <f t="shared" si="16"/>
        <v>0</v>
      </c>
      <c r="AI31">
        <f t="shared" si="17"/>
        <v>2.9000812911371483</v>
      </c>
      <c r="AJ31">
        <f t="shared" si="18"/>
        <v>0</v>
      </c>
      <c r="AK31">
        <f t="shared" si="19"/>
        <v>11.020308906321166</v>
      </c>
      <c r="AL31">
        <f t="shared" si="20"/>
        <v>0</v>
      </c>
    </row>
    <row r="32" spans="1:38" x14ac:dyDescent="0.2">
      <c r="A32">
        <v>2049</v>
      </c>
      <c r="B32">
        <v>24</v>
      </c>
      <c r="C32">
        <f t="shared" si="21"/>
        <v>60.3763515234306</v>
      </c>
      <c r="D32">
        <f t="shared" si="23"/>
        <v>10.637891741235713</v>
      </c>
      <c r="E32">
        <f t="shared" si="4"/>
        <v>10.637891741235713</v>
      </c>
      <c r="F32">
        <f t="shared" si="5"/>
        <v>0</v>
      </c>
      <c r="G32" s="9">
        <f t="shared" si="6"/>
        <v>0.17619302049259145</v>
      </c>
      <c r="H32" s="9">
        <f t="shared" si="6"/>
        <v>0.17619302049259145</v>
      </c>
      <c r="I32" s="9">
        <f t="shared" si="6"/>
        <v>0</v>
      </c>
      <c r="J32" s="9">
        <f t="shared" si="7"/>
        <v>2.290509266403689E-2</v>
      </c>
      <c r="K32" s="9">
        <f t="shared" si="8"/>
        <v>3.5238604098518291E-2</v>
      </c>
      <c r="L32" s="9">
        <f t="shared" si="9"/>
        <v>0</v>
      </c>
      <c r="M32">
        <f t="shared" si="0"/>
        <v>56.914579628039412</v>
      </c>
      <c r="N32">
        <f t="shared" si="10"/>
        <v>46.342108471133798</v>
      </c>
      <c r="O32">
        <f t="shared" si="24"/>
        <v>10.572471156905614</v>
      </c>
      <c r="P32">
        <f t="shared" si="22"/>
        <v>56.184941457425971</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0.72963817061344116</v>
      </c>
      <c r="AB32">
        <f t="shared" si="11"/>
        <v>0.13553782816639803</v>
      </c>
      <c r="AC32">
        <f t="shared" si="12"/>
        <v>0.59410034244704313</v>
      </c>
      <c r="AD32">
        <f t="shared" si="3"/>
        <v>11.236988291485195</v>
      </c>
      <c r="AE32">
        <f t="shared" si="13"/>
        <v>0</v>
      </c>
      <c r="AF32">
        <f t="shared" si="14"/>
        <v>12.485542546094663</v>
      </c>
      <c r="AG32">
        <f t="shared" si="15"/>
        <v>22.473976582970391</v>
      </c>
      <c r="AH32">
        <f t="shared" si="16"/>
        <v>0</v>
      </c>
      <c r="AI32">
        <f t="shared" si="17"/>
        <v>2.957102181969788</v>
      </c>
      <c r="AJ32">
        <f t="shared" si="18"/>
        <v>0</v>
      </c>
      <c r="AK32">
        <f t="shared" si="19"/>
        <v>11.236988291485195</v>
      </c>
      <c r="AL32">
        <f t="shared" si="20"/>
        <v>0</v>
      </c>
    </row>
    <row r="33" spans="1:38" x14ac:dyDescent="0.2">
      <c r="A33">
        <v>2050</v>
      </c>
      <c r="B33">
        <v>25</v>
      </c>
      <c r="C33">
        <f t="shared" si="21"/>
        <v>61.644254905422635</v>
      </c>
      <c r="D33">
        <f t="shared" si="23"/>
        <v>11.286209397005873</v>
      </c>
      <c r="E33">
        <f t="shared" si="4"/>
        <v>11.286209397005873</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57.973530869162651</v>
      </c>
      <c r="N33">
        <f t="shared" si="10"/>
        <v>47.254332438552723</v>
      </c>
      <c r="O33">
        <f t="shared" si="24"/>
        <v>10.719198430609929</v>
      </c>
      <c r="P33">
        <f t="shared" si="22"/>
        <v>57.268778371957239</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0.704752497205412</v>
      </c>
      <c r="AB33">
        <f t="shared" si="11"/>
        <v>0.13030743080082113</v>
      </c>
      <c r="AC33">
        <f t="shared" si="12"/>
        <v>0.57444506640459081</v>
      </c>
      <c r="AD33">
        <f t="shared" si="3"/>
        <v>11.453755674391449</v>
      </c>
      <c r="AE33">
        <f t="shared" si="13"/>
        <v>0</v>
      </c>
      <c r="AF33">
        <f t="shared" si="14"/>
        <v>12.726395193768276</v>
      </c>
      <c r="AG33">
        <f t="shared" si="15"/>
        <v>22.907511348782897</v>
      </c>
      <c r="AH33">
        <f t="shared" si="16"/>
        <v>0</v>
      </c>
      <c r="AI33">
        <f t="shared" si="17"/>
        <v>3.0141462301030124</v>
      </c>
      <c r="AJ33">
        <f t="shared" si="18"/>
        <v>0</v>
      </c>
      <c r="AK33">
        <f t="shared" si="19"/>
        <v>11.453755674391449</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CC3B-BD00-824F-9FF5-923F030A4A19}">
  <sheetPr>
    <tabColor theme="4" tint="0.79998168889431442"/>
  </sheetPr>
  <dimension ref="A1:AY37"/>
  <sheetViews>
    <sheetView zoomScale="93" zoomScaleNormal="125" workbookViewId="0">
      <selection activeCell="B5" sqref="B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30</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9.1562724613921578</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9.1562724613921578</v>
      </c>
      <c r="N8">
        <f>IF($N$7="LFO",M8/(1+EXP(-$I$4*(B8-$J$4)))-M8/(1+EXP($I$4*$J$4)),IF($N$7="MGO",M8/(1+EXP(-$I$5*(B8-$J$5)))-M8/(1+EXP($I$5*$J$5)),0))</f>
        <v>0</v>
      </c>
      <c r="O8">
        <f>M8-N8</f>
        <v>9.1562724613921578</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9.1562724613921578</v>
      </c>
      <c r="AB8">
        <f>O8/M8*AA8</f>
        <v>9.1562724613921578</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9.3485541830813919</v>
      </c>
      <c r="D9">
        <f>IF($E$2=0,0,C9/(1+EXP(-$E$2*(B9-$G$2)))-C9/(1+EXP($E$2*$G$2)))</f>
        <v>6.9794375794644203E-2</v>
      </c>
      <c r="E9">
        <f t="shared" ref="E9:E33" si="4">IF($E$3=0,0,C9/(1+EXP(-$E$3*(B9-$G$3)))-C9/(1+EXP($E$3*$G$3)))</f>
        <v>6.9794375794644203E-2</v>
      </c>
      <c r="F9">
        <f t="shared" ref="F9:F33" si="5">IF($E$4=0,0,C9/(1+EXP(-$E$4*(B9-$G$4)))-C9/(1+EXP($E$4*$G$4)))</f>
        <v>0</v>
      </c>
      <c r="G9" s="9">
        <f t="shared" ref="G9:I33" si="6">D9/$C9</f>
        <v>7.4657935791777345E-3</v>
      </c>
      <c r="H9" s="9">
        <f t="shared" si="6"/>
        <v>7.4657935791777345E-3</v>
      </c>
      <c r="I9" s="9">
        <f t="shared" si="6"/>
        <v>0</v>
      </c>
      <c r="J9" s="9">
        <f t="shared" ref="J9:J33" si="7">G9*$F$2</f>
        <v>9.7055316529310557E-4</v>
      </c>
      <c r="K9" s="9">
        <f t="shared" ref="K9:K33" si="8">H9*$F$3</f>
        <v>1.4931587158355469E-3</v>
      </c>
      <c r="L9" s="9">
        <f t="shared" ref="L9:L33" si="9">I9*$F$4</f>
        <v>0</v>
      </c>
      <c r="M9">
        <f t="shared" si="0"/>
        <v>9.3255355868996279</v>
      </c>
      <c r="N9">
        <f t="shared" ref="N9:N33" si="10">IF($N$7="LFO",M9/(1+EXP(-$I$4*(B9-$J$4)))-M9/(1+EXP($I$4*$J$4)),IF($N$7="MGO",M9/(1+EXP(-$I$5*(B9-$J$5)))-M9/(1+EXP($I$5*$J$5)),0))</f>
        <v>0.45741465475022536</v>
      </c>
      <c r="O9">
        <f>M9-N9</f>
        <v>8.8681209321494023</v>
      </c>
      <c r="P9">
        <f>IF($I$3=0,0,M9/(1+EXP(-$I$3*(B9-$J$3)))-M9/(1+EXP($I$3*$J$3)))</f>
        <v>5.723165758425254E-2</v>
      </c>
      <c r="Q9" s="9">
        <f t="shared" si="1"/>
        <v>6.137090685134558E-3</v>
      </c>
      <c r="R9">
        <f>VLOOKUP($B$1,dictionary!$A$3:$K$51,3,FALSE)*Q9</f>
        <v>1.2274181370269116E-3</v>
      </c>
      <c r="S9">
        <f>VLOOKUP($B$1,dictionary!$A$3:$K$51,4,FALSE)*Q9</f>
        <v>0</v>
      </c>
      <c r="T9">
        <f>VLOOKUP($B$1,dictionary!$A$3:$K$51,5,FALSE)*Q9</f>
        <v>1.2274181370269116E-3</v>
      </c>
      <c r="U9">
        <f>VLOOKUP($B$1,dictionary!$A$3:$K$51,6,FALSE)*Q9</f>
        <v>2.1479817397970953E-3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9.2683039293153762</v>
      </c>
      <c r="AB9">
        <f t="shared" ref="AB9:AB33" si="11">O9/M9*AA9</f>
        <v>8.8136964697820623</v>
      </c>
      <c r="AC9">
        <f t="shared" ref="AC9:AC33" si="12">N9/M9*AA9</f>
        <v>0.45460745953331372</v>
      </c>
      <c r="AD9">
        <f t="shared" si="3"/>
        <v>1.1446331516850507E-2</v>
      </c>
      <c r="AE9">
        <f t="shared" ref="AE9:AE33" si="13">S9*$O9*$AE$2+S9*$N9*$AE$3</f>
        <v>0</v>
      </c>
      <c r="AF9">
        <f t="shared" ref="AF9:AF33" si="14">T9*$O9*$AF$2+T9*$N9*$AF$3</f>
        <v>1.2718146129833898E-2</v>
      </c>
      <c r="AG9">
        <f t="shared" ref="AG9:AG33" si="15">U9*$O9*$AG$2+U9*$N9*$AG$3</f>
        <v>2.2892663033701018E-2</v>
      </c>
      <c r="AH9">
        <f t="shared" ref="AH9:AH33" si="16">V9*$O9*$AH$2+V9*$N9*$AH$3</f>
        <v>0</v>
      </c>
      <c r="AI9">
        <f t="shared" ref="AI9:AI33" si="17">W9*$O9*$AI$2+W9*$N9*$AI$3</f>
        <v>3.0121925044343436E-3</v>
      </c>
      <c r="AJ9">
        <f t="shared" ref="AJ9:AJ33" si="18">X9*$O9*$AJ$2+X9*$N9*$AJ$3</f>
        <v>0</v>
      </c>
      <c r="AK9">
        <f t="shared" ref="AK9:AK33" si="19">Y9*$O9*$AK$2+Y9*$N9*$AK$3</f>
        <v>1.1446331516850507E-2</v>
      </c>
      <c r="AL9">
        <f t="shared" ref="AL9:AL33" si="20">Z9*$O9*$AL$2+Z9*$N9*$AL$3</f>
        <v>0</v>
      </c>
    </row>
    <row r="10" spans="1:51" x14ac:dyDescent="0.2">
      <c r="A10">
        <v>2027</v>
      </c>
      <c r="B10">
        <v>2</v>
      </c>
      <c r="C10">
        <f t="shared" ref="C10:C33" si="21">C9*(1+$I$2)</f>
        <v>9.5448738209260995</v>
      </c>
      <c r="D10">
        <f>IF($E$2=0,0,C10/(1+EXP(-$E$2*(B10-$G$2)))-C10/(1+EXP($E$2*$G$2)))</f>
        <v>0.14264833541950495</v>
      </c>
      <c r="E10">
        <f t="shared" si="4"/>
        <v>0.14264833541950495</v>
      </c>
      <c r="F10">
        <f t="shared" si="5"/>
        <v>0</v>
      </c>
      <c r="G10" s="9">
        <f t="shared" si="6"/>
        <v>1.4945020551949462E-2</v>
      </c>
      <c r="H10" s="9">
        <f t="shared" si="6"/>
        <v>1.4945020551949462E-2</v>
      </c>
      <c r="I10" s="9">
        <f t="shared" si="6"/>
        <v>0</v>
      </c>
      <c r="J10" s="9">
        <f t="shared" si="7"/>
        <v>1.9428526717534301E-3</v>
      </c>
      <c r="K10" s="9">
        <f t="shared" si="8"/>
        <v>2.9890041103898925E-3</v>
      </c>
      <c r="L10" s="9">
        <f t="shared" si="9"/>
        <v>0</v>
      </c>
      <c r="M10">
        <f t="shared" si="0"/>
        <v>9.49785529917758</v>
      </c>
      <c r="N10">
        <f t="shared" si="10"/>
        <v>1.0127085702335741</v>
      </c>
      <c r="O10">
        <f>M10-N10</f>
        <v>8.4851467289440059</v>
      </c>
      <c r="P10">
        <f t="shared" ref="P10:P33" si="22">IF($I$3=0,0,M10/(1+EXP(-$I$3*(B10-$J$3)))-M10/(1+EXP($I$3*$J$3)))</f>
        <v>0.1482620051004879</v>
      </c>
      <c r="Q10" s="9">
        <f t="shared" si="1"/>
        <v>1.5610050946272672E-2</v>
      </c>
      <c r="R10">
        <f>VLOOKUP($B$1,dictionary!$A$3:$K$51,3,FALSE)*Q10</f>
        <v>3.1220101892545345E-3</v>
      </c>
      <c r="S10">
        <f>VLOOKUP($B$1,dictionary!$A$3:$K$51,4,FALSE)*Q10</f>
        <v>0</v>
      </c>
      <c r="T10">
        <f>VLOOKUP($B$1,dictionary!$A$3:$K$51,5,FALSE)*Q10</f>
        <v>3.1220101892545345E-3</v>
      </c>
      <c r="U10">
        <f>VLOOKUP($B$1,dictionary!$A$3:$K$51,6,FALSE)*Q10</f>
        <v>5.4635178311954347E-3</v>
      </c>
      <c r="V10">
        <f>VLOOKUP($B$1,dictionary!$A$3:$K$51,7,FALSE)*Q10</f>
        <v>0</v>
      </c>
      <c r="W10">
        <f>VLOOKUP($B$1,dictionary!$A$3:$K$51,8,FALSE)*Q10</f>
        <v>7.8050254731363363E-4</v>
      </c>
      <c r="X10">
        <f>VLOOKUP($B$1,dictionary!$A$3:$K$51,9,FALSE)*Q10</f>
        <v>0</v>
      </c>
      <c r="Y10">
        <f>VLOOKUP($B$1,dictionary!$A$3:$K$51,10,FALSE)*Q10</f>
        <v>3.1220101892545345E-3</v>
      </c>
      <c r="Z10">
        <f>VLOOKUP($B$1,dictionary!$A$3:$K$51,11,FALSE)*Q10</f>
        <v>0</v>
      </c>
      <c r="AA10">
        <f t="shared" si="2"/>
        <v>9.3495932940770921</v>
      </c>
      <c r="AB10">
        <f t="shared" si="11"/>
        <v>8.3526931562185904</v>
      </c>
      <c r="AC10">
        <f t="shared" si="12"/>
        <v>0.99690013785850107</v>
      </c>
      <c r="AD10">
        <f t="shared" si="3"/>
        <v>2.9652401020097578E-2</v>
      </c>
      <c r="AE10">
        <f t="shared" si="13"/>
        <v>0</v>
      </c>
      <c r="AF10">
        <f t="shared" si="14"/>
        <v>3.2947112244552865E-2</v>
      </c>
      <c r="AG10">
        <f t="shared" si="15"/>
        <v>5.9304802040195156E-2</v>
      </c>
      <c r="AH10">
        <f t="shared" si="16"/>
        <v>0</v>
      </c>
      <c r="AI10">
        <f t="shared" si="17"/>
        <v>7.8032634263414677E-3</v>
      </c>
      <c r="AJ10">
        <f t="shared" si="18"/>
        <v>0</v>
      </c>
      <c r="AK10">
        <f t="shared" si="19"/>
        <v>2.9652401020097578E-2</v>
      </c>
      <c r="AL10">
        <f t="shared" si="20"/>
        <v>0</v>
      </c>
    </row>
    <row r="11" spans="1:51" x14ac:dyDescent="0.2">
      <c r="A11">
        <v>2028</v>
      </c>
      <c r="B11">
        <v>3</v>
      </c>
      <c r="C11">
        <f t="shared" si="21"/>
        <v>9.7453161711655465</v>
      </c>
      <c r="D11">
        <f t="shared" ref="D11:D33" si="23">IF($E$2=0,0,C11/(1+EXP(-$E$2*(B11-$G$2)))-C11/(1+EXP($E$2*$G$2)))</f>
        <v>0.21862977268629091</v>
      </c>
      <c r="E11">
        <f t="shared" si="4"/>
        <v>0.21862977268629091</v>
      </c>
      <c r="F11">
        <f t="shared" si="5"/>
        <v>0</v>
      </c>
      <c r="G11" s="9">
        <f t="shared" si="6"/>
        <v>2.2434343724339386E-2</v>
      </c>
      <c r="H11" s="9">
        <f t="shared" si="6"/>
        <v>2.2434343724339386E-2</v>
      </c>
      <c r="I11" s="9">
        <f t="shared" si="6"/>
        <v>0</v>
      </c>
      <c r="J11" s="9">
        <f t="shared" si="7"/>
        <v>2.9164646841641204E-3</v>
      </c>
      <c r="K11" s="9">
        <f t="shared" si="8"/>
        <v>4.4868687448678772E-3</v>
      </c>
      <c r="L11" s="9">
        <f t="shared" si="9"/>
        <v>0</v>
      </c>
      <c r="M11">
        <f t="shared" si="0"/>
        <v>9.67329587138126</v>
      </c>
      <c r="N11">
        <f t="shared" si="10"/>
        <v>1.6630153237654077</v>
      </c>
      <c r="O11">
        <f t="shared" ref="O11:O33" si="24">M11-N11</f>
        <v>8.010280547615853</v>
      </c>
      <c r="P11">
        <f t="shared" si="22"/>
        <v>0.29120814497871722</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9.382087726402542</v>
      </c>
      <c r="AB11">
        <f t="shared" si="11"/>
        <v>7.7691363740016079</v>
      </c>
      <c r="AC11">
        <f t="shared" si="12"/>
        <v>1.6129513524009347</v>
      </c>
      <c r="AD11">
        <f t="shared" si="3"/>
        <v>5.8241628995743457E-2</v>
      </c>
      <c r="AE11">
        <f t="shared" si="13"/>
        <v>0</v>
      </c>
      <c r="AF11">
        <f t="shared" si="14"/>
        <v>6.4712921106381618E-2</v>
      </c>
      <c r="AG11">
        <f t="shared" si="15"/>
        <v>0.1164832579914869</v>
      </c>
      <c r="AH11">
        <f t="shared" si="16"/>
        <v>0</v>
      </c>
      <c r="AI11">
        <f t="shared" si="17"/>
        <v>1.5326744472564068E-2</v>
      </c>
      <c r="AJ11">
        <f t="shared" si="18"/>
        <v>0</v>
      </c>
      <c r="AK11">
        <f t="shared" si="19"/>
        <v>5.8241628995743457E-2</v>
      </c>
      <c r="AL11">
        <f t="shared" si="20"/>
        <v>0</v>
      </c>
    </row>
    <row r="12" spans="1:51" x14ac:dyDescent="0.2">
      <c r="A12">
        <v>2029</v>
      </c>
      <c r="B12">
        <v>4</v>
      </c>
      <c r="C12">
        <f t="shared" si="21"/>
        <v>9.9499678107600218</v>
      </c>
      <c r="D12">
        <f t="shared" si="23"/>
        <v>0.29780659410455623</v>
      </c>
      <c r="E12">
        <f t="shared" si="4"/>
        <v>0.29780659410455623</v>
      </c>
      <c r="F12">
        <f t="shared" si="5"/>
        <v>0</v>
      </c>
      <c r="G12" s="9">
        <f t="shared" si="6"/>
        <v>2.993040779312918E-2</v>
      </c>
      <c r="H12" s="9">
        <f t="shared" si="6"/>
        <v>2.993040779312918E-2</v>
      </c>
      <c r="I12" s="9">
        <f t="shared" si="6"/>
        <v>0</v>
      </c>
      <c r="J12" s="9">
        <f t="shared" si="7"/>
        <v>3.8909530131067934E-3</v>
      </c>
      <c r="K12" s="9">
        <f t="shared" si="8"/>
        <v>5.9860815586258364E-3</v>
      </c>
      <c r="L12" s="9">
        <f t="shared" si="9"/>
        <v>0</v>
      </c>
      <c r="M12">
        <f t="shared" si="0"/>
        <v>9.8519233849984484</v>
      </c>
      <c r="N12">
        <f t="shared" si="10"/>
        <v>2.3953174362758674</v>
      </c>
      <c r="O12">
        <f t="shared" si="24"/>
        <v>7.4566059487225811</v>
      </c>
      <c r="P12">
        <f t="shared" si="22"/>
        <v>0.51216616213777999</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9.3397572228606691</v>
      </c>
      <c r="AB12">
        <f t="shared" si="11"/>
        <v>7.0689637491145119</v>
      </c>
      <c r="AC12">
        <f t="shared" si="12"/>
        <v>2.2707934737461581</v>
      </c>
      <c r="AD12">
        <f t="shared" si="3"/>
        <v>0.10243323242755599</v>
      </c>
      <c r="AE12">
        <f t="shared" si="13"/>
        <v>0</v>
      </c>
      <c r="AF12">
        <f t="shared" si="14"/>
        <v>0.11381470269728444</v>
      </c>
      <c r="AG12">
        <f t="shared" si="15"/>
        <v>0.20486646485511201</v>
      </c>
      <c r="AH12">
        <f t="shared" si="16"/>
        <v>0</v>
      </c>
      <c r="AI12">
        <f t="shared" si="17"/>
        <v>2.6956113796725259E-2</v>
      </c>
      <c r="AJ12">
        <f t="shared" si="18"/>
        <v>0</v>
      </c>
      <c r="AK12">
        <f t="shared" si="19"/>
        <v>0.10243323242755599</v>
      </c>
      <c r="AL12">
        <f t="shared" si="20"/>
        <v>0</v>
      </c>
    </row>
    <row r="13" spans="1:51" x14ac:dyDescent="0.2">
      <c r="A13">
        <v>2030</v>
      </c>
      <c r="B13">
        <v>5</v>
      </c>
      <c r="C13">
        <f t="shared" si="21"/>
        <v>10.158917134785982</v>
      </c>
      <c r="D13">
        <f t="shared" si="23"/>
        <v>0.38024669721500626</v>
      </c>
      <c r="E13">
        <f t="shared" si="4"/>
        <v>0.38024669721500626</v>
      </c>
      <c r="F13">
        <f t="shared" si="5"/>
        <v>0</v>
      </c>
      <c r="G13" s="9">
        <f t="shared" si="6"/>
        <v>3.7429845343749518E-2</v>
      </c>
      <c r="H13" s="9">
        <f t="shared" si="6"/>
        <v>3.7429845343749518E-2</v>
      </c>
      <c r="I13" s="9">
        <f t="shared" si="6"/>
        <v>0</v>
      </c>
      <c r="J13" s="9">
        <f t="shared" si="7"/>
        <v>4.8658798946874379E-3</v>
      </c>
      <c r="K13" s="9">
        <f t="shared" si="8"/>
        <v>7.4859690687499036E-3</v>
      </c>
      <c r="L13" s="9">
        <f t="shared" si="9"/>
        <v>0</v>
      </c>
      <c r="M13">
        <f t="shared" si="0"/>
        <v>10.03380577165683</v>
      </c>
      <c r="N13">
        <f t="shared" si="10"/>
        <v>3.1864806121626765</v>
      </c>
      <c r="O13">
        <f t="shared" si="24"/>
        <v>6.8473251594941535</v>
      </c>
      <c r="P13">
        <f t="shared" si="22"/>
        <v>0.8464771628493668</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9.1873286088074639</v>
      </c>
      <c r="AB13">
        <f t="shared" si="11"/>
        <v>6.2696675382465568</v>
      </c>
      <c r="AC13">
        <f t="shared" si="12"/>
        <v>2.9176610705609076</v>
      </c>
      <c r="AD13">
        <f t="shared" si="3"/>
        <v>0.16929543256987337</v>
      </c>
      <c r="AE13">
        <f t="shared" si="13"/>
        <v>0</v>
      </c>
      <c r="AF13">
        <f t="shared" si="14"/>
        <v>0.18810603618874822</v>
      </c>
      <c r="AG13">
        <f t="shared" si="15"/>
        <v>0.33859086513974679</v>
      </c>
      <c r="AH13">
        <f t="shared" si="16"/>
        <v>0</v>
      </c>
      <c r="AI13">
        <f t="shared" si="17"/>
        <v>4.4551429623650884E-2</v>
      </c>
      <c r="AJ13">
        <f t="shared" si="18"/>
        <v>0</v>
      </c>
      <c r="AK13">
        <f t="shared" si="19"/>
        <v>0.16929543256987337</v>
      </c>
      <c r="AL13">
        <f t="shared" si="20"/>
        <v>0</v>
      </c>
    </row>
    <row r="14" spans="1:51" x14ac:dyDescent="0.2">
      <c r="A14">
        <v>2031</v>
      </c>
      <c r="B14">
        <v>6</v>
      </c>
      <c r="C14">
        <f t="shared" si="21"/>
        <v>10.372254394616487</v>
      </c>
      <c r="D14">
        <f t="shared" si="23"/>
        <v>0.46601795194809625</v>
      </c>
      <c r="E14">
        <f t="shared" si="4"/>
        <v>0.46601795194809625</v>
      </c>
      <c r="F14">
        <f t="shared" si="5"/>
        <v>0</v>
      </c>
      <c r="G14" s="9">
        <f t="shared" si="6"/>
        <v>4.4929282894369968E-2</v>
      </c>
      <c r="H14" s="9">
        <f t="shared" si="6"/>
        <v>4.4929282894369968E-2</v>
      </c>
      <c r="I14" s="9">
        <f t="shared" si="6"/>
        <v>0</v>
      </c>
      <c r="J14" s="9">
        <f t="shared" si="7"/>
        <v>5.8408067762680963E-3</v>
      </c>
      <c r="K14" s="9">
        <f t="shared" si="8"/>
        <v>8.9858565788739943E-3</v>
      </c>
      <c r="L14" s="9">
        <f t="shared" si="9"/>
        <v>0</v>
      </c>
      <c r="M14">
        <f t="shared" si="0"/>
        <v>10.219012854635935</v>
      </c>
      <c r="N14">
        <f t="shared" si="10"/>
        <v>4.0060266907569133</v>
      </c>
      <c r="O14">
        <f t="shared" si="24"/>
        <v>6.2129861638790214</v>
      </c>
      <c r="P14">
        <f t="shared" si="22"/>
        <v>1.3373021476867015</v>
      </c>
      <c r="Q14" s="9">
        <f t="shared" si="1"/>
        <v>0.13086412226989458</v>
      </c>
      <c r="R14">
        <f>VLOOKUP($B$1,dictionary!$A$3:$K$51,3,FALSE)*Q14</f>
        <v>2.6172824453978918E-2</v>
      </c>
      <c r="S14">
        <f>VLOOKUP($B$1,dictionary!$A$3:$K$51,4,FALSE)*Q14</f>
        <v>0</v>
      </c>
      <c r="T14">
        <f>VLOOKUP($B$1,dictionary!$A$3:$K$51,5,FALSE)*Q14</f>
        <v>2.6172824453978918E-2</v>
      </c>
      <c r="U14">
        <f>VLOOKUP($B$1,dictionary!$A$3:$K$51,6,FALSE)*Q14</f>
        <v>4.5802442794463098E-2</v>
      </c>
      <c r="V14">
        <f>VLOOKUP($B$1,dictionary!$A$3:$K$51,7,FALSE)*Q14</f>
        <v>0</v>
      </c>
      <c r="W14">
        <f>VLOOKUP($B$1,dictionary!$A$3:$K$51,8,FALSE)*Q14</f>
        <v>6.5432061134947294E-3</v>
      </c>
      <c r="X14">
        <f>VLOOKUP($B$1,dictionary!$A$3:$K$51,9,FALSE)*Q14</f>
        <v>0</v>
      </c>
      <c r="Y14">
        <f>VLOOKUP($B$1,dictionary!$A$3:$K$51,10,FALSE)*Q14</f>
        <v>2.6172824453978918E-2</v>
      </c>
      <c r="Z14">
        <f>VLOOKUP($B$1,dictionary!$A$3:$K$51,11,FALSE)*Q14</f>
        <v>0</v>
      </c>
      <c r="AA14">
        <f t="shared" si="2"/>
        <v>8.8817107069492334</v>
      </c>
      <c r="AB14">
        <f t="shared" si="11"/>
        <v>5.3999291828679938</v>
      </c>
      <c r="AC14">
        <f t="shared" si="12"/>
        <v>3.4817815240812395</v>
      </c>
      <c r="AD14">
        <f t="shared" si="3"/>
        <v>0.26746042953734028</v>
      </c>
      <c r="AE14">
        <f t="shared" si="13"/>
        <v>0</v>
      </c>
      <c r="AF14">
        <f t="shared" si="14"/>
        <v>0.2971782550414892</v>
      </c>
      <c r="AG14">
        <f t="shared" si="15"/>
        <v>0.53492085907468057</v>
      </c>
      <c r="AH14">
        <f t="shared" si="16"/>
        <v>0</v>
      </c>
      <c r="AI14">
        <f t="shared" si="17"/>
        <v>7.0384323562457968E-2</v>
      </c>
      <c r="AJ14">
        <f t="shared" si="18"/>
        <v>0</v>
      </c>
      <c r="AK14">
        <f t="shared" si="19"/>
        <v>0.26746042953734028</v>
      </c>
      <c r="AL14">
        <f t="shared" si="20"/>
        <v>0</v>
      </c>
    </row>
    <row r="15" spans="1:51" x14ac:dyDescent="0.2">
      <c r="A15">
        <v>2032</v>
      </c>
      <c r="B15">
        <v>7</v>
      </c>
      <c r="C15">
        <f t="shared" si="21"/>
        <v>10.590071736903433</v>
      </c>
      <c r="D15">
        <f t="shared" si="23"/>
        <v>0.55518818517191182</v>
      </c>
      <c r="E15">
        <f t="shared" si="4"/>
        <v>0.55518818517191182</v>
      </c>
      <c r="F15">
        <f t="shared" si="5"/>
        <v>0</v>
      </c>
      <c r="G15" s="9">
        <f t="shared" si="6"/>
        <v>5.2425346963159522E-2</v>
      </c>
      <c r="H15" s="9">
        <f t="shared" si="6"/>
        <v>5.2425346963159522E-2</v>
      </c>
      <c r="I15" s="9">
        <f t="shared" si="6"/>
        <v>0</v>
      </c>
      <c r="J15" s="9">
        <f t="shared" si="7"/>
        <v>6.8152951052107384E-3</v>
      </c>
      <c r="K15" s="9">
        <f t="shared" si="8"/>
        <v>1.0485069392631906E-2</v>
      </c>
      <c r="L15" s="9">
        <f t="shared" si="9"/>
        <v>0</v>
      </c>
      <c r="M15">
        <f t="shared" si="0"/>
        <v>10.407616390060875</v>
      </c>
      <c r="N15">
        <f t="shared" si="10"/>
        <v>4.8211282834892772</v>
      </c>
      <c r="O15">
        <f t="shared" si="24"/>
        <v>5.5864881065715979</v>
      </c>
      <c r="P15">
        <f>IF($I$3=0,0,M15/(1+EXP(-$I$3*(B15-$J$3)))-M15/(1+EXP($I$3*$J$3)))</f>
        <v>2.0282719715846458</v>
      </c>
      <c r="Q15" s="9">
        <f t="shared" si="1"/>
        <v>0.19488342917035417</v>
      </c>
      <c r="R15">
        <f>VLOOKUP($B$1,dictionary!$A$3:$K$51,3,FALSE)*Q15</f>
        <v>3.8976685834070837E-2</v>
      </c>
      <c r="S15">
        <f>VLOOKUP($B$1,dictionary!$A$3:$K$51,4,FALSE)*Q15</f>
        <v>0</v>
      </c>
      <c r="T15">
        <f>VLOOKUP($B$1,dictionary!$A$3:$K$51,5,FALSE)*Q15</f>
        <v>3.8976685834070837E-2</v>
      </c>
      <c r="U15">
        <f>VLOOKUP($B$1,dictionary!$A$3:$K$51,6,FALSE)*Q15</f>
        <v>6.8209200209623955E-2</v>
      </c>
      <c r="V15">
        <f>VLOOKUP($B$1,dictionary!$A$3:$K$51,7,FALSE)*Q15</f>
        <v>0</v>
      </c>
      <c r="W15">
        <f>VLOOKUP($B$1,dictionary!$A$3:$K$51,8,FALSE)*Q15</f>
        <v>9.7441714585177093E-3</v>
      </c>
      <c r="X15">
        <f>VLOOKUP($B$1,dictionary!$A$3:$K$51,9,FALSE)*Q15</f>
        <v>0</v>
      </c>
      <c r="Y15">
        <f>VLOOKUP($B$1,dictionary!$A$3:$K$51,10,FALSE)*Q15</f>
        <v>3.8976685834070837E-2</v>
      </c>
      <c r="Z15">
        <f>VLOOKUP($B$1,dictionary!$A$3:$K$51,11,FALSE)*Q15</f>
        <v>0</v>
      </c>
      <c r="AA15">
        <f t="shared" si="2"/>
        <v>8.3793444184762294</v>
      </c>
      <c r="AB15">
        <f t="shared" si="11"/>
        <v>4.4977741473435264</v>
      </c>
      <c r="AC15">
        <f t="shared" si="12"/>
        <v>3.8815702711327038</v>
      </c>
      <c r="AD15">
        <f t="shared" si="3"/>
        <v>0.40565439431692918</v>
      </c>
      <c r="AE15">
        <f t="shared" si="13"/>
        <v>0</v>
      </c>
      <c r="AF15">
        <f t="shared" si="14"/>
        <v>0.45072710479658801</v>
      </c>
      <c r="AG15">
        <f t="shared" si="15"/>
        <v>0.81130878863385836</v>
      </c>
      <c r="AH15">
        <f t="shared" si="16"/>
        <v>0</v>
      </c>
      <c r="AI15">
        <f t="shared" si="17"/>
        <v>0.10675115639919189</v>
      </c>
      <c r="AJ15">
        <f t="shared" si="18"/>
        <v>0</v>
      </c>
      <c r="AK15">
        <f t="shared" si="19"/>
        <v>0.40565439431692918</v>
      </c>
      <c r="AL15">
        <f t="shared" si="20"/>
        <v>0</v>
      </c>
    </row>
    <row r="16" spans="1:51" x14ac:dyDescent="0.2">
      <c r="A16">
        <v>2033</v>
      </c>
      <c r="B16">
        <v>8</v>
      </c>
      <c r="C16">
        <f t="shared" si="21"/>
        <v>10.812463243378403</v>
      </c>
      <c r="D16">
        <f t="shared" si="23"/>
        <v>0.64782516857977246</v>
      </c>
      <c r="E16">
        <f t="shared" si="4"/>
        <v>0.64782516857977246</v>
      </c>
      <c r="F16">
        <f t="shared" si="5"/>
        <v>0</v>
      </c>
      <c r="G16" s="9">
        <f t="shared" si="6"/>
        <v>5.9914670135549665E-2</v>
      </c>
      <c r="H16" s="9">
        <f t="shared" si="6"/>
        <v>5.9914670135549665E-2</v>
      </c>
      <c r="I16" s="9">
        <f t="shared" si="6"/>
        <v>0</v>
      </c>
      <c r="J16" s="9">
        <f t="shared" si="7"/>
        <v>7.7889071176214571E-3</v>
      </c>
      <c r="K16" s="9">
        <f t="shared" si="8"/>
        <v>1.1982934027109933E-2</v>
      </c>
      <c r="L16" s="9">
        <f t="shared" si="9"/>
        <v>0</v>
      </c>
      <c r="M16">
        <f t="shared" si="0"/>
        <v>10.599690107760383</v>
      </c>
      <c r="N16">
        <f t="shared" si="10"/>
        <v>5.6021903899981762</v>
      </c>
      <c r="O16">
        <f t="shared" si="24"/>
        <v>4.9974997177622065</v>
      </c>
      <c r="P16">
        <f t="shared" si="22"/>
        <v>2.9473875105529341</v>
      </c>
      <c r="Q16" s="9">
        <f t="shared" si="1"/>
        <v>0.27806355474440281</v>
      </c>
      <c r="R16">
        <f>VLOOKUP($B$1,dictionary!$A$3:$K$51,3,FALSE)*Q16</f>
        <v>5.5612710948880567E-2</v>
      </c>
      <c r="S16">
        <f>VLOOKUP($B$1,dictionary!$A$3:$K$51,4,FALSE)*Q16</f>
        <v>0</v>
      </c>
      <c r="T16">
        <f>VLOOKUP($B$1,dictionary!$A$3:$K$51,5,FALSE)*Q16</f>
        <v>5.5612710948880567E-2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5.5612710948880567E-2</v>
      </c>
      <c r="Z16">
        <f>VLOOKUP($B$1,dictionary!$A$3:$K$51,11,FALSE)*Q16</f>
        <v>0</v>
      </c>
      <c r="AA16">
        <f t="shared" si="2"/>
        <v>7.6523025972074485</v>
      </c>
      <c r="AB16">
        <f t="shared" si="11"/>
        <v>3.6078771814070976</v>
      </c>
      <c r="AC16">
        <f t="shared" si="12"/>
        <v>4.044425415800351</v>
      </c>
      <c r="AD16">
        <f t="shared" si="3"/>
        <v>0.58947750211058692</v>
      </c>
      <c r="AE16">
        <f t="shared" si="13"/>
        <v>0</v>
      </c>
      <c r="AF16">
        <f t="shared" si="14"/>
        <v>0.65497500234509654</v>
      </c>
      <c r="AG16">
        <f t="shared" si="15"/>
        <v>1.1789550042211738</v>
      </c>
      <c r="AH16">
        <f t="shared" si="16"/>
        <v>0</v>
      </c>
      <c r="AI16">
        <f t="shared" si="17"/>
        <v>0.15512565845015441</v>
      </c>
      <c r="AJ16">
        <f t="shared" si="18"/>
        <v>0</v>
      </c>
      <c r="AK16">
        <f t="shared" si="19"/>
        <v>0.58947750211058692</v>
      </c>
      <c r="AL16">
        <f t="shared" si="20"/>
        <v>0</v>
      </c>
    </row>
    <row r="17" spans="1:38" x14ac:dyDescent="0.2">
      <c r="A17">
        <v>2034</v>
      </c>
      <c r="B17">
        <v>9</v>
      </c>
      <c r="C17">
        <f t="shared" si="21"/>
        <v>11.039524971489348</v>
      </c>
      <c r="D17">
        <f t="shared" si="23"/>
        <v>0.74399661005329687</v>
      </c>
      <c r="E17">
        <f t="shared" si="4"/>
        <v>0.74399661005329687</v>
      </c>
      <c r="F17">
        <f t="shared" si="5"/>
        <v>0</v>
      </c>
      <c r="G17" s="9">
        <f t="shared" si="6"/>
        <v>6.7393897108321318E-2</v>
      </c>
      <c r="H17" s="9">
        <f t="shared" si="6"/>
        <v>6.7393897108321318E-2</v>
      </c>
      <c r="I17" s="9">
        <f t="shared" si="6"/>
        <v>0</v>
      </c>
      <c r="J17" s="9">
        <f t="shared" si="7"/>
        <v>8.7612066240817712E-3</v>
      </c>
      <c r="K17" s="9">
        <f t="shared" si="8"/>
        <v>1.3478779421664264E-2</v>
      </c>
      <c r="L17" s="9">
        <f t="shared" si="9"/>
        <v>0</v>
      </c>
      <c r="M17">
        <f t="shared" si="0"/>
        <v>10.795309751777419</v>
      </c>
      <c r="N17">
        <f t="shared" si="10"/>
        <v>6.3271230536697116</v>
      </c>
      <c r="O17">
        <f t="shared" si="24"/>
        <v>4.468186698107707</v>
      </c>
      <c r="P17">
        <f t="shared" si="22"/>
        <v>4.0846626257852279</v>
      </c>
      <c r="Q17" s="9">
        <f t="shared" si="1"/>
        <v>0.37837382342018477</v>
      </c>
      <c r="R17">
        <f>VLOOKUP($B$1,dictionary!$A$3:$K$51,3,FALSE)*Q17</f>
        <v>7.5674764684036958E-2</v>
      </c>
      <c r="S17">
        <f>VLOOKUP($B$1,dictionary!$A$3:$K$51,4,FALSE)*Q17</f>
        <v>0</v>
      </c>
      <c r="T17">
        <f>VLOOKUP($B$1,dictionary!$A$3:$K$51,5,FALSE)*Q17</f>
        <v>7.5674764684036958E-2</v>
      </c>
      <c r="U17">
        <f>VLOOKUP($B$1,dictionary!$A$3:$K$51,6,FALSE)*Q17</f>
        <v>0.13243083819706467</v>
      </c>
      <c r="V17">
        <f>VLOOKUP($B$1,dictionary!$A$3:$K$51,7,FALSE)*Q17</f>
        <v>0</v>
      </c>
      <c r="W17">
        <f>VLOOKUP($B$1,dictionary!$A$3:$K$51,8,FALSE)*Q17</f>
        <v>1.8918691171009239E-2</v>
      </c>
      <c r="X17">
        <f>VLOOKUP($B$1,dictionary!$A$3:$K$51,9,FALSE)*Q17</f>
        <v>0</v>
      </c>
      <c r="Y17">
        <f>VLOOKUP($B$1,dictionary!$A$3:$K$51,10,FALSE)*Q17</f>
        <v>7.5674764684036958E-2</v>
      </c>
      <c r="Z17">
        <f>VLOOKUP($B$1,dictionary!$A$3:$K$51,11,FALSE)*Q17</f>
        <v>0</v>
      </c>
      <c r="AA17">
        <f t="shared" si="2"/>
        <v>6.7106471259921907</v>
      </c>
      <c r="AB17">
        <f t="shared" si="11"/>
        <v>2.7775418133894827</v>
      </c>
      <c r="AC17">
        <f t="shared" si="12"/>
        <v>3.9331053126027076</v>
      </c>
      <c r="AD17">
        <f t="shared" si="3"/>
        <v>0.81693252515704562</v>
      </c>
      <c r="AE17">
        <f t="shared" si="13"/>
        <v>0</v>
      </c>
      <c r="AF17">
        <f t="shared" si="14"/>
        <v>0.90770280573005069</v>
      </c>
      <c r="AG17">
        <f t="shared" si="15"/>
        <v>1.6338650503140912</v>
      </c>
      <c r="AH17">
        <f t="shared" si="16"/>
        <v>0</v>
      </c>
      <c r="AI17">
        <f t="shared" si="17"/>
        <v>0.21498224346238037</v>
      </c>
      <c r="AJ17">
        <f t="shared" si="18"/>
        <v>0</v>
      </c>
      <c r="AK17">
        <f t="shared" si="19"/>
        <v>0.81693252515704562</v>
      </c>
      <c r="AL17">
        <f t="shared" si="20"/>
        <v>0</v>
      </c>
    </row>
    <row r="18" spans="1:38" x14ac:dyDescent="0.2">
      <c r="A18">
        <v>2035</v>
      </c>
      <c r="B18">
        <v>10</v>
      </c>
      <c r="C18">
        <f t="shared" si="21"/>
        <v>11.271354995890624</v>
      </c>
      <c r="D18">
        <f t="shared" si="23"/>
        <v>0.84377014862136956</v>
      </c>
      <c r="E18">
        <f t="shared" si="4"/>
        <v>0.84377014862136956</v>
      </c>
      <c r="F18">
        <f t="shared" si="5"/>
        <v>0</v>
      </c>
      <c r="G18" s="9">
        <f t="shared" si="6"/>
        <v>7.4859690687499078E-2</v>
      </c>
      <c r="H18" s="9">
        <f t="shared" si="6"/>
        <v>7.4859690687499078E-2</v>
      </c>
      <c r="I18" s="9">
        <f t="shared" si="6"/>
        <v>0</v>
      </c>
      <c r="J18" s="9">
        <f t="shared" si="7"/>
        <v>9.731759789374881E-3</v>
      </c>
      <c r="K18" s="9">
        <f t="shared" si="8"/>
        <v>1.4971938137499816E-2</v>
      </c>
      <c r="L18" s="9">
        <f t="shared" si="9"/>
        <v>0</v>
      </c>
      <c r="M18">
        <f t="shared" si="0"/>
        <v>10.994553120526337</v>
      </c>
      <c r="N18">
        <f t="shared" si="10"/>
        <v>6.983178896468683</v>
      </c>
      <c r="O18">
        <f t="shared" si="24"/>
        <v>4.0113742240576542</v>
      </c>
      <c r="P18">
        <f t="shared" si="22"/>
        <v>5.3764800358789362</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5.618073084647401</v>
      </c>
      <c r="AB18">
        <f t="shared" si="11"/>
        <v>2.0497598504983889</v>
      </c>
      <c r="AC18">
        <f t="shared" si="12"/>
        <v>3.5683132341490125</v>
      </c>
      <c r="AD18">
        <f t="shared" si="3"/>
        <v>1.0752960071757873</v>
      </c>
      <c r="AE18">
        <f t="shared" si="13"/>
        <v>0</v>
      </c>
      <c r="AF18">
        <f t="shared" si="14"/>
        <v>1.1947733413064303</v>
      </c>
      <c r="AG18">
        <f t="shared" si="15"/>
        <v>2.1505920143515747</v>
      </c>
      <c r="AH18">
        <f t="shared" si="16"/>
        <v>0</v>
      </c>
      <c r="AI18">
        <f t="shared" si="17"/>
        <v>0.28297263346731238</v>
      </c>
      <c r="AJ18">
        <f t="shared" si="18"/>
        <v>0</v>
      </c>
      <c r="AK18">
        <f t="shared" si="19"/>
        <v>1.0752960071757873</v>
      </c>
      <c r="AL18">
        <f t="shared" si="20"/>
        <v>0</v>
      </c>
    </row>
    <row r="19" spans="1:38" x14ac:dyDescent="0.2">
      <c r="A19">
        <v>2036</v>
      </c>
      <c r="B19">
        <v>11</v>
      </c>
      <c r="C19">
        <f t="shared" si="21"/>
        <v>11.508053450804326</v>
      </c>
      <c r="D19">
        <f t="shared" si="23"/>
        <v>0.94721335311926325</v>
      </c>
      <c r="E19">
        <f t="shared" si="4"/>
        <v>0.94721335311926325</v>
      </c>
      <c r="F19">
        <f t="shared" si="5"/>
        <v>0</v>
      </c>
      <c r="G19" s="9">
        <f t="shared" si="6"/>
        <v>8.2308737717329619E-2</v>
      </c>
      <c r="H19" s="9">
        <f t="shared" si="6"/>
        <v>8.2308737717329619E-2</v>
      </c>
      <c r="I19" s="9">
        <f t="shared" si="6"/>
        <v>0</v>
      </c>
      <c r="J19" s="9">
        <f t="shared" si="7"/>
        <v>1.070013590325285E-2</v>
      </c>
      <c r="K19" s="9">
        <f t="shared" si="8"/>
        <v>1.6461747543465924E-2</v>
      </c>
      <c r="L19" s="9">
        <f t="shared" si="9"/>
        <v>0</v>
      </c>
      <c r="M19">
        <f t="shared" si="0"/>
        <v>11.19750010659652</v>
      </c>
      <c r="N19">
        <f t="shared" si="10"/>
        <v>7.566412969984877</v>
      </c>
      <c r="O19">
        <f t="shared" si="24"/>
        <v>3.6310871366116428</v>
      </c>
      <c r="P19">
        <f t="shared" si="22"/>
        <v>6.7146065959611931</v>
      </c>
      <c r="Q19" s="9">
        <f t="shared" si="1"/>
        <v>0.59965229131862874</v>
      </c>
      <c r="R19">
        <f>VLOOKUP($B$1,dictionary!$A$3:$K$51,3,FALSE)*Q19</f>
        <v>0.11993045826372575</v>
      </c>
      <c r="S19">
        <f>VLOOKUP($B$1,dictionary!$A$3:$K$51,4,FALSE)*Q19</f>
        <v>0</v>
      </c>
      <c r="T19">
        <f>VLOOKUP($B$1,dictionary!$A$3:$K$51,5,FALSE)*Q19</f>
        <v>0.11993045826372575</v>
      </c>
      <c r="U19">
        <f>VLOOKUP($B$1,dictionary!$A$3:$K$51,6,FALSE)*Q19</f>
        <v>0.20987830196152005</v>
      </c>
      <c r="V19">
        <f>VLOOKUP($B$1,dictionary!$A$3:$K$51,7,FALSE)*Q19</f>
        <v>0</v>
      </c>
      <c r="W19">
        <f>VLOOKUP($B$1,dictionary!$A$3:$K$51,8,FALSE)*Q19</f>
        <v>2.9982614565931438E-2</v>
      </c>
      <c r="X19">
        <f>VLOOKUP($B$1,dictionary!$A$3:$K$51,9,FALSE)*Q19</f>
        <v>0</v>
      </c>
      <c r="Y19">
        <f>VLOOKUP($B$1,dictionary!$A$3:$K$51,10,FALSE)*Q19</f>
        <v>0.11993045826372575</v>
      </c>
      <c r="Z19">
        <f>VLOOKUP($B$1,dictionary!$A$3:$K$51,11,FALSE)*Q19</f>
        <v>0</v>
      </c>
      <c r="AA19">
        <f t="shared" si="2"/>
        <v>4.4828935106353267</v>
      </c>
      <c r="AB19">
        <f t="shared" si="11"/>
        <v>1.4536974151648723</v>
      </c>
      <c r="AC19">
        <f t="shared" si="12"/>
        <v>3.029196095470454</v>
      </c>
      <c r="AD19">
        <f t="shared" si="3"/>
        <v>1.3429213191922387</v>
      </c>
      <c r="AE19">
        <f t="shared" si="13"/>
        <v>0</v>
      </c>
      <c r="AF19">
        <f t="shared" si="14"/>
        <v>1.4921347991024874</v>
      </c>
      <c r="AG19">
        <f t="shared" si="15"/>
        <v>2.6858426383844773</v>
      </c>
      <c r="AH19">
        <f t="shared" si="16"/>
        <v>0</v>
      </c>
      <c r="AI19">
        <f t="shared" si="17"/>
        <v>0.35340034715585222</v>
      </c>
      <c r="AJ19">
        <f t="shared" si="18"/>
        <v>0</v>
      </c>
      <c r="AK19">
        <f t="shared" si="19"/>
        <v>1.3429213191922387</v>
      </c>
      <c r="AL19">
        <f t="shared" si="20"/>
        <v>0</v>
      </c>
    </row>
    <row r="20" spans="1:38" x14ac:dyDescent="0.2">
      <c r="A20">
        <v>2037</v>
      </c>
      <c r="B20">
        <v>12</v>
      </c>
      <c r="C20">
        <f t="shared" si="21"/>
        <v>11.749722573271216</v>
      </c>
      <c r="D20">
        <f t="shared" si="23"/>
        <v>1.0543937246355837</v>
      </c>
      <c r="E20">
        <f t="shared" si="4"/>
        <v>1.0543937246355837</v>
      </c>
      <c r="F20">
        <f t="shared" si="5"/>
        <v>0</v>
      </c>
      <c r="G20" s="9">
        <f t="shared" si="6"/>
        <v>8.9737754918074814E-2</v>
      </c>
      <c r="H20" s="9">
        <f t="shared" si="6"/>
        <v>8.9737754918074814E-2</v>
      </c>
      <c r="I20" s="9">
        <f t="shared" si="6"/>
        <v>0</v>
      </c>
      <c r="J20" s="9">
        <f t="shared" si="7"/>
        <v>1.1665908139349725E-2</v>
      </c>
      <c r="K20" s="9">
        <f t="shared" si="8"/>
        <v>1.7947550983614963E-2</v>
      </c>
      <c r="L20" s="9">
        <f t="shared" si="9"/>
        <v>0</v>
      </c>
      <c r="M20">
        <f t="shared" si="0"/>
        <v>11.404232736208332</v>
      </c>
      <c r="N20">
        <f t="shared" si="10"/>
        <v>8.0796440660006539</v>
      </c>
      <c r="O20">
        <f t="shared" si="24"/>
        <v>3.3245886702076781</v>
      </c>
      <c r="P20">
        <f>IF($I$3=0,0,M20/(1+EXP(-$I$3*(B20-$J$3)))-M20/(1+EXP($I$3*$J$3)))</f>
        <v>7.9825359408084466</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3.4216967953998854</v>
      </c>
      <c r="AB20">
        <f t="shared" si="11"/>
        <v>0.99750107368069829</v>
      </c>
      <c r="AC20">
        <f t="shared" si="12"/>
        <v>2.4241957217191867</v>
      </c>
      <c r="AD20">
        <f t="shared" si="3"/>
        <v>1.5965071881616895</v>
      </c>
      <c r="AE20">
        <f t="shared" si="13"/>
        <v>0</v>
      </c>
      <c r="AF20">
        <f t="shared" si="14"/>
        <v>1.7738968757352107</v>
      </c>
      <c r="AG20">
        <f t="shared" si="15"/>
        <v>3.1930143763233789</v>
      </c>
      <c r="AH20">
        <f t="shared" si="16"/>
        <v>0</v>
      </c>
      <c r="AI20">
        <f t="shared" si="17"/>
        <v>0.42013347056886563</v>
      </c>
      <c r="AJ20">
        <f t="shared" si="18"/>
        <v>0</v>
      </c>
      <c r="AK20">
        <f t="shared" si="19"/>
        <v>1.5965071881616895</v>
      </c>
      <c r="AL20">
        <f t="shared" si="20"/>
        <v>0</v>
      </c>
    </row>
    <row r="21" spans="1:38" x14ac:dyDescent="0.2">
      <c r="A21">
        <v>2038</v>
      </c>
      <c r="B21">
        <v>13</v>
      </c>
      <c r="C21">
        <f t="shared" si="21"/>
        <v>11.99646674730991</v>
      </c>
      <c r="D21">
        <f t="shared" si="23"/>
        <v>1.1653787028176508</v>
      </c>
      <c r="E21">
        <f t="shared" si="4"/>
        <v>1.1653787028176508</v>
      </c>
      <c r="F21">
        <f t="shared" si="5"/>
        <v>0</v>
      </c>
      <c r="G21" s="9">
        <f t="shared" si="6"/>
        <v>9.7143494610942474E-2</v>
      </c>
      <c r="H21" s="9">
        <f t="shared" si="6"/>
        <v>9.7143494610942474E-2</v>
      </c>
      <c r="I21" s="9">
        <f t="shared" si="6"/>
        <v>0</v>
      </c>
      <c r="J21" s="9">
        <f t="shared" si="7"/>
        <v>1.2628654299422523E-2</v>
      </c>
      <c r="K21" s="9">
        <f t="shared" si="8"/>
        <v>1.9428698922188497E-2</v>
      </c>
      <c r="L21" s="9">
        <f t="shared" si="9"/>
        <v>0</v>
      </c>
      <c r="M21">
        <f t="shared" si="0"/>
        <v>11.614835208333245</v>
      </c>
      <c r="N21">
        <f t="shared" si="10"/>
        <v>8.5299556479189196</v>
      </c>
      <c r="O21">
        <f t="shared" si="24"/>
        <v>3.0848795604143255</v>
      </c>
      <c r="P21">
        <f t="shared" si="22"/>
        <v>9.0960732374891968</v>
      </c>
      <c r="Q21" s="9">
        <f t="shared" si="1"/>
        <v>0.78314268556845967</v>
      </c>
      <c r="R21">
        <f>VLOOKUP($B$1,dictionary!$A$3:$K$51,3,FALSE)*Q21</f>
        <v>0.15662853711369196</v>
      </c>
      <c r="S21">
        <f>VLOOKUP($B$1,dictionary!$A$3:$K$51,4,FALSE)*Q21</f>
        <v>0</v>
      </c>
      <c r="T21">
        <f>VLOOKUP($B$1,dictionary!$A$3:$K$51,5,FALSE)*Q21</f>
        <v>0.15662853711369196</v>
      </c>
      <c r="U21">
        <f>VLOOKUP($B$1,dictionary!$A$3:$K$51,6,FALSE)*Q21</f>
        <v>0.27409993994896087</v>
      </c>
      <c r="V21">
        <f>VLOOKUP($B$1,dictionary!$A$3:$K$51,7,FALSE)*Q21</f>
        <v>0</v>
      </c>
      <c r="W21">
        <f>VLOOKUP($B$1,dictionary!$A$3:$K$51,8,FALSE)*Q21</f>
        <v>3.9157134278422989E-2</v>
      </c>
      <c r="X21">
        <f>VLOOKUP($B$1,dictionary!$A$3:$K$51,9,FALSE)*Q21</f>
        <v>0</v>
      </c>
      <c r="Y21">
        <f>VLOOKUP($B$1,dictionary!$A$3:$K$51,10,FALSE)*Q21</f>
        <v>0.15662853711369196</v>
      </c>
      <c r="Z21">
        <f>VLOOKUP($B$1,dictionary!$A$3:$K$51,11,FALSE)*Q21</f>
        <v>0</v>
      </c>
      <c r="AA21">
        <f t="shared" si="2"/>
        <v>2.5187619708440483</v>
      </c>
      <c r="AB21">
        <f t="shared" si="11"/>
        <v>0.66897869681620137</v>
      </c>
      <c r="AC21">
        <f t="shared" si="12"/>
        <v>1.8497832740278468</v>
      </c>
      <c r="AD21">
        <f t="shared" si="3"/>
        <v>1.8192146474978399</v>
      </c>
      <c r="AE21">
        <f t="shared" si="13"/>
        <v>0</v>
      </c>
      <c r="AF21">
        <f t="shared" si="14"/>
        <v>2.021349608330933</v>
      </c>
      <c r="AG21">
        <f t="shared" si="15"/>
        <v>3.6384292949956789</v>
      </c>
      <c r="AH21">
        <f t="shared" si="16"/>
        <v>0</v>
      </c>
      <c r="AI21">
        <f t="shared" si="17"/>
        <v>0.47874069670995778</v>
      </c>
      <c r="AJ21">
        <f t="shared" si="18"/>
        <v>0</v>
      </c>
      <c r="AK21">
        <f t="shared" si="19"/>
        <v>1.8192146474978399</v>
      </c>
      <c r="AL21">
        <f t="shared" si="20"/>
        <v>0</v>
      </c>
    </row>
    <row r="22" spans="1:38" x14ac:dyDescent="0.2">
      <c r="A22">
        <v>2039</v>
      </c>
      <c r="B22">
        <v>14</v>
      </c>
      <c r="C22">
        <f t="shared" si="21"/>
        <v>12.248392549003416</v>
      </c>
      <c r="D22">
        <f t="shared" si="23"/>
        <v>1.2802356760885969</v>
      </c>
      <c r="E22">
        <f t="shared" si="4"/>
        <v>1.2802356760885969</v>
      </c>
      <c r="F22">
        <f t="shared" si="5"/>
        <v>0</v>
      </c>
      <c r="G22" s="9">
        <f t="shared" si="6"/>
        <v>0.10452275030920384</v>
      </c>
      <c r="H22" s="9">
        <f t="shared" si="6"/>
        <v>0.10452275030920384</v>
      </c>
      <c r="I22" s="9">
        <f t="shared" si="6"/>
        <v>0</v>
      </c>
      <c r="J22" s="9">
        <f t="shared" si="7"/>
        <v>1.35879575401965E-2</v>
      </c>
      <c r="K22" s="9">
        <f t="shared" si="8"/>
        <v>2.090455006184077E-2</v>
      </c>
      <c r="L22" s="9">
        <f t="shared" si="9"/>
        <v>0</v>
      </c>
      <c r="M22">
        <f t="shared" si="0"/>
        <v>11.829393933495806</v>
      </c>
      <c r="N22">
        <f t="shared" si="10"/>
        <v>8.9264739127535933</v>
      </c>
      <c r="O22">
        <f t="shared" si="24"/>
        <v>2.9029200207422132</v>
      </c>
      <c r="P22">
        <f t="shared" si="22"/>
        <v>10.021412934400052</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1.8079809990957543</v>
      </c>
      <c r="AB22">
        <f t="shared" si="11"/>
        <v>0.44367651199232383</v>
      </c>
      <c r="AC22">
        <f t="shared" si="12"/>
        <v>1.3643044871034304</v>
      </c>
      <c r="AD22">
        <f t="shared" si="3"/>
        <v>2.0042825868800103</v>
      </c>
      <c r="AE22">
        <f t="shared" si="13"/>
        <v>0</v>
      </c>
      <c r="AF22">
        <f t="shared" si="14"/>
        <v>2.2269806520889004</v>
      </c>
      <c r="AG22">
        <f t="shared" si="15"/>
        <v>4.0085651737600214</v>
      </c>
      <c r="AH22">
        <f t="shared" si="16"/>
        <v>0</v>
      </c>
      <c r="AI22">
        <f t="shared" si="17"/>
        <v>0.52744278602105532</v>
      </c>
      <c r="AJ22">
        <f t="shared" si="18"/>
        <v>0</v>
      </c>
      <c r="AK22">
        <f t="shared" si="19"/>
        <v>2.0042825868800103</v>
      </c>
      <c r="AL22">
        <f t="shared" si="20"/>
        <v>0</v>
      </c>
    </row>
    <row r="23" spans="1:38" x14ac:dyDescent="0.2">
      <c r="A23">
        <v>2040</v>
      </c>
      <c r="B23">
        <v>15</v>
      </c>
      <c r="C23">
        <f t="shared" si="21"/>
        <v>12.505608792532486</v>
      </c>
      <c r="D23">
        <f t="shared" si="23"/>
        <v>1.3990319958120558</v>
      </c>
      <c r="E23">
        <f t="shared" si="4"/>
        <v>1.3990319958120558</v>
      </c>
      <c r="F23">
        <f t="shared" si="5"/>
        <v>0</v>
      </c>
      <c r="G23" s="9">
        <f t="shared" si="6"/>
        <v>0.11187236215540856</v>
      </c>
      <c r="H23" s="9">
        <f t="shared" si="6"/>
        <v>0.11187236215540856</v>
      </c>
      <c r="I23" s="9">
        <f t="shared" si="6"/>
        <v>0</v>
      </c>
      <c r="J23" s="9">
        <f t="shared" si="7"/>
        <v>1.4543407080203114E-2</v>
      </c>
      <c r="K23" s="9">
        <f t="shared" si="8"/>
        <v>2.2374472431081715E-2</v>
      </c>
      <c r="L23" s="9">
        <f t="shared" si="9"/>
        <v>0</v>
      </c>
      <c r="M23">
        <f t="shared" si="0"/>
        <v>12.047997572281172</v>
      </c>
      <c r="N23">
        <f t="shared" si="10"/>
        <v>9.2787484994334317</v>
      </c>
      <c r="O23">
        <f t="shared" si="24"/>
        <v>2.7692490728477406</v>
      </c>
      <c r="P23">
        <f t="shared" si="22"/>
        <v>10.766856792518215</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1.281140779762957</v>
      </c>
      <c r="AB23">
        <f t="shared" si="11"/>
        <v>0.29447199796158813</v>
      </c>
      <c r="AC23">
        <f t="shared" si="12"/>
        <v>0.98666878180136897</v>
      </c>
      <c r="AD23">
        <f t="shared" si="3"/>
        <v>2.1533713585036431</v>
      </c>
      <c r="AE23">
        <f t="shared" si="13"/>
        <v>0</v>
      </c>
      <c r="AF23">
        <f t="shared" si="14"/>
        <v>2.3926348427818258</v>
      </c>
      <c r="AG23">
        <f t="shared" si="15"/>
        <v>4.3067427170072863</v>
      </c>
      <c r="AH23">
        <f t="shared" si="16"/>
        <v>0</v>
      </c>
      <c r="AI23">
        <f t="shared" si="17"/>
        <v>0.56667667329043236</v>
      </c>
      <c r="AJ23">
        <f t="shared" si="18"/>
        <v>0</v>
      </c>
      <c r="AK23">
        <f t="shared" si="19"/>
        <v>2.1533713585036431</v>
      </c>
      <c r="AL23">
        <f t="shared" si="20"/>
        <v>0</v>
      </c>
    </row>
    <row r="24" spans="1:38" x14ac:dyDescent="0.2">
      <c r="A24">
        <v>2041</v>
      </c>
      <c r="B24">
        <v>16</v>
      </c>
      <c r="C24">
        <f t="shared" si="21"/>
        <v>12.768226577175668</v>
      </c>
      <c r="D24">
        <f t="shared" si="23"/>
        <v>1.5218349944228926</v>
      </c>
      <c r="E24">
        <f t="shared" si="4"/>
        <v>1.5218349944228926</v>
      </c>
      <c r="F24">
        <f t="shared" si="5"/>
        <v>0</v>
      </c>
      <c r="G24" s="9">
        <f t="shared" si="6"/>
        <v>0.11918922218558582</v>
      </c>
      <c r="H24" s="9">
        <f t="shared" si="6"/>
        <v>0.11918922218558582</v>
      </c>
      <c r="I24" s="9">
        <f t="shared" si="6"/>
        <v>0</v>
      </c>
      <c r="J24" s="9">
        <f t="shared" si="7"/>
        <v>1.5494598884126158E-2</v>
      </c>
      <c r="K24" s="9">
        <f t="shared" si="8"/>
        <v>2.3837844437117166E-2</v>
      </c>
      <c r="L24" s="9">
        <f t="shared" si="9"/>
        <v>0</v>
      </c>
      <c r="M24">
        <f t="shared" si="0"/>
        <v>12.270737073577395</v>
      </c>
      <c r="N24">
        <f t="shared" si="10"/>
        <v>9.5957567244809869</v>
      </c>
      <c r="O24">
        <f t="shared" si="24"/>
        <v>2.6749803490964084</v>
      </c>
      <c r="P24">
        <f t="shared" si="22"/>
        <v>11.363189694498733</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0.90754737907866279</v>
      </c>
      <c r="AB24">
        <f t="shared" si="11"/>
        <v>0.19784234560260297</v>
      </c>
      <c r="AC24">
        <f t="shared" si="12"/>
        <v>0.70970503347605984</v>
      </c>
      <c r="AD24">
        <f t="shared" si="3"/>
        <v>2.2726379388997469</v>
      </c>
      <c r="AE24">
        <f t="shared" si="13"/>
        <v>0</v>
      </c>
      <c r="AF24">
        <f t="shared" si="14"/>
        <v>2.5251532654441631</v>
      </c>
      <c r="AG24">
        <f t="shared" si="15"/>
        <v>4.5452758777994928</v>
      </c>
      <c r="AH24">
        <f t="shared" si="16"/>
        <v>0</v>
      </c>
      <c r="AI24">
        <f t="shared" si="17"/>
        <v>0.59806261549993334</v>
      </c>
      <c r="AJ24">
        <f t="shared" si="18"/>
        <v>0</v>
      </c>
      <c r="AK24">
        <f t="shared" si="19"/>
        <v>2.2726379388997469</v>
      </c>
      <c r="AL24">
        <f t="shared" si="20"/>
        <v>0</v>
      </c>
    </row>
    <row r="25" spans="1:38" x14ac:dyDescent="0.2">
      <c r="A25">
        <v>2042</v>
      </c>
      <c r="B25">
        <v>17</v>
      </c>
      <c r="C25">
        <f t="shared" si="21"/>
        <v>13.036359335296355</v>
      </c>
      <c r="D25">
        <f t="shared" si="23"/>
        <v>1.6487120075252069</v>
      </c>
      <c r="E25">
        <f t="shared" si="4"/>
        <v>1.6487120075252069</v>
      </c>
      <c r="F25">
        <f t="shared" si="5"/>
        <v>0</v>
      </c>
      <c r="G25" s="9">
        <f t="shared" si="6"/>
        <v>0.12647027940241468</v>
      </c>
      <c r="H25" s="9">
        <f t="shared" si="6"/>
        <v>0.12647027940241468</v>
      </c>
      <c r="I25" s="9">
        <f t="shared" si="6"/>
        <v>0</v>
      </c>
      <c r="J25" s="9">
        <f t="shared" si="7"/>
        <v>1.6441136322313907E-2</v>
      </c>
      <c r="K25" s="9">
        <f t="shared" si="8"/>
        <v>2.5294055880482936E-2</v>
      </c>
      <c r="L25" s="9">
        <f t="shared" si="9"/>
        <v>0</v>
      </c>
      <c r="M25">
        <f t="shared" si="0"/>
        <v>12.497705712587427</v>
      </c>
      <c r="N25">
        <f t="shared" si="10"/>
        <v>9.8854038030277245</v>
      </c>
      <c r="O25">
        <f t="shared" si="24"/>
        <v>2.6123019095597027</v>
      </c>
      <c r="P25">
        <f>IF($I$3=0,0,M25/(1+EXP(-$I$3*(B25-$J$3)))-M25/(1+EXP($I$3*$J$3)))</f>
        <v>11.846847434605722</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0.6508582779817047</v>
      </c>
      <c r="AB25">
        <f t="shared" si="11"/>
        <v>0.13604403572344503</v>
      </c>
      <c r="AC25">
        <f t="shared" si="12"/>
        <v>0.51481424225825967</v>
      </c>
      <c r="AD25">
        <f t="shared" si="3"/>
        <v>2.3693694869211446</v>
      </c>
      <c r="AE25">
        <f t="shared" si="13"/>
        <v>0</v>
      </c>
      <c r="AF25">
        <f t="shared" si="14"/>
        <v>2.6326327632457165</v>
      </c>
      <c r="AG25">
        <f t="shared" si="15"/>
        <v>4.7387389738422891</v>
      </c>
      <c r="AH25">
        <f t="shared" si="16"/>
        <v>0</v>
      </c>
      <c r="AI25">
        <f t="shared" si="17"/>
        <v>0.62351828603188009</v>
      </c>
      <c r="AJ25">
        <f t="shared" si="18"/>
        <v>0</v>
      </c>
      <c r="AK25">
        <f t="shared" si="19"/>
        <v>2.3693694869211446</v>
      </c>
      <c r="AL25">
        <f t="shared" si="20"/>
        <v>0</v>
      </c>
    </row>
    <row r="26" spans="1:38" x14ac:dyDescent="0.2">
      <c r="A26">
        <v>2043</v>
      </c>
      <c r="B26">
        <v>18</v>
      </c>
      <c r="C26">
        <f t="shared" si="21"/>
        <v>13.310122881337577</v>
      </c>
      <c r="D26">
        <f t="shared" si="23"/>
        <v>1.7797303999418883</v>
      </c>
      <c r="E26">
        <f t="shared" si="4"/>
        <v>1.7797303999418883</v>
      </c>
      <c r="F26">
        <f t="shared" si="5"/>
        <v>0</v>
      </c>
      <c r="G26" s="9">
        <f t="shared" si="6"/>
        <v>0.13371254464053733</v>
      </c>
      <c r="H26" s="9">
        <f t="shared" si="6"/>
        <v>0.13371254464053733</v>
      </c>
      <c r="I26" s="9">
        <f t="shared" si="6"/>
        <v>0</v>
      </c>
      <c r="J26" s="9">
        <f t="shared" si="7"/>
        <v>1.7382630803269853E-2</v>
      </c>
      <c r="K26" s="9">
        <f t="shared" si="8"/>
        <v>2.6742508928107468E-2</v>
      </c>
      <c r="L26" s="9">
        <f t="shared" si="9"/>
        <v>0</v>
      </c>
      <c r="M26">
        <f t="shared" si="0"/>
        <v>12.728999128651063</v>
      </c>
      <c r="N26">
        <f t="shared" si="10"/>
        <v>10.154357560674995</v>
      </c>
      <c r="O26">
        <f t="shared" si="24"/>
        <v>2.5746415679760677</v>
      </c>
      <c r="P26">
        <f t="shared" si="22"/>
        <v>12.250593237415039</v>
      </c>
      <c r="Q26" s="9">
        <f t="shared" si="1"/>
        <v>0.96241606379254085</v>
      </c>
      <c r="R26">
        <f>VLOOKUP($B$1,dictionary!$A$3:$K$51,3,FALSE)*Q26</f>
        <v>0.19248321275850819</v>
      </c>
      <c r="S26">
        <f>VLOOKUP($B$1,dictionary!$A$3:$K$51,4,FALSE)*Q26</f>
        <v>0</v>
      </c>
      <c r="T26">
        <f>VLOOKUP($B$1,dictionary!$A$3:$K$51,5,FALSE)*Q26</f>
        <v>0.19248321275850819</v>
      </c>
      <c r="U26">
        <f>VLOOKUP($B$1,dictionary!$A$3:$K$51,6,FALSE)*Q26</f>
        <v>0.33684562232738929</v>
      </c>
      <c r="V26">
        <f>VLOOKUP($B$1,dictionary!$A$3:$K$51,7,FALSE)*Q26</f>
        <v>0</v>
      </c>
      <c r="W26">
        <f>VLOOKUP($B$1,dictionary!$A$3:$K$51,8,FALSE)*Q26</f>
        <v>4.8120803189627047E-2</v>
      </c>
      <c r="X26">
        <f>VLOOKUP($B$1,dictionary!$A$3:$K$51,9,FALSE)*Q26</f>
        <v>0</v>
      </c>
      <c r="Y26">
        <f>VLOOKUP($B$1,dictionary!$A$3:$K$51,10,FALSE)*Q26</f>
        <v>0.19248321275850819</v>
      </c>
      <c r="Z26">
        <f>VLOOKUP($B$1,dictionary!$A$3:$K$51,11,FALSE)*Q26</f>
        <v>0</v>
      </c>
      <c r="AA26">
        <f t="shared" si="2"/>
        <v>0.47840589123602406</v>
      </c>
      <c r="AB26">
        <f t="shared" si="11"/>
        <v>9.6765164447885008E-2</v>
      </c>
      <c r="AC26">
        <f t="shared" si="12"/>
        <v>0.38164072678813904</v>
      </c>
      <c r="AD26">
        <f t="shared" si="3"/>
        <v>2.4501186474830079</v>
      </c>
      <c r="AE26">
        <f t="shared" si="13"/>
        <v>0</v>
      </c>
      <c r="AF26">
        <f t="shared" si="14"/>
        <v>2.7223540527588979</v>
      </c>
      <c r="AG26">
        <f t="shared" si="15"/>
        <v>4.9002372949660158</v>
      </c>
      <c r="AH26">
        <f t="shared" si="16"/>
        <v>0</v>
      </c>
      <c r="AI26">
        <f t="shared" si="17"/>
        <v>0.64476806512710727</v>
      </c>
      <c r="AJ26">
        <f t="shared" si="18"/>
        <v>0</v>
      </c>
      <c r="AK26">
        <f t="shared" si="19"/>
        <v>2.4501186474830079</v>
      </c>
      <c r="AL26">
        <f t="shared" si="20"/>
        <v>0</v>
      </c>
    </row>
    <row r="27" spans="1:38" x14ac:dyDescent="0.2">
      <c r="A27">
        <v>2044</v>
      </c>
      <c r="B27">
        <v>19</v>
      </c>
      <c r="C27">
        <f t="shared" si="21"/>
        <v>13.589635461845665</v>
      </c>
      <c r="D27">
        <f t="shared" si="23"/>
        <v>1.9149575956835374</v>
      </c>
      <c r="E27">
        <f t="shared" si="4"/>
        <v>1.9149575956835374</v>
      </c>
      <c r="F27">
        <f t="shared" si="5"/>
        <v>0</v>
      </c>
      <c r="G27" s="9">
        <f t="shared" si="6"/>
        <v>0.14091309520847581</v>
      </c>
      <c r="H27" s="9">
        <f t="shared" si="6"/>
        <v>0.14091309520847581</v>
      </c>
      <c r="I27" s="9">
        <f t="shared" si="6"/>
        <v>0</v>
      </c>
      <c r="J27" s="9">
        <f t="shared" si="7"/>
        <v>1.8318702377101856E-2</v>
      </c>
      <c r="K27" s="9">
        <f t="shared" si="8"/>
        <v>2.8182619041695164E-2</v>
      </c>
      <c r="L27" s="9">
        <f t="shared" si="9"/>
        <v>0</v>
      </c>
      <c r="M27">
        <f t="shared" si="0"/>
        <v>12.964715362922117</v>
      </c>
      <c r="N27">
        <f t="shared" si="10"/>
        <v>10.408079256174659</v>
      </c>
      <c r="O27">
        <f t="shared" si="24"/>
        <v>2.5566361067474581</v>
      </c>
      <c r="P27">
        <f t="shared" si="22"/>
        <v>12.600264561204117</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0.36445080171800015</v>
      </c>
      <c r="AB27">
        <f t="shared" si="11"/>
        <v>7.1869536100273204E-2</v>
      </c>
      <c r="AC27">
        <f t="shared" si="12"/>
        <v>0.29258126561772696</v>
      </c>
      <c r="AD27">
        <f t="shared" si="3"/>
        <v>2.520052912240824</v>
      </c>
      <c r="AE27">
        <f t="shared" si="13"/>
        <v>0</v>
      </c>
      <c r="AF27">
        <f t="shared" si="14"/>
        <v>2.8000587913786932</v>
      </c>
      <c r="AG27">
        <f t="shared" si="15"/>
        <v>5.0401058244816479</v>
      </c>
      <c r="AH27">
        <f t="shared" si="16"/>
        <v>0</v>
      </c>
      <c r="AI27">
        <f t="shared" si="17"/>
        <v>0.66317181901074307</v>
      </c>
      <c r="AJ27">
        <f t="shared" si="18"/>
        <v>0</v>
      </c>
      <c r="AK27">
        <f t="shared" si="19"/>
        <v>2.520052912240824</v>
      </c>
      <c r="AL27">
        <f t="shared" si="20"/>
        <v>0</v>
      </c>
    </row>
    <row r="28" spans="1:38" x14ac:dyDescent="0.2">
      <c r="A28">
        <v>2045</v>
      </c>
      <c r="B28">
        <v>20</v>
      </c>
      <c r="C28">
        <f t="shared" si="21"/>
        <v>13.875017806544422</v>
      </c>
      <c r="D28">
        <f t="shared" si="23"/>
        <v>2.0544611117886182</v>
      </c>
      <c r="E28">
        <f t="shared" si="4"/>
        <v>2.0544611117886182</v>
      </c>
      <c r="F28">
        <f t="shared" si="5"/>
        <v>0</v>
      </c>
      <c r="G28" s="9">
        <f t="shared" si="6"/>
        <v>0.14806907929297156</v>
      </c>
      <c r="H28" s="9">
        <f t="shared" si="6"/>
        <v>0.14806907929297156</v>
      </c>
      <c r="I28" s="9">
        <f t="shared" si="6"/>
        <v>0</v>
      </c>
      <c r="J28" s="9">
        <f t="shared" si="7"/>
        <v>1.9248980308086302E-2</v>
      </c>
      <c r="K28" s="9">
        <f t="shared" si="8"/>
        <v>2.9613815858594312E-2</v>
      </c>
      <c r="L28" s="9">
        <f t="shared" si="9"/>
        <v>0</v>
      </c>
      <c r="M28">
        <f t="shared" si="0"/>
        <v>13.204954895951087</v>
      </c>
      <c r="N28">
        <f t="shared" si="10"/>
        <v>10.650952000336517</v>
      </c>
      <c r="O28">
        <f t="shared" si="24"/>
        <v>2.5540028956145697</v>
      </c>
      <c r="P28">
        <f t="shared" si="22"/>
        <v>12.914790732188317</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0.29016416376276943</v>
      </c>
      <c r="AB28">
        <f t="shared" si="11"/>
        <v>5.6121366584972125E-2</v>
      </c>
      <c r="AC28">
        <f t="shared" si="12"/>
        <v>0.23404279717779733</v>
      </c>
      <c r="AD28">
        <f t="shared" si="3"/>
        <v>2.5829581464376634</v>
      </c>
      <c r="AE28">
        <f t="shared" si="13"/>
        <v>0</v>
      </c>
      <c r="AF28">
        <f t="shared" si="14"/>
        <v>2.8699534960418487</v>
      </c>
      <c r="AG28">
        <f t="shared" si="15"/>
        <v>5.1659162928753268</v>
      </c>
      <c r="AH28">
        <f t="shared" si="16"/>
        <v>0</v>
      </c>
      <c r="AI28">
        <f t="shared" si="17"/>
        <v>0.67972582800991133</v>
      </c>
      <c r="AJ28">
        <f t="shared" si="18"/>
        <v>0</v>
      </c>
      <c r="AK28">
        <f t="shared" si="19"/>
        <v>2.5829581464376634</v>
      </c>
      <c r="AL28">
        <f t="shared" si="20"/>
        <v>0</v>
      </c>
    </row>
    <row r="29" spans="1:38" x14ac:dyDescent="0.2">
      <c r="A29">
        <v>2046</v>
      </c>
      <c r="B29">
        <v>21</v>
      </c>
      <c r="C29">
        <f t="shared" si="21"/>
        <v>14.166393180481853</v>
      </c>
      <c r="D29">
        <f t="shared" si="23"/>
        <v>2.1983085959715023</v>
      </c>
      <c r="E29">
        <f t="shared" si="4"/>
        <v>2.1983085959715023</v>
      </c>
      <c r="F29">
        <f t="shared" si="5"/>
        <v>0</v>
      </c>
      <c r="G29" s="9">
        <f t="shared" si="6"/>
        <v>0.15517772011299841</v>
      </c>
      <c r="H29" s="9">
        <f t="shared" si="6"/>
        <v>0.15517772011299841</v>
      </c>
      <c r="I29" s="9">
        <f t="shared" si="6"/>
        <v>0</v>
      </c>
      <c r="J29" s="9">
        <f t="shared" si="7"/>
        <v>2.0173103614689793E-2</v>
      </c>
      <c r="K29" s="9">
        <f t="shared" si="8"/>
        <v>3.1035544022599684E-2</v>
      </c>
      <c r="L29" s="9">
        <f t="shared" si="9"/>
        <v>0</v>
      </c>
      <c r="M29">
        <f t="shared" si="0"/>
        <v>13.449820685227976</v>
      </c>
      <c r="N29">
        <f t="shared" si="10"/>
        <v>10.886444983283281</v>
      </c>
      <c r="O29">
        <f t="shared" si="24"/>
        <v>2.563375701944695</v>
      </c>
      <c r="P29">
        <f t="shared" si="22"/>
        <v>13.207447790959003</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0.24237289426897313</v>
      </c>
      <c r="AB29">
        <f t="shared" si="11"/>
        <v>4.6193388188547832E-2</v>
      </c>
      <c r="AC29">
        <f t="shared" si="12"/>
        <v>0.19617950608042528</v>
      </c>
      <c r="AD29">
        <f t="shared" si="3"/>
        <v>2.6414895581918012</v>
      </c>
      <c r="AE29">
        <f t="shared" si="13"/>
        <v>0</v>
      </c>
      <c r="AF29">
        <f t="shared" si="14"/>
        <v>2.9349883979908906</v>
      </c>
      <c r="AG29">
        <f t="shared" si="15"/>
        <v>5.2829791163836024</v>
      </c>
      <c r="AH29">
        <f t="shared" si="16"/>
        <v>0</v>
      </c>
      <c r="AI29">
        <f t="shared" si="17"/>
        <v>0.69512883110310553</v>
      </c>
      <c r="AJ29">
        <f t="shared" si="18"/>
        <v>0</v>
      </c>
      <c r="AK29">
        <f t="shared" si="19"/>
        <v>2.6414895581918012</v>
      </c>
      <c r="AL29">
        <f t="shared" si="20"/>
        <v>0</v>
      </c>
    </row>
    <row r="30" spans="1:38" x14ac:dyDescent="0.2">
      <c r="A30">
        <v>2047</v>
      </c>
      <c r="B30">
        <v>22</v>
      </c>
      <c r="C30">
        <f t="shared" si="21"/>
        <v>14.463887437271971</v>
      </c>
      <c r="D30">
        <f t="shared" si="23"/>
        <v>2.3465678680006112</v>
      </c>
      <c r="E30">
        <f t="shared" si="4"/>
        <v>2.3465678680006112</v>
      </c>
      <c r="F30">
        <f t="shared" si="5"/>
        <v>0</v>
      </c>
      <c r="G30" s="9">
        <f t="shared" si="6"/>
        <v>0.16223631981217884</v>
      </c>
      <c r="H30" s="9">
        <f t="shared" si="6"/>
        <v>0.16223631981217884</v>
      </c>
      <c r="I30" s="9">
        <f t="shared" si="6"/>
        <v>0</v>
      </c>
      <c r="J30" s="9">
        <f t="shared" si="7"/>
        <v>2.1090721575583251E-2</v>
      </c>
      <c r="K30" s="9">
        <f t="shared" si="8"/>
        <v>3.2447263962435767E-2</v>
      </c>
      <c r="L30" s="9">
        <f t="shared" si="9"/>
        <v>0</v>
      </c>
      <c r="M30">
        <f t="shared" si="0"/>
        <v>13.69941820274421</v>
      </c>
      <c r="N30">
        <f t="shared" si="10"/>
        <v>11.117278906407439</v>
      </c>
      <c r="O30">
        <f t="shared" si="24"/>
        <v>2.5821392963367717</v>
      </c>
      <c r="P30">
        <f t="shared" si="22"/>
        <v>13.487307154492649</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0.21211104825156113</v>
      </c>
      <c r="AB30">
        <f t="shared" si="11"/>
        <v>3.9979819928982682E-2</v>
      </c>
      <c r="AC30">
        <f t="shared" si="12"/>
        <v>0.17213122832257846</v>
      </c>
      <c r="AD30">
        <f t="shared" si="3"/>
        <v>2.6974614308985299</v>
      </c>
      <c r="AE30">
        <f t="shared" si="13"/>
        <v>0</v>
      </c>
      <c r="AF30">
        <f t="shared" si="14"/>
        <v>2.9971793676650336</v>
      </c>
      <c r="AG30">
        <f t="shared" si="15"/>
        <v>5.3949228617970597</v>
      </c>
      <c r="AH30">
        <f t="shared" si="16"/>
        <v>0</v>
      </c>
      <c r="AI30">
        <f t="shared" si="17"/>
        <v>0.70985827128908685</v>
      </c>
      <c r="AJ30">
        <f t="shared" si="18"/>
        <v>0</v>
      </c>
      <c r="AK30">
        <f t="shared" si="19"/>
        <v>2.6974614308985299</v>
      </c>
      <c r="AL30">
        <f t="shared" si="20"/>
        <v>0</v>
      </c>
    </row>
    <row r="31" spans="1:38" x14ac:dyDescent="0.2">
      <c r="A31">
        <v>2048</v>
      </c>
      <c r="B31">
        <v>23</v>
      </c>
      <c r="C31">
        <f t="shared" si="21"/>
        <v>14.767629073454682</v>
      </c>
      <c r="D31">
        <f t="shared" si="23"/>
        <v>2.4993069647152755</v>
      </c>
      <c r="E31">
        <f t="shared" si="4"/>
        <v>2.4993069647152755</v>
      </c>
      <c r="F31">
        <f t="shared" si="5"/>
        <v>0</v>
      </c>
      <c r="G31" s="9">
        <f t="shared" si="6"/>
        <v>0.16924226307985113</v>
      </c>
      <c r="H31" s="9">
        <f t="shared" si="6"/>
        <v>0.16924226307985113</v>
      </c>
      <c r="I31" s="9">
        <f t="shared" si="6"/>
        <v>0</v>
      </c>
      <c r="J31" s="9">
        <f t="shared" si="7"/>
        <v>2.2001494200380646E-2</v>
      </c>
      <c r="K31" s="9">
        <f t="shared" si="8"/>
        <v>3.3848452615970227E-2</v>
      </c>
      <c r="L31" s="9">
        <f t="shared" si="9"/>
        <v>0</v>
      </c>
      <c r="M31">
        <f t="shared" si="0"/>
        <v>13.953855472636471</v>
      </c>
      <c r="N31">
        <f t="shared" si="10"/>
        <v>11.345575733069303</v>
      </c>
      <c r="O31">
        <f t="shared" si="24"/>
        <v>2.608279739567168</v>
      </c>
      <c r="P31">
        <f t="shared" si="22"/>
        <v>13.760474964873373</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0.19338050776309856</v>
      </c>
      <c r="AB31">
        <f t="shared" si="11"/>
        <v>3.6147032009526812E-2</v>
      </c>
      <c r="AC31">
        <f t="shared" si="12"/>
        <v>0.15723347575357174</v>
      </c>
      <c r="AD31">
        <f t="shared" si="3"/>
        <v>2.752094992974675</v>
      </c>
      <c r="AE31">
        <f t="shared" si="13"/>
        <v>0</v>
      </c>
      <c r="AF31">
        <f t="shared" si="14"/>
        <v>3.0578833255274169</v>
      </c>
      <c r="AG31">
        <f t="shared" si="15"/>
        <v>5.5041899859493491</v>
      </c>
      <c r="AH31">
        <f t="shared" si="16"/>
        <v>0</v>
      </c>
      <c r="AI31">
        <f t="shared" si="17"/>
        <v>0.72423552446701978</v>
      </c>
      <c r="AJ31">
        <f t="shared" si="18"/>
        <v>0</v>
      </c>
      <c r="AK31">
        <f t="shared" si="19"/>
        <v>2.752094992974675</v>
      </c>
      <c r="AL31">
        <f t="shared" si="20"/>
        <v>0</v>
      </c>
    </row>
    <row r="32" spans="1:38" x14ac:dyDescent="0.2">
      <c r="A32">
        <v>2049</v>
      </c>
      <c r="B32">
        <v>24</v>
      </c>
      <c r="C32">
        <f t="shared" si="21"/>
        <v>15.077749283997228</v>
      </c>
      <c r="D32">
        <f t="shared" si="23"/>
        <v>2.6565941885774791</v>
      </c>
      <c r="E32">
        <f t="shared" si="4"/>
        <v>2.6565941885774791</v>
      </c>
      <c r="F32">
        <f t="shared" si="5"/>
        <v>0</v>
      </c>
      <c r="G32" s="9">
        <f t="shared" si="6"/>
        <v>0.17619302049259142</v>
      </c>
      <c r="H32" s="9">
        <f t="shared" si="6"/>
        <v>0.17619302049259142</v>
      </c>
      <c r="I32" s="9">
        <f t="shared" si="6"/>
        <v>0</v>
      </c>
      <c r="J32" s="9">
        <f t="shared" si="7"/>
        <v>2.2905092664036886E-2</v>
      </c>
      <c r="K32" s="9">
        <f t="shared" si="8"/>
        <v>3.5238604098518284E-2</v>
      </c>
      <c r="L32" s="9">
        <f t="shared" si="9"/>
        <v>0</v>
      </c>
      <c r="M32">
        <f t="shared" si="0"/>
        <v>14.213243108978682</v>
      </c>
      <c r="N32">
        <f t="shared" si="10"/>
        <v>11.572986362854298</v>
      </c>
      <c r="O32">
        <f t="shared" si="24"/>
        <v>2.6402567461243844</v>
      </c>
      <c r="P32">
        <f t="shared" si="22"/>
        <v>14.031031015552095</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0.18221209342658717</v>
      </c>
      <c r="AB32">
        <f t="shared" si="11"/>
        <v>3.3847778807855958E-2</v>
      </c>
      <c r="AC32">
        <f t="shared" si="12"/>
        <v>0.1483643146187312</v>
      </c>
      <c r="AD32">
        <f t="shared" si="3"/>
        <v>2.8062062031104196</v>
      </c>
      <c r="AE32">
        <f t="shared" si="13"/>
        <v>0</v>
      </c>
      <c r="AF32">
        <f t="shared" si="14"/>
        <v>3.1180068923449107</v>
      </c>
      <c r="AG32">
        <f t="shared" si="15"/>
        <v>5.6124124062208383</v>
      </c>
      <c r="AH32">
        <f t="shared" si="16"/>
        <v>0</v>
      </c>
      <c r="AI32">
        <f t="shared" si="17"/>
        <v>0.73847531660800514</v>
      </c>
      <c r="AJ32">
        <f t="shared" si="18"/>
        <v>0</v>
      </c>
      <c r="AK32">
        <f t="shared" si="19"/>
        <v>2.8062062031104196</v>
      </c>
      <c r="AL32">
        <f t="shared" si="20"/>
        <v>0</v>
      </c>
    </row>
    <row r="33" spans="1:38" x14ac:dyDescent="0.2">
      <c r="A33">
        <v>2050</v>
      </c>
      <c r="B33">
        <v>25</v>
      </c>
      <c r="C33">
        <f t="shared" si="21"/>
        <v>15.394382018961169</v>
      </c>
      <c r="D33">
        <f t="shared" si="23"/>
        <v>2.8184981596430019</v>
      </c>
      <c r="E33">
        <f t="shared" si="4"/>
        <v>2.8184981596430019</v>
      </c>
      <c r="F33">
        <f t="shared" si="5"/>
        <v>0</v>
      </c>
      <c r="G33" s="9">
        <f t="shared" si="6"/>
        <v>0.18308615156954494</v>
      </c>
      <c r="H33" s="9">
        <f t="shared" si="6"/>
        <v>0.18308615156954494</v>
      </c>
      <c r="I33" s="9">
        <f t="shared" si="6"/>
        <v>0</v>
      </c>
      <c r="J33" s="9">
        <f t="shared" si="7"/>
        <v>2.3801199704040842E-2</v>
      </c>
      <c r="K33" s="9">
        <f t="shared" si="8"/>
        <v>3.661723031390899E-2</v>
      </c>
      <c r="L33" s="9">
        <f t="shared" si="9"/>
        <v>0</v>
      </c>
      <c r="M33">
        <f t="shared" si="0"/>
        <v>14.477694353791607</v>
      </c>
      <c r="N33">
        <f t="shared" si="10"/>
        <v>11.80079549547898</v>
      </c>
      <c r="O33">
        <f t="shared" si="24"/>
        <v>2.6768988583126276</v>
      </c>
      <c r="P33">
        <f t="shared" si="22"/>
        <v>14.30169694434214</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0.17599740944946696</v>
      </c>
      <c r="AB33">
        <f t="shared" si="11"/>
        <v>3.2541594877493266E-2</v>
      </c>
      <c r="AC33">
        <f t="shared" si="12"/>
        <v>0.14345581457197371</v>
      </c>
      <c r="AD33">
        <f t="shared" si="3"/>
        <v>2.8603393888684279</v>
      </c>
      <c r="AE33">
        <f t="shared" si="13"/>
        <v>0</v>
      </c>
      <c r="AF33">
        <f t="shared" si="14"/>
        <v>3.1781548765204759</v>
      </c>
      <c r="AG33">
        <f t="shared" si="15"/>
        <v>5.7206787777368557</v>
      </c>
      <c r="AH33">
        <f t="shared" si="16"/>
        <v>0</v>
      </c>
      <c r="AI33">
        <f t="shared" si="17"/>
        <v>0.75272089180748103</v>
      </c>
      <c r="AJ33">
        <f t="shared" si="18"/>
        <v>0</v>
      </c>
      <c r="AK33">
        <f t="shared" si="19"/>
        <v>2.8603393888684279</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5412-7E61-484B-889D-EBB2B9A1DB32}">
  <sheetPr>
    <tabColor theme="4" tint="0.79998168889431442"/>
  </sheetPr>
  <dimension ref="A1:AY37"/>
  <sheetViews>
    <sheetView topLeftCell="J1"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30</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emissions!N36</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t="e">
        <f>IF($N$7="LFO",M8/(1+EXP(-$I$4*(B8-$J$4)))-M8/(1+EXP($I$4*$J$4)),IF($N$7="MGO",M8/(1+EXP(-$I$5*(B8-$J$5)))-M8/(1+EXP($I$5*$J$5)),0))</f>
        <v>#DIV/0!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t="e">
        <f t="shared" ref="N9:N33" si="10">IF($N$7="LFO",M9/(1+EXP(-$I$4*(B9-$J$4)))-M9/(1+EXP($I$4*$J$4)),IF($N$7="MGO",M9/(1+EXP(-$I$5*(B9-$J$5)))-M9/(1+EXP($I$5*$J$5)),0))</f>
        <v>#DIV/0!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t="e">
        <f t="shared" si="10"/>
        <v>#DIV/0!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t="e">
        <f t="shared" si="10"/>
        <v>#DIV/0!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t="e">
        <f t="shared" si="10"/>
        <v>#DIV/0!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t="e">
        <f t="shared" si="10"/>
        <v>#DIV/0!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t="e">
        <f t="shared" si="10"/>
        <v>#DIV/0!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t="e">
        <f t="shared" si="10"/>
        <v>#DIV/0!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t="e">
        <f t="shared" si="10"/>
        <v>#DIV/0!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t="e">
        <f t="shared" si="10"/>
        <v>#DIV/0!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t="e">
        <f t="shared" si="10"/>
        <v>#DIV/0!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t="e">
        <f t="shared" si="10"/>
        <v>#DIV/0!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t="e">
        <f t="shared" si="10"/>
        <v>#DIV/0!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t="e">
        <f t="shared" si="10"/>
        <v>#DIV/0!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t="e">
        <f t="shared" si="10"/>
        <v>#DIV/0!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t="e">
        <f t="shared" si="10"/>
        <v>#DIV/0!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t="e">
        <f t="shared" si="10"/>
        <v>#DIV/0!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t="e">
        <f t="shared" si="10"/>
        <v>#DIV/0!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t="e">
        <f t="shared" si="10"/>
        <v>#DIV/0!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t="e">
        <f t="shared" si="10"/>
        <v>#DIV/0!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t="e">
        <f t="shared" si="10"/>
        <v>#DIV/0!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t="e">
        <f t="shared" si="10"/>
        <v>#DIV/0!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t="e">
        <f t="shared" si="10"/>
        <v>#DIV/0!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t="e">
        <f t="shared" si="10"/>
        <v>#DIV/0!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t="e">
        <f t="shared" si="10"/>
        <v>#DIV/0!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t="e">
        <f t="shared" si="10"/>
        <v>#DIV/0!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583D-9E25-F24A-85D0-1A9B7B3C1F1C}">
  <sheetPr>
    <tabColor theme="4" tint="0.79998168889431442"/>
  </sheetPr>
  <dimension ref="A1:AY37"/>
  <sheetViews>
    <sheetView zoomScale="106" zoomScaleNormal="125" workbookViewId="0">
      <selection activeCell="C8" sqref="C8"/>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43</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23.940914614338261</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23.940914614338261</v>
      </c>
      <c r="N8">
        <f>IF($N$7="LFO",M8/(1+EXP(-$I$4*(B8-$J$4)))-M8/(1+EXP($I$4*$J$4)),IF($N$7="MGO",M8/(1+EXP(-$I$5*(B8-$J$5)))-M8/(1+EXP($I$5*$J$5)),0))</f>
        <v>0</v>
      </c>
      <c r="O8">
        <f>M8-N8</f>
        <v>23.940914614338261</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23.940914614338261</v>
      </c>
      <c r="AB8">
        <f>O8/M8*AA8</f>
        <v>23.940914614338261</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24.443673821239361</v>
      </c>
      <c r="D9">
        <f>IF($E$2=0,0,C9/(1+EXP(-$E$2*(B9-$G$2)))-C9/(1+EXP($E$2*$G$2)))</f>
        <v>0.1824914230661232</v>
      </c>
      <c r="E9">
        <f t="shared" ref="E9:E33" si="4">IF($E$3=0,0,C9/(1+EXP(-$E$3*(B9-$G$3)))-C9/(1+EXP($E$3*$G$3)))</f>
        <v>0.1824914230661232</v>
      </c>
      <c r="F9">
        <f t="shared" ref="F9:F33" si="5">IF($E$4=0,0,C9/(1+EXP(-$E$4*(B9-$G$4)))-C9/(1+EXP($E$4*$G$4)))</f>
        <v>6.0971387916318065E-2</v>
      </c>
      <c r="G9" s="9">
        <f t="shared" ref="G9:I33" si="6">D9/$C9</f>
        <v>7.4657935791777137E-3</v>
      </c>
      <c r="H9" s="9">
        <f t="shared" si="6"/>
        <v>7.4657935791777137E-3</v>
      </c>
      <c r="I9" s="9">
        <f t="shared" si="6"/>
        <v>2.4943626871399092E-3</v>
      </c>
      <c r="J9" s="9">
        <f t="shared" ref="J9:J33" si="7">G9*$F$2</f>
        <v>9.7055316529310286E-4</v>
      </c>
      <c r="K9" s="9">
        <f t="shared" ref="K9:K33" si="8">H9*$F$3</f>
        <v>1.4931587158355428E-3</v>
      </c>
      <c r="L9" s="9">
        <f t="shared" ref="L9:L33" si="9">I9*$F$4</f>
        <v>9.9774507485596363E-4</v>
      </c>
      <c r="M9">
        <f t="shared" si="0"/>
        <v>24.359158571016152</v>
      </c>
      <c r="N9">
        <f t="shared" ref="N9:N33" si="10">IF($N$7="LFO",M9/(1+EXP(-$I$4*(B9-$J$4)))-M9/(1+EXP($I$4*$J$4)),IF($N$7="MGO",M9/(1+EXP(-$I$5*(B9-$J$5)))-M9/(1+EXP($I$5*$J$5)),0))</f>
        <v>0</v>
      </c>
      <c r="O9">
        <f>M9-N9</f>
        <v>24.359158571016152</v>
      </c>
      <c r="P9">
        <f>IF($I$3=0,0,M9/(1+EXP(-$I$3*(B9-$J$3)))-M9/(1+EXP($I$3*$J$3)))</f>
        <v>0.1494943651638988</v>
      </c>
      <c r="Q9" s="9">
        <f t="shared" si="1"/>
        <v>6.1370906851345554E-3</v>
      </c>
      <c r="R9">
        <f>VLOOKUP($B$1,dictionary!$A$3:$K$51,3,FALSE)*Q9</f>
        <v>1.2274181370269112E-3</v>
      </c>
      <c r="S9">
        <f>VLOOKUP($B$1,dictionary!$A$3:$K$51,4,FALSE)*Q9</f>
        <v>0</v>
      </c>
      <c r="T9">
        <f>VLOOKUP($B$1,dictionary!$A$3:$K$51,5,FALSE)*Q9</f>
        <v>1.2274181370269112E-3</v>
      </c>
      <c r="U9">
        <f>VLOOKUP($B$1,dictionary!$A$3:$K$51,6,FALSE)*Q9</f>
        <v>2.1479817397970944E-3</v>
      </c>
      <c r="V9">
        <f>VLOOKUP($B$1,dictionary!$A$3:$K$51,7,FALSE)*Q9</f>
        <v>0</v>
      </c>
      <c r="W9">
        <f>VLOOKUP($B$1,dictionary!$A$3:$K$51,8,FALSE)*Q9</f>
        <v>3.0685453425672779E-4</v>
      </c>
      <c r="X9">
        <f>VLOOKUP($B$1,dictionary!$A$3:$K$51,9,FALSE)*Q9</f>
        <v>0</v>
      </c>
      <c r="Y9">
        <f>VLOOKUP($B$1,dictionary!$A$3:$K$51,10,FALSE)*Q9</f>
        <v>1.2274181370269112E-3</v>
      </c>
      <c r="Z9">
        <f>VLOOKUP($B$1,dictionary!$A$3:$K$51,11,FALSE)*Q9</f>
        <v>0</v>
      </c>
      <c r="AA9">
        <f t="shared" si="2"/>
        <v>24.209664205852253</v>
      </c>
      <c r="AB9">
        <f t="shared" ref="AB9:AB33" si="11">O9/M9*AA9</f>
        <v>24.209664205852253</v>
      </c>
      <c r="AC9">
        <f t="shared" ref="AC9:AC33" si="12">N9/M9*AA9</f>
        <v>0</v>
      </c>
      <c r="AD9">
        <f t="shared" si="3"/>
        <v>2.9898873032779761E-2</v>
      </c>
      <c r="AE9">
        <f t="shared" ref="AE9:AE33" si="13">S9*$O9*$AE$2+S9*$N9*$AE$3</f>
        <v>0</v>
      </c>
      <c r="AF9">
        <f t="shared" ref="AF9:AF33" si="14">T9*$O9*$AF$2+T9*$N9*$AF$3</f>
        <v>3.3220970036421958E-2</v>
      </c>
      <c r="AG9">
        <f t="shared" ref="AG9:AG33" si="15">U9*$O9*$AG$2+U9*$N9*$AG$3</f>
        <v>5.9797746065559529E-2</v>
      </c>
      <c r="AH9">
        <f t="shared" ref="AH9:AH33" si="16">V9*$O9*$AH$2+V9*$N9*$AH$3</f>
        <v>0</v>
      </c>
      <c r="AI9">
        <f t="shared" ref="AI9:AI33" si="17">W9*$O9*$AI$2+W9*$N9*$AI$3</f>
        <v>7.868124482310463E-3</v>
      </c>
      <c r="AJ9">
        <f t="shared" ref="AJ9:AJ33" si="18">X9*$O9*$AJ$2+X9*$N9*$AJ$3</f>
        <v>0</v>
      </c>
      <c r="AK9">
        <f t="shared" ref="AK9:AK33" si="19">Y9*$O9*$AK$2+Y9*$N9*$AK$3</f>
        <v>2.9898873032779761E-2</v>
      </c>
      <c r="AL9">
        <f t="shared" ref="AL9:AL33" si="20">Z9*$O9*$AL$2+Z9*$N9*$AL$3</f>
        <v>0</v>
      </c>
    </row>
    <row r="10" spans="1:51" x14ac:dyDescent="0.2">
      <c r="A10">
        <v>2027</v>
      </c>
      <c r="B10">
        <v>2</v>
      </c>
      <c r="C10">
        <f t="shared" ref="C10:C33" si="21">C9*(1+$I$2)</f>
        <v>24.956990971485386</v>
      </c>
      <c r="D10">
        <f>IF($E$2=0,0,C10/(1+EXP(-$E$2*(B10-$G$2)))-C10/(1+EXP($E$2*$G$2)))</f>
        <v>0.37298274298366607</v>
      </c>
      <c r="E10">
        <f t="shared" si="4"/>
        <v>0.37298274298366607</v>
      </c>
      <c r="F10">
        <f t="shared" si="5"/>
        <v>0.12453157459814257</v>
      </c>
      <c r="G10" s="9">
        <f t="shared" si="6"/>
        <v>1.4945020551949455E-2</v>
      </c>
      <c r="H10" s="9">
        <f t="shared" si="6"/>
        <v>1.4945020551949455E-2</v>
      </c>
      <c r="I10" s="9">
        <f t="shared" si="6"/>
        <v>4.9898473233582581E-3</v>
      </c>
      <c r="J10" s="9">
        <f t="shared" si="7"/>
        <v>1.9428526717534293E-3</v>
      </c>
      <c r="K10" s="9">
        <f t="shared" si="8"/>
        <v>2.9890041103898912E-3</v>
      </c>
      <c r="L10" s="9">
        <f t="shared" si="9"/>
        <v>1.9959389293433033E-3</v>
      </c>
      <c r="M10">
        <f t="shared" si="0"/>
        <v>24.784484346049936</v>
      </c>
      <c r="N10">
        <f t="shared" si="10"/>
        <v>0</v>
      </c>
      <c r="O10">
        <f>M10-N10</f>
        <v>24.784484346049936</v>
      </c>
      <c r="P10">
        <f t="shared" ref="P10:P33" si="22">IF($I$3=0,0,M10/(1+EXP(-$I$3*(B10-$J$3)))-M10/(1+EXP($I$3*$J$3)))</f>
        <v>0.38688706331893707</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24.397597282730999</v>
      </c>
      <c r="AB10">
        <f t="shared" si="11"/>
        <v>24.397597282730999</v>
      </c>
      <c r="AC10">
        <f t="shared" si="12"/>
        <v>0</v>
      </c>
      <c r="AD10">
        <f t="shared" si="3"/>
        <v>7.737741266378742E-2</v>
      </c>
      <c r="AE10">
        <f t="shared" si="13"/>
        <v>0</v>
      </c>
      <c r="AF10">
        <f t="shared" si="14"/>
        <v>8.5974902959763802E-2</v>
      </c>
      <c r="AG10">
        <f t="shared" si="15"/>
        <v>0.15475482532757484</v>
      </c>
      <c r="AH10">
        <f t="shared" si="16"/>
        <v>0</v>
      </c>
      <c r="AI10">
        <f t="shared" si="17"/>
        <v>2.0362477016786163E-2</v>
      </c>
      <c r="AJ10">
        <f t="shared" si="18"/>
        <v>0</v>
      </c>
      <c r="AK10">
        <f t="shared" si="19"/>
        <v>7.737741266378742E-2</v>
      </c>
      <c r="AL10">
        <f t="shared" si="20"/>
        <v>0</v>
      </c>
    </row>
    <row r="11" spans="1:51" x14ac:dyDescent="0.2">
      <c r="A11">
        <v>2028</v>
      </c>
      <c r="B11">
        <v>3</v>
      </c>
      <c r="C11">
        <f t="shared" si="21"/>
        <v>25.481087781886576</v>
      </c>
      <c r="D11">
        <f t="shared" ref="D11:D33" si="23">IF($E$2=0,0,C11/(1+EXP(-$E$2*(B11-$G$2)))-C11/(1+EXP($E$2*$G$2)))</f>
        <v>0.57165148176891023</v>
      </c>
      <c r="E11">
        <f t="shared" si="4"/>
        <v>0.57165148176891023</v>
      </c>
      <c r="F11">
        <f t="shared" si="5"/>
        <v>0.19075982711774842</v>
      </c>
      <c r="G11" s="9">
        <f t="shared" si="6"/>
        <v>2.2434343724339469E-2</v>
      </c>
      <c r="H11" s="9">
        <f t="shared" si="6"/>
        <v>2.2434343724339469E-2</v>
      </c>
      <c r="I11" s="9">
        <f t="shared" si="6"/>
        <v>7.48632981255029E-3</v>
      </c>
      <c r="J11" s="9">
        <f t="shared" si="7"/>
        <v>2.9164646841641313E-3</v>
      </c>
      <c r="K11" s="9">
        <f t="shared" si="8"/>
        <v>4.4868687448678937E-3</v>
      </c>
      <c r="L11" s="9">
        <f t="shared" si="9"/>
        <v>2.994531925020116E-3</v>
      </c>
      <c r="M11">
        <f t="shared" si="0"/>
        <v>25.21703620727185</v>
      </c>
      <c r="N11">
        <f t="shared" si="10"/>
        <v>0</v>
      </c>
      <c r="O11">
        <f t="shared" ref="O11:O33" si="24">M11-N11</f>
        <v>25.21703620727185</v>
      </c>
      <c r="P11">
        <f t="shared" si="22"/>
        <v>0.75914212006131987</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24.45789408721053</v>
      </c>
      <c r="AB11">
        <f t="shared" si="11"/>
        <v>24.45789408721053</v>
      </c>
      <c r="AC11">
        <f t="shared" si="12"/>
        <v>0</v>
      </c>
      <c r="AD11">
        <f t="shared" si="3"/>
        <v>0.15182842401226398</v>
      </c>
      <c r="AE11">
        <f t="shared" si="13"/>
        <v>0</v>
      </c>
      <c r="AF11">
        <f t="shared" si="14"/>
        <v>0.16869824890251556</v>
      </c>
      <c r="AG11">
        <f t="shared" si="15"/>
        <v>0.30365684802452791</v>
      </c>
      <c r="AH11">
        <f t="shared" si="16"/>
        <v>0</v>
      </c>
      <c r="AI11">
        <f t="shared" si="17"/>
        <v>3.9954848424279994E-2</v>
      </c>
      <c r="AJ11">
        <f t="shared" si="18"/>
        <v>0</v>
      </c>
      <c r="AK11">
        <f t="shared" si="19"/>
        <v>0.15182842401226398</v>
      </c>
      <c r="AL11">
        <f t="shared" si="20"/>
        <v>0</v>
      </c>
    </row>
    <row r="12" spans="1:51" x14ac:dyDescent="0.2">
      <c r="A12">
        <v>2029</v>
      </c>
      <c r="B12">
        <v>4</v>
      </c>
      <c r="C12">
        <f t="shared" si="21"/>
        <v>26.016190625306191</v>
      </c>
      <c r="D12">
        <f t="shared" si="23"/>
        <v>0.77867519463919876</v>
      </c>
      <c r="E12">
        <f t="shared" si="4"/>
        <v>0.77867519463919876</v>
      </c>
      <c r="F12">
        <f t="shared" si="5"/>
        <v>0.25973747446470341</v>
      </c>
      <c r="G12" s="9">
        <f t="shared" si="6"/>
        <v>2.9930407793129183E-2</v>
      </c>
      <c r="H12" s="9">
        <f t="shared" si="6"/>
        <v>2.9930407793129183E-2</v>
      </c>
      <c r="I12" s="9">
        <f t="shared" si="6"/>
        <v>9.9836858595298856E-3</v>
      </c>
      <c r="J12" s="9">
        <f t="shared" si="7"/>
        <v>3.8909530131067938E-3</v>
      </c>
      <c r="K12" s="9">
        <f t="shared" si="8"/>
        <v>5.9860815586258373E-3</v>
      </c>
      <c r="L12" s="9">
        <f t="shared" si="9"/>
        <v>3.9934743438119541E-3</v>
      </c>
      <c r="M12">
        <f t="shared" si="0"/>
        <v>25.656962533537676</v>
      </c>
      <c r="N12">
        <f t="shared" si="10"/>
        <v>0</v>
      </c>
      <c r="O12">
        <f t="shared" si="24"/>
        <v>25.656962533537676</v>
      </c>
      <c r="P12">
        <f t="shared" si="22"/>
        <v>1.3338134615342296</v>
      </c>
      <c r="Q12" s="9">
        <f t="shared" si="1"/>
        <v>5.1986413426403304E-2</v>
      </c>
      <c r="R12">
        <f>VLOOKUP($B$1,dictionary!$A$3:$K$51,3,FALSE)*Q12</f>
        <v>1.0397282685280661E-2</v>
      </c>
      <c r="S12">
        <f>VLOOKUP($B$1,dictionary!$A$3:$K$51,4,FALSE)*Q12</f>
        <v>0</v>
      </c>
      <c r="T12">
        <f>VLOOKUP($B$1,dictionary!$A$3:$K$51,5,FALSE)*Q12</f>
        <v>1.0397282685280661E-2</v>
      </c>
      <c r="U12">
        <f>VLOOKUP($B$1,dictionary!$A$3:$K$51,6,FALSE)*Q12</f>
        <v>1.8195244699241154E-2</v>
      </c>
      <c r="V12">
        <f>VLOOKUP($B$1,dictionary!$A$3:$K$51,7,FALSE)*Q12</f>
        <v>0</v>
      </c>
      <c r="W12">
        <f>VLOOKUP($B$1,dictionary!$A$3:$K$51,8,FALSE)*Q12</f>
        <v>2.5993206713201653E-3</v>
      </c>
      <c r="X12">
        <f>VLOOKUP($B$1,dictionary!$A$3:$K$51,9,FALSE)*Q12</f>
        <v>0</v>
      </c>
      <c r="Y12">
        <f>VLOOKUP($B$1,dictionary!$A$3:$K$51,10,FALSE)*Q12</f>
        <v>1.0397282685280661E-2</v>
      </c>
      <c r="Z12">
        <f>VLOOKUP($B$1,dictionary!$A$3:$K$51,11,FALSE)*Q12</f>
        <v>0</v>
      </c>
      <c r="AA12">
        <f t="shared" si="2"/>
        <v>24.323149072003446</v>
      </c>
      <c r="AB12">
        <f t="shared" si="11"/>
        <v>24.323149072003446</v>
      </c>
      <c r="AC12">
        <f t="shared" si="12"/>
        <v>0</v>
      </c>
      <c r="AD12">
        <f t="shared" si="3"/>
        <v>0.26676269230684591</v>
      </c>
      <c r="AE12">
        <f t="shared" si="13"/>
        <v>0</v>
      </c>
      <c r="AF12">
        <f t="shared" si="14"/>
        <v>0.29640299145205101</v>
      </c>
      <c r="AG12">
        <f t="shared" si="15"/>
        <v>0.53352538461369181</v>
      </c>
      <c r="AH12">
        <f t="shared" si="16"/>
        <v>0</v>
      </c>
      <c r="AI12">
        <f t="shared" si="17"/>
        <v>7.0200708501801545E-2</v>
      </c>
      <c r="AJ12">
        <f t="shared" si="18"/>
        <v>0</v>
      </c>
      <c r="AK12">
        <f t="shared" si="19"/>
        <v>0.26676269230684591</v>
      </c>
      <c r="AL12">
        <f t="shared" si="20"/>
        <v>0</v>
      </c>
    </row>
    <row r="13" spans="1:51" x14ac:dyDescent="0.2">
      <c r="A13">
        <v>2030</v>
      </c>
      <c r="B13">
        <v>5</v>
      </c>
      <c r="C13">
        <f t="shared" si="21"/>
        <v>26.562530628437617</v>
      </c>
      <c r="D13">
        <f t="shared" si="23"/>
        <v>0.99423141336102994</v>
      </c>
      <c r="E13">
        <f t="shared" si="4"/>
        <v>0.99423141336102994</v>
      </c>
      <c r="F13">
        <f t="shared" si="5"/>
        <v>0.33154795559526029</v>
      </c>
      <c r="G13" s="9">
        <f t="shared" si="6"/>
        <v>3.7429845343749525E-2</v>
      </c>
      <c r="H13" s="9">
        <f t="shared" si="6"/>
        <v>3.7429845343749525E-2</v>
      </c>
      <c r="I13" s="9">
        <f t="shared" si="6"/>
        <v>1.2481790994729541E-2</v>
      </c>
      <c r="J13" s="9">
        <f t="shared" si="7"/>
        <v>4.8658798946874388E-3</v>
      </c>
      <c r="K13" s="9">
        <f t="shared" si="8"/>
        <v>7.4859690687499054E-3</v>
      </c>
      <c r="L13" s="9">
        <f t="shared" si="9"/>
        <v>4.9927163978918171E-3</v>
      </c>
      <c r="M13">
        <f t="shared" si="0"/>
        <v>26.104415903264716</v>
      </c>
      <c r="N13">
        <f t="shared" si="10"/>
        <v>0</v>
      </c>
      <c r="O13">
        <f t="shared" si="24"/>
        <v>26.104415903264716</v>
      </c>
      <c r="P13">
        <f t="shared" si="22"/>
        <v>2.2022343679457812</v>
      </c>
      <c r="Q13" s="9">
        <f t="shared" si="1"/>
        <v>8.4362522268516316E-2</v>
      </c>
      <c r="R13">
        <f>VLOOKUP($B$1,dictionary!$A$3:$K$51,3,FALSE)*Q13</f>
        <v>1.6872504453703262E-2</v>
      </c>
      <c r="S13">
        <f>VLOOKUP($B$1,dictionary!$A$3:$K$51,4,FALSE)*Q13</f>
        <v>0</v>
      </c>
      <c r="T13">
        <f>VLOOKUP($B$1,dictionary!$A$3:$K$51,5,FALSE)*Q13</f>
        <v>1.6872504453703262E-2</v>
      </c>
      <c r="U13">
        <f>VLOOKUP($B$1,dictionary!$A$3:$K$51,6,FALSE)*Q13</f>
        <v>2.9526882793980708E-2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23.902181535318935</v>
      </c>
      <c r="AB13">
        <f t="shared" si="11"/>
        <v>23.902181535318935</v>
      </c>
      <c r="AC13">
        <f t="shared" si="12"/>
        <v>0</v>
      </c>
      <c r="AD13">
        <f t="shared" si="3"/>
        <v>0.44044687358915618</v>
      </c>
      <c r="AE13">
        <f t="shared" si="13"/>
        <v>0</v>
      </c>
      <c r="AF13">
        <f t="shared" si="14"/>
        <v>0.48938541509906247</v>
      </c>
      <c r="AG13">
        <f t="shared" si="15"/>
        <v>0.88089374717831248</v>
      </c>
      <c r="AH13">
        <f t="shared" si="16"/>
        <v>0</v>
      </c>
      <c r="AI13">
        <f t="shared" si="17"/>
        <v>0.11590707199714635</v>
      </c>
      <c r="AJ13">
        <f t="shared" si="18"/>
        <v>0</v>
      </c>
      <c r="AK13">
        <f t="shared" si="19"/>
        <v>0.44044687358915618</v>
      </c>
      <c r="AL13">
        <f t="shared" si="20"/>
        <v>0</v>
      </c>
    </row>
    <row r="14" spans="1:51" x14ac:dyDescent="0.2">
      <c r="A14">
        <v>2031</v>
      </c>
      <c r="B14">
        <v>6</v>
      </c>
      <c r="C14">
        <f t="shared" si="21"/>
        <v>27.120343771634804</v>
      </c>
      <c r="D14">
        <f t="shared" si="23"/>
        <v>1.2184975975083443</v>
      </c>
      <c r="E14">
        <f t="shared" si="4"/>
        <v>1.2184975975083443</v>
      </c>
      <c r="F14">
        <f t="shared" si="5"/>
        <v>0.4062768685222462</v>
      </c>
      <c r="G14" s="9">
        <f t="shared" si="6"/>
        <v>4.4929282894369954E-2</v>
      </c>
      <c r="H14" s="9">
        <f t="shared" si="6"/>
        <v>4.4929282894369954E-2</v>
      </c>
      <c r="I14" s="9">
        <f t="shared" si="6"/>
        <v>1.4980520598974546E-2</v>
      </c>
      <c r="J14" s="9">
        <f t="shared" si="7"/>
        <v>5.8408067762680945E-3</v>
      </c>
      <c r="K14" s="9">
        <f t="shared" si="8"/>
        <v>8.9858565788739908E-3</v>
      </c>
      <c r="L14" s="9">
        <f t="shared" si="9"/>
        <v>5.9922082395898191E-3</v>
      </c>
      <c r="M14">
        <f t="shared" si="0"/>
        <v>26.559553181676431</v>
      </c>
      <c r="N14">
        <f t="shared" si="10"/>
        <v>0</v>
      </c>
      <c r="O14">
        <f t="shared" si="24"/>
        <v>26.559553181676431</v>
      </c>
      <c r="P14">
        <f t="shared" si="22"/>
        <v>3.4756926150006726</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23.08386056667576</v>
      </c>
      <c r="AB14">
        <f t="shared" si="11"/>
        <v>23.08386056667576</v>
      </c>
      <c r="AC14">
        <f t="shared" si="12"/>
        <v>0</v>
      </c>
      <c r="AD14">
        <f t="shared" si="3"/>
        <v>0.69513852300013457</v>
      </c>
      <c r="AE14">
        <f t="shared" si="13"/>
        <v>0</v>
      </c>
      <c r="AF14">
        <f t="shared" si="14"/>
        <v>0.77237613666681626</v>
      </c>
      <c r="AG14">
        <f t="shared" si="15"/>
        <v>1.3902770460002694</v>
      </c>
      <c r="AH14">
        <f t="shared" si="16"/>
        <v>0</v>
      </c>
      <c r="AI14">
        <f t="shared" si="17"/>
        <v>0.18293119026319329</v>
      </c>
      <c r="AJ14">
        <f t="shared" si="18"/>
        <v>0</v>
      </c>
      <c r="AK14">
        <f t="shared" si="19"/>
        <v>0.69513852300013457</v>
      </c>
      <c r="AL14">
        <f t="shared" si="20"/>
        <v>0</v>
      </c>
    </row>
    <row r="15" spans="1:51" x14ac:dyDescent="0.2">
      <c r="A15">
        <v>2032</v>
      </c>
      <c r="B15">
        <v>7</v>
      </c>
      <c r="C15">
        <f t="shared" si="21"/>
        <v>27.689870990839133</v>
      </c>
      <c r="D15">
        <f t="shared" si="23"/>
        <v>1.4516510940598675</v>
      </c>
      <c r="E15">
        <f t="shared" si="4"/>
        <v>1.4516510940598675</v>
      </c>
      <c r="F15">
        <f t="shared" si="5"/>
        <v>0.48401202046730063</v>
      </c>
      <c r="G15" s="9">
        <f t="shared" si="6"/>
        <v>5.2425346963159529E-2</v>
      </c>
      <c r="H15" s="9">
        <f t="shared" si="6"/>
        <v>5.2425346963159529E-2</v>
      </c>
      <c r="I15" s="9">
        <f t="shared" si="6"/>
        <v>1.747974992831965E-2</v>
      </c>
      <c r="J15" s="9">
        <f t="shared" si="7"/>
        <v>6.8152951052107393E-3</v>
      </c>
      <c r="K15" s="9">
        <f t="shared" si="8"/>
        <v>1.0485069392631906E-2</v>
      </c>
      <c r="L15" s="9">
        <f t="shared" si="9"/>
        <v>6.9918999713278604E-3</v>
      </c>
      <c r="M15">
        <f t="shared" si="0"/>
        <v>27.022535606706366</v>
      </c>
      <c r="N15">
        <f t="shared" si="10"/>
        <v>0</v>
      </c>
      <c r="O15">
        <f t="shared" si="24"/>
        <v>27.022535606706366</v>
      </c>
      <c r="P15">
        <f>IF($I$3=0,0,M15/(1+EXP(-$I$3*(B15-$J$3)))-M15/(1+EXP($I$3*$J$3)))</f>
        <v>5.2662444039129328</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21.756291202793435</v>
      </c>
      <c r="AB15">
        <f t="shared" si="11"/>
        <v>21.756291202793435</v>
      </c>
      <c r="AC15">
        <f t="shared" si="12"/>
        <v>0</v>
      </c>
      <c r="AD15">
        <f t="shared" si="3"/>
        <v>1.0532488807825866</v>
      </c>
      <c r="AE15">
        <f t="shared" si="13"/>
        <v>0</v>
      </c>
      <c r="AF15">
        <f t="shared" si="14"/>
        <v>1.170276534202874</v>
      </c>
      <c r="AG15">
        <f t="shared" si="15"/>
        <v>2.1064977615651732</v>
      </c>
      <c r="AH15">
        <f t="shared" si="16"/>
        <v>0</v>
      </c>
      <c r="AI15">
        <f t="shared" si="17"/>
        <v>0.27717075810068065</v>
      </c>
      <c r="AJ15">
        <f t="shared" si="18"/>
        <v>0</v>
      </c>
      <c r="AK15">
        <f t="shared" si="19"/>
        <v>1.0532488807825866</v>
      </c>
      <c r="AL15">
        <f t="shared" si="20"/>
        <v>0</v>
      </c>
    </row>
    <row r="16" spans="1:51" x14ac:dyDescent="0.2">
      <c r="A16">
        <v>2033</v>
      </c>
      <c r="B16">
        <v>8</v>
      </c>
      <c r="C16">
        <f t="shared" si="21"/>
        <v>28.271358281646751</v>
      </c>
      <c r="D16">
        <f t="shared" si="23"/>
        <v>1.6938691057288047</v>
      </c>
      <c r="E16">
        <f t="shared" si="4"/>
        <v>1.6938691057288047</v>
      </c>
      <c r="F16">
        <f t="shared" si="5"/>
        <v>0.56484347909788291</v>
      </c>
      <c r="G16" s="9">
        <f t="shared" si="6"/>
        <v>5.9914670135549644E-2</v>
      </c>
      <c r="H16" s="9">
        <f t="shared" si="6"/>
        <v>5.9914670135549644E-2</v>
      </c>
      <c r="I16" s="9">
        <f t="shared" si="6"/>
        <v>1.9979354138940291E-2</v>
      </c>
      <c r="J16" s="9">
        <f t="shared" si="7"/>
        <v>7.7889071176214537E-3</v>
      </c>
      <c r="K16" s="9">
        <f t="shared" si="8"/>
        <v>1.198293402710993E-2</v>
      </c>
      <c r="L16" s="9">
        <f t="shared" si="9"/>
        <v>7.9917416555761161E-3</v>
      </c>
      <c r="M16">
        <f t="shared" si="0"/>
        <v>27.493528873528518</v>
      </c>
      <c r="N16">
        <f t="shared" si="10"/>
        <v>0</v>
      </c>
      <c r="O16">
        <f t="shared" si="24"/>
        <v>27.493528873528518</v>
      </c>
      <c r="P16">
        <f t="shared" si="22"/>
        <v>7.6449483710412176</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19.848580502487302</v>
      </c>
      <c r="AB16">
        <f t="shared" si="11"/>
        <v>19.848580502487302</v>
      </c>
      <c r="AC16">
        <f t="shared" si="12"/>
        <v>0</v>
      </c>
      <c r="AD16">
        <f t="shared" si="3"/>
        <v>1.5289896742082436</v>
      </c>
      <c r="AE16">
        <f t="shared" si="13"/>
        <v>0</v>
      </c>
      <c r="AF16">
        <f t="shared" si="14"/>
        <v>1.6988774157869375</v>
      </c>
      <c r="AG16">
        <f t="shared" si="15"/>
        <v>3.0579793484164877</v>
      </c>
      <c r="AH16">
        <f t="shared" si="16"/>
        <v>0</v>
      </c>
      <c r="AI16">
        <f t="shared" si="17"/>
        <v>0.40236570373901143</v>
      </c>
      <c r="AJ16">
        <f t="shared" si="18"/>
        <v>0</v>
      </c>
      <c r="AK16">
        <f t="shared" si="19"/>
        <v>1.5289896742082436</v>
      </c>
      <c r="AL16">
        <f t="shared" si="20"/>
        <v>0</v>
      </c>
    </row>
    <row r="17" spans="1:38" x14ac:dyDescent="0.2">
      <c r="A17">
        <v>2034</v>
      </c>
      <c r="B17">
        <v>9</v>
      </c>
      <c r="C17">
        <f t="shared" si="21"/>
        <v>28.865056805561331</v>
      </c>
      <c r="D17">
        <f t="shared" si="23"/>
        <v>1.945328668379851</v>
      </c>
      <c r="E17">
        <f t="shared" si="4"/>
        <v>1.945328668379851</v>
      </c>
      <c r="F17">
        <f t="shared" si="5"/>
        <v>0.64886362487180449</v>
      </c>
      <c r="G17" s="9">
        <f t="shared" si="6"/>
        <v>6.7393897108321346E-2</v>
      </c>
      <c r="H17" s="9">
        <f t="shared" si="6"/>
        <v>6.7393897108321346E-2</v>
      </c>
      <c r="I17" s="9">
        <f t="shared" si="6"/>
        <v>2.2479208312065062E-2</v>
      </c>
      <c r="J17" s="9">
        <f t="shared" si="7"/>
        <v>8.7612066240817747E-3</v>
      </c>
      <c r="K17" s="9">
        <f t="shared" si="8"/>
        <v>1.3478779421664269E-2</v>
      </c>
      <c r="L17" s="9">
        <f t="shared" si="9"/>
        <v>8.9916833248260258E-3</v>
      </c>
      <c r="M17">
        <f t="shared" si="0"/>
        <v>27.972703217696818</v>
      </c>
      <c r="N17">
        <f t="shared" si="10"/>
        <v>0</v>
      </c>
      <c r="O17">
        <f t="shared" si="24"/>
        <v>27.972703217696818</v>
      </c>
      <c r="P17">
        <f t="shared" si="22"/>
        <v>10.584138667878053</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17.388564549818767</v>
      </c>
      <c r="AB17">
        <f t="shared" si="11"/>
        <v>17.388564549818767</v>
      </c>
      <c r="AC17">
        <f t="shared" si="12"/>
        <v>0</v>
      </c>
      <c r="AD17">
        <f t="shared" si="3"/>
        <v>2.1168277335756107</v>
      </c>
      <c r="AE17">
        <f t="shared" si="13"/>
        <v>0</v>
      </c>
      <c r="AF17">
        <f t="shared" si="14"/>
        <v>2.3520308150840119</v>
      </c>
      <c r="AG17">
        <f t="shared" si="15"/>
        <v>4.2336554671512214</v>
      </c>
      <c r="AH17">
        <f t="shared" si="16"/>
        <v>0</v>
      </c>
      <c r="AI17">
        <f t="shared" si="17"/>
        <v>0.55705992988831854</v>
      </c>
      <c r="AJ17">
        <f t="shared" si="18"/>
        <v>0</v>
      </c>
      <c r="AK17">
        <f t="shared" si="19"/>
        <v>2.1168277335756107</v>
      </c>
      <c r="AL17">
        <f t="shared" si="20"/>
        <v>0</v>
      </c>
    </row>
    <row r="18" spans="1:38" x14ac:dyDescent="0.2">
      <c r="A18">
        <v>2035</v>
      </c>
      <c r="B18">
        <v>10</v>
      </c>
      <c r="C18">
        <f t="shared" si="21"/>
        <v>29.471222998478115</v>
      </c>
      <c r="D18">
        <f t="shared" si="23"/>
        <v>2.206206637848382</v>
      </c>
      <c r="E18">
        <f t="shared" si="4"/>
        <v>2.206206637848382</v>
      </c>
      <c r="F18">
        <f t="shared" si="5"/>
        <v>0.73616720451263262</v>
      </c>
      <c r="G18" s="9">
        <f t="shared" si="6"/>
        <v>7.485969068749912E-2</v>
      </c>
      <c r="H18" s="9">
        <f t="shared" si="6"/>
        <v>7.485969068749912E-2</v>
      </c>
      <c r="I18" s="9">
        <f t="shared" si="6"/>
        <v>2.4979187478939985E-2</v>
      </c>
      <c r="J18" s="9">
        <f t="shared" si="7"/>
        <v>9.7317597893748862E-3</v>
      </c>
      <c r="K18" s="9">
        <f t="shared" si="8"/>
        <v>1.4971938137499825E-2</v>
      </c>
      <c r="L18" s="9">
        <f t="shared" si="9"/>
        <v>9.9916749915759939E-3</v>
      </c>
      <c r="M18">
        <f t="shared" si="0"/>
        <v>28.460233496891679</v>
      </c>
      <c r="N18">
        <f t="shared" si="10"/>
        <v>0</v>
      </c>
      <c r="O18">
        <f t="shared" si="24"/>
        <v>28.460233496891679</v>
      </c>
      <c r="P18">
        <f t="shared" si="22"/>
        <v>13.917425795762204</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14.542807701129474</v>
      </c>
      <c r="AB18">
        <f t="shared" si="11"/>
        <v>14.542807701129474</v>
      </c>
      <c r="AC18">
        <f t="shared" si="12"/>
        <v>0</v>
      </c>
      <c r="AD18">
        <f t="shared" si="3"/>
        <v>2.7834851591524408</v>
      </c>
      <c r="AE18">
        <f t="shared" si="13"/>
        <v>0</v>
      </c>
      <c r="AF18">
        <f t="shared" si="14"/>
        <v>3.0927612879471567</v>
      </c>
      <c r="AG18">
        <f t="shared" si="15"/>
        <v>5.5669703183048824</v>
      </c>
      <c r="AH18">
        <f t="shared" si="16"/>
        <v>0</v>
      </c>
      <c r="AI18">
        <f t="shared" si="17"/>
        <v>0.73249609451380016</v>
      </c>
      <c r="AJ18">
        <f t="shared" si="18"/>
        <v>0</v>
      </c>
      <c r="AK18">
        <f t="shared" si="19"/>
        <v>2.7834851591524408</v>
      </c>
      <c r="AL18">
        <f t="shared" si="20"/>
        <v>0</v>
      </c>
    </row>
    <row r="19" spans="1:38" x14ac:dyDescent="0.2">
      <c r="A19">
        <v>2036</v>
      </c>
      <c r="B19">
        <v>11</v>
      </c>
      <c r="C19">
        <f t="shared" si="21"/>
        <v>30.090118681446153</v>
      </c>
      <c r="D19">
        <f t="shared" si="23"/>
        <v>2.4766796864344709</v>
      </c>
      <c r="E19">
        <f t="shared" si="4"/>
        <v>2.4766796864344709</v>
      </c>
      <c r="F19">
        <f t="shared" si="5"/>
        <v>0.82685138563980942</v>
      </c>
      <c r="G19" s="9">
        <f t="shared" si="6"/>
        <v>8.2308737717329591E-2</v>
      </c>
      <c r="H19" s="9">
        <f t="shared" si="6"/>
        <v>8.2308737717329591E-2</v>
      </c>
      <c r="I19" s="9">
        <f t="shared" si="6"/>
        <v>2.7479166645814981E-2</v>
      </c>
      <c r="J19" s="9">
        <f t="shared" si="7"/>
        <v>1.0700135903252847E-2</v>
      </c>
      <c r="K19" s="9">
        <f t="shared" si="8"/>
        <v>1.646174754346592E-2</v>
      </c>
      <c r="L19" s="9">
        <f t="shared" si="9"/>
        <v>1.0991666658325993E-2</v>
      </c>
      <c r="M19">
        <f t="shared" si="0"/>
        <v>28.95629927128714</v>
      </c>
      <c r="N19">
        <f t="shared" si="10"/>
        <v>0</v>
      </c>
      <c r="O19">
        <f t="shared" si="24"/>
        <v>28.95629927128714</v>
      </c>
      <c r="P19">
        <f t="shared" si="22"/>
        <v>17.363711206135278</v>
      </c>
      <c r="Q19" s="9">
        <f t="shared" si="1"/>
        <v>0.59965229131862896</v>
      </c>
      <c r="R19">
        <f>VLOOKUP($B$1,dictionary!$A$3:$K$51,3,FALSE)*Q19</f>
        <v>0.11993045826372579</v>
      </c>
      <c r="S19">
        <f>VLOOKUP($B$1,dictionary!$A$3:$K$51,4,FALSE)*Q19</f>
        <v>0</v>
      </c>
      <c r="T19">
        <f>VLOOKUP($B$1,dictionary!$A$3:$K$51,5,FALSE)*Q19</f>
        <v>0.11993045826372579</v>
      </c>
      <c r="U19">
        <f>VLOOKUP($B$1,dictionary!$A$3:$K$51,6,FALSE)*Q19</f>
        <v>0.20987830196152013</v>
      </c>
      <c r="V19">
        <f>VLOOKUP($B$1,dictionary!$A$3:$K$51,7,FALSE)*Q19</f>
        <v>0</v>
      </c>
      <c r="W19">
        <f>VLOOKUP($B$1,dictionary!$A$3:$K$51,8,FALSE)*Q19</f>
        <v>2.9982614565931449E-2</v>
      </c>
      <c r="X19">
        <f>VLOOKUP($B$1,dictionary!$A$3:$K$51,9,FALSE)*Q19</f>
        <v>0</v>
      </c>
      <c r="Y19">
        <f>VLOOKUP($B$1,dictionary!$A$3:$K$51,10,FALSE)*Q19</f>
        <v>0.11993045826372579</v>
      </c>
      <c r="Z19">
        <f>VLOOKUP($B$1,dictionary!$A$3:$K$51,11,FALSE)*Q19</f>
        <v>0</v>
      </c>
      <c r="AA19">
        <f t="shared" si="2"/>
        <v>11.592588065151862</v>
      </c>
      <c r="AB19">
        <f t="shared" si="11"/>
        <v>11.592588065151862</v>
      </c>
      <c r="AC19">
        <f t="shared" si="12"/>
        <v>0</v>
      </c>
      <c r="AD19">
        <f t="shared" si="3"/>
        <v>3.4727422412270559</v>
      </c>
      <c r="AE19">
        <f t="shared" si="13"/>
        <v>0</v>
      </c>
      <c r="AF19">
        <f t="shared" si="14"/>
        <v>3.8586024902522844</v>
      </c>
      <c r="AG19">
        <f t="shared" si="15"/>
        <v>6.9454844824541127</v>
      </c>
      <c r="AH19">
        <f t="shared" si="16"/>
        <v>0</v>
      </c>
      <c r="AI19">
        <f t="shared" si="17"/>
        <v>0.91387953716501469</v>
      </c>
      <c r="AJ19">
        <f t="shared" si="18"/>
        <v>0</v>
      </c>
      <c r="AK19">
        <f t="shared" si="19"/>
        <v>3.4727422412270559</v>
      </c>
      <c r="AL19">
        <f t="shared" si="20"/>
        <v>0</v>
      </c>
    </row>
    <row r="20" spans="1:38" x14ac:dyDescent="0.2">
      <c r="A20">
        <v>2037</v>
      </c>
      <c r="B20">
        <v>12</v>
      </c>
      <c r="C20">
        <f t="shared" si="21"/>
        <v>30.72201117375652</v>
      </c>
      <c r="D20">
        <f t="shared" si="23"/>
        <v>2.756924309300917</v>
      </c>
      <c r="E20">
        <f t="shared" si="4"/>
        <v>2.756924309300917</v>
      </c>
      <c r="F20">
        <f t="shared" si="5"/>
        <v>0.92101581257774434</v>
      </c>
      <c r="G20" s="9">
        <f t="shared" si="6"/>
        <v>8.9737754918074758E-2</v>
      </c>
      <c r="H20" s="9">
        <f t="shared" si="6"/>
        <v>8.9737754918074758E-2</v>
      </c>
      <c r="I20" s="9">
        <f t="shared" si="6"/>
        <v>2.9979020818939685E-2</v>
      </c>
      <c r="J20" s="9">
        <f t="shared" si="7"/>
        <v>1.1665908139349718E-2</v>
      </c>
      <c r="K20" s="9">
        <f t="shared" si="8"/>
        <v>1.7947550983614953E-2</v>
      </c>
      <c r="L20" s="9">
        <f t="shared" si="9"/>
        <v>1.1991608327575875E-2</v>
      </c>
      <c r="M20">
        <f t="shared" si="0"/>
        <v>29.461084882567818</v>
      </c>
      <c r="N20">
        <f t="shared" si="10"/>
        <v>0</v>
      </c>
      <c r="O20">
        <f t="shared" si="24"/>
        <v>29.461084882567818</v>
      </c>
      <c r="P20">
        <f>IF($I$3=0,0,M20/(1+EXP(-$I$3*(B20-$J$3)))-M20/(1+EXP($I$3*$J$3)))</f>
        <v>20.621656394614803</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8.8394284879530147</v>
      </c>
      <c r="AB20">
        <f t="shared" si="11"/>
        <v>8.8394284879530147</v>
      </c>
      <c r="AC20">
        <f t="shared" si="12"/>
        <v>0</v>
      </c>
      <c r="AD20">
        <f t="shared" si="3"/>
        <v>4.1243312789229609</v>
      </c>
      <c r="AE20">
        <f t="shared" si="13"/>
        <v>0</v>
      </c>
      <c r="AF20">
        <f t="shared" si="14"/>
        <v>4.5825903099144014</v>
      </c>
      <c r="AG20">
        <f t="shared" si="15"/>
        <v>8.2486625578459218</v>
      </c>
      <c r="AH20">
        <f t="shared" si="16"/>
        <v>0</v>
      </c>
      <c r="AI20">
        <f t="shared" si="17"/>
        <v>1.0853503365586739</v>
      </c>
      <c r="AJ20">
        <f t="shared" si="18"/>
        <v>0</v>
      </c>
      <c r="AK20">
        <f t="shared" si="19"/>
        <v>4.1243312789229609</v>
      </c>
      <c r="AL20">
        <f t="shared" si="20"/>
        <v>0</v>
      </c>
    </row>
    <row r="21" spans="1:38" x14ac:dyDescent="0.2">
      <c r="A21">
        <v>2038</v>
      </c>
      <c r="B21">
        <v>13</v>
      </c>
      <c r="C21">
        <f t="shared" si="21"/>
        <v>31.367173408405403</v>
      </c>
      <c r="D21">
        <f t="shared" si="23"/>
        <v>3.0471168409599301</v>
      </c>
      <c r="E21">
        <f t="shared" si="4"/>
        <v>3.0471168409599301</v>
      </c>
      <c r="F21">
        <f t="shared" si="5"/>
        <v>1.018762663368797</v>
      </c>
      <c r="G21" s="9">
        <f t="shared" si="6"/>
        <v>9.714349461094253E-2</v>
      </c>
      <c r="H21" s="9">
        <f t="shared" si="6"/>
        <v>9.714349461094253E-2</v>
      </c>
      <c r="I21" s="9">
        <f t="shared" si="6"/>
        <v>3.2478625029560393E-2</v>
      </c>
      <c r="J21" s="9">
        <f t="shared" si="7"/>
        <v>1.262865429942253E-2</v>
      </c>
      <c r="K21" s="9">
        <f t="shared" si="8"/>
        <v>1.9428698922188507E-2</v>
      </c>
      <c r="L21" s="9">
        <f t="shared" si="9"/>
        <v>1.2991450011824158E-2</v>
      </c>
      <c r="M21">
        <f t="shared" si="0"/>
        <v>29.97477953164033</v>
      </c>
      <c r="N21">
        <f t="shared" si="10"/>
        <v>0</v>
      </c>
      <c r="O21">
        <f t="shared" si="24"/>
        <v>29.97477953164033</v>
      </c>
      <c r="P21">
        <f t="shared" si="22"/>
        <v>23.474529341731301</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6.5002501899090284</v>
      </c>
      <c r="AB21">
        <f t="shared" si="11"/>
        <v>6.5002501899090284</v>
      </c>
      <c r="AC21">
        <f t="shared" si="12"/>
        <v>0</v>
      </c>
      <c r="AD21">
        <f t="shared" si="3"/>
        <v>4.694905868346261</v>
      </c>
      <c r="AE21">
        <f t="shared" si="13"/>
        <v>0</v>
      </c>
      <c r="AF21">
        <f t="shared" si="14"/>
        <v>5.2165620759402902</v>
      </c>
      <c r="AG21">
        <f t="shared" si="15"/>
        <v>9.389811736692522</v>
      </c>
      <c r="AH21">
        <f t="shared" si="16"/>
        <v>0</v>
      </c>
      <c r="AI21">
        <f t="shared" si="17"/>
        <v>1.2355015443016475</v>
      </c>
      <c r="AJ21">
        <f t="shared" si="18"/>
        <v>0</v>
      </c>
      <c r="AK21">
        <f t="shared" si="19"/>
        <v>4.694905868346261</v>
      </c>
      <c r="AL21">
        <f t="shared" si="20"/>
        <v>0</v>
      </c>
    </row>
    <row r="22" spans="1:38" x14ac:dyDescent="0.2">
      <c r="A22">
        <v>2039</v>
      </c>
      <c r="B22">
        <v>14</v>
      </c>
      <c r="C22">
        <f t="shared" si="21"/>
        <v>32.025884049981912</v>
      </c>
      <c r="D22">
        <f t="shared" si="23"/>
        <v>3.3474334819877729</v>
      </c>
      <c r="E22">
        <f t="shared" si="4"/>
        <v>3.3474334819877729</v>
      </c>
      <c r="F22">
        <f t="shared" si="5"/>
        <v>1.1201967080154631</v>
      </c>
      <c r="G22" s="9">
        <f t="shared" si="6"/>
        <v>0.10452275030920383</v>
      </c>
      <c r="H22" s="9">
        <f t="shared" si="6"/>
        <v>0.10452275030920383</v>
      </c>
      <c r="I22" s="9">
        <f t="shared" si="6"/>
        <v>3.497785435890554E-2</v>
      </c>
      <c r="J22" s="9">
        <f t="shared" si="7"/>
        <v>1.3587957540196498E-2</v>
      </c>
      <c r="K22" s="9">
        <f t="shared" si="8"/>
        <v>2.0904550061840766E-2</v>
      </c>
      <c r="L22" s="9">
        <f t="shared" si="9"/>
        <v>1.3991141743562217E-2</v>
      </c>
      <c r="M22">
        <f t="shared" si="0"/>
        <v>30.497577355098855</v>
      </c>
      <c r="N22">
        <f t="shared" si="10"/>
        <v>0</v>
      </c>
      <c r="O22">
        <f t="shared" si="24"/>
        <v>30.497577355098855</v>
      </c>
      <c r="P22">
        <f t="shared" si="22"/>
        <v>25.836388397620535</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4.6611889574783198</v>
      </c>
      <c r="AB22">
        <f t="shared" si="11"/>
        <v>4.6611889574783198</v>
      </c>
      <c r="AC22">
        <f t="shared" si="12"/>
        <v>0</v>
      </c>
      <c r="AD22">
        <f t="shared" si="3"/>
        <v>5.1672776795241075</v>
      </c>
      <c r="AE22">
        <f t="shared" si="13"/>
        <v>0</v>
      </c>
      <c r="AF22">
        <f t="shared" si="14"/>
        <v>5.7414196439156751</v>
      </c>
      <c r="AG22">
        <f t="shared" si="15"/>
        <v>10.334555359048213</v>
      </c>
      <c r="AH22">
        <f t="shared" si="16"/>
        <v>0</v>
      </c>
      <c r="AI22">
        <f t="shared" si="17"/>
        <v>1.3598099156642387</v>
      </c>
      <c r="AJ22">
        <f t="shared" si="18"/>
        <v>0</v>
      </c>
      <c r="AK22">
        <f t="shared" si="19"/>
        <v>5.1672776795241075</v>
      </c>
      <c r="AL22">
        <f t="shared" si="20"/>
        <v>0</v>
      </c>
    </row>
    <row r="23" spans="1:38" x14ac:dyDescent="0.2">
      <c r="A23">
        <v>2040</v>
      </c>
      <c r="B23">
        <v>15</v>
      </c>
      <c r="C23">
        <f t="shared" si="21"/>
        <v>32.698427615031527</v>
      </c>
      <c r="D23">
        <f t="shared" si="23"/>
        <v>3.6580503360612209</v>
      </c>
      <c r="E23">
        <f t="shared" si="4"/>
        <v>3.6580503360612209</v>
      </c>
      <c r="F23">
        <f t="shared" si="5"/>
        <v>1.2254253679777207</v>
      </c>
      <c r="G23" s="9">
        <f t="shared" si="6"/>
        <v>0.11187236215540862</v>
      </c>
      <c r="H23" s="9">
        <f t="shared" si="6"/>
        <v>0.11187236215540862</v>
      </c>
      <c r="I23" s="9">
        <f t="shared" si="6"/>
        <v>3.7476583963150276E-2</v>
      </c>
      <c r="J23" s="9">
        <f t="shared" si="7"/>
        <v>1.4543407080203121E-2</v>
      </c>
      <c r="K23" s="9">
        <f t="shared" si="8"/>
        <v>2.2374472431081725E-2</v>
      </c>
      <c r="L23" s="9">
        <f t="shared" si="9"/>
        <v>1.4990633585260111E-2</v>
      </c>
      <c r="M23">
        <f t="shared" si="0"/>
        <v>31.029677500519856</v>
      </c>
      <c r="N23">
        <f t="shared" si="10"/>
        <v>0</v>
      </c>
      <c r="O23">
        <f t="shared" si="24"/>
        <v>31.029677500519856</v>
      </c>
      <c r="P23">
        <f t="shared" si="22"/>
        <v>27.730093068309333</v>
      </c>
      <c r="Q23" s="9">
        <f t="shared" si="1"/>
        <v>0.89366359247029736</v>
      </c>
      <c r="R23">
        <f>VLOOKUP($B$1,dictionary!$A$3:$K$51,3,FALSE)*Q23</f>
        <v>0.17873271849405947</v>
      </c>
      <c r="S23">
        <f>VLOOKUP($B$1,dictionary!$A$3:$K$51,4,FALSE)*Q23</f>
        <v>0</v>
      </c>
      <c r="T23">
        <f>VLOOKUP($B$1,dictionary!$A$3:$K$51,5,FALSE)*Q23</f>
        <v>0.17873271849405947</v>
      </c>
      <c r="U23">
        <f>VLOOKUP($B$1,dictionary!$A$3:$K$51,6,FALSE)*Q23</f>
        <v>0.31278225736460408</v>
      </c>
      <c r="V23">
        <f>VLOOKUP($B$1,dictionary!$A$3:$K$51,7,FALSE)*Q23</f>
        <v>0</v>
      </c>
      <c r="W23">
        <f>VLOOKUP($B$1,dictionary!$A$3:$K$51,8,FALSE)*Q23</f>
        <v>4.4683179623514868E-2</v>
      </c>
      <c r="X23">
        <f>VLOOKUP($B$1,dictionary!$A$3:$K$51,9,FALSE)*Q23</f>
        <v>0</v>
      </c>
      <c r="Y23">
        <f>VLOOKUP($B$1,dictionary!$A$3:$K$51,10,FALSE)*Q23</f>
        <v>0.17873271849405947</v>
      </c>
      <c r="Z23">
        <f>VLOOKUP($B$1,dictionary!$A$3:$K$51,11,FALSE)*Q23</f>
        <v>0</v>
      </c>
      <c r="AA23">
        <f t="shared" si="2"/>
        <v>3.2995844322105228</v>
      </c>
      <c r="AB23">
        <f t="shared" si="11"/>
        <v>3.2995844322105228</v>
      </c>
      <c r="AC23">
        <f t="shared" si="12"/>
        <v>0</v>
      </c>
      <c r="AD23">
        <f t="shared" si="3"/>
        <v>5.5460186136618663</v>
      </c>
      <c r="AE23">
        <f t="shared" si="13"/>
        <v>0</v>
      </c>
      <c r="AF23">
        <f t="shared" si="14"/>
        <v>6.1622429040687408</v>
      </c>
      <c r="AG23">
        <f t="shared" si="15"/>
        <v>11.092037227323734</v>
      </c>
      <c r="AH23">
        <f t="shared" si="16"/>
        <v>0</v>
      </c>
      <c r="AI23">
        <f t="shared" si="17"/>
        <v>1.4594785825425962</v>
      </c>
      <c r="AJ23">
        <f t="shared" si="18"/>
        <v>0</v>
      </c>
      <c r="AK23">
        <f t="shared" si="19"/>
        <v>5.5460186136618663</v>
      </c>
      <c r="AL23">
        <f t="shared" si="20"/>
        <v>0</v>
      </c>
    </row>
    <row r="24" spans="1:38" x14ac:dyDescent="0.2">
      <c r="A24">
        <v>2041</v>
      </c>
      <c r="B24">
        <v>16</v>
      </c>
      <c r="C24">
        <f t="shared" si="21"/>
        <v>33.385094594947184</v>
      </c>
      <c r="D24">
        <f t="shared" si="23"/>
        <v>3.9791434573639606</v>
      </c>
      <c r="E24">
        <f t="shared" si="4"/>
        <v>3.9791434573639606</v>
      </c>
      <c r="F24">
        <f t="shared" si="5"/>
        <v>1.3345587769520186</v>
      </c>
      <c r="G24" s="9">
        <f t="shared" si="6"/>
        <v>0.11918922218558584</v>
      </c>
      <c r="H24" s="9">
        <f t="shared" si="6"/>
        <v>0.11918922218558584</v>
      </c>
      <c r="I24" s="9">
        <f t="shared" si="6"/>
        <v>3.9974689098349996E-2</v>
      </c>
      <c r="J24" s="9">
        <f t="shared" si="7"/>
        <v>1.5494598884126159E-2</v>
      </c>
      <c r="K24" s="9">
        <f t="shared" si="8"/>
        <v>2.3837844437117169E-2</v>
      </c>
      <c r="L24" s="9">
        <f t="shared" si="9"/>
        <v>1.5989875639339998E-2</v>
      </c>
      <c r="M24">
        <f t="shared" si="0"/>
        <v>31.571284200674739</v>
      </c>
      <c r="N24">
        <f t="shared" si="10"/>
        <v>0</v>
      </c>
      <c r="O24">
        <f t="shared" si="24"/>
        <v>31.571284200674739</v>
      </c>
      <c r="P24">
        <f t="shared" si="22"/>
        <v>29.236262591242056</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2.3350216094326832</v>
      </c>
      <c r="AB24">
        <f t="shared" si="11"/>
        <v>2.3350216094326832</v>
      </c>
      <c r="AC24">
        <f t="shared" si="12"/>
        <v>0</v>
      </c>
      <c r="AD24">
        <f t="shared" si="3"/>
        <v>5.8472525182484114</v>
      </c>
      <c r="AE24">
        <f t="shared" si="13"/>
        <v>0</v>
      </c>
      <c r="AF24">
        <f t="shared" si="14"/>
        <v>6.4969472424982353</v>
      </c>
      <c r="AG24">
        <f t="shared" si="15"/>
        <v>11.694505036496823</v>
      </c>
      <c r="AH24">
        <f t="shared" si="16"/>
        <v>0</v>
      </c>
      <c r="AI24">
        <f t="shared" si="17"/>
        <v>1.5387506626969503</v>
      </c>
      <c r="AJ24">
        <f t="shared" si="18"/>
        <v>0</v>
      </c>
      <c r="AK24">
        <f t="shared" si="19"/>
        <v>5.8472525182484114</v>
      </c>
      <c r="AL24">
        <f t="shared" si="20"/>
        <v>0</v>
      </c>
    </row>
    <row r="25" spans="1:38" x14ac:dyDescent="0.2">
      <c r="A25">
        <v>2042</v>
      </c>
      <c r="B25">
        <v>17</v>
      </c>
      <c r="C25">
        <f t="shared" si="21"/>
        <v>34.086181581441075</v>
      </c>
      <c r="D25">
        <f t="shared" si="23"/>
        <v>4.3108889083662909</v>
      </c>
      <c r="E25">
        <f t="shared" si="4"/>
        <v>4.3108889083662909</v>
      </c>
      <c r="F25">
        <f t="shared" si="5"/>
        <v>1.4477098429588722</v>
      </c>
      <c r="G25" s="9">
        <f t="shared" si="6"/>
        <v>0.12647027940241459</v>
      </c>
      <c r="H25" s="9">
        <f t="shared" si="6"/>
        <v>0.12647027940241459</v>
      </c>
      <c r="I25" s="9">
        <f t="shared" si="6"/>
        <v>4.2472045145329734E-2</v>
      </c>
      <c r="J25" s="9">
        <f t="shared" si="7"/>
        <v>1.6441136322313896E-2</v>
      </c>
      <c r="K25" s="9">
        <f t="shared" si="8"/>
        <v>2.5294055880482919E-2</v>
      </c>
      <c r="L25" s="9">
        <f t="shared" si="9"/>
        <v>1.6988818058131894E-2</v>
      </c>
      <c r="M25">
        <f t="shared" si="0"/>
        <v>32.122606846763659</v>
      </c>
      <c r="N25">
        <f t="shared" si="10"/>
        <v>0</v>
      </c>
      <c r="O25">
        <f t="shared" si="24"/>
        <v>32.122606846763659</v>
      </c>
      <c r="P25">
        <f>IF($I$3=0,0,M25/(1+EXP(-$I$3*(B25-$J$3)))-M25/(1+EXP($I$3*$J$3)))</f>
        <v>30.44971863372864</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1.6728882130350193</v>
      </c>
      <c r="AB25">
        <f t="shared" si="11"/>
        <v>1.6728882130350193</v>
      </c>
      <c r="AC25">
        <f t="shared" si="12"/>
        <v>0</v>
      </c>
      <c r="AD25">
        <f t="shared" si="3"/>
        <v>6.0899437267457284</v>
      </c>
      <c r="AE25">
        <f t="shared" si="13"/>
        <v>0</v>
      </c>
      <c r="AF25">
        <f t="shared" si="14"/>
        <v>6.7666041408285871</v>
      </c>
      <c r="AG25">
        <f t="shared" si="15"/>
        <v>12.179887453491457</v>
      </c>
      <c r="AH25">
        <f t="shared" si="16"/>
        <v>0</v>
      </c>
      <c r="AI25">
        <f t="shared" si="17"/>
        <v>1.6026167701962442</v>
      </c>
      <c r="AJ25">
        <f t="shared" si="18"/>
        <v>0</v>
      </c>
      <c r="AK25">
        <f t="shared" si="19"/>
        <v>6.0899437267457284</v>
      </c>
      <c r="AL25">
        <f t="shared" si="20"/>
        <v>0</v>
      </c>
    </row>
    <row r="26" spans="1:38" x14ac:dyDescent="0.2">
      <c r="A26">
        <v>2043</v>
      </c>
      <c r="B26">
        <v>18</v>
      </c>
      <c r="C26">
        <f t="shared" si="21"/>
        <v>34.801991394651331</v>
      </c>
      <c r="D26">
        <f t="shared" si="23"/>
        <v>4.653462827936913</v>
      </c>
      <c r="E26">
        <f t="shared" si="4"/>
        <v>4.653462827936913</v>
      </c>
      <c r="F26">
        <f t="shared" si="5"/>
        <v>1.5649943117667711</v>
      </c>
      <c r="G26" s="9">
        <f t="shared" si="6"/>
        <v>0.13371254464053736</v>
      </c>
      <c r="H26" s="9">
        <f t="shared" si="6"/>
        <v>0.13371254464053736</v>
      </c>
      <c r="I26" s="9">
        <f t="shared" si="6"/>
        <v>4.4968527634521881E-2</v>
      </c>
      <c r="J26" s="9">
        <f t="shared" si="7"/>
        <v>1.7382630803269856E-2</v>
      </c>
      <c r="K26" s="9">
        <f t="shared" si="8"/>
        <v>2.6742508928107474E-2</v>
      </c>
      <c r="L26" s="9">
        <f t="shared" si="9"/>
        <v>1.7987411053808754E-2</v>
      </c>
      <c r="M26">
        <f t="shared" si="0"/>
        <v>32.683860060786465</v>
      </c>
      <c r="N26">
        <f t="shared" si="10"/>
        <v>0</v>
      </c>
      <c r="O26">
        <f t="shared" si="24"/>
        <v>32.683860060786465</v>
      </c>
      <c r="P26">
        <f t="shared" si="22"/>
        <v>31.455471949248349</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1.2283881115381163</v>
      </c>
      <c r="AB26">
        <f t="shared" si="11"/>
        <v>1.2283881115381163</v>
      </c>
      <c r="AC26">
        <f t="shared" si="12"/>
        <v>0</v>
      </c>
      <c r="AD26">
        <f t="shared" si="3"/>
        <v>6.2910943898496701</v>
      </c>
      <c r="AE26">
        <f t="shared" si="13"/>
        <v>0</v>
      </c>
      <c r="AF26">
        <f t="shared" si="14"/>
        <v>6.9901048776107446</v>
      </c>
      <c r="AG26">
        <f t="shared" si="15"/>
        <v>12.58218877969934</v>
      </c>
      <c r="AH26">
        <f t="shared" si="16"/>
        <v>0</v>
      </c>
      <c r="AI26">
        <f t="shared" si="17"/>
        <v>1.6555511552235973</v>
      </c>
      <c r="AJ26">
        <f t="shared" si="18"/>
        <v>0</v>
      </c>
      <c r="AK26">
        <f t="shared" si="19"/>
        <v>6.2910943898496701</v>
      </c>
      <c r="AL26">
        <f t="shared" si="20"/>
        <v>0</v>
      </c>
    </row>
    <row r="27" spans="1:38" x14ac:dyDescent="0.2">
      <c r="A27">
        <v>2044</v>
      </c>
      <c r="B27">
        <v>19</v>
      </c>
      <c r="C27">
        <f t="shared" si="21"/>
        <v>35.532833213939007</v>
      </c>
      <c r="D27">
        <f t="shared" si="23"/>
        <v>5.007041509702681</v>
      </c>
      <c r="E27">
        <f t="shared" si="4"/>
        <v>5.007041509702681</v>
      </c>
      <c r="F27">
        <f t="shared" si="5"/>
        <v>1.6865308316805638</v>
      </c>
      <c r="G27" s="9">
        <f t="shared" si="6"/>
        <v>0.14091309520847586</v>
      </c>
      <c r="H27" s="9">
        <f t="shared" si="6"/>
        <v>0.14091309520847586</v>
      </c>
      <c r="I27" s="9">
        <f t="shared" si="6"/>
        <v>4.7464012270740139E-2</v>
      </c>
      <c r="J27" s="9">
        <f t="shared" si="7"/>
        <v>1.8318702377101863E-2</v>
      </c>
      <c r="K27" s="9">
        <f t="shared" si="8"/>
        <v>2.8182619041695174E-2</v>
      </c>
      <c r="L27" s="9">
        <f t="shared" si="9"/>
        <v>1.8985604908296056E-2</v>
      </c>
      <c r="M27">
        <f t="shared" si="0"/>
        <v>33.255263767179365</v>
      </c>
      <c r="N27">
        <f t="shared" si="10"/>
        <v>0</v>
      </c>
      <c r="O27">
        <f t="shared" si="24"/>
        <v>33.255263767179365</v>
      </c>
      <c r="P27">
        <f t="shared" si="22"/>
        <v>32.320425847331634</v>
      </c>
      <c r="Q27" s="9">
        <f t="shared" si="1"/>
        <v>0.97188902405367927</v>
      </c>
      <c r="R27">
        <f>VLOOKUP($B$1,dictionary!$A$3:$K$51,3,FALSE)*Q27</f>
        <v>0.19437780481073585</v>
      </c>
      <c r="S27">
        <f>VLOOKUP($B$1,dictionary!$A$3:$K$51,4,FALSE)*Q27</f>
        <v>0</v>
      </c>
      <c r="T27">
        <f>VLOOKUP($B$1,dictionary!$A$3:$K$51,5,FALSE)*Q27</f>
        <v>0.19437780481073585</v>
      </c>
      <c r="U27">
        <f>VLOOKUP($B$1,dictionary!$A$3:$K$51,6,FALSE)*Q27</f>
        <v>0.34016115841878775</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0.93483791984773035</v>
      </c>
      <c r="AB27">
        <f t="shared" si="11"/>
        <v>0.93483791984773035</v>
      </c>
      <c r="AC27">
        <f t="shared" si="12"/>
        <v>0</v>
      </c>
      <c r="AD27">
        <f t="shared" si="3"/>
        <v>6.4640851694663271</v>
      </c>
      <c r="AE27">
        <f t="shared" si="13"/>
        <v>0</v>
      </c>
      <c r="AF27">
        <f t="shared" si="14"/>
        <v>7.1823168549625862</v>
      </c>
      <c r="AG27">
        <f t="shared" si="15"/>
        <v>12.928170338932656</v>
      </c>
      <c r="AH27">
        <f t="shared" si="16"/>
        <v>0</v>
      </c>
      <c r="AI27">
        <f t="shared" si="17"/>
        <v>1.7010750445964018</v>
      </c>
      <c r="AJ27">
        <f t="shared" si="18"/>
        <v>0</v>
      </c>
      <c r="AK27">
        <f t="shared" si="19"/>
        <v>6.4640851694663271</v>
      </c>
      <c r="AL27">
        <f t="shared" si="20"/>
        <v>0</v>
      </c>
    </row>
    <row r="28" spans="1:38" x14ac:dyDescent="0.2">
      <c r="A28">
        <v>2045</v>
      </c>
      <c r="B28">
        <v>20</v>
      </c>
      <c r="C28">
        <f t="shared" si="21"/>
        <v>36.279022711431722</v>
      </c>
      <c r="D28">
        <f t="shared" si="23"/>
        <v>5.3718014905304976</v>
      </c>
      <c r="E28">
        <f t="shared" si="4"/>
        <v>5.3718014905304976</v>
      </c>
      <c r="F28">
        <f t="shared" si="5"/>
        <v>1.8124410197231526</v>
      </c>
      <c r="G28" s="9">
        <f t="shared" si="6"/>
        <v>0.1480690792929715</v>
      </c>
      <c r="H28" s="9">
        <f t="shared" si="6"/>
        <v>0.1480690792929715</v>
      </c>
      <c r="I28" s="9">
        <f t="shared" si="6"/>
        <v>4.9958374957880067E-2</v>
      </c>
      <c r="J28" s="9">
        <f t="shared" si="7"/>
        <v>1.9248980308086295E-2</v>
      </c>
      <c r="K28" s="9">
        <f t="shared" si="8"/>
        <v>2.9613815858594301E-2</v>
      </c>
      <c r="L28" s="9">
        <f t="shared" si="9"/>
        <v>1.9983349983152029E-2</v>
      </c>
      <c r="M28">
        <f t="shared" si="0"/>
        <v>33.837043263857353</v>
      </c>
      <c r="N28">
        <f t="shared" si="10"/>
        <v>0</v>
      </c>
      <c r="O28">
        <f t="shared" si="24"/>
        <v>33.837043263857353</v>
      </c>
      <c r="P28">
        <f t="shared" si="22"/>
        <v>33.09351195759956</v>
      </c>
      <c r="Q28" s="9">
        <f t="shared" si="1"/>
        <v>0.97802611473881385</v>
      </c>
      <c r="R28">
        <f>VLOOKUP($B$1,dictionary!$A$3:$K$51,3,FALSE)*Q28</f>
        <v>0.19560522294776278</v>
      </c>
      <c r="S28">
        <f>VLOOKUP($B$1,dictionary!$A$3:$K$51,4,FALSE)*Q28</f>
        <v>0</v>
      </c>
      <c r="T28">
        <f>VLOOKUP($B$1,dictionary!$A$3:$K$51,5,FALSE)*Q28</f>
        <v>0.19560522294776278</v>
      </c>
      <c r="U28">
        <f>VLOOKUP($B$1,dictionary!$A$3:$K$51,6,FALSE)*Q28</f>
        <v>0.34230914015858482</v>
      </c>
      <c r="V28">
        <f>VLOOKUP($B$1,dictionary!$A$3:$K$51,7,FALSE)*Q28</f>
        <v>0</v>
      </c>
      <c r="W28">
        <f>VLOOKUP($B$1,dictionary!$A$3:$K$51,8,FALSE)*Q28</f>
        <v>4.8901305736940695E-2</v>
      </c>
      <c r="X28">
        <f>VLOOKUP($B$1,dictionary!$A$3:$K$51,9,FALSE)*Q28</f>
        <v>0</v>
      </c>
      <c r="Y28">
        <f>VLOOKUP($B$1,dictionary!$A$3:$K$51,10,FALSE)*Q28</f>
        <v>0.19560522294776278</v>
      </c>
      <c r="Z28">
        <f>VLOOKUP($B$1,dictionary!$A$3:$K$51,11,FALSE)*Q28</f>
        <v>0</v>
      </c>
      <c r="AA28">
        <f t="shared" si="2"/>
        <v>0.74353130625779329</v>
      </c>
      <c r="AB28">
        <f t="shared" si="11"/>
        <v>0.74353130625779329</v>
      </c>
      <c r="AC28">
        <f t="shared" si="12"/>
        <v>0</v>
      </c>
      <c r="AD28">
        <f t="shared" si="3"/>
        <v>6.6187023915199124</v>
      </c>
      <c r="AE28">
        <f t="shared" si="13"/>
        <v>0</v>
      </c>
      <c r="AF28">
        <f t="shared" si="14"/>
        <v>7.3541137683554583</v>
      </c>
      <c r="AG28">
        <f t="shared" si="15"/>
        <v>13.237404783039825</v>
      </c>
      <c r="AH28">
        <f t="shared" si="16"/>
        <v>0</v>
      </c>
      <c r="AI28">
        <f t="shared" si="17"/>
        <v>1.7417637872420821</v>
      </c>
      <c r="AJ28">
        <f t="shared" si="18"/>
        <v>0</v>
      </c>
      <c r="AK28">
        <f t="shared" si="19"/>
        <v>6.6187023915199124</v>
      </c>
      <c r="AL28">
        <f t="shared" si="20"/>
        <v>0</v>
      </c>
    </row>
    <row r="29" spans="1:38" x14ac:dyDescent="0.2">
      <c r="A29">
        <v>2046</v>
      </c>
      <c r="B29">
        <v>21</v>
      </c>
      <c r="C29">
        <f t="shared" si="21"/>
        <v>37.040882188371782</v>
      </c>
      <c r="D29">
        <f t="shared" si="23"/>
        <v>5.7479196489657056</v>
      </c>
      <c r="E29">
        <f t="shared" si="4"/>
        <v>5.7479196489657056</v>
      </c>
      <c r="F29">
        <f t="shared" si="5"/>
        <v>1.942849529239858</v>
      </c>
      <c r="G29" s="9">
        <f t="shared" si="6"/>
        <v>0.15517772011299844</v>
      </c>
      <c r="H29" s="9">
        <f t="shared" si="6"/>
        <v>0.15517772011299844</v>
      </c>
      <c r="I29" s="9">
        <f t="shared" si="6"/>
        <v>5.2451491823533709E-2</v>
      </c>
      <c r="J29" s="9">
        <f t="shared" si="7"/>
        <v>2.0173103614689797E-2</v>
      </c>
      <c r="K29" s="9">
        <f t="shared" si="8"/>
        <v>3.1035544022599688E-2</v>
      </c>
      <c r="L29" s="9">
        <f t="shared" si="9"/>
        <v>2.0980596729413485E-2</v>
      </c>
      <c r="M29">
        <f t="shared" si="0"/>
        <v>34.429429292813332</v>
      </c>
      <c r="N29">
        <f t="shared" si="10"/>
        <v>0</v>
      </c>
      <c r="O29">
        <f t="shared" si="24"/>
        <v>34.429429292813332</v>
      </c>
      <c r="P29">
        <f t="shared" si="22"/>
        <v>33.808992736741381</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0.62043655607195092</v>
      </c>
      <c r="AB29">
        <f t="shared" si="11"/>
        <v>0.62043655607195092</v>
      </c>
      <c r="AC29">
        <f t="shared" si="12"/>
        <v>0</v>
      </c>
      <c r="AD29">
        <f t="shared" si="3"/>
        <v>6.7617985473482767</v>
      </c>
      <c r="AE29">
        <f t="shared" si="13"/>
        <v>0</v>
      </c>
      <c r="AF29">
        <f t="shared" si="14"/>
        <v>7.513109497053641</v>
      </c>
      <c r="AG29">
        <f t="shared" si="15"/>
        <v>13.523597094696555</v>
      </c>
      <c r="AH29">
        <f t="shared" si="16"/>
        <v>0</v>
      </c>
      <c r="AI29">
        <f t="shared" si="17"/>
        <v>1.7794206703548097</v>
      </c>
      <c r="AJ29">
        <f t="shared" si="18"/>
        <v>0</v>
      </c>
      <c r="AK29">
        <f t="shared" si="19"/>
        <v>6.7617985473482767</v>
      </c>
      <c r="AL29">
        <f t="shared" si="20"/>
        <v>0</v>
      </c>
    </row>
    <row r="30" spans="1:38" x14ac:dyDescent="0.2">
      <c r="A30">
        <v>2047</v>
      </c>
      <c r="B30">
        <v>22</v>
      </c>
      <c r="C30">
        <f t="shared" si="21"/>
        <v>37.818740714327589</v>
      </c>
      <c r="D30">
        <f t="shared" si="23"/>
        <v>6.1355733134235209</v>
      </c>
      <c r="E30">
        <f t="shared" si="4"/>
        <v>6.1355733134235209</v>
      </c>
      <c r="F30">
        <f t="shared" si="5"/>
        <v>2.0778841189556374</v>
      </c>
      <c r="G30" s="9">
        <f t="shared" si="6"/>
        <v>0.16223631981217887</v>
      </c>
      <c r="H30" s="9">
        <f t="shared" si="6"/>
        <v>0.16223631981217887</v>
      </c>
      <c r="I30" s="9">
        <f t="shared" si="6"/>
        <v>5.4943239243511702E-2</v>
      </c>
      <c r="J30" s="9">
        <f t="shared" si="7"/>
        <v>2.1090721575583254E-2</v>
      </c>
      <c r="K30" s="9">
        <f t="shared" si="8"/>
        <v>3.2447263962435774E-2</v>
      </c>
      <c r="L30" s="9">
        <f t="shared" si="9"/>
        <v>2.1977295697404683E-2</v>
      </c>
      <c r="M30">
        <f t="shared" si="0"/>
        <v>35.03265811043449</v>
      </c>
      <c r="N30">
        <f t="shared" si="10"/>
        <v>0</v>
      </c>
      <c r="O30">
        <f t="shared" si="24"/>
        <v>35.03265811043449</v>
      </c>
      <c r="P30">
        <f t="shared" si="22"/>
        <v>34.490239905159591</v>
      </c>
      <c r="Q30" s="9">
        <f t="shared" si="1"/>
        <v>0.98451678420846578</v>
      </c>
      <c r="R30">
        <f>VLOOKUP($B$1,dictionary!$A$3:$K$51,3,FALSE)*Q30</f>
        <v>0.19690335684169316</v>
      </c>
      <c r="S30">
        <f>VLOOKUP($B$1,dictionary!$A$3:$K$51,4,FALSE)*Q30</f>
        <v>0</v>
      </c>
      <c r="T30">
        <f>VLOOKUP($B$1,dictionary!$A$3:$K$51,5,FALSE)*Q30</f>
        <v>0.19690335684169316</v>
      </c>
      <c r="U30">
        <f>VLOOKUP($B$1,dictionary!$A$3:$K$51,6,FALSE)*Q30</f>
        <v>0.34458087447296298</v>
      </c>
      <c r="V30">
        <f>VLOOKUP($B$1,dictionary!$A$3:$K$51,7,FALSE)*Q30</f>
        <v>0</v>
      </c>
      <c r="W30">
        <f>VLOOKUP($B$1,dictionary!$A$3:$K$51,8,FALSE)*Q30</f>
        <v>4.922583921042329E-2</v>
      </c>
      <c r="X30">
        <f>VLOOKUP($B$1,dictionary!$A$3:$K$51,9,FALSE)*Q30</f>
        <v>0</v>
      </c>
      <c r="Y30">
        <f>VLOOKUP($B$1,dictionary!$A$3:$K$51,10,FALSE)*Q30</f>
        <v>0.19690335684169316</v>
      </c>
      <c r="Z30">
        <f>VLOOKUP($B$1,dictionary!$A$3:$K$51,11,FALSE)*Q30</f>
        <v>0</v>
      </c>
      <c r="AA30">
        <f t="shared" si="2"/>
        <v>0.54241820527489892</v>
      </c>
      <c r="AB30">
        <f t="shared" si="11"/>
        <v>0.54241820527489892</v>
      </c>
      <c r="AC30">
        <f t="shared" si="12"/>
        <v>0</v>
      </c>
      <c r="AD30">
        <f t="shared" si="3"/>
        <v>6.898047981031918</v>
      </c>
      <c r="AE30">
        <f t="shared" si="13"/>
        <v>0</v>
      </c>
      <c r="AF30">
        <f t="shared" si="14"/>
        <v>7.6644977567021311</v>
      </c>
      <c r="AG30">
        <f t="shared" si="15"/>
        <v>13.796095962063836</v>
      </c>
      <c r="AH30">
        <f t="shared" si="16"/>
        <v>0</v>
      </c>
      <c r="AI30">
        <f t="shared" si="17"/>
        <v>1.8152757844820835</v>
      </c>
      <c r="AJ30">
        <f t="shared" si="18"/>
        <v>0</v>
      </c>
      <c r="AK30">
        <f t="shared" si="19"/>
        <v>6.898047981031918</v>
      </c>
      <c r="AL30">
        <f t="shared" si="20"/>
        <v>0</v>
      </c>
    </row>
    <row r="31" spans="1:38" x14ac:dyDescent="0.2">
      <c r="A31">
        <v>2048</v>
      </c>
      <c r="B31">
        <v>23</v>
      </c>
      <c r="C31">
        <f t="shared" si="21"/>
        <v>38.612934269328463</v>
      </c>
      <c r="D31">
        <f t="shared" si="23"/>
        <v>6.5349403798946888</v>
      </c>
      <c r="E31">
        <f t="shared" si="4"/>
        <v>6.5349403798946888</v>
      </c>
      <c r="F31">
        <f t="shared" si="5"/>
        <v>2.2176757235157289</v>
      </c>
      <c r="G31" s="9">
        <f t="shared" si="6"/>
        <v>0.16924226307985119</v>
      </c>
      <c r="H31" s="9">
        <f t="shared" si="6"/>
        <v>0.16924226307985119</v>
      </c>
      <c r="I31" s="9">
        <f t="shared" si="6"/>
        <v>5.7433493866258761E-2</v>
      </c>
      <c r="J31" s="9">
        <f t="shared" si="7"/>
        <v>2.2001494200380656E-2</v>
      </c>
      <c r="K31" s="9">
        <f t="shared" si="8"/>
        <v>3.3848452615970241E-2</v>
      </c>
      <c r="L31" s="9">
        <f t="shared" si="9"/>
        <v>2.2973397546503505E-2</v>
      </c>
      <c r="M31">
        <f t="shared" si="0"/>
        <v>35.64697155770498</v>
      </c>
      <c r="N31">
        <f t="shared" si="10"/>
        <v>0</v>
      </c>
      <c r="O31">
        <f t="shared" si="24"/>
        <v>35.64697155770498</v>
      </c>
      <c r="P31">
        <f t="shared" si="22"/>
        <v>35.152955443408558</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0.49401611429642145</v>
      </c>
      <c r="AB31">
        <f t="shared" si="11"/>
        <v>0.49401611429642145</v>
      </c>
      <c r="AC31">
        <f t="shared" si="12"/>
        <v>0</v>
      </c>
      <c r="AD31">
        <f t="shared" si="3"/>
        <v>7.0305910886817129</v>
      </c>
      <c r="AE31">
        <f t="shared" si="13"/>
        <v>0</v>
      </c>
      <c r="AF31">
        <f t="shared" si="14"/>
        <v>7.8117678763130147</v>
      </c>
      <c r="AG31">
        <f t="shared" si="15"/>
        <v>14.061182177363424</v>
      </c>
      <c r="AH31">
        <f t="shared" si="16"/>
        <v>0</v>
      </c>
      <c r="AI31">
        <f t="shared" si="17"/>
        <v>1.8501555496530822</v>
      </c>
      <c r="AJ31">
        <f t="shared" si="18"/>
        <v>0</v>
      </c>
      <c r="AK31">
        <f t="shared" si="19"/>
        <v>7.0305910886817129</v>
      </c>
      <c r="AL31">
        <f t="shared" si="20"/>
        <v>0</v>
      </c>
    </row>
    <row r="32" spans="1:38" x14ac:dyDescent="0.2">
      <c r="A32">
        <v>2049</v>
      </c>
      <c r="B32">
        <v>24</v>
      </c>
      <c r="C32">
        <f t="shared" si="21"/>
        <v>39.423805888984354</v>
      </c>
      <c r="D32">
        <f t="shared" si="23"/>
        <v>6.946199438893764</v>
      </c>
      <c r="E32">
        <f t="shared" si="4"/>
        <v>6.946199438893764</v>
      </c>
      <c r="F32">
        <f t="shared" si="5"/>
        <v>2.3623585255411506</v>
      </c>
      <c r="G32" s="9">
        <f t="shared" si="6"/>
        <v>0.17619302049259136</v>
      </c>
      <c r="H32" s="9">
        <f t="shared" si="6"/>
        <v>0.17619302049259136</v>
      </c>
      <c r="I32" s="9">
        <f t="shared" si="6"/>
        <v>5.9922132637154436E-2</v>
      </c>
      <c r="J32" s="9">
        <f t="shared" si="7"/>
        <v>2.2905092664036879E-2</v>
      </c>
      <c r="K32" s="9">
        <f t="shared" si="8"/>
        <v>3.5238604098518277E-2</v>
      </c>
      <c r="L32" s="9">
        <f t="shared" si="9"/>
        <v>2.3968853054861777E-2</v>
      </c>
      <c r="M32">
        <f t="shared" si="0"/>
        <v>36.272617130472426</v>
      </c>
      <c r="N32">
        <f t="shared" si="10"/>
        <v>0</v>
      </c>
      <c r="O32">
        <f t="shared" si="24"/>
        <v>36.272617130472426</v>
      </c>
      <c r="P32">
        <f t="shared" si="22"/>
        <v>35.807606474513882</v>
      </c>
      <c r="Q32" s="9">
        <f t="shared" si="1"/>
        <v>0.98718011842691411</v>
      </c>
      <c r="R32">
        <f>VLOOKUP($B$1,dictionary!$A$3:$K$51,3,FALSE)*Q32</f>
        <v>0.19743602368538282</v>
      </c>
      <c r="S32">
        <f>VLOOKUP($B$1,dictionary!$A$3:$K$51,4,FALSE)*Q32</f>
        <v>0</v>
      </c>
      <c r="T32">
        <f>VLOOKUP($B$1,dictionary!$A$3:$K$51,5,FALSE)*Q32</f>
        <v>0.19743602368538282</v>
      </c>
      <c r="U32">
        <f>VLOOKUP($B$1,dictionary!$A$3:$K$51,6,FALSE)*Q32</f>
        <v>0.34551304144941991</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0.46501065595854385</v>
      </c>
      <c r="AB32">
        <f t="shared" si="11"/>
        <v>0.46501065595854385</v>
      </c>
      <c r="AC32">
        <f t="shared" si="12"/>
        <v>0</v>
      </c>
      <c r="AD32">
        <f t="shared" si="3"/>
        <v>7.1615212949027764</v>
      </c>
      <c r="AE32">
        <f t="shared" si="13"/>
        <v>0</v>
      </c>
      <c r="AF32">
        <f t="shared" si="14"/>
        <v>7.9572458832253075</v>
      </c>
      <c r="AG32">
        <f t="shared" si="15"/>
        <v>14.323042589805555</v>
      </c>
      <c r="AH32">
        <f t="shared" si="16"/>
        <v>0</v>
      </c>
      <c r="AI32">
        <f t="shared" si="17"/>
        <v>1.884610867079678</v>
      </c>
      <c r="AJ32">
        <f t="shared" si="18"/>
        <v>0</v>
      </c>
      <c r="AK32">
        <f t="shared" si="19"/>
        <v>7.1615212949027764</v>
      </c>
      <c r="AL32">
        <f t="shared" si="20"/>
        <v>0</v>
      </c>
    </row>
    <row r="33" spans="1:38" x14ac:dyDescent="0.2">
      <c r="A33">
        <v>2050</v>
      </c>
      <c r="B33">
        <v>25</v>
      </c>
      <c r="C33">
        <f t="shared" si="21"/>
        <v>40.251705812653022</v>
      </c>
      <c r="D33">
        <f t="shared" si="23"/>
        <v>7.3695299113481241</v>
      </c>
      <c r="E33">
        <f t="shared" si="4"/>
        <v>7.3695299113481241</v>
      </c>
      <c r="F33">
        <f t="shared" si="5"/>
        <v>2.5120700292311078</v>
      </c>
      <c r="G33" s="9">
        <f t="shared" si="6"/>
        <v>0.18308615156954494</v>
      </c>
      <c r="H33" s="9">
        <f t="shared" si="6"/>
        <v>0.18308615156954494</v>
      </c>
      <c r="I33" s="9">
        <f t="shared" si="6"/>
        <v>6.2409032822689593E-2</v>
      </c>
      <c r="J33" s="9">
        <f t="shared" si="7"/>
        <v>2.3801199704040842E-2</v>
      </c>
      <c r="K33" s="9">
        <f t="shared" si="8"/>
        <v>3.661723031390899E-2</v>
      </c>
      <c r="L33" s="9">
        <f t="shared" si="9"/>
        <v>2.4963613129075839E-2</v>
      </c>
      <c r="M33">
        <f t="shared" si="0"/>
        <v>36.909848049961489</v>
      </c>
      <c r="N33">
        <f t="shared" si="10"/>
        <v>0</v>
      </c>
      <c r="O33">
        <f t="shared" si="24"/>
        <v>36.909848049961489</v>
      </c>
      <c r="P33">
        <f t="shared" si="22"/>
        <v>36.461155220756581</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0.44869282920490861</v>
      </c>
      <c r="AB33">
        <f t="shared" si="11"/>
        <v>0.44869282920490861</v>
      </c>
      <c r="AC33">
        <f t="shared" si="12"/>
        <v>0</v>
      </c>
      <c r="AD33">
        <f t="shared" si="3"/>
        <v>7.2922310441513165</v>
      </c>
      <c r="AE33">
        <f t="shared" si="13"/>
        <v>0</v>
      </c>
      <c r="AF33">
        <f t="shared" si="14"/>
        <v>8.1024789379459072</v>
      </c>
      <c r="AG33">
        <f t="shared" si="15"/>
        <v>14.584462088302633</v>
      </c>
      <c r="AH33">
        <f t="shared" si="16"/>
        <v>0</v>
      </c>
      <c r="AI33">
        <f t="shared" si="17"/>
        <v>1.9190081695135042</v>
      </c>
      <c r="AJ33">
        <f t="shared" si="18"/>
        <v>0</v>
      </c>
      <c r="AK33">
        <f t="shared" si="19"/>
        <v>7.2922310441513165</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494F-85AD-C048-B312-2E8F1C79197E}">
  <sheetPr>
    <tabColor theme="4" tint="0.79998168889431442"/>
  </sheetPr>
  <dimension ref="A1:AY37"/>
  <sheetViews>
    <sheetView topLeftCell="C1" zoomScale="106" zoomScaleNormal="125" workbookViewId="0">
      <selection activeCell="N20" sqref="N20"/>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43</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LFO</v>
      </c>
      <c r="C2" s="14" t="str">
        <f>VLOOKUP(B1,dictionary!$A$3:$N$51,12,FALSE)</f>
        <v>Yes</v>
      </c>
      <c r="D2" t="s">
        <v>77</v>
      </c>
      <c r="E2" s="5">
        <f>IF(C2="Yes",MAIN!B4,0)</f>
        <v>0.03</v>
      </c>
      <c r="F2" s="5">
        <f>MAIN!C4</f>
        <v>0.13</v>
      </c>
      <c r="G2" s="11">
        <f>MAIN!D4</f>
        <v>5</v>
      </c>
      <c r="H2" t="s">
        <v>73</v>
      </c>
      <c r="I2" s="5">
        <f>MAIN!B1</f>
        <v>2.1000000000000001E-2</v>
      </c>
      <c r="J2" s="4"/>
      <c r="K2" s="4"/>
      <c r="L2" s="13"/>
      <c r="AC2" t="str">
        <f>B2</f>
        <v>LFO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LFO</v>
      </c>
      <c r="P7" t="s">
        <v>163</v>
      </c>
      <c r="Q7" t="s">
        <v>164</v>
      </c>
      <c r="R7" s="1" t="s">
        <v>53</v>
      </c>
      <c r="S7" s="1" t="s">
        <v>54</v>
      </c>
      <c r="T7" s="1" t="s">
        <v>55</v>
      </c>
      <c r="U7" s="1" t="s">
        <v>56</v>
      </c>
      <c r="V7" s="1" t="s">
        <v>57</v>
      </c>
      <c r="W7" s="1" t="s">
        <v>58</v>
      </c>
      <c r="X7" s="1" t="s">
        <v>59</v>
      </c>
      <c r="Y7" s="1" t="s">
        <v>60</v>
      </c>
      <c r="Z7" s="1" t="s">
        <v>61</v>
      </c>
      <c r="AA7" s="1" t="s">
        <v>186</v>
      </c>
      <c r="AB7" s="1" t="str">
        <f>O7</f>
        <v>LFO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v>0</v>
      </c>
      <c r="D8">
        <f>IF($E$2=0,0,C8/(1+EXP(-$E$2*(B8-$G$2)))-C8/(1+EXP($E$2*$G$2)))</f>
        <v>0</v>
      </c>
      <c r="E8">
        <f>IF($E$3=0,0,C8/(1+EXP(-$E$3*(B8-$G$3)))-C8/(1+EXP($E$3*$G$3)))</f>
        <v>0</v>
      </c>
      <c r="F8">
        <f>IF($E$4=0,0,C8/(1+EXP(-$E$4*(B8-$G$4)))-C8/(1+EXP($E$4*$G$4)))</f>
        <v>0</v>
      </c>
      <c r="G8" s="73">
        <v>0</v>
      </c>
      <c r="H8" s="73">
        <v>0</v>
      </c>
      <c r="I8" s="73">
        <v>0</v>
      </c>
      <c r="J8" s="9">
        <f>G8*$F$2</f>
        <v>0</v>
      </c>
      <c r="K8" s="9">
        <f>H8*$F$3</f>
        <v>0</v>
      </c>
      <c r="L8" s="9">
        <f>I8*$F$4</f>
        <v>0</v>
      </c>
      <c r="M8">
        <f t="shared" ref="M8:M33" si="0">C8*(1-J8)*(1-K8)*(1-L8)</f>
        <v>0</v>
      </c>
      <c r="N8">
        <f>IF($N$7="LFO",M8/(1+EXP(-$I$4*(B8-$J$4)))-M8/(1+EXP($I$4*$J$4)),IF($N$7="MGO",M8/(1+EXP(-$I$5*(B8-$J$5)))-M8/(1+EXP($I$5*$J$5)),0))</f>
        <v>0</v>
      </c>
      <c r="O8" s="73">
        <v>0</v>
      </c>
      <c r="P8" s="73">
        <v>0</v>
      </c>
      <c r="Q8" s="73">
        <v>0</v>
      </c>
      <c r="R8" s="73">
        <v>0</v>
      </c>
      <c r="S8" s="73">
        <v>0</v>
      </c>
      <c r="T8" s="73">
        <v>0</v>
      </c>
      <c r="U8" s="73">
        <v>0</v>
      </c>
      <c r="V8" s="73">
        <v>0</v>
      </c>
      <c r="W8" s="73">
        <v>0</v>
      </c>
      <c r="X8" s="73">
        <v>0</v>
      </c>
      <c r="Y8" s="73">
        <v>0</v>
      </c>
      <c r="Z8" s="73">
        <v>0</v>
      </c>
      <c r="AA8" s="73">
        <v>0</v>
      </c>
      <c r="AB8" s="73">
        <v>0</v>
      </c>
      <c r="AC8" s="73">
        <v>0</v>
      </c>
      <c r="AD8" s="73">
        <v>0</v>
      </c>
      <c r="AE8" s="73">
        <v>0</v>
      </c>
      <c r="AF8" s="73">
        <v>0</v>
      </c>
      <c r="AG8" s="73">
        <v>0</v>
      </c>
      <c r="AH8" s="73">
        <v>0</v>
      </c>
      <c r="AI8" s="73">
        <v>0</v>
      </c>
      <c r="AJ8" s="73">
        <v>0</v>
      </c>
      <c r="AK8" s="73">
        <v>0</v>
      </c>
      <c r="AL8" s="73">
        <v>0</v>
      </c>
    </row>
    <row r="9" spans="1:51" x14ac:dyDescent="0.2">
      <c r="A9">
        <v>2026</v>
      </c>
      <c r="B9">
        <v>1</v>
      </c>
      <c r="C9">
        <f>C8*(1+$I$2)</f>
        <v>0</v>
      </c>
      <c r="D9">
        <f>IF($E$2=0,0,C9/(1+EXP(-$E$2*(B9-$G$2)))-C9/(1+EXP($E$2*$G$2)))</f>
        <v>0</v>
      </c>
      <c r="E9">
        <f t="shared" ref="E9:E33" si="1">IF($E$3=0,0,C9/(1+EXP(-$E$3*(B9-$G$3)))-C9/(1+EXP($E$3*$G$3)))</f>
        <v>0</v>
      </c>
      <c r="F9">
        <f t="shared" ref="F9:F33" si="2">IF($E$4=0,0,C9/(1+EXP(-$E$4*(B9-$G$4)))-C9/(1+EXP($E$4*$G$4)))</f>
        <v>0</v>
      </c>
      <c r="G9" s="73">
        <v>0</v>
      </c>
      <c r="H9" s="73">
        <v>0</v>
      </c>
      <c r="I9" s="73">
        <v>0</v>
      </c>
      <c r="J9" s="9">
        <f t="shared" ref="J9:J33" si="3">G9*$F$2</f>
        <v>0</v>
      </c>
      <c r="K9" s="9">
        <f t="shared" ref="K9:K33" si="4">H9*$F$3</f>
        <v>0</v>
      </c>
      <c r="L9" s="9">
        <f t="shared" ref="L9:L33" si="5">I9*$F$4</f>
        <v>0</v>
      </c>
      <c r="M9">
        <f t="shared" si="0"/>
        <v>0</v>
      </c>
      <c r="N9">
        <f t="shared" ref="N9:N33" si="6">IF($N$7="LFO",M9/(1+EXP(-$I$4*(B9-$J$4)))-M9/(1+EXP($I$4*$J$4)),IF($N$7="MGO",M9/(1+EXP(-$I$5*(B9-$J$5)))-M9/(1+EXP($I$5*$J$5)),0))</f>
        <v>0</v>
      </c>
      <c r="O9" s="73">
        <v>0</v>
      </c>
      <c r="P9" s="73">
        <v>0</v>
      </c>
      <c r="Q9" s="73">
        <v>0</v>
      </c>
      <c r="R9" s="73">
        <v>0</v>
      </c>
      <c r="S9" s="73">
        <v>0</v>
      </c>
      <c r="T9" s="73">
        <v>0</v>
      </c>
      <c r="U9" s="73">
        <v>0</v>
      </c>
      <c r="V9" s="73">
        <v>0</v>
      </c>
      <c r="W9" s="73">
        <v>0</v>
      </c>
      <c r="X9" s="73">
        <v>0</v>
      </c>
      <c r="Y9" s="73">
        <v>0</v>
      </c>
      <c r="Z9" s="73">
        <v>0</v>
      </c>
      <c r="AA9" s="73">
        <v>0</v>
      </c>
      <c r="AB9" s="73">
        <v>0</v>
      </c>
      <c r="AC9" s="73">
        <v>0</v>
      </c>
      <c r="AD9" s="73">
        <v>0</v>
      </c>
      <c r="AE9" s="73">
        <v>0</v>
      </c>
      <c r="AF9" s="73">
        <v>0</v>
      </c>
      <c r="AG9" s="73">
        <v>0</v>
      </c>
      <c r="AH9" s="73">
        <v>0</v>
      </c>
      <c r="AI9" s="73">
        <v>0</v>
      </c>
      <c r="AJ9" s="73">
        <v>0</v>
      </c>
      <c r="AK9" s="73">
        <v>0</v>
      </c>
      <c r="AL9" s="73">
        <v>0</v>
      </c>
    </row>
    <row r="10" spans="1:51" x14ac:dyDescent="0.2">
      <c r="A10">
        <v>2027</v>
      </c>
      <c r="B10">
        <v>2</v>
      </c>
      <c r="C10">
        <f t="shared" ref="C10:C33" si="7">C9*(1+$I$2)</f>
        <v>0</v>
      </c>
      <c r="D10">
        <f>IF($E$2=0,0,C10/(1+EXP(-$E$2*(B10-$G$2)))-C10/(1+EXP($E$2*$G$2)))</f>
        <v>0</v>
      </c>
      <c r="E10">
        <f t="shared" si="1"/>
        <v>0</v>
      </c>
      <c r="F10">
        <f t="shared" si="2"/>
        <v>0</v>
      </c>
      <c r="G10" s="73">
        <v>0</v>
      </c>
      <c r="H10" s="73">
        <v>0</v>
      </c>
      <c r="I10" s="73">
        <v>0</v>
      </c>
      <c r="J10" s="9">
        <f t="shared" si="3"/>
        <v>0</v>
      </c>
      <c r="K10" s="9">
        <f t="shared" si="4"/>
        <v>0</v>
      </c>
      <c r="L10" s="9">
        <f t="shared" si="5"/>
        <v>0</v>
      </c>
      <c r="M10">
        <f t="shared" si="0"/>
        <v>0</v>
      </c>
      <c r="N10">
        <f t="shared" si="6"/>
        <v>0</v>
      </c>
      <c r="O10" s="73">
        <v>0</v>
      </c>
      <c r="P10" s="73">
        <v>0</v>
      </c>
      <c r="Q10" s="73">
        <v>0</v>
      </c>
      <c r="R10" s="73">
        <v>0</v>
      </c>
      <c r="S10" s="73">
        <v>0</v>
      </c>
      <c r="T10" s="73">
        <v>0</v>
      </c>
      <c r="U10" s="73">
        <v>0</v>
      </c>
      <c r="V10" s="73">
        <v>0</v>
      </c>
      <c r="W10" s="73">
        <v>0</v>
      </c>
      <c r="X10" s="73">
        <v>0</v>
      </c>
      <c r="Y10" s="73">
        <v>0</v>
      </c>
      <c r="Z10" s="73">
        <v>0</v>
      </c>
      <c r="AA10" s="73">
        <v>0</v>
      </c>
      <c r="AB10" s="73">
        <v>0</v>
      </c>
      <c r="AC10" s="73">
        <v>0</v>
      </c>
      <c r="AD10" s="73">
        <v>0</v>
      </c>
      <c r="AE10" s="73">
        <v>0</v>
      </c>
      <c r="AF10" s="73">
        <v>0</v>
      </c>
      <c r="AG10" s="73">
        <v>0</v>
      </c>
      <c r="AH10" s="73">
        <v>0</v>
      </c>
      <c r="AI10" s="73">
        <v>0</v>
      </c>
      <c r="AJ10" s="73">
        <v>0</v>
      </c>
      <c r="AK10" s="73">
        <v>0</v>
      </c>
      <c r="AL10" s="73">
        <v>0</v>
      </c>
    </row>
    <row r="11" spans="1:51" x14ac:dyDescent="0.2">
      <c r="A11">
        <v>2028</v>
      </c>
      <c r="B11">
        <v>3</v>
      </c>
      <c r="C11">
        <f t="shared" si="7"/>
        <v>0</v>
      </c>
      <c r="D11">
        <f t="shared" ref="D11:D33" si="8">IF($E$2=0,0,C11/(1+EXP(-$E$2*(B11-$G$2)))-C11/(1+EXP($E$2*$G$2)))</f>
        <v>0</v>
      </c>
      <c r="E11">
        <f t="shared" si="1"/>
        <v>0</v>
      </c>
      <c r="F11">
        <f t="shared" si="2"/>
        <v>0</v>
      </c>
      <c r="G11" s="73">
        <v>0</v>
      </c>
      <c r="H11" s="73">
        <v>0</v>
      </c>
      <c r="I11" s="73">
        <v>0</v>
      </c>
      <c r="J11" s="9">
        <f t="shared" si="3"/>
        <v>0</v>
      </c>
      <c r="K11" s="9">
        <f t="shared" si="4"/>
        <v>0</v>
      </c>
      <c r="L11" s="9">
        <f t="shared" si="5"/>
        <v>0</v>
      </c>
      <c r="M11">
        <f t="shared" si="0"/>
        <v>0</v>
      </c>
      <c r="N11">
        <f t="shared" si="6"/>
        <v>0</v>
      </c>
      <c r="O11" s="73">
        <v>0</v>
      </c>
      <c r="P11" s="73">
        <v>0</v>
      </c>
      <c r="Q11" s="73">
        <v>0</v>
      </c>
      <c r="R11" s="73">
        <v>0</v>
      </c>
      <c r="S11" s="73">
        <v>0</v>
      </c>
      <c r="T11" s="73">
        <v>0</v>
      </c>
      <c r="U11" s="73">
        <v>0</v>
      </c>
      <c r="V11" s="73">
        <v>0</v>
      </c>
      <c r="W11" s="73">
        <v>0</v>
      </c>
      <c r="X11" s="73">
        <v>0</v>
      </c>
      <c r="Y11" s="73">
        <v>0</v>
      </c>
      <c r="Z11" s="73">
        <v>0</v>
      </c>
      <c r="AA11" s="73">
        <v>0</v>
      </c>
      <c r="AB11" s="73">
        <v>0</v>
      </c>
      <c r="AC11" s="73">
        <v>0</v>
      </c>
      <c r="AD11" s="73">
        <v>0</v>
      </c>
      <c r="AE11" s="73">
        <v>0</v>
      </c>
      <c r="AF11" s="73">
        <v>0</v>
      </c>
      <c r="AG11" s="73">
        <v>0</v>
      </c>
      <c r="AH11" s="73">
        <v>0</v>
      </c>
      <c r="AI11" s="73">
        <v>0</v>
      </c>
      <c r="AJ11" s="73">
        <v>0</v>
      </c>
      <c r="AK11" s="73">
        <v>0</v>
      </c>
      <c r="AL11" s="73">
        <v>0</v>
      </c>
    </row>
    <row r="12" spans="1:51" x14ac:dyDescent="0.2">
      <c r="A12">
        <v>2029</v>
      </c>
      <c r="B12">
        <v>4</v>
      </c>
      <c r="C12">
        <f t="shared" si="7"/>
        <v>0</v>
      </c>
      <c r="D12">
        <f t="shared" si="8"/>
        <v>0</v>
      </c>
      <c r="E12">
        <f t="shared" si="1"/>
        <v>0</v>
      </c>
      <c r="F12">
        <f t="shared" si="2"/>
        <v>0</v>
      </c>
      <c r="G12" s="73">
        <v>0</v>
      </c>
      <c r="H12" s="73">
        <v>0</v>
      </c>
      <c r="I12" s="73">
        <v>0</v>
      </c>
      <c r="J12" s="9">
        <f t="shared" si="3"/>
        <v>0</v>
      </c>
      <c r="K12" s="9">
        <f t="shared" si="4"/>
        <v>0</v>
      </c>
      <c r="L12" s="9">
        <f t="shared" si="5"/>
        <v>0</v>
      </c>
      <c r="M12">
        <f t="shared" si="0"/>
        <v>0</v>
      </c>
      <c r="N12">
        <f t="shared" si="6"/>
        <v>0</v>
      </c>
      <c r="O12" s="73">
        <v>0</v>
      </c>
      <c r="P12" s="73">
        <v>0</v>
      </c>
      <c r="Q12" s="73">
        <v>0</v>
      </c>
      <c r="R12" s="73">
        <v>0</v>
      </c>
      <c r="S12" s="73">
        <v>0</v>
      </c>
      <c r="T12" s="73">
        <v>0</v>
      </c>
      <c r="U12" s="73">
        <v>0</v>
      </c>
      <c r="V12" s="73">
        <v>0</v>
      </c>
      <c r="W12" s="73">
        <v>0</v>
      </c>
      <c r="X12" s="73">
        <v>0</v>
      </c>
      <c r="Y12" s="73">
        <v>0</v>
      </c>
      <c r="Z12" s="73">
        <v>0</v>
      </c>
      <c r="AA12" s="73">
        <v>0</v>
      </c>
      <c r="AB12" s="73">
        <v>0</v>
      </c>
      <c r="AC12" s="73">
        <v>0</v>
      </c>
      <c r="AD12" s="73">
        <v>0</v>
      </c>
      <c r="AE12" s="73">
        <v>0</v>
      </c>
      <c r="AF12" s="73">
        <v>0</v>
      </c>
      <c r="AG12" s="73">
        <v>0</v>
      </c>
      <c r="AH12" s="73">
        <v>0</v>
      </c>
      <c r="AI12" s="73">
        <v>0</v>
      </c>
      <c r="AJ12" s="73">
        <v>0</v>
      </c>
      <c r="AK12" s="73">
        <v>0</v>
      </c>
      <c r="AL12" s="73">
        <v>0</v>
      </c>
    </row>
    <row r="13" spans="1:51" x14ac:dyDescent="0.2">
      <c r="A13">
        <v>2030</v>
      </c>
      <c r="B13">
        <v>5</v>
      </c>
      <c r="C13">
        <f t="shared" si="7"/>
        <v>0</v>
      </c>
      <c r="D13">
        <f t="shared" si="8"/>
        <v>0</v>
      </c>
      <c r="E13">
        <f t="shared" si="1"/>
        <v>0</v>
      </c>
      <c r="F13">
        <f t="shared" si="2"/>
        <v>0</v>
      </c>
      <c r="G13" s="73">
        <v>0</v>
      </c>
      <c r="H13" s="73">
        <v>0</v>
      </c>
      <c r="I13" s="73">
        <v>0</v>
      </c>
      <c r="J13" s="9">
        <f t="shared" si="3"/>
        <v>0</v>
      </c>
      <c r="K13" s="9">
        <f t="shared" si="4"/>
        <v>0</v>
      </c>
      <c r="L13" s="9">
        <f t="shared" si="5"/>
        <v>0</v>
      </c>
      <c r="M13">
        <f t="shared" si="0"/>
        <v>0</v>
      </c>
      <c r="N13">
        <f t="shared" si="6"/>
        <v>0</v>
      </c>
      <c r="O13" s="73">
        <v>0</v>
      </c>
      <c r="P13" s="73">
        <v>0</v>
      </c>
      <c r="Q13" s="73">
        <v>0</v>
      </c>
      <c r="R13" s="73">
        <v>0</v>
      </c>
      <c r="S13" s="73">
        <v>0</v>
      </c>
      <c r="T13" s="73">
        <v>0</v>
      </c>
      <c r="U13" s="73">
        <v>0</v>
      </c>
      <c r="V13" s="73">
        <v>0</v>
      </c>
      <c r="W13" s="73">
        <v>0</v>
      </c>
      <c r="X13" s="73">
        <v>0</v>
      </c>
      <c r="Y13" s="73">
        <v>0</v>
      </c>
      <c r="Z13" s="73">
        <v>0</v>
      </c>
      <c r="AA13" s="73">
        <v>0</v>
      </c>
      <c r="AB13" s="73">
        <v>0</v>
      </c>
      <c r="AC13" s="73">
        <v>0</v>
      </c>
      <c r="AD13" s="73">
        <v>0</v>
      </c>
      <c r="AE13" s="73">
        <v>0</v>
      </c>
      <c r="AF13" s="73">
        <v>0</v>
      </c>
      <c r="AG13" s="73">
        <v>0</v>
      </c>
      <c r="AH13" s="73">
        <v>0</v>
      </c>
      <c r="AI13" s="73">
        <v>0</v>
      </c>
      <c r="AJ13" s="73">
        <v>0</v>
      </c>
      <c r="AK13" s="73">
        <v>0</v>
      </c>
      <c r="AL13" s="73">
        <v>0</v>
      </c>
    </row>
    <row r="14" spans="1:51" x14ac:dyDescent="0.2">
      <c r="A14">
        <v>2031</v>
      </c>
      <c r="B14">
        <v>6</v>
      </c>
      <c r="C14">
        <f t="shared" si="7"/>
        <v>0</v>
      </c>
      <c r="D14">
        <f t="shared" si="8"/>
        <v>0</v>
      </c>
      <c r="E14">
        <f t="shared" si="1"/>
        <v>0</v>
      </c>
      <c r="F14">
        <f t="shared" si="2"/>
        <v>0</v>
      </c>
      <c r="G14" s="73">
        <v>0</v>
      </c>
      <c r="H14" s="73">
        <v>0</v>
      </c>
      <c r="I14" s="73">
        <v>0</v>
      </c>
      <c r="J14" s="9">
        <f t="shared" si="3"/>
        <v>0</v>
      </c>
      <c r="K14" s="9">
        <f t="shared" si="4"/>
        <v>0</v>
      </c>
      <c r="L14" s="9">
        <f t="shared" si="5"/>
        <v>0</v>
      </c>
      <c r="M14">
        <f t="shared" si="0"/>
        <v>0</v>
      </c>
      <c r="N14">
        <f t="shared" si="6"/>
        <v>0</v>
      </c>
      <c r="O14" s="73">
        <v>0</v>
      </c>
      <c r="P14" s="73">
        <v>0</v>
      </c>
      <c r="Q14" s="73">
        <v>0</v>
      </c>
      <c r="R14" s="73">
        <v>0</v>
      </c>
      <c r="S14" s="73">
        <v>0</v>
      </c>
      <c r="T14" s="73">
        <v>0</v>
      </c>
      <c r="U14" s="73">
        <v>0</v>
      </c>
      <c r="V14" s="73">
        <v>0</v>
      </c>
      <c r="W14" s="73">
        <v>0</v>
      </c>
      <c r="X14" s="73">
        <v>0</v>
      </c>
      <c r="Y14" s="73">
        <v>0</v>
      </c>
      <c r="Z14" s="73">
        <v>0</v>
      </c>
      <c r="AA14" s="73">
        <v>0</v>
      </c>
      <c r="AB14" s="73">
        <v>0</v>
      </c>
      <c r="AC14" s="73">
        <v>0</v>
      </c>
      <c r="AD14" s="73">
        <v>0</v>
      </c>
      <c r="AE14" s="73">
        <v>0</v>
      </c>
      <c r="AF14" s="73">
        <v>0</v>
      </c>
      <c r="AG14" s="73">
        <v>0</v>
      </c>
      <c r="AH14" s="73">
        <v>0</v>
      </c>
      <c r="AI14" s="73">
        <v>0</v>
      </c>
      <c r="AJ14" s="73">
        <v>0</v>
      </c>
      <c r="AK14" s="73">
        <v>0</v>
      </c>
      <c r="AL14" s="73">
        <v>0</v>
      </c>
    </row>
    <row r="15" spans="1:51" x14ac:dyDescent="0.2">
      <c r="A15">
        <v>2032</v>
      </c>
      <c r="B15">
        <v>7</v>
      </c>
      <c r="C15">
        <f t="shared" si="7"/>
        <v>0</v>
      </c>
      <c r="D15">
        <f t="shared" si="8"/>
        <v>0</v>
      </c>
      <c r="E15">
        <f t="shared" si="1"/>
        <v>0</v>
      </c>
      <c r="F15">
        <f t="shared" si="2"/>
        <v>0</v>
      </c>
      <c r="G15" s="73">
        <v>0</v>
      </c>
      <c r="H15" s="73">
        <v>0</v>
      </c>
      <c r="I15" s="73">
        <v>0</v>
      </c>
      <c r="J15" s="9">
        <f t="shared" si="3"/>
        <v>0</v>
      </c>
      <c r="K15" s="9">
        <f t="shared" si="4"/>
        <v>0</v>
      </c>
      <c r="L15" s="9">
        <f t="shared" si="5"/>
        <v>0</v>
      </c>
      <c r="M15">
        <f t="shared" si="0"/>
        <v>0</v>
      </c>
      <c r="N15">
        <f t="shared" si="6"/>
        <v>0</v>
      </c>
      <c r="O15" s="73">
        <v>0</v>
      </c>
      <c r="P15" s="73">
        <v>0</v>
      </c>
      <c r="Q15" s="73">
        <v>0</v>
      </c>
      <c r="R15" s="73">
        <v>0</v>
      </c>
      <c r="S15" s="73">
        <v>0</v>
      </c>
      <c r="T15" s="73">
        <v>0</v>
      </c>
      <c r="U15" s="73">
        <v>0</v>
      </c>
      <c r="V15" s="73">
        <v>0</v>
      </c>
      <c r="W15" s="73">
        <v>0</v>
      </c>
      <c r="X15" s="73">
        <v>0</v>
      </c>
      <c r="Y15" s="73">
        <v>0</v>
      </c>
      <c r="Z15" s="73">
        <v>0</v>
      </c>
      <c r="AA15" s="73">
        <v>0</v>
      </c>
      <c r="AB15" s="73">
        <v>0</v>
      </c>
      <c r="AC15" s="73">
        <v>0</v>
      </c>
      <c r="AD15" s="73">
        <v>0</v>
      </c>
      <c r="AE15" s="73">
        <v>0</v>
      </c>
      <c r="AF15" s="73">
        <v>0</v>
      </c>
      <c r="AG15" s="73">
        <v>0</v>
      </c>
      <c r="AH15" s="73">
        <v>0</v>
      </c>
      <c r="AI15" s="73">
        <v>0</v>
      </c>
      <c r="AJ15" s="73">
        <v>0</v>
      </c>
      <c r="AK15" s="73">
        <v>0</v>
      </c>
      <c r="AL15" s="73">
        <v>0</v>
      </c>
    </row>
    <row r="16" spans="1:51" x14ac:dyDescent="0.2">
      <c r="A16">
        <v>2033</v>
      </c>
      <c r="B16">
        <v>8</v>
      </c>
      <c r="C16">
        <f t="shared" si="7"/>
        <v>0</v>
      </c>
      <c r="D16">
        <f t="shared" si="8"/>
        <v>0</v>
      </c>
      <c r="E16">
        <f t="shared" si="1"/>
        <v>0</v>
      </c>
      <c r="F16">
        <f t="shared" si="2"/>
        <v>0</v>
      </c>
      <c r="G16" s="73">
        <v>0</v>
      </c>
      <c r="H16" s="73">
        <v>0</v>
      </c>
      <c r="I16" s="73">
        <v>0</v>
      </c>
      <c r="J16" s="9">
        <f t="shared" si="3"/>
        <v>0</v>
      </c>
      <c r="K16" s="9">
        <f t="shared" si="4"/>
        <v>0</v>
      </c>
      <c r="L16" s="9">
        <f t="shared" si="5"/>
        <v>0</v>
      </c>
      <c r="M16">
        <f t="shared" si="0"/>
        <v>0</v>
      </c>
      <c r="N16">
        <f t="shared" si="6"/>
        <v>0</v>
      </c>
      <c r="O16" s="73">
        <v>0</v>
      </c>
      <c r="P16" s="73">
        <v>0</v>
      </c>
      <c r="Q16" s="73">
        <v>0</v>
      </c>
      <c r="R16" s="73">
        <v>0</v>
      </c>
      <c r="S16" s="73">
        <v>0</v>
      </c>
      <c r="T16" s="73">
        <v>0</v>
      </c>
      <c r="U16" s="73">
        <v>0</v>
      </c>
      <c r="V16" s="73">
        <v>0</v>
      </c>
      <c r="W16" s="73">
        <v>0</v>
      </c>
      <c r="X16" s="73">
        <v>0</v>
      </c>
      <c r="Y16" s="73">
        <v>0</v>
      </c>
      <c r="Z16" s="73">
        <v>0</v>
      </c>
      <c r="AA16" s="73">
        <v>0</v>
      </c>
      <c r="AB16" s="73">
        <v>0</v>
      </c>
      <c r="AC16" s="73">
        <v>0</v>
      </c>
      <c r="AD16" s="73">
        <v>0</v>
      </c>
      <c r="AE16" s="73">
        <v>0</v>
      </c>
      <c r="AF16" s="73">
        <v>0</v>
      </c>
      <c r="AG16" s="73">
        <v>0</v>
      </c>
      <c r="AH16" s="73">
        <v>0</v>
      </c>
      <c r="AI16" s="73">
        <v>0</v>
      </c>
      <c r="AJ16" s="73">
        <v>0</v>
      </c>
      <c r="AK16" s="73">
        <v>0</v>
      </c>
      <c r="AL16" s="73">
        <v>0</v>
      </c>
    </row>
    <row r="17" spans="1:38" x14ac:dyDescent="0.2">
      <c r="A17">
        <v>2034</v>
      </c>
      <c r="B17">
        <v>9</v>
      </c>
      <c r="C17">
        <f t="shared" si="7"/>
        <v>0</v>
      </c>
      <c r="D17">
        <f t="shared" si="8"/>
        <v>0</v>
      </c>
      <c r="E17">
        <f t="shared" si="1"/>
        <v>0</v>
      </c>
      <c r="F17">
        <f t="shared" si="2"/>
        <v>0</v>
      </c>
      <c r="G17" s="73">
        <v>0</v>
      </c>
      <c r="H17" s="73">
        <v>0</v>
      </c>
      <c r="I17" s="73">
        <v>0</v>
      </c>
      <c r="J17" s="9">
        <f t="shared" si="3"/>
        <v>0</v>
      </c>
      <c r="K17" s="9">
        <f t="shared" si="4"/>
        <v>0</v>
      </c>
      <c r="L17" s="9">
        <f t="shared" si="5"/>
        <v>0</v>
      </c>
      <c r="M17">
        <f t="shared" si="0"/>
        <v>0</v>
      </c>
      <c r="N17">
        <f t="shared" si="6"/>
        <v>0</v>
      </c>
      <c r="O17" s="73">
        <v>0</v>
      </c>
      <c r="P17" s="73">
        <v>0</v>
      </c>
      <c r="Q17" s="73">
        <v>0</v>
      </c>
      <c r="R17" s="73">
        <v>0</v>
      </c>
      <c r="S17" s="73">
        <v>0</v>
      </c>
      <c r="T17" s="73">
        <v>0</v>
      </c>
      <c r="U17" s="73">
        <v>0</v>
      </c>
      <c r="V17" s="73">
        <v>0</v>
      </c>
      <c r="W17" s="73">
        <v>0</v>
      </c>
      <c r="X17" s="73">
        <v>0</v>
      </c>
      <c r="Y17" s="73">
        <v>0</v>
      </c>
      <c r="Z17" s="73">
        <v>0</v>
      </c>
      <c r="AA17" s="73">
        <v>0</v>
      </c>
      <c r="AB17" s="73">
        <v>0</v>
      </c>
      <c r="AC17" s="73">
        <v>0</v>
      </c>
      <c r="AD17" s="73">
        <v>0</v>
      </c>
      <c r="AE17" s="73">
        <v>0</v>
      </c>
      <c r="AF17" s="73">
        <v>0</v>
      </c>
      <c r="AG17" s="73">
        <v>0</v>
      </c>
      <c r="AH17" s="73">
        <v>0</v>
      </c>
      <c r="AI17" s="73">
        <v>0</v>
      </c>
      <c r="AJ17" s="73">
        <v>0</v>
      </c>
      <c r="AK17" s="73">
        <v>0</v>
      </c>
      <c r="AL17" s="73">
        <v>0</v>
      </c>
    </row>
    <row r="18" spans="1:38" x14ac:dyDescent="0.2">
      <c r="A18">
        <v>2035</v>
      </c>
      <c r="B18">
        <v>10</v>
      </c>
      <c r="C18">
        <f t="shared" si="7"/>
        <v>0</v>
      </c>
      <c r="D18">
        <f t="shared" si="8"/>
        <v>0</v>
      </c>
      <c r="E18">
        <f t="shared" si="1"/>
        <v>0</v>
      </c>
      <c r="F18">
        <f t="shared" si="2"/>
        <v>0</v>
      </c>
      <c r="G18" s="73">
        <v>0</v>
      </c>
      <c r="H18" s="73">
        <v>0</v>
      </c>
      <c r="I18" s="73">
        <v>0</v>
      </c>
      <c r="J18" s="9">
        <f t="shared" si="3"/>
        <v>0</v>
      </c>
      <c r="K18" s="9">
        <f t="shared" si="4"/>
        <v>0</v>
      </c>
      <c r="L18" s="9">
        <f t="shared" si="5"/>
        <v>0</v>
      </c>
      <c r="M18">
        <f t="shared" si="0"/>
        <v>0</v>
      </c>
      <c r="N18">
        <f t="shared" si="6"/>
        <v>0</v>
      </c>
      <c r="O18" s="73">
        <v>0</v>
      </c>
      <c r="P18" s="73">
        <v>0</v>
      </c>
      <c r="Q18" s="73">
        <v>0</v>
      </c>
      <c r="R18" s="73">
        <v>0</v>
      </c>
      <c r="S18" s="73">
        <v>0</v>
      </c>
      <c r="T18" s="73">
        <v>0</v>
      </c>
      <c r="U18" s="73">
        <v>0</v>
      </c>
      <c r="V18" s="73">
        <v>0</v>
      </c>
      <c r="W18" s="73">
        <v>0</v>
      </c>
      <c r="X18" s="73">
        <v>0</v>
      </c>
      <c r="Y18" s="73">
        <v>0</v>
      </c>
      <c r="Z18" s="73">
        <v>0</v>
      </c>
      <c r="AA18" s="73">
        <v>0</v>
      </c>
      <c r="AB18" s="73">
        <v>0</v>
      </c>
      <c r="AC18" s="73">
        <v>0</v>
      </c>
      <c r="AD18" s="73">
        <v>0</v>
      </c>
      <c r="AE18" s="73">
        <v>0</v>
      </c>
      <c r="AF18" s="73">
        <v>0</v>
      </c>
      <c r="AG18" s="73">
        <v>0</v>
      </c>
      <c r="AH18" s="73">
        <v>0</v>
      </c>
      <c r="AI18" s="73">
        <v>0</v>
      </c>
      <c r="AJ18" s="73">
        <v>0</v>
      </c>
      <c r="AK18" s="73">
        <v>0</v>
      </c>
      <c r="AL18" s="73">
        <v>0</v>
      </c>
    </row>
    <row r="19" spans="1:38" x14ac:dyDescent="0.2">
      <c r="A19">
        <v>2036</v>
      </c>
      <c r="B19">
        <v>11</v>
      </c>
      <c r="C19">
        <f t="shared" si="7"/>
        <v>0</v>
      </c>
      <c r="D19">
        <f t="shared" si="8"/>
        <v>0</v>
      </c>
      <c r="E19">
        <f t="shared" si="1"/>
        <v>0</v>
      </c>
      <c r="F19">
        <f t="shared" si="2"/>
        <v>0</v>
      </c>
      <c r="G19" s="73">
        <v>0</v>
      </c>
      <c r="H19" s="73">
        <v>0</v>
      </c>
      <c r="I19" s="73">
        <v>0</v>
      </c>
      <c r="J19" s="9">
        <f t="shared" si="3"/>
        <v>0</v>
      </c>
      <c r="K19" s="9">
        <f t="shared" si="4"/>
        <v>0</v>
      </c>
      <c r="L19" s="9">
        <f t="shared" si="5"/>
        <v>0</v>
      </c>
      <c r="M19">
        <f t="shared" si="0"/>
        <v>0</v>
      </c>
      <c r="N19">
        <f t="shared" si="6"/>
        <v>0</v>
      </c>
      <c r="O19" s="73">
        <v>0</v>
      </c>
      <c r="P19" s="73">
        <v>0</v>
      </c>
      <c r="Q19" s="73">
        <v>0</v>
      </c>
      <c r="R19" s="73">
        <v>0</v>
      </c>
      <c r="S19" s="73">
        <v>0</v>
      </c>
      <c r="T19" s="73">
        <v>0</v>
      </c>
      <c r="U19" s="73">
        <v>0</v>
      </c>
      <c r="V19" s="73">
        <v>0</v>
      </c>
      <c r="W19" s="73">
        <v>0</v>
      </c>
      <c r="X19" s="73">
        <v>0</v>
      </c>
      <c r="Y19" s="73">
        <v>0</v>
      </c>
      <c r="Z19" s="73">
        <v>0</v>
      </c>
      <c r="AA19" s="73">
        <v>0</v>
      </c>
      <c r="AB19" s="73">
        <v>0</v>
      </c>
      <c r="AC19" s="73">
        <v>0</v>
      </c>
      <c r="AD19" s="73">
        <v>0</v>
      </c>
      <c r="AE19" s="73">
        <v>0</v>
      </c>
      <c r="AF19" s="73">
        <v>0</v>
      </c>
      <c r="AG19" s="73">
        <v>0</v>
      </c>
      <c r="AH19" s="73">
        <v>0</v>
      </c>
      <c r="AI19" s="73">
        <v>0</v>
      </c>
      <c r="AJ19" s="73">
        <v>0</v>
      </c>
      <c r="AK19" s="73">
        <v>0</v>
      </c>
      <c r="AL19" s="73">
        <v>0</v>
      </c>
    </row>
    <row r="20" spans="1:38" x14ac:dyDescent="0.2">
      <c r="A20">
        <v>2037</v>
      </c>
      <c r="B20">
        <v>12</v>
      </c>
      <c r="C20">
        <f t="shared" si="7"/>
        <v>0</v>
      </c>
      <c r="D20">
        <f t="shared" si="8"/>
        <v>0</v>
      </c>
      <c r="E20">
        <f t="shared" si="1"/>
        <v>0</v>
      </c>
      <c r="F20">
        <f t="shared" si="2"/>
        <v>0</v>
      </c>
      <c r="G20" s="73">
        <v>0</v>
      </c>
      <c r="H20" s="73">
        <v>0</v>
      </c>
      <c r="I20" s="73">
        <v>0</v>
      </c>
      <c r="J20" s="9">
        <f t="shared" si="3"/>
        <v>0</v>
      </c>
      <c r="K20" s="9">
        <f t="shared" si="4"/>
        <v>0</v>
      </c>
      <c r="L20" s="9">
        <f t="shared" si="5"/>
        <v>0</v>
      </c>
      <c r="M20">
        <f t="shared" si="0"/>
        <v>0</v>
      </c>
      <c r="N20">
        <f t="shared" si="6"/>
        <v>0</v>
      </c>
      <c r="O20" s="73">
        <v>0</v>
      </c>
      <c r="P20" s="73">
        <v>0</v>
      </c>
      <c r="Q20" s="73">
        <v>0</v>
      </c>
      <c r="R20" s="73">
        <v>0</v>
      </c>
      <c r="S20" s="73">
        <v>0</v>
      </c>
      <c r="T20" s="73">
        <v>0</v>
      </c>
      <c r="U20" s="73">
        <v>0</v>
      </c>
      <c r="V20" s="73">
        <v>0</v>
      </c>
      <c r="W20" s="73">
        <v>0</v>
      </c>
      <c r="X20" s="73">
        <v>0</v>
      </c>
      <c r="Y20" s="73">
        <v>0</v>
      </c>
      <c r="Z20" s="73">
        <v>0</v>
      </c>
      <c r="AA20" s="73">
        <v>0</v>
      </c>
      <c r="AB20" s="73">
        <v>0</v>
      </c>
      <c r="AC20" s="73">
        <v>0</v>
      </c>
      <c r="AD20" s="73">
        <v>0</v>
      </c>
      <c r="AE20" s="73">
        <v>0</v>
      </c>
      <c r="AF20" s="73">
        <v>0</v>
      </c>
      <c r="AG20" s="73">
        <v>0</v>
      </c>
      <c r="AH20" s="73">
        <v>0</v>
      </c>
      <c r="AI20" s="73">
        <v>0</v>
      </c>
      <c r="AJ20" s="73">
        <v>0</v>
      </c>
      <c r="AK20" s="73">
        <v>0</v>
      </c>
      <c r="AL20" s="73">
        <v>0</v>
      </c>
    </row>
    <row r="21" spans="1:38" x14ac:dyDescent="0.2">
      <c r="A21">
        <v>2038</v>
      </c>
      <c r="B21">
        <v>13</v>
      </c>
      <c r="C21">
        <f t="shared" si="7"/>
        <v>0</v>
      </c>
      <c r="D21">
        <f t="shared" si="8"/>
        <v>0</v>
      </c>
      <c r="E21">
        <f t="shared" si="1"/>
        <v>0</v>
      </c>
      <c r="F21">
        <f t="shared" si="2"/>
        <v>0</v>
      </c>
      <c r="G21" s="73">
        <v>0</v>
      </c>
      <c r="H21" s="73">
        <v>0</v>
      </c>
      <c r="I21" s="73">
        <v>0</v>
      </c>
      <c r="J21" s="9">
        <f t="shared" si="3"/>
        <v>0</v>
      </c>
      <c r="K21" s="9">
        <f t="shared" si="4"/>
        <v>0</v>
      </c>
      <c r="L21" s="9">
        <f t="shared" si="5"/>
        <v>0</v>
      </c>
      <c r="M21">
        <f t="shared" si="0"/>
        <v>0</v>
      </c>
      <c r="N21">
        <f t="shared" si="6"/>
        <v>0</v>
      </c>
      <c r="O21" s="73">
        <v>0</v>
      </c>
      <c r="P21" s="73">
        <v>0</v>
      </c>
      <c r="Q21" s="73">
        <v>0</v>
      </c>
      <c r="R21" s="73">
        <v>0</v>
      </c>
      <c r="S21" s="73">
        <v>0</v>
      </c>
      <c r="T21" s="73">
        <v>0</v>
      </c>
      <c r="U21" s="73">
        <v>0</v>
      </c>
      <c r="V21" s="73">
        <v>0</v>
      </c>
      <c r="W21" s="73">
        <v>0</v>
      </c>
      <c r="X21" s="73">
        <v>0</v>
      </c>
      <c r="Y21" s="73">
        <v>0</v>
      </c>
      <c r="Z21" s="73">
        <v>0</v>
      </c>
      <c r="AA21" s="73">
        <v>0</v>
      </c>
      <c r="AB21" s="73">
        <v>0</v>
      </c>
      <c r="AC21" s="73">
        <v>0</v>
      </c>
      <c r="AD21" s="73">
        <v>0</v>
      </c>
      <c r="AE21" s="73">
        <v>0</v>
      </c>
      <c r="AF21" s="73">
        <v>0</v>
      </c>
      <c r="AG21" s="73">
        <v>0</v>
      </c>
      <c r="AH21" s="73">
        <v>0</v>
      </c>
      <c r="AI21" s="73">
        <v>0</v>
      </c>
      <c r="AJ21" s="73">
        <v>0</v>
      </c>
      <c r="AK21" s="73">
        <v>0</v>
      </c>
      <c r="AL21" s="73">
        <v>0</v>
      </c>
    </row>
    <row r="22" spans="1:38" x14ac:dyDescent="0.2">
      <c r="A22">
        <v>2039</v>
      </c>
      <c r="B22">
        <v>14</v>
      </c>
      <c r="C22">
        <f t="shared" si="7"/>
        <v>0</v>
      </c>
      <c r="D22">
        <f t="shared" si="8"/>
        <v>0</v>
      </c>
      <c r="E22">
        <f t="shared" si="1"/>
        <v>0</v>
      </c>
      <c r="F22">
        <f t="shared" si="2"/>
        <v>0</v>
      </c>
      <c r="G22" s="73">
        <v>0</v>
      </c>
      <c r="H22" s="73">
        <v>0</v>
      </c>
      <c r="I22" s="73">
        <v>0</v>
      </c>
      <c r="J22" s="9">
        <f t="shared" si="3"/>
        <v>0</v>
      </c>
      <c r="K22" s="9">
        <f t="shared" si="4"/>
        <v>0</v>
      </c>
      <c r="L22" s="9">
        <f t="shared" si="5"/>
        <v>0</v>
      </c>
      <c r="M22">
        <f t="shared" si="0"/>
        <v>0</v>
      </c>
      <c r="N22">
        <f t="shared" si="6"/>
        <v>0</v>
      </c>
      <c r="O22" s="73">
        <v>0</v>
      </c>
      <c r="P22" s="73">
        <v>0</v>
      </c>
      <c r="Q22" s="73">
        <v>0</v>
      </c>
      <c r="R22" s="73">
        <v>0</v>
      </c>
      <c r="S22" s="73">
        <v>0</v>
      </c>
      <c r="T22" s="73">
        <v>0</v>
      </c>
      <c r="U22" s="73">
        <v>0</v>
      </c>
      <c r="V22" s="73">
        <v>0</v>
      </c>
      <c r="W22" s="73">
        <v>0</v>
      </c>
      <c r="X22" s="73">
        <v>0</v>
      </c>
      <c r="Y22" s="73">
        <v>0</v>
      </c>
      <c r="Z22" s="73">
        <v>0</v>
      </c>
      <c r="AA22" s="73">
        <v>0</v>
      </c>
      <c r="AB22" s="73">
        <v>0</v>
      </c>
      <c r="AC22" s="73">
        <v>0</v>
      </c>
      <c r="AD22" s="73">
        <v>0</v>
      </c>
      <c r="AE22" s="73">
        <v>0</v>
      </c>
      <c r="AF22" s="73">
        <v>0</v>
      </c>
      <c r="AG22" s="73">
        <v>0</v>
      </c>
      <c r="AH22" s="73">
        <v>0</v>
      </c>
      <c r="AI22" s="73">
        <v>0</v>
      </c>
      <c r="AJ22" s="73">
        <v>0</v>
      </c>
      <c r="AK22" s="73">
        <v>0</v>
      </c>
      <c r="AL22" s="73">
        <v>0</v>
      </c>
    </row>
    <row r="23" spans="1:38" x14ac:dyDescent="0.2">
      <c r="A23">
        <v>2040</v>
      </c>
      <c r="B23">
        <v>15</v>
      </c>
      <c r="C23">
        <f t="shared" si="7"/>
        <v>0</v>
      </c>
      <c r="D23">
        <f t="shared" si="8"/>
        <v>0</v>
      </c>
      <c r="E23">
        <f t="shared" si="1"/>
        <v>0</v>
      </c>
      <c r="F23">
        <f t="shared" si="2"/>
        <v>0</v>
      </c>
      <c r="G23" s="73">
        <v>0</v>
      </c>
      <c r="H23" s="73">
        <v>0</v>
      </c>
      <c r="I23" s="73">
        <v>0</v>
      </c>
      <c r="J23" s="9">
        <f t="shared" si="3"/>
        <v>0</v>
      </c>
      <c r="K23" s="9">
        <f t="shared" si="4"/>
        <v>0</v>
      </c>
      <c r="L23" s="9">
        <f t="shared" si="5"/>
        <v>0</v>
      </c>
      <c r="M23">
        <f t="shared" si="0"/>
        <v>0</v>
      </c>
      <c r="N23">
        <f t="shared" si="6"/>
        <v>0</v>
      </c>
      <c r="O23" s="73">
        <v>0</v>
      </c>
      <c r="P23" s="73">
        <v>0</v>
      </c>
      <c r="Q23" s="73">
        <v>0</v>
      </c>
      <c r="R23" s="73">
        <v>0</v>
      </c>
      <c r="S23" s="73">
        <v>0</v>
      </c>
      <c r="T23" s="73">
        <v>0</v>
      </c>
      <c r="U23" s="73">
        <v>0</v>
      </c>
      <c r="V23" s="73">
        <v>0</v>
      </c>
      <c r="W23" s="73">
        <v>0</v>
      </c>
      <c r="X23" s="73">
        <v>0</v>
      </c>
      <c r="Y23" s="73">
        <v>0</v>
      </c>
      <c r="Z23" s="73">
        <v>0</v>
      </c>
      <c r="AA23" s="73">
        <v>0</v>
      </c>
      <c r="AB23" s="73">
        <v>0</v>
      </c>
      <c r="AC23" s="73">
        <v>0</v>
      </c>
      <c r="AD23" s="73">
        <v>0</v>
      </c>
      <c r="AE23" s="73">
        <v>0</v>
      </c>
      <c r="AF23" s="73">
        <v>0</v>
      </c>
      <c r="AG23" s="73">
        <v>0</v>
      </c>
      <c r="AH23" s="73">
        <v>0</v>
      </c>
      <c r="AI23" s="73">
        <v>0</v>
      </c>
      <c r="AJ23" s="73">
        <v>0</v>
      </c>
      <c r="AK23" s="73">
        <v>0</v>
      </c>
      <c r="AL23" s="73">
        <v>0</v>
      </c>
    </row>
    <row r="24" spans="1:38" x14ac:dyDescent="0.2">
      <c r="A24">
        <v>2041</v>
      </c>
      <c r="B24">
        <v>16</v>
      </c>
      <c r="C24">
        <f t="shared" si="7"/>
        <v>0</v>
      </c>
      <c r="D24">
        <f t="shared" si="8"/>
        <v>0</v>
      </c>
      <c r="E24">
        <f t="shared" si="1"/>
        <v>0</v>
      </c>
      <c r="F24">
        <f t="shared" si="2"/>
        <v>0</v>
      </c>
      <c r="G24" s="73">
        <v>0</v>
      </c>
      <c r="H24" s="73">
        <v>0</v>
      </c>
      <c r="I24" s="73">
        <v>0</v>
      </c>
      <c r="J24" s="9">
        <f t="shared" si="3"/>
        <v>0</v>
      </c>
      <c r="K24" s="9">
        <f t="shared" si="4"/>
        <v>0</v>
      </c>
      <c r="L24" s="9">
        <f t="shared" si="5"/>
        <v>0</v>
      </c>
      <c r="M24">
        <f t="shared" si="0"/>
        <v>0</v>
      </c>
      <c r="N24">
        <f t="shared" si="6"/>
        <v>0</v>
      </c>
      <c r="O24" s="73">
        <v>0</v>
      </c>
      <c r="P24" s="73">
        <v>0</v>
      </c>
      <c r="Q24" s="73">
        <v>0</v>
      </c>
      <c r="R24" s="73">
        <v>0</v>
      </c>
      <c r="S24" s="73">
        <v>0</v>
      </c>
      <c r="T24" s="73">
        <v>0</v>
      </c>
      <c r="U24" s="73">
        <v>0</v>
      </c>
      <c r="V24" s="73">
        <v>0</v>
      </c>
      <c r="W24" s="73">
        <v>0</v>
      </c>
      <c r="X24" s="73">
        <v>0</v>
      </c>
      <c r="Y24" s="73">
        <v>0</v>
      </c>
      <c r="Z24" s="73">
        <v>0</v>
      </c>
      <c r="AA24" s="73">
        <v>0</v>
      </c>
      <c r="AB24" s="73">
        <v>0</v>
      </c>
      <c r="AC24" s="73">
        <v>0</v>
      </c>
      <c r="AD24" s="73">
        <v>0</v>
      </c>
      <c r="AE24" s="73">
        <v>0</v>
      </c>
      <c r="AF24" s="73">
        <v>0</v>
      </c>
      <c r="AG24" s="73">
        <v>0</v>
      </c>
      <c r="AH24" s="73">
        <v>0</v>
      </c>
      <c r="AI24" s="73">
        <v>0</v>
      </c>
      <c r="AJ24" s="73">
        <v>0</v>
      </c>
      <c r="AK24" s="73">
        <v>0</v>
      </c>
      <c r="AL24" s="73">
        <v>0</v>
      </c>
    </row>
    <row r="25" spans="1:38" x14ac:dyDescent="0.2">
      <c r="A25">
        <v>2042</v>
      </c>
      <c r="B25">
        <v>17</v>
      </c>
      <c r="C25">
        <f t="shared" si="7"/>
        <v>0</v>
      </c>
      <c r="D25">
        <f t="shared" si="8"/>
        <v>0</v>
      </c>
      <c r="E25">
        <f t="shared" si="1"/>
        <v>0</v>
      </c>
      <c r="F25">
        <f t="shared" si="2"/>
        <v>0</v>
      </c>
      <c r="G25" s="73">
        <v>0</v>
      </c>
      <c r="H25" s="73">
        <v>0</v>
      </c>
      <c r="I25" s="73">
        <v>0</v>
      </c>
      <c r="J25" s="9">
        <f t="shared" si="3"/>
        <v>0</v>
      </c>
      <c r="K25" s="9">
        <f t="shared" si="4"/>
        <v>0</v>
      </c>
      <c r="L25" s="9">
        <f t="shared" si="5"/>
        <v>0</v>
      </c>
      <c r="M25">
        <f t="shared" si="0"/>
        <v>0</v>
      </c>
      <c r="N25">
        <f t="shared" si="6"/>
        <v>0</v>
      </c>
      <c r="O25" s="73">
        <v>0</v>
      </c>
      <c r="P25" s="73">
        <v>0</v>
      </c>
      <c r="Q25" s="73">
        <v>0</v>
      </c>
      <c r="R25" s="73">
        <v>0</v>
      </c>
      <c r="S25" s="73">
        <v>0</v>
      </c>
      <c r="T25" s="73">
        <v>0</v>
      </c>
      <c r="U25" s="73">
        <v>0</v>
      </c>
      <c r="V25" s="73">
        <v>0</v>
      </c>
      <c r="W25" s="73">
        <v>0</v>
      </c>
      <c r="X25" s="73">
        <v>0</v>
      </c>
      <c r="Y25" s="73">
        <v>0</v>
      </c>
      <c r="Z25" s="73">
        <v>0</v>
      </c>
      <c r="AA25" s="73">
        <v>0</v>
      </c>
      <c r="AB25" s="73">
        <v>0</v>
      </c>
      <c r="AC25" s="73">
        <v>0</v>
      </c>
      <c r="AD25" s="73">
        <v>0</v>
      </c>
      <c r="AE25" s="73">
        <v>0</v>
      </c>
      <c r="AF25" s="73">
        <v>0</v>
      </c>
      <c r="AG25" s="73">
        <v>0</v>
      </c>
      <c r="AH25" s="73">
        <v>0</v>
      </c>
      <c r="AI25" s="73">
        <v>0</v>
      </c>
      <c r="AJ25" s="73">
        <v>0</v>
      </c>
      <c r="AK25" s="73">
        <v>0</v>
      </c>
      <c r="AL25" s="73">
        <v>0</v>
      </c>
    </row>
    <row r="26" spans="1:38" x14ac:dyDescent="0.2">
      <c r="A26">
        <v>2043</v>
      </c>
      <c r="B26">
        <v>18</v>
      </c>
      <c r="C26">
        <f t="shared" si="7"/>
        <v>0</v>
      </c>
      <c r="D26">
        <f t="shared" si="8"/>
        <v>0</v>
      </c>
      <c r="E26">
        <f t="shared" si="1"/>
        <v>0</v>
      </c>
      <c r="F26">
        <f t="shared" si="2"/>
        <v>0</v>
      </c>
      <c r="G26" s="73">
        <v>0</v>
      </c>
      <c r="H26" s="73">
        <v>0</v>
      </c>
      <c r="I26" s="73">
        <v>0</v>
      </c>
      <c r="J26" s="9">
        <f t="shared" si="3"/>
        <v>0</v>
      </c>
      <c r="K26" s="9">
        <f t="shared" si="4"/>
        <v>0</v>
      </c>
      <c r="L26" s="9">
        <f t="shared" si="5"/>
        <v>0</v>
      </c>
      <c r="M26">
        <f t="shared" si="0"/>
        <v>0</v>
      </c>
      <c r="N26">
        <f t="shared" si="6"/>
        <v>0</v>
      </c>
      <c r="O26" s="73">
        <v>0</v>
      </c>
      <c r="P26" s="73">
        <v>0</v>
      </c>
      <c r="Q26" s="73">
        <v>0</v>
      </c>
      <c r="R26" s="73">
        <v>0</v>
      </c>
      <c r="S26" s="73">
        <v>0</v>
      </c>
      <c r="T26" s="73">
        <v>0</v>
      </c>
      <c r="U26" s="73">
        <v>0</v>
      </c>
      <c r="V26" s="73">
        <v>0</v>
      </c>
      <c r="W26" s="73">
        <v>0</v>
      </c>
      <c r="X26" s="73">
        <v>0</v>
      </c>
      <c r="Y26" s="73">
        <v>0</v>
      </c>
      <c r="Z26" s="73">
        <v>0</v>
      </c>
      <c r="AA26" s="73">
        <v>0</v>
      </c>
      <c r="AB26" s="73">
        <v>0</v>
      </c>
      <c r="AC26" s="73">
        <v>0</v>
      </c>
      <c r="AD26" s="73">
        <v>0</v>
      </c>
      <c r="AE26" s="73">
        <v>0</v>
      </c>
      <c r="AF26" s="73">
        <v>0</v>
      </c>
      <c r="AG26" s="73">
        <v>0</v>
      </c>
      <c r="AH26" s="73">
        <v>0</v>
      </c>
      <c r="AI26" s="73">
        <v>0</v>
      </c>
      <c r="AJ26" s="73">
        <v>0</v>
      </c>
      <c r="AK26" s="73">
        <v>0</v>
      </c>
      <c r="AL26" s="73">
        <v>0</v>
      </c>
    </row>
    <row r="27" spans="1:38" x14ac:dyDescent="0.2">
      <c r="A27">
        <v>2044</v>
      </c>
      <c r="B27">
        <v>19</v>
      </c>
      <c r="C27">
        <f t="shared" si="7"/>
        <v>0</v>
      </c>
      <c r="D27">
        <f t="shared" si="8"/>
        <v>0</v>
      </c>
      <c r="E27">
        <f t="shared" si="1"/>
        <v>0</v>
      </c>
      <c r="F27">
        <f t="shared" si="2"/>
        <v>0</v>
      </c>
      <c r="G27" s="73">
        <v>0</v>
      </c>
      <c r="H27" s="73">
        <v>0</v>
      </c>
      <c r="I27" s="73">
        <v>0</v>
      </c>
      <c r="J27" s="9">
        <f t="shared" si="3"/>
        <v>0</v>
      </c>
      <c r="K27" s="9">
        <f t="shared" si="4"/>
        <v>0</v>
      </c>
      <c r="L27" s="9">
        <f t="shared" si="5"/>
        <v>0</v>
      </c>
      <c r="M27">
        <f t="shared" si="0"/>
        <v>0</v>
      </c>
      <c r="N27">
        <f t="shared" si="6"/>
        <v>0</v>
      </c>
      <c r="O27" s="73">
        <v>0</v>
      </c>
      <c r="P27" s="73">
        <v>0</v>
      </c>
      <c r="Q27" s="73">
        <v>0</v>
      </c>
      <c r="R27" s="73">
        <v>0</v>
      </c>
      <c r="S27" s="73">
        <v>0</v>
      </c>
      <c r="T27" s="73">
        <v>0</v>
      </c>
      <c r="U27" s="73">
        <v>0</v>
      </c>
      <c r="V27" s="73">
        <v>0</v>
      </c>
      <c r="W27" s="73">
        <v>0</v>
      </c>
      <c r="X27" s="73">
        <v>0</v>
      </c>
      <c r="Y27" s="73">
        <v>0</v>
      </c>
      <c r="Z27" s="73">
        <v>0</v>
      </c>
      <c r="AA27" s="73">
        <v>0</v>
      </c>
      <c r="AB27" s="73">
        <v>0</v>
      </c>
      <c r="AC27" s="73">
        <v>0</v>
      </c>
      <c r="AD27" s="73">
        <v>0</v>
      </c>
      <c r="AE27" s="73">
        <v>0</v>
      </c>
      <c r="AF27" s="73">
        <v>0</v>
      </c>
      <c r="AG27" s="73">
        <v>0</v>
      </c>
      <c r="AH27" s="73">
        <v>0</v>
      </c>
      <c r="AI27" s="73">
        <v>0</v>
      </c>
      <c r="AJ27" s="73">
        <v>0</v>
      </c>
      <c r="AK27" s="73">
        <v>0</v>
      </c>
      <c r="AL27" s="73">
        <v>0</v>
      </c>
    </row>
    <row r="28" spans="1:38" x14ac:dyDescent="0.2">
      <c r="A28">
        <v>2045</v>
      </c>
      <c r="B28">
        <v>20</v>
      </c>
      <c r="C28">
        <f t="shared" si="7"/>
        <v>0</v>
      </c>
      <c r="D28">
        <f t="shared" si="8"/>
        <v>0</v>
      </c>
      <c r="E28">
        <f t="shared" si="1"/>
        <v>0</v>
      </c>
      <c r="F28">
        <f t="shared" si="2"/>
        <v>0</v>
      </c>
      <c r="G28" s="73">
        <v>0</v>
      </c>
      <c r="H28" s="73">
        <v>0</v>
      </c>
      <c r="I28" s="73">
        <v>0</v>
      </c>
      <c r="J28" s="9">
        <f t="shared" si="3"/>
        <v>0</v>
      </c>
      <c r="K28" s="9">
        <f t="shared" si="4"/>
        <v>0</v>
      </c>
      <c r="L28" s="9">
        <f t="shared" si="5"/>
        <v>0</v>
      </c>
      <c r="M28">
        <f t="shared" si="0"/>
        <v>0</v>
      </c>
      <c r="N28">
        <f t="shared" si="6"/>
        <v>0</v>
      </c>
      <c r="O28" s="73">
        <v>0</v>
      </c>
      <c r="P28" s="73">
        <v>0</v>
      </c>
      <c r="Q28" s="73">
        <v>0</v>
      </c>
      <c r="R28" s="73">
        <v>0</v>
      </c>
      <c r="S28" s="73">
        <v>0</v>
      </c>
      <c r="T28" s="73">
        <v>0</v>
      </c>
      <c r="U28" s="73">
        <v>0</v>
      </c>
      <c r="V28" s="73">
        <v>0</v>
      </c>
      <c r="W28" s="73">
        <v>0</v>
      </c>
      <c r="X28" s="73">
        <v>0</v>
      </c>
      <c r="Y28" s="73">
        <v>0</v>
      </c>
      <c r="Z28" s="73">
        <v>0</v>
      </c>
      <c r="AA28" s="73">
        <v>0</v>
      </c>
      <c r="AB28" s="73">
        <v>0</v>
      </c>
      <c r="AC28" s="73">
        <v>0</v>
      </c>
      <c r="AD28" s="73">
        <v>0</v>
      </c>
      <c r="AE28" s="73">
        <v>0</v>
      </c>
      <c r="AF28" s="73">
        <v>0</v>
      </c>
      <c r="AG28" s="73">
        <v>0</v>
      </c>
      <c r="AH28" s="73">
        <v>0</v>
      </c>
      <c r="AI28" s="73">
        <v>0</v>
      </c>
      <c r="AJ28" s="73">
        <v>0</v>
      </c>
      <c r="AK28" s="73">
        <v>0</v>
      </c>
      <c r="AL28" s="73">
        <v>0</v>
      </c>
    </row>
    <row r="29" spans="1:38" x14ac:dyDescent="0.2">
      <c r="A29">
        <v>2046</v>
      </c>
      <c r="B29">
        <v>21</v>
      </c>
      <c r="C29">
        <f t="shared" si="7"/>
        <v>0</v>
      </c>
      <c r="D29">
        <f t="shared" si="8"/>
        <v>0</v>
      </c>
      <c r="E29">
        <f t="shared" si="1"/>
        <v>0</v>
      </c>
      <c r="F29">
        <f t="shared" si="2"/>
        <v>0</v>
      </c>
      <c r="G29" s="73">
        <v>0</v>
      </c>
      <c r="H29" s="73">
        <v>0</v>
      </c>
      <c r="I29" s="73">
        <v>0</v>
      </c>
      <c r="J29" s="9">
        <f t="shared" si="3"/>
        <v>0</v>
      </c>
      <c r="K29" s="9">
        <f t="shared" si="4"/>
        <v>0</v>
      </c>
      <c r="L29" s="9">
        <f t="shared" si="5"/>
        <v>0</v>
      </c>
      <c r="M29">
        <f t="shared" si="0"/>
        <v>0</v>
      </c>
      <c r="N29">
        <f t="shared" si="6"/>
        <v>0</v>
      </c>
      <c r="O29" s="73">
        <v>0</v>
      </c>
      <c r="P29" s="73">
        <v>0</v>
      </c>
      <c r="Q29" s="73">
        <v>0</v>
      </c>
      <c r="R29" s="73">
        <v>0</v>
      </c>
      <c r="S29" s="73">
        <v>0</v>
      </c>
      <c r="T29" s="73">
        <v>0</v>
      </c>
      <c r="U29" s="73">
        <v>0</v>
      </c>
      <c r="V29" s="73">
        <v>0</v>
      </c>
      <c r="W29" s="73">
        <v>0</v>
      </c>
      <c r="X29" s="73">
        <v>0</v>
      </c>
      <c r="Y29" s="73">
        <v>0</v>
      </c>
      <c r="Z29" s="73">
        <v>0</v>
      </c>
      <c r="AA29" s="73">
        <v>0</v>
      </c>
      <c r="AB29" s="73">
        <v>0</v>
      </c>
      <c r="AC29" s="73">
        <v>0</v>
      </c>
      <c r="AD29" s="73">
        <v>0</v>
      </c>
      <c r="AE29" s="73">
        <v>0</v>
      </c>
      <c r="AF29" s="73">
        <v>0</v>
      </c>
      <c r="AG29" s="73">
        <v>0</v>
      </c>
      <c r="AH29" s="73">
        <v>0</v>
      </c>
      <c r="AI29" s="73">
        <v>0</v>
      </c>
      <c r="AJ29" s="73">
        <v>0</v>
      </c>
      <c r="AK29" s="73">
        <v>0</v>
      </c>
      <c r="AL29" s="73">
        <v>0</v>
      </c>
    </row>
    <row r="30" spans="1:38" x14ac:dyDescent="0.2">
      <c r="A30">
        <v>2047</v>
      </c>
      <c r="B30">
        <v>22</v>
      </c>
      <c r="C30">
        <f t="shared" si="7"/>
        <v>0</v>
      </c>
      <c r="D30">
        <f t="shared" si="8"/>
        <v>0</v>
      </c>
      <c r="E30">
        <f t="shared" si="1"/>
        <v>0</v>
      </c>
      <c r="F30">
        <f t="shared" si="2"/>
        <v>0</v>
      </c>
      <c r="G30" s="73">
        <v>0</v>
      </c>
      <c r="H30" s="73">
        <v>0</v>
      </c>
      <c r="I30" s="73">
        <v>0</v>
      </c>
      <c r="J30" s="9">
        <f t="shared" si="3"/>
        <v>0</v>
      </c>
      <c r="K30" s="9">
        <f t="shared" si="4"/>
        <v>0</v>
      </c>
      <c r="L30" s="9">
        <f t="shared" si="5"/>
        <v>0</v>
      </c>
      <c r="M30">
        <f t="shared" si="0"/>
        <v>0</v>
      </c>
      <c r="N30">
        <f t="shared" si="6"/>
        <v>0</v>
      </c>
      <c r="O30" s="73">
        <v>0</v>
      </c>
      <c r="P30" s="73">
        <v>0</v>
      </c>
      <c r="Q30" s="73">
        <v>0</v>
      </c>
      <c r="R30" s="73">
        <v>0</v>
      </c>
      <c r="S30" s="73">
        <v>0</v>
      </c>
      <c r="T30" s="73">
        <v>0</v>
      </c>
      <c r="U30" s="73">
        <v>0</v>
      </c>
      <c r="V30" s="73">
        <v>0</v>
      </c>
      <c r="W30" s="73">
        <v>0</v>
      </c>
      <c r="X30" s="73">
        <v>0</v>
      </c>
      <c r="Y30" s="73">
        <v>0</v>
      </c>
      <c r="Z30" s="73">
        <v>0</v>
      </c>
      <c r="AA30" s="73">
        <v>0</v>
      </c>
      <c r="AB30" s="73">
        <v>0</v>
      </c>
      <c r="AC30" s="73">
        <v>0</v>
      </c>
      <c r="AD30" s="73">
        <v>0</v>
      </c>
      <c r="AE30" s="73">
        <v>0</v>
      </c>
      <c r="AF30" s="73">
        <v>0</v>
      </c>
      <c r="AG30" s="73">
        <v>0</v>
      </c>
      <c r="AH30" s="73">
        <v>0</v>
      </c>
      <c r="AI30" s="73">
        <v>0</v>
      </c>
      <c r="AJ30" s="73">
        <v>0</v>
      </c>
      <c r="AK30" s="73">
        <v>0</v>
      </c>
      <c r="AL30" s="73">
        <v>0</v>
      </c>
    </row>
    <row r="31" spans="1:38" x14ac:dyDescent="0.2">
      <c r="A31">
        <v>2048</v>
      </c>
      <c r="B31">
        <v>23</v>
      </c>
      <c r="C31">
        <f t="shared" si="7"/>
        <v>0</v>
      </c>
      <c r="D31">
        <f t="shared" si="8"/>
        <v>0</v>
      </c>
      <c r="E31">
        <f t="shared" si="1"/>
        <v>0</v>
      </c>
      <c r="F31">
        <f t="shared" si="2"/>
        <v>0</v>
      </c>
      <c r="G31" s="73">
        <v>0</v>
      </c>
      <c r="H31" s="73">
        <v>0</v>
      </c>
      <c r="I31" s="73">
        <v>0</v>
      </c>
      <c r="J31" s="9">
        <f t="shared" si="3"/>
        <v>0</v>
      </c>
      <c r="K31" s="9">
        <f t="shared" si="4"/>
        <v>0</v>
      </c>
      <c r="L31" s="9">
        <f t="shared" si="5"/>
        <v>0</v>
      </c>
      <c r="M31">
        <f t="shared" si="0"/>
        <v>0</v>
      </c>
      <c r="N31">
        <f t="shared" si="6"/>
        <v>0</v>
      </c>
      <c r="O31" s="73">
        <v>0</v>
      </c>
      <c r="P31" s="73">
        <v>0</v>
      </c>
      <c r="Q31" s="73">
        <v>0</v>
      </c>
      <c r="R31" s="73">
        <v>0</v>
      </c>
      <c r="S31" s="73">
        <v>0</v>
      </c>
      <c r="T31" s="73">
        <v>0</v>
      </c>
      <c r="U31" s="73">
        <v>0</v>
      </c>
      <c r="V31" s="73">
        <v>0</v>
      </c>
      <c r="W31" s="73">
        <v>0</v>
      </c>
      <c r="X31" s="73">
        <v>0</v>
      </c>
      <c r="Y31" s="73">
        <v>0</v>
      </c>
      <c r="Z31" s="73">
        <v>0</v>
      </c>
      <c r="AA31" s="73">
        <v>0</v>
      </c>
      <c r="AB31" s="73">
        <v>0</v>
      </c>
      <c r="AC31" s="73">
        <v>0</v>
      </c>
      <c r="AD31" s="73">
        <v>0</v>
      </c>
      <c r="AE31" s="73">
        <v>0</v>
      </c>
      <c r="AF31" s="73">
        <v>0</v>
      </c>
      <c r="AG31" s="73">
        <v>0</v>
      </c>
      <c r="AH31" s="73">
        <v>0</v>
      </c>
      <c r="AI31" s="73">
        <v>0</v>
      </c>
      <c r="AJ31" s="73">
        <v>0</v>
      </c>
      <c r="AK31" s="73">
        <v>0</v>
      </c>
      <c r="AL31" s="73">
        <v>0</v>
      </c>
    </row>
    <row r="32" spans="1:38" x14ac:dyDescent="0.2">
      <c r="A32">
        <v>2049</v>
      </c>
      <c r="B32">
        <v>24</v>
      </c>
      <c r="C32">
        <f t="shared" si="7"/>
        <v>0</v>
      </c>
      <c r="D32">
        <f t="shared" si="8"/>
        <v>0</v>
      </c>
      <c r="E32">
        <f t="shared" si="1"/>
        <v>0</v>
      </c>
      <c r="F32">
        <f t="shared" si="2"/>
        <v>0</v>
      </c>
      <c r="G32" s="73">
        <v>0</v>
      </c>
      <c r="H32" s="73">
        <v>0</v>
      </c>
      <c r="I32" s="73">
        <v>0</v>
      </c>
      <c r="J32" s="9">
        <f t="shared" si="3"/>
        <v>0</v>
      </c>
      <c r="K32" s="9">
        <f t="shared" si="4"/>
        <v>0</v>
      </c>
      <c r="L32" s="9">
        <f t="shared" si="5"/>
        <v>0</v>
      </c>
      <c r="M32">
        <f t="shared" si="0"/>
        <v>0</v>
      </c>
      <c r="N32">
        <f t="shared" si="6"/>
        <v>0</v>
      </c>
      <c r="O32" s="73">
        <v>0</v>
      </c>
      <c r="P32" s="73">
        <v>0</v>
      </c>
      <c r="Q32" s="73">
        <v>0</v>
      </c>
      <c r="R32" s="73">
        <v>0</v>
      </c>
      <c r="S32" s="73">
        <v>0</v>
      </c>
      <c r="T32" s="73">
        <v>0</v>
      </c>
      <c r="U32" s="73">
        <v>0</v>
      </c>
      <c r="V32" s="73">
        <v>0</v>
      </c>
      <c r="W32" s="73">
        <v>0</v>
      </c>
      <c r="X32" s="73">
        <v>0</v>
      </c>
      <c r="Y32" s="73">
        <v>0</v>
      </c>
      <c r="Z32" s="73">
        <v>0</v>
      </c>
      <c r="AA32" s="73">
        <v>0</v>
      </c>
      <c r="AB32" s="73">
        <v>0</v>
      </c>
      <c r="AC32" s="73">
        <v>0</v>
      </c>
      <c r="AD32" s="73">
        <v>0</v>
      </c>
      <c r="AE32" s="73">
        <v>0</v>
      </c>
      <c r="AF32" s="73">
        <v>0</v>
      </c>
      <c r="AG32" s="73">
        <v>0</v>
      </c>
      <c r="AH32" s="73">
        <v>0</v>
      </c>
      <c r="AI32" s="73">
        <v>0</v>
      </c>
      <c r="AJ32" s="73">
        <v>0</v>
      </c>
      <c r="AK32" s="73">
        <v>0</v>
      </c>
      <c r="AL32" s="73">
        <v>0</v>
      </c>
    </row>
    <row r="33" spans="1:38" x14ac:dyDescent="0.2">
      <c r="A33">
        <v>2050</v>
      </c>
      <c r="B33">
        <v>25</v>
      </c>
      <c r="C33">
        <f t="shared" si="7"/>
        <v>0</v>
      </c>
      <c r="D33">
        <f t="shared" si="8"/>
        <v>0</v>
      </c>
      <c r="E33">
        <f t="shared" si="1"/>
        <v>0</v>
      </c>
      <c r="F33">
        <f t="shared" si="2"/>
        <v>0</v>
      </c>
      <c r="G33" s="73">
        <v>0</v>
      </c>
      <c r="H33" s="73">
        <v>0</v>
      </c>
      <c r="I33" s="73">
        <v>0</v>
      </c>
      <c r="J33" s="9">
        <f t="shared" si="3"/>
        <v>0</v>
      </c>
      <c r="K33" s="9">
        <f t="shared" si="4"/>
        <v>0</v>
      </c>
      <c r="L33" s="9">
        <f t="shared" si="5"/>
        <v>0</v>
      </c>
      <c r="M33">
        <f t="shared" si="0"/>
        <v>0</v>
      </c>
      <c r="N33">
        <f t="shared" si="6"/>
        <v>0</v>
      </c>
      <c r="O33" s="73">
        <v>0</v>
      </c>
      <c r="P33" s="73">
        <v>0</v>
      </c>
      <c r="Q33" s="73">
        <v>0</v>
      </c>
      <c r="R33" s="73">
        <v>0</v>
      </c>
      <c r="S33" s="73">
        <v>0</v>
      </c>
      <c r="T33" s="73">
        <v>0</v>
      </c>
      <c r="U33" s="73">
        <v>0</v>
      </c>
      <c r="V33" s="73">
        <v>0</v>
      </c>
      <c r="W33" s="73">
        <v>0</v>
      </c>
      <c r="X33" s="73">
        <v>0</v>
      </c>
      <c r="Y33" s="73">
        <v>0</v>
      </c>
      <c r="Z33" s="73">
        <v>0</v>
      </c>
      <c r="AA33" s="73">
        <v>0</v>
      </c>
      <c r="AB33" s="73">
        <v>0</v>
      </c>
      <c r="AC33" s="73">
        <v>0</v>
      </c>
      <c r="AD33" s="73">
        <v>0</v>
      </c>
      <c r="AE33" s="73">
        <v>0</v>
      </c>
      <c r="AF33" s="73">
        <v>0</v>
      </c>
      <c r="AG33" s="73">
        <v>0</v>
      </c>
      <c r="AH33" s="73">
        <v>0</v>
      </c>
      <c r="AI33" s="73">
        <v>0</v>
      </c>
      <c r="AJ33" s="73">
        <v>0</v>
      </c>
      <c r="AK33" s="73">
        <v>0</v>
      </c>
      <c r="AL33" s="73">
        <v>0</v>
      </c>
    </row>
    <row r="35" spans="1:38" x14ac:dyDescent="0.2">
      <c r="G35" s="2"/>
    </row>
    <row r="37" spans="1:38" x14ac:dyDescent="0.2">
      <c r="H37" s="2"/>
      <c r="I37" s="2"/>
    </row>
  </sheetData>
  <mergeCells count="1">
    <mergeCell ref="J6:L6"/>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B6749-1B20-BD45-8362-30CC34419676}">
  <sheetPr>
    <tabColor theme="4" tint="0.79998168889431442"/>
  </sheetPr>
  <dimension ref="A1:AY37"/>
  <sheetViews>
    <sheetView topLeftCell="Q1" zoomScale="93" zoomScaleNormal="125" workbookViewId="0">
      <selection activeCell="B6" sqref="B6"/>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36</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1.5071681239534449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1.5071681239534449</v>
      </c>
      <c r="N8">
        <f>IF($N$7="LFO",M8/(1+EXP(-$I$4*(B8-$J$4)))-M8/(1+EXP($I$4*$J$4)),IF($N$7="MGO",M8/(1+EXP(-$I$5*(B8-$J$5)))-M8/(1+EXP($I$5*$J$5)),0))</f>
        <v>0</v>
      </c>
      <c r="O8">
        <f>M8-N8</f>
        <v>1.5071681239534449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1.5071681239534449</v>
      </c>
      <c r="AB8">
        <f>O8/M8*AA8</f>
        <v>1.5071681239534449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1.538818654556467</v>
      </c>
      <c r="D9">
        <f>IF($E$2=0,0,C9/(1+EXP(-$E$2*(B9-$G$2)))-C9/(1+EXP($E$2*$G$2)))</f>
        <v>1.1488502430706649E-2</v>
      </c>
      <c r="E9">
        <f t="shared" ref="E9:E33" si="4">IF($E$3=0,0,C9/(1+EXP(-$E$3*(B9-$G$3)))-C9/(1+EXP($E$3*$G$3)))</f>
        <v>0</v>
      </c>
      <c r="F9">
        <f t="shared" ref="F9:F33" si="5">IF($E$4=0,0,C9/(1+EXP(-$E$4*(B9-$G$4)))-C9/(1+EXP($E$4*$G$4)))</f>
        <v>0</v>
      </c>
      <c r="G9" s="9">
        <f t="shared" ref="G9:I33" si="6">D9/$C9</f>
        <v>7.4657935791777709E-3</v>
      </c>
      <c r="H9" s="9">
        <f t="shared" si="6"/>
        <v>0</v>
      </c>
      <c r="I9" s="9">
        <f t="shared" si="6"/>
        <v>0</v>
      </c>
      <c r="J9" s="9">
        <f t="shared" ref="J9:J33" si="7">G9*$F$2</f>
        <v>9.7055316529311023E-4</v>
      </c>
      <c r="K9" s="9">
        <f t="shared" ref="K9:K33" si="8">H9*$F$3</f>
        <v>0</v>
      </c>
      <c r="L9" s="9">
        <f t="shared" ref="L9:L33" si="9">I9*$F$4</f>
        <v>0</v>
      </c>
      <c r="M9">
        <f t="shared" si="0"/>
        <v>1.5373251492404751</v>
      </c>
      <c r="N9">
        <f t="shared" ref="N9:N33" si="10">IF($N$7="LFO",M9/(1+EXP(-$I$4*(B9-$J$4)))-M9/(1+EXP($I$4*$J$4)),IF($N$7="MGO",M9/(1+EXP(-$I$5*(B9-$J$5)))-M9/(1+EXP($I$5*$J$5)),0))</f>
        <v>0</v>
      </c>
      <c r="O9">
        <f>M9-N9</f>
        <v>1.5373251492404751</v>
      </c>
      <c r="P9">
        <f>IF($I$3=0,0,M9/(1+EXP(-$I$3*(B9-$J$3)))-M9/(1+EXP($I$3*$J$3)))</f>
        <v>9.4347038534268145E-3</v>
      </c>
      <c r="Q9" s="9">
        <f t="shared" si="1"/>
        <v>6.137090685134558E-3</v>
      </c>
      <c r="R9">
        <f>VLOOKUP($B$1,dictionary!$A$3:$K$51,3,FALSE)*Q9</f>
        <v>1.2274181370269116E-3</v>
      </c>
      <c r="S9">
        <f>VLOOKUP($B$1,dictionary!$A$3:$K$51,4,FALSE)*Q9</f>
        <v>0</v>
      </c>
      <c r="T9">
        <f>VLOOKUP($B$1,dictionary!$A$3:$K$51,5,FALSE)*Q9</f>
        <v>1.2274181370269116E-3</v>
      </c>
      <c r="U9">
        <f>VLOOKUP($B$1,dictionary!$A$3:$K$51,6,FALSE)*Q9</f>
        <v>2.1479817397970953E-3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1.5278904453870483</v>
      </c>
      <c r="AB9">
        <f t="shared" ref="AB9:AB33" si="11">O9/M9*AA9</f>
        <v>1.5278904453870483</v>
      </c>
      <c r="AC9">
        <f t="shared" ref="AC9:AC33" si="12">N9/M9*AA9</f>
        <v>0</v>
      </c>
      <c r="AD9">
        <f t="shared" si="3"/>
        <v>1.8869407706853629E-3</v>
      </c>
      <c r="AE9">
        <f t="shared" ref="AE9:AE33" si="13">S9*$O9*$AE$2+S9*$N9*$AE$3</f>
        <v>0</v>
      </c>
      <c r="AF9">
        <f t="shared" ref="AF9:AF33" si="14">T9*$O9*$AF$2+T9*$N9*$AF$3</f>
        <v>2.0966008563170699E-3</v>
      </c>
      <c r="AG9">
        <f t="shared" ref="AG9:AG33" si="15">U9*$O9*$AG$2+U9*$N9*$AG$3</f>
        <v>3.7738815413707262E-3</v>
      </c>
      <c r="AH9">
        <f t="shared" ref="AH9:AH33" si="16">V9*$O9*$AH$2+V9*$N9*$AH$3</f>
        <v>0</v>
      </c>
      <c r="AI9">
        <f t="shared" ref="AI9:AI33" si="17">W9*$O9*$AI$2+W9*$N9*$AI$3</f>
        <v>4.9656336070667438E-4</v>
      </c>
      <c r="AJ9">
        <f t="shared" ref="AJ9:AJ33" si="18">X9*$O9*$AJ$2+X9*$N9*$AJ$3</f>
        <v>0</v>
      </c>
      <c r="AK9">
        <f t="shared" ref="AK9:AK33" si="19">Y9*$O9*$AK$2+Y9*$N9*$AK$3</f>
        <v>1.8869407706853629E-3</v>
      </c>
      <c r="AL9">
        <f t="shared" ref="AL9:AL33" si="20">Z9*$O9*$AL$2+Z9*$N9*$AL$3</f>
        <v>0</v>
      </c>
    </row>
    <row r="10" spans="1:51" x14ac:dyDescent="0.2">
      <c r="A10">
        <v>2027</v>
      </c>
      <c r="B10">
        <v>2</v>
      </c>
      <c r="C10">
        <f t="shared" ref="C10:C33" si="21">C9*(1+$I$2)</f>
        <v>1.5711338463021527</v>
      </c>
      <c r="D10">
        <f>IF($E$2=0,0,C10/(1+EXP(-$E$2*(B10-$G$2)))-C10/(1+EXP($E$2*$G$2)))</f>
        <v>2.3480627622849082E-2</v>
      </c>
      <c r="E10">
        <f t="shared" si="4"/>
        <v>0</v>
      </c>
      <c r="F10">
        <f t="shared" si="5"/>
        <v>0</v>
      </c>
      <c r="G10" s="9">
        <f t="shared" si="6"/>
        <v>1.4945020551949463E-2</v>
      </c>
      <c r="H10" s="9">
        <f t="shared" si="6"/>
        <v>0</v>
      </c>
      <c r="I10" s="9">
        <f t="shared" si="6"/>
        <v>0</v>
      </c>
      <c r="J10" s="9">
        <f t="shared" si="7"/>
        <v>1.9428526717534303E-3</v>
      </c>
      <c r="K10" s="9">
        <f t="shared" si="8"/>
        <v>0</v>
      </c>
      <c r="L10" s="9">
        <f t="shared" si="9"/>
        <v>0</v>
      </c>
      <c r="M10">
        <f t="shared" si="0"/>
        <v>1.5680813647111824</v>
      </c>
      <c r="N10">
        <f t="shared" si="10"/>
        <v>0</v>
      </c>
      <c r="O10">
        <f>M10-N10</f>
        <v>1.5680813647111824</v>
      </c>
      <c r="P10">
        <f t="shared" ref="P10:P33" si="22">IF($I$3=0,0,M10/(1+EXP(-$I$3*(B10-$J$3)))-M10/(1+EXP($I$3*$J$3)))</f>
        <v>2.4477829991042338E-2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1.54360353472014</v>
      </c>
      <c r="AB10">
        <f t="shared" si="11"/>
        <v>1.54360353472014</v>
      </c>
      <c r="AC10">
        <f t="shared" si="12"/>
        <v>0</v>
      </c>
      <c r="AD10">
        <f t="shared" si="3"/>
        <v>4.8955659982084683E-3</v>
      </c>
      <c r="AE10">
        <f t="shared" si="13"/>
        <v>0</v>
      </c>
      <c r="AF10">
        <f t="shared" si="14"/>
        <v>5.4395177757871876E-3</v>
      </c>
      <c r="AG10">
        <f t="shared" si="15"/>
        <v>9.7911319964169366E-3</v>
      </c>
      <c r="AH10">
        <f t="shared" si="16"/>
        <v>0</v>
      </c>
      <c r="AI10">
        <f t="shared" si="17"/>
        <v>1.2883068416338075E-3</v>
      </c>
      <c r="AJ10">
        <f t="shared" si="18"/>
        <v>0</v>
      </c>
      <c r="AK10">
        <f t="shared" si="19"/>
        <v>4.8955659982084683E-3</v>
      </c>
      <c r="AL10">
        <f t="shared" si="20"/>
        <v>0</v>
      </c>
    </row>
    <row r="11" spans="1:51" x14ac:dyDescent="0.2">
      <c r="A11">
        <v>2028</v>
      </c>
      <c r="B11">
        <v>3</v>
      </c>
      <c r="C11">
        <f t="shared" si="21"/>
        <v>1.6041276570744978</v>
      </c>
      <c r="D11">
        <f t="shared" ref="D11:D33" si="23">IF($E$2=0,0,C11/(1+EXP(-$E$2*(B11-$G$2)))-C11/(1+EXP($E$2*$G$2)))</f>
        <v>3.5987551236528637E-2</v>
      </c>
      <c r="E11">
        <f t="shared" si="4"/>
        <v>0</v>
      </c>
      <c r="F11">
        <f t="shared" si="5"/>
        <v>0</v>
      </c>
      <c r="G11" s="9">
        <f t="shared" si="6"/>
        <v>2.2434343724339469E-2</v>
      </c>
      <c r="H11" s="9">
        <f t="shared" si="6"/>
        <v>0</v>
      </c>
      <c r="I11" s="9">
        <f t="shared" si="6"/>
        <v>0</v>
      </c>
      <c r="J11" s="9">
        <f t="shared" si="7"/>
        <v>2.9164646841641313E-3</v>
      </c>
      <c r="K11" s="9">
        <f t="shared" si="8"/>
        <v>0</v>
      </c>
      <c r="L11" s="9">
        <f t="shared" si="9"/>
        <v>0</v>
      </c>
      <c r="M11">
        <f t="shared" si="0"/>
        <v>1.599449275413749</v>
      </c>
      <c r="N11">
        <f t="shared" si="10"/>
        <v>0</v>
      </c>
      <c r="O11">
        <f t="shared" ref="O11:O33" si="24">M11-N11</f>
        <v>1.599449275413749</v>
      </c>
      <c r="P11">
        <f t="shared" si="22"/>
        <v>4.8150357714043857E-2</v>
      </c>
      <c r="Q11" s="9">
        <f t="shared" si="1"/>
        <v>3.0104335569871833E-2</v>
      </c>
      <c r="R11">
        <f>VLOOKUP($B$1,dictionary!$A$3:$K$51,3,FALSE)*Q11</f>
        <v>6.0208671139743673E-3</v>
      </c>
      <c r="S11">
        <f>VLOOKUP($B$1,dictionary!$A$3:$K$51,4,FALSE)*Q11</f>
        <v>0</v>
      </c>
      <c r="T11">
        <f>VLOOKUP($B$1,dictionary!$A$3:$K$51,5,FALSE)*Q11</f>
        <v>6.0208671139743673E-3</v>
      </c>
      <c r="U11">
        <f>VLOOKUP($B$1,dictionary!$A$3:$K$51,6,FALSE)*Q11</f>
        <v>1.053651744945514E-2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1.5512989176997052</v>
      </c>
      <c r="AB11">
        <f t="shared" si="11"/>
        <v>1.5512989176997052</v>
      </c>
      <c r="AC11">
        <f t="shared" si="12"/>
        <v>0</v>
      </c>
      <c r="AD11">
        <f t="shared" si="3"/>
        <v>9.6300715428087724E-3</v>
      </c>
      <c r="AE11">
        <f t="shared" si="13"/>
        <v>0</v>
      </c>
      <c r="AF11">
        <f t="shared" si="14"/>
        <v>1.0700079492009747E-2</v>
      </c>
      <c r="AG11">
        <f t="shared" si="15"/>
        <v>1.9260143085617541E-2</v>
      </c>
      <c r="AH11">
        <f t="shared" si="16"/>
        <v>0</v>
      </c>
      <c r="AI11">
        <f t="shared" si="17"/>
        <v>2.5342293533707296E-3</v>
      </c>
      <c r="AJ11">
        <f t="shared" si="18"/>
        <v>0</v>
      </c>
      <c r="AK11">
        <f t="shared" si="19"/>
        <v>9.6300715428087724E-3</v>
      </c>
      <c r="AL11">
        <f t="shared" si="20"/>
        <v>0</v>
      </c>
    </row>
    <row r="12" spans="1:51" x14ac:dyDescent="0.2">
      <c r="A12">
        <v>2029</v>
      </c>
      <c r="B12">
        <v>4</v>
      </c>
      <c r="C12">
        <f t="shared" si="21"/>
        <v>1.6378143378730621</v>
      </c>
      <c r="D12">
        <f t="shared" si="23"/>
        <v>4.9020451021974609E-2</v>
      </c>
      <c r="E12">
        <f t="shared" si="4"/>
        <v>0</v>
      </c>
      <c r="F12">
        <f t="shared" si="5"/>
        <v>0</v>
      </c>
      <c r="G12" s="9">
        <f t="shared" si="6"/>
        <v>2.9930407793129183E-2</v>
      </c>
      <c r="H12" s="9">
        <f t="shared" si="6"/>
        <v>0</v>
      </c>
      <c r="I12" s="9">
        <f t="shared" si="6"/>
        <v>0</v>
      </c>
      <c r="J12" s="9">
        <f t="shared" si="7"/>
        <v>3.8909530131067938E-3</v>
      </c>
      <c r="K12" s="9">
        <f t="shared" si="8"/>
        <v>0</v>
      </c>
      <c r="L12" s="9">
        <f t="shared" si="9"/>
        <v>0</v>
      </c>
      <c r="M12">
        <f t="shared" si="0"/>
        <v>1.6314416792402053</v>
      </c>
      <c r="N12">
        <f t="shared" si="10"/>
        <v>0</v>
      </c>
      <c r="O12">
        <f t="shared" si="24"/>
        <v>1.6314416792402053</v>
      </c>
      <c r="P12">
        <f t="shared" si="22"/>
        <v>8.4812801618046954E-2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1.5466288776221584</v>
      </c>
      <c r="AB12">
        <f t="shared" si="11"/>
        <v>1.5466288776221584</v>
      </c>
      <c r="AC12">
        <f t="shared" si="12"/>
        <v>0</v>
      </c>
      <c r="AD12">
        <f t="shared" si="3"/>
        <v>1.6962560323609391E-2</v>
      </c>
      <c r="AE12">
        <f t="shared" si="13"/>
        <v>0</v>
      </c>
      <c r="AF12">
        <f t="shared" si="14"/>
        <v>1.8847289248454878E-2</v>
      </c>
      <c r="AG12">
        <f t="shared" si="15"/>
        <v>3.3925120647218789E-2</v>
      </c>
      <c r="AH12">
        <f t="shared" si="16"/>
        <v>0</v>
      </c>
      <c r="AI12">
        <f t="shared" si="17"/>
        <v>4.4638316641077338E-3</v>
      </c>
      <c r="AJ12">
        <f t="shared" si="18"/>
        <v>0</v>
      </c>
      <c r="AK12">
        <f t="shared" si="19"/>
        <v>1.6962560323609391E-2</v>
      </c>
      <c r="AL12">
        <f t="shared" si="20"/>
        <v>0</v>
      </c>
    </row>
    <row r="13" spans="1:51" x14ac:dyDescent="0.2">
      <c r="A13">
        <v>2030</v>
      </c>
      <c r="B13">
        <v>5</v>
      </c>
      <c r="C13">
        <f t="shared" si="21"/>
        <v>1.6722084389683962</v>
      </c>
      <c r="D13">
        <f t="shared" si="23"/>
        <v>6.2590503253099894E-2</v>
      </c>
      <c r="E13">
        <f t="shared" si="4"/>
        <v>0</v>
      </c>
      <c r="F13">
        <f t="shared" si="5"/>
        <v>0</v>
      </c>
      <c r="G13" s="9">
        <f t="shared" si="6"/>
        <v>3.7429845343749532E-2</v>
      </c>
      <c r="H13" s="9">
        <f t="shared" si="6"/>
        <v>0</v>
      </c>
      <c r="I13" s="9">
        <f t="shared" si="6"/>
        <v>0</v>
      </c>
      <c r="J13" s="9">
        <f t="shared" si="7"/>
        <v>4.8658798946874396E-3</v>
      </c>
      <c r="K13" s="9">
        <f t="shared" si="8"/>
        <v>0</v>
      </c>
      <c r="L13" s="9">
        <f t="shared" si="9"/>
        <v>0</v>
      </c>
      <c r="M13">
        <f t="shared" si="0"/>
        <v>1.6640716735454932</v>
      </c>
      <c r="N13">
        <f t="shared" si="10"/>
        <v>0</v>
      </c>
      <c r="O13">
        <f t="shared" si="24"/>
        <v>1.6640716735454932</v>
      </c>
      <c r="P13">
        <f t="shared" si="22"/>
        <v>0.14038528361588887</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1.5236863899296043</v>
      </c>
      <c r="AB13">
        <f t="shared" si="11"/>
        <v>1.5236863899296043</v>
      </c>
      <c r="AC13">
        <f t="shared" si="12"/>
        <v>0</v>
      </c>
      <c r="AD13">
        <f t="shared" si="3"/>
        <v>2.8077056723177778E-2</v>
      </c>
      <c r="AE13">
        <f t="shared" si="13"/>
        <v>0</v>
      </c>
      <c r="AF13">
        <f t="shared" si="14"/>
        <v>3.1196729692419753E-2</v>
      </c>
      <c r="AG13">
        <f t="shared" si="15"/>
        <v>5.6154113446355555E-2</v>
      </c>
      <c r="AH13">
        <f t="shared" si="16"/>
        <v>0</v>
      </c>
      <c r="AI13">
        <f t="shared" si="17"/>
        <v>7.3886991376783621E-3</v>
      </c>
      <c r="AJ13">
        <f t="shared" si="18"/>
        <v>0</v>
      </c>
      <c r="AK13">
        <f t="shared" si="19"/>
        <v>2.8077056723177778E-2</v>
      </c>
      <c r="AL13">
        <f t="shared" si="20"/>
        <v>0</v>
      </c>
    </row>
    <row r="14" spans="1:51" x14ac:dyDescent="0.2">
      <c r="A14">
        <v>2031</v>
      </c>
      <c r="B14">
        <v>6</v>
      </c>
      <c r="C14">
        <f t="shared" si="21"/>
        <v>1.7073248161867325</v>
      </c>
      <c r="D14">
        <f t="shared" si="23"/>
        <v>7.6708879659031837E-2</v>
      </c>
      <c r="E14">
        <f t="shared" si="4"/>
        <v>0</v>
      </c>
      <c r="F14">
        <f t="shared" si="5"/>
        <v>0</v>
      </c>
      <c r="G14" s="9">
        <f t="shared" si="6"/>
        <v>4.4929282894369926E-2</v>
      </c>
      <c r="H14" s="9">
        <f t="shared" si="6"/>
        <v>0</v>
      </c>
      <c r="I14" s="9">
        <f t="shared" si="6"/>
        <v>0</v>
      </c>
      <c r="J14" s="9">
        <f t="shared" si="7"/>
        <v>5.8408067762680902E-3</v>
      </c>
      <c r="K14" s="9">
        <f t="shared" si="8"/>
        <v>0</v>
      </c>
      <c r="L14" s="9">
        <f t="shared" si="9"/>
        <v>0</v>
      </c>
      <c r="M14">
        <f t="shared" si="0"/>
        <v>1.6973526618310584</v>
      </c>
      <c r="N14">
        <f t="shared" si="10"/>
        <v>0</v>
      </c>
      <c r="O14">
        <f t="shared" si="24"/>
        <v>1.6973526618310584</v>
      </c>
      <c r="P14">
        <f t="shared" si="22"/>
        <v>0.22212256627299068</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1.4752300955580677</v>
      </c>
      <c r="AB14">
        <f t="shared" si="11"/>
        <v>1.4752300955580677</v>
      </c>
      <c r="AC14">
        <f t="shared" si="12"/>
        <v>0</v>
      </c>
      <c r="AD14">
        <f t="shared" si="3"/>
        <v>4.442451325459814E-2</v>
      </c>
      <c r="AE14">
        <f t="shared" si="13"/>
        <v>0</v>
      </c>
      <c r="AF14">
        <f t="shared" si="14"/>
        <v>4.9360570282886825E-2</v>
      </c>
      <c r="AG14">
        <f t="shared" si="15"/>
        <v>8.884902650919628E-2</v>
      </c>
      <c r="AH14">
        <f t="shared" si="16"/>
        <v>0</v>
      </c>
      <c r="AI14">
        <f t="shared" si="17"/>
        <v>1.1690661382788984E-2</v>
      </c>
      <c r="AJ14">
        <f t="shared" si="18"/>
        <v>0</v>
      </c>
      <c r="AK14">
        <f t="shared" si="19"/>
        <v>4.442451325459814E-2</v>
      </c>
      <c r="AL14">
        <f t="shared" si="20"/>
        <v>0</v>
      </c>
    </row>
    <row r="15" spans="1:51" x14ac:dyDescent="0.2">
      <c r="A15">
        <v>2032</v>
      </c>
      <c r="B15">
        <v>7</v>
      </c>
      <c r="C15">
        <f t="shared" si="21"/>
        <v>1.7431786373266538</v>
      </c>
      <c r="D15">
        <f t="shared" si="23"/>
        <v>9.1386744880617488E-2</v>
      </c>
      <c r="E15">
        <f t="shared" si="4"/>
        <v>0</v>
      </c>
      <c r="F15">
        <f t="shared" si="5"/>
        <v>0</v>
      </c>
      <c r="G15" s="9">
        <f t="shared" si="6"/>
        <v>5.242534696315955E-2</v>
      </c>
      <c r="H15" s="9">
        <f t="shared" si="6"/>
        <v>0</v>
      </c>
      <c r="I15" s="9">
        <f t="shared" si="6"/>
        <v>0</v>
      </c>
      <c r="J15" s="9">
        <f t="shared" si="7"/>
        <v>6.8152951052107419E-3</v>
      </c>
      <c r="K15" s="9">
        <f t="shared" si="8"/>
        <v>0</v>
      </c>
      <c r="L15" s="9">
        <f t="shared" si="9"/>
        <v>0</v>
      </c>
      <c r="M15">
        <f t="shared" si="0"/>
        <v>1.7312983604921734</v>
      </c>
      <c r="N15">
        <f t="shared" si="10"/>
        <v>0</v>
      </c>
      <c r="O15">
        <f t="shared" si="24"/>
        <v>1.7312983604921734</v>
      </c>
      <c r="P15">
        <f>IF($I$3=0,0,M15/(1+EXP(-$I$3*(B15-$J$3)))-M15/(1+EXP($I$3*$J$3)))</f>
        <v>0.33740136140972671</v>
      </c>
      <c r="Q15" s="9">
        <f t="shared" si="1"/>
        <v>0.19488342917035412</v>
      </c>
      <c r="R15">
        <f>VLOOKUP($B$1,dictionary!$A$3:$K$51,3,FALSE)*Q15</f>
        <v>3.8976685834070823E-2</v>
      </c>
      <c r="S15">
        <f>VLOOKUP($B$1,dictionary!$A$3:$K$51,4,FALSE)*Q15</f>
        <v>0</v>
      </c>
      <c r="T15">
        <f>VLOOKUP($B$1,dictionary!$A$3:$K$51,5,FALSE)*Q15</f>
        <v>3.8976685834070823E-2</v>
      </c>
      <c r="U15">
        <f>VLOOKUP($B$1,dictionary!$A$3:$K$51,6,FALSE)*Q15</f>
        <v>6.8209200209623941E-2</v>
      </c>
      <c r="V15">
        <f>VLOOKUP($B$1,dictionary!$A$3:$K$51,7,FALSE)*Q15</f>
        <v>0</v>
      </c>
      <c r="W15">
        <f>VLOOKUP($B$1,dictionary!$A$3:$K$51,8,FALSE)*Q15</f>
        <v>9.7441714585177058E-3</v>
      </c>
      <c r="X15">
        <f>VLOOKUP($B$1,dictionary!$A$3:$K$51,9,FALSE)*Q15</f>
        <v>0</v>
      </c>
      <c r="Y15">
        <f>VLOOKUP($B$1,dictionary!$A$3:$K$51,10,FALSE)*Q15</f>
        <v>3.8976685834070823E-2</v>
      </c>
      <c r="Z15">
        <f>VLOOKUP($B$1,dictionary!$A$3:$K$51,11,FALSE)*Q15</f>
        <v>0</v>
      </c>
      <c r="AA15">
        <f t="shared" si="2"/>
        <v>1.3938969990824468</v>
      </c>
      <c r="AB15">
        <f t="shared" si="11"/>
        <v>1.3938969990824468</v>
      </c>
      <c r="AC15">
        <f t="shared" si="12"/>
        <v>0</v>
      </c>
      <c r="AD15">
        <f t="shared" si="3"/>
        <v>6.7480272281945336E-2</v>
      </c>
      <c r="AE15">
        <f t="shared" si="13"/>
        <v>0</v>
      </c>
      <c r="AF15">
        <f t="shared" si="14"/>
        <v>7.4978080313272605E-2</v>
      </c>
      <c r="AG15">
        <f t="shared" si="15"/>
        <v>0.1349605445638907</v>
      </c>
      <c r="AH15">
        <f t="shared" si="16"/>
        <v>0</v>
      </c>
      <c r="AI15">
        <f t="shared" si="17"/>
        <v>1.7757966389985613E-2</v>
      </c>
      <c r="AJ15">
        <f t="shared" si="18"/>
        <v>0</v>
      </c>
      <c r="AK15">
        <f t="shared" si="19"/>
        <v>6.7480272281945336E-2</v>
      </c>
      <c r="AL15">
        <f t="shared" si="20"/>
        <v>0</v>
      </c>
    </row>
    <row r="16" spans="1:51" x14ac:dyDescent="0.2">
      <c r="A16">
        <v>2033</v>
      </c>
      <c r="B16">
        <v>8</v>
      </c>
      <c r="C16">
        <f t="shared" si="21"/>
        <v>1.7797853887105133</v>
      </c>
      <c r="D16">
        <f t="shared" si="23"/>
        <v>0.10663525447666145</v>
      </c>
      <c r="E16">
        <f t="shared" si="4"/>
        <v>0</v>
      </c>
      <c r="F16">
        <f t="shared" si="5"/>
        <v>0</v>
      </c>
      <c r="G16" s="9">
        <f t="shared" si="6"/>
        <v>5.9914670135549665E-2</v>
      </c>
      <c r="H16" s="9">
        <f t="shared" si="6"/>
        <v>0</v>
      </c>
      <c r="I16" s="9">
        <f t="shared" si="6"/>
        <v>0</v>
      </c>
      <c r="J16" s="9">
        <f t="shared" si="7"/>
        <v>7.7889071176214571E-3</v>
      </c>
      <c r="K16" s="9">
        <f t="shared" si="8"/>
        <v>0</v>
      </c>
      <c r="L16" s="9">
        <f t="shared" si="9"/>
        <v>0</v>
      </c>
      <c r="M16">
        <f t="shared" si="0"/>
        <v>1.7659228056285472</v>
      </c>
      <c r="N16">
        <f t="shared" si="10"/>
        <v>0</v>
      </c>
      <c r="O16">
        <f t="shared" si="24"/>
        <v>1.7659228056285472</v>
      </c>
      <c r="P16">
        <f t="shared" si="22"/>
        <v>0.49103877273728297</v>
      </c>
      <c r="Q16" s="9">
        <f t="shared" si="1"/>
        <v>0.27806355474440281</v>
      </c>
      <c r="R16">
        <f>VLOOKUP($B$1,dictionary!$A$3:$K$51,3,FALSE)*Q16</f>
        <v>5.5612710948880567E-2</v>
      </c>
      <c r="S16">
        <f>VLOOKUP($B$1,dictionary!$A$3:$K$51,4,FALSE)*Q16</f>
        <v>0</v>
      </c>
      <c r="T16">
        <f>VLOOKUP($B$1,dictionary!$A$3:$K$51,5,FALSE)*Q16</f>
        <v>5.5612710948880567E-2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5.5612710948880567E-2</v>
      </c>
      <c r="Z16">
        <f>VLOOKUP($B$1,dictionary!$A$3:$K$51,11,FALSE)*Q16</f>
        <v>0</v>
      </c>
      <c r="AA16">
        <f t="shared" si="2"/>
        <v>1.2748840328912643</v>
      </c>
      <c r="AB16">
        <f t="shared" si="11"/>
        <v>1.2748840328912643</v>
      </c>
      <c r="AC16">
        <f t="shared" si="12"/>
        <v>0</v>
      </c>
      <c r="AD16">
        <f t="shared" si="3"/>
        <v>9.8207754547456602E-2</v>
      </c>
      <c r="AE16">
        <f t="shared" si="13"/>
        <v>0</v>
      </c>
      <c r="AF16">
        <f t="shared" si="14"/>
        <v>0.10911972727495178</v>
      </c>
      <c r="AG16">
        <f t="shared" si="15"/>
        <v>0.19641550909491318</v>
      </c>
      <c r="AH16">
        <f t="shared" si="16"/>
        <v>0</v>
      </c>
      <c r="AI16">
        <f t="shared" si="17"/>
        <v>2.5844145933541209E-2</v>
      </c>
      <c r="AJ16">
        <f t="shared" si="18"/>
        <v>0</v>
      </c>
      <c r="AK16">
        <f t="shared" si="19"/>
        <v>9.8207754547456602E-2</v>
      </c>
      <c r="AL16">
        <f t="shared" si="20"/>
        <v>0</v>
      </c>
    </row>
    <row r="17" spans="1:38" x14ac:dyDescent="0.2">
      <c r="A17">
        <v>2034</v>
      </c>
      <c r="B17">
        <v>9</v>
      </c>
      <c r="C17">
        <f t="shared" si="21"/>
        <v>1.8171608818734339</v>
      </c>
      <c r="D17">
        <f t="shared" si="23"/>
        <v>0.12246555350224453</v>
      </c>
      <c r="E17">
        <f t="shared" si="4"/>
        <v>0</v>
      </c>
      <c r="F17">
        <f t="shared" si="5"/>
        <v>0</v>
      </c>
      <c r="G17" s="9">
        <f t="shared" si="6"/>
        <v>6.7393897108321263E-2</v>
      </c>
      <c r="H17" s="9">
        <f t="shared" si="6"/>
        <v>0</v>
      </c>
      <c r="I17" s="9">
        <f t="shared" si="6"/>
        <v>0</v>
      </c>
      <c r="J17" s="9">
        <f t="shared" si="7"/>
        <v>8.7612066240817642E-3</v>
      </c>
      <c r="K17" s="9">
        <f t="shared" si="8"/>
        <v>0</v>
      </c>
      <c r="L17" s="9">
        <f t="shared" si="9"/>
        <v>0</v>
      </c>
      <c r="M17">
        <f t="shared" si="0"/>
        <v>1.8012403599181421</v>
      </c>
      <c r="N17">
        <f t="shared" si="10"/>
        <v>0</v>
      </c>
      <c r="O17">
        <f t="shared" si="24"/>
        <v>1.8012403599181421</v>
      </c>
      <c r="P17">
        <f t="shared" si="22"/>
        <v>0.68154220188097736</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1.1196981580371648</v>
      </c>
      <c r="AB17">
        <f t="shared" si="11"/>
        <v>1.1196981580371648</v>
      </c>
      <c r="AC17">
        <f t="shared" si="12"/>
        <v>0</v>
      </c>
      <c r="AD17">
        <f t="shared" si="3"/>
        <v>0.13630844037619549</v>
      </c>
      <c r="AE17">
        <f t="shared" si="13"/>
        <v>0</v>
      </c>
      <c r="AF17">
        <f t="shared" si="14"/>
        <v>0.15145382264021723</v>
      </c>
      <c r="AG17">
        <f t="shared" si="15"/>
        <v>0.27261688075239099</v>
      </c>
      <c r="AH17">
        <f t="shared" si="16"/>
        <v>0</v>
      </c>
      <c r="AI17">
        <f t="shared" si="17"/>
        <v>3.587064220426197E-2</v>
      </c>
      <c r="AJ17">
        <f t="shared" si="18"/>
        <v>0</v>
      </c>
      <c r="AK17">
        <f t="shared" si="19"/>
        <v>0.13630844037619549</v>
      </c>
      <c r="AL17">
        <f t="shared" si="20"/>
        <v>0</v>
      </c>
    </row>
    <row r="18" spans="1:38" x14ac:dyDescent="0.2">
      <c r="A18">
        <v>2035</v>
      </c>
      <c r="B18">
        <v>10</v>
      </c>
      <c r="C18">
        <f t="shared" si="21"/>
        <v>1.8553212603927758</v>
      </c>
      <c r="D18">
        <f t="shared" si="23"/>
        <v>0.13888877567894409</v>
      </c>
      <c r="E18">
        <f t="shared" si="4"/>
        <v>0</v>
      </c>
      <c r="F18">
        <f t="shared" si="5"/>
        <v>0</v>
      </c>
      <c r="G18" s="9">
        <f t="shared" si="6"/>
        <v>7.485969068749905E-2</v>
      </c>
      <c r="H18" s="9">
        <f t="shared" si="6"/>
        <v>0</v>
      </c>
      <c r="I18" s="9">
        <f t="shared" si="6"/>
        <v>0</v>
      </c>
      <c r="J18" s="9">
        <f t="shared" si="7"/>
        <v>9.7317597893748775E-3</v>
      </c>
      <c r="K18" s="9">
        <f t="shared" si="8"/>
        <v>0</v>
      </c>
      <c r="L18" s="9">
        <f t="shared" si="9"/>
        <v>0</v>
      </c>
      <c r="M18">
        <f t="shared" si="0"/>
        <v>1.837265719554513</v>
      </c>
      <c r="N18">
        <f t="shared" si="10"/>
        <v>0</v>
      </c>
      <c r="O18">
        <f t="shared" si="24"/>
        <v>1.837265719554513</v>
      </c>
      <c r="P18">
        <f t="shared" si="22"/>
        <v>0.89844692671935555</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0.93881879283515746</v>
      </c>
      <c r="AB18">
        <f t="shared" si="11"/>
        <v>0.93881879283515746</v>
      </c>
      <c r="AC18">
        <f t="shared" si="12"/>
        <v>0</v>
      </c>
      <c r="AD18">
        <f t="shared" si="3"/>
        <v>0.17968938534387111</v>
      </c>
      <c r="AE18">
        <f t="shared" si="13"/>
        <v>0</v>
      </c>
      <c r="AF18">
        <f t="shared" si="14"/>
        <v>0.19965487260430123</v>
      </c>
      <c r="AG18">
        <f t="shared" si="15"/>
        <v>0.35937877068774227</v>
      </c>
      <c r="AH18">
        <f t="shared" si="16"/>
        <v>0</v>
      </c>
      <c r="AI18">
        <f t="shared" si="17"/>
        <v>4.7286680353650287E-2</v>
      </c>
      <c r="AJ18">
        <f t="shared" si="18"/>
        <v>0</v>
      </c>
      <c r="AK18">
        <f t="shared" si="19"/>
        <v>0.17968938534387111</v>
      </c>
      <c r="AL18">
        <f t="shared" si="20"/>
        <v>0</v>
      </c>
    </row>
    <row r="19" spans="1:38" x14ac:dyDescent="0.2">
      <c r="A19">
        <v>2036</v>
      </c>
      <c r="B19">
        <v>11</v>
      </c>
      <c r="C19">
        <f t="shared" si="21"/>
        <v>1.8942830068610239</v>
      </c>
      <c r="D19">
        <f t="shared" si="23"/>
        <v>0.15591604317411834</v>
      </c>
      <c r="E19">
        <f t="shared" si="4"/>
        <v>0</v>
      </c>
      <c r="F19">
        <f t="shared" si="5"/>
        <v>0</v>
      </c>
      <c r="G19" s="9">
        <f t="shared" si="6"/>
        <v>8.2308737717329522E-2</v>
      </c>
      <c r="H19" s="9">
        <f t="shared" si="6"/>
        <v>0</v>
      </c>
      <c r="I19" s="9">
        <f t="shared" si="6"/>
        <v>0</v>
      </c>
      <c r="J19" s="9">
        <f t="shared" si="7"/>
        <v>1.0700135903252838E-2</v>
      </c>
      <c r="K19" s="9">
        <f t="shared" si="8"/>
        <v>0</v>
      </c>
      <c r="L19" s="9">
        <f t="shared" si="9"/>
        <v>0</v>
      </c>
      <c r="M19">
        <f t="shared" si="0"/>
        <v>1.8740139212483886</v>
      </c>
      <c r="N19">
        <f t="shared" si="10"/>
        <v>0</v>
      </c>
      <c r="O19">
        <f t="shared" si="24"/>
        <v>1.8740139212483886</v>
      </c>
      <c r="P19">
        <f t="shared" si="22"/>
        <v>1.1237567418396046</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0.750257179408784</v>
      </c>
      <c r="AB19">
        <f t="shared" si="11"/>
        <v>0.750257179408784</v>
      </c>
      <c r="AC19">
        <f t="shared" si="12"/>
        <v>0</v>
      </c>
      <c r="AD19">
        <f t="shared" si="3"/>
        <v>0.22475134836792096</v>
      </c>
      <c r="AE19">
        <f t="shared" si="13"/>
        <v>0</v>
      </c>
      <c r="AF19">
        <f t="shared" si="14"/>
        <v>0.24972372040880109</v>
      </c>
      <c r="AG19">
        <f t="shared" si="15"/>
        <v>0.44950269673584187</v>
      </c>
      <c r="AH19">
        <f t="shared" si="16"/>
        <v>0</v>
      </c>
      <c r="AI19">
        <f t="shared" si="17"/>
        <v>5.9145091675768674E-2</v>
      </c>
      <c r="AJ19">
        <f t="shared" si="18"/>
        <v>0</v>
      </c>
      <c r="AK19">
        <f t="shared" si="19"/>
        <v>0.22475134836792096</v>
      </c>
      <c r="AL19">
        <f t="shared" si="20"/>
        <v>0</v>
      </c>
    </row>
    <row r="20" spans="1:38" x14ac:dyDescent="0.2">
      <c r="A20">
        <v>2037</v>
      </c>
      <c r="B20">
        <v>12</v>
      </c>
      <c r="C20">
        <f t="shared" si="21"/>
        <v>1.9340629500051052</v>
      </c>
      <c r="D20">
        <f t="shared" si="23"/>
        <v>0.17355846700368682</v>
      </c>
      <c r="E20">
        <f t="shared" si="4"/>
        <v>0</v>
      </c>
      <c r="F20">
        <f t="shared" si="5"/>
        <v>0</v>
      </c>
      <c r="G20" s="9">
        <f t="shared" si="6"/>
        <v>8.9737754918074772E-2</v>
      </c>
      <c r="H20" s="9">
        <f t="shared" si="6"/>
        <v>0</v>
      </c>
      <c r="I20" s="9">
        <f t="shared" si="6"/>
        <v>0</v>
      </c>
      <c r="J20" s="9">
        <f t="shared" si="7"/>
        <v>1.166590813934972E-2</v>
      </c>
      <c r="K20" s="9">
        <f t="shared" si="8"/>
        <v>0</v>
      </c>
      <c r="L20" s="9">
        <f t="shared" si="9"/>
        <v>0</v>
      </c>
      <c r="M20">
        <f t="shared" si="0"/>
        <v>1.9115003492946259</v>
      </c>
      <c r="N20">
        <f t="shared" si="10"/>
        <v>0</v>
      </c>
      <c r="O20">
        <f t="shared" si="24"/>
        <v>1.9115003492946259</v>
      </c>
      <c r="P20">
        <f>IF($I$3=0,0,M20/(1+EXP(-$I$3*(B20-$J$3)))-M20/(1+EXP($I$3*$J$3)))</f>
        <v>1.3379786779224765</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0.57352167137214938</v>
      </c>
      <c r="AB20">
        <f t="shared" si="11"/>
        <v>0.57352167137214938</v>
      </c>
      <c r="AC20">
        <f t="shared" si="12"/>
        <v>0</v>
      </c>
      <c r="AD20">
        <f t="shared" si="3"/>
        <v>0.26759573558449534</v>
      </c>
      <c r="AE20">
        <f t="shared" si="13"/>
        <v>0</v>
      </c>
      <c r="AF20">
        <f t="shared" si="14"/>
        <v>0.29732859509388371</v>
      </c>
      <c r="AG20">
        <f t="shared" si="15"/>
        <v>0.53519147116899068</v>
      </c>
      <c r="AH20">
        <f t="shared" si="16"/>
        <v>0</v>
      </c>
      <c r="AI20">
        <f t="shared" si="17"/>
        <v>7.0419930416972448E-2</v>
      </c>
      <c r="AJ20">
        <f t="shared" si="18"/>
        <v>0</v>
      </c>
      <c r="AK20">
        <f t="shared" si="19"/>
        <v>0.26759573558449534</v>
      </c>
      <c r="AL20">
        <f t="shared" si="20"/>
        <v>0</v>
      </c>
    </row>
    <row r="21" spans="1:38" x14ac:dyDescent="0.2">
      <c r="A21">
        <v>2038</v>
      </c>
      <c r="B21">
        <v>13</v>
      </c>
      <c r="C21">
        <f t="shared" si="21"/>
        <v>1.9746782719552123</v>
      </c>
      <c r="D21">
        <f t="shared" si="23"/>
        <v>0.19182714807002632</v>
      </c>
      <c r="E21">
        <f t="shared" si="4"/>
        <v>0</v>
      </c>
      <c r="F21">
        <f t="shared" si="5"/>
        <v>0</v>
      </c>
      <c r="G21" s="9">
        <f t="shared" si="6"/>
        <v>9.714349461094246E-2</v>
      </c>
      <c r="H21" s="9">
        <f t="shared" si="6"/>
        <v>0</v>
      </c>
      <c r="I21" s="9">
        <f t="shared" si="6"/>
        <v>0</v>
      </c>
      <c r="J21" s="9">
        <f t="shared" si="7"/>
        <v>1.2628654299422521E-2</v>
      </c>
      <c r="K21" s="9">
        <f t="shared" si="8"/>
        <v>0</v>
      </c>
      <c r="L21" s="9">
        <f t="shared" si="9"/>
        <v>0</v>
      </c>
      <c r="M21">
        <f t="shared" si="0"/>
        <v>1.9497407427061089</v>
      </c>
      <c r="N21">
        <f t="shared" si="10"/>
        <v>0</v>
      </c>
      <c r="O21">
        <f t="shared" si="24"/>
        <v>1.9497407427061089</v>
      </c>
      <c r="P21">
        <f t="shared" si="22"/>
        <v>1.5269252014051049</v>
      </c>
      <c r="Q21" s="9">
        <f t="shared" si="1"/>
        <v>0.78314268556845945</v>
      </c>
      <c r="R21">
        <f>VLOOKUP($B$1,dictionary!$A$3:$K$51,3,FALSE)*Q21</f>
        <v>0.1566285371136919</v>
      </c>
      <c r="S21">
        <f>VLOOKUP($B$1,dictionary!$A$3:$K$51,4,FALSE)*Q21</f>
        <v>0</v>
      </c>
      <c r="T21">
        <f>VLOOKUP($B$1,dictionary!$A$3:$K$51,5,FALSE)*Q21</f>
        <v>0.1566285371136919</v>
      </c>
      <c r="U21">
        <f>VLOOKUP($B$1,dictionary!$A$3:$K$51,6,FALSE)*Q21</f>
        <v>0.27409993994896081</v>
      </c>
      <c r="V21">
        <f>VLOOKUP($B$1,dictionary!$A$3:$K$51,7,FALSE)*Q21</f>
        <v>0</v>
      </c>
      <c r="W21">
        <f>VLOOKUP($B$1,dictionary!$A$3:$K$51,8,FALSE)*Q21</f>
        <v>3.9157134278422975E-2</v>
      </c>
      <c r="X21">
        <f>VLOOKUP($B$1,dictionary!$A$3:$K$51,9,FALSE)*Q21</f>
        <v>0</v>
      </c>
      <c r="Y21">
        <f>VLOOKUP($B$1,dictionary!$A$3:$K$51,10,FALSE)*Q21</f>
        <v>0.1566285371136919</v>
      </c>
      <c r="Z21">
        <f>VLOOKUP($B$1,dictionary!$A$3:$K$51,11,FALSE)*Q21</f>
        <v>0</v>
      </c>
      <c r="AA21">
        <f t="shared" si="2"/>
        <v>0.42281554130100396</v>
      </c>
      <c r="AB21">
        <f t="shared" si="11"/>
        <v>0.42281554130100396</v>
      </c>
      <c r="AC21">
        <f t="shared" si="12"/>
        <v>0</v>
      </c>
      <c r="AD21">
        <f t="shared" si="3"/>
        <v>0.30538504028102098</v>
      </c>
      <c r="AE21">
        <f t="shared" si="13"/>
        <v>0</v>
      </c>
      <c r="AF21">
        <f t="shared" si="14"/>
        <v>0.33931671142335668</v>
      </c>
      <c r="AG21">
        <f t="shared" si="15"/>
        <v>0.61077008056204207</v>
      </c>
      <c r="AH21">
        <f t="shared" si="16"/>
        <v>0</v>
      </c>
      <c r="AI21">
        <f t="shared" si="17"/>
        <v>8.0364484284479204E-2</v>
      </c>
      <c r="AJ21">
        <f t="shared" si="18"/>
        <v>0</v>
      </c>
      <c r="AK21">
        <f t="shared" si="19"/>
        <v>0.30538504028102098</v>
      </c>
      <c r="AL21">
        <f t="shared" si="20"/>
        <v>0</v>
      </c>
    </row>
    <row r="22" spans="1:38" x14ac:dyDescent="0.2">
      <c r="A22">
        <v>2039</v>
      </c>
      <c r="B22">
        <v>14</v>
      </c>
      <c r="C22">
        <f t="shared" si="21"/>
        <v>2.0161465156662715</v>
      </c>
      <c r="D22">
        <f t="shared" si="23"/>
        <v>0.21073317884375697</v>
      </c>
      <c r="E22">
        <f t="shared" si="4"/>
        <v>0</v>
      </c>
      <c r="F22">
        <f t="shared" si="5"/>
        <v>0</v>
      </c>
      <c r="G22" s="9">
        <f t="shared" si="6"/>
        <v>0.10452275030920381</v>
      </c>
      <c r="H22" s="9">
        <f t="shared" si="6"/>
        <v>0</v>
      </c>
      <c r="I22" s="9">
        <f t="shared" si="6"/>
        <v>0</v>
      </c>
      <c r="J22" s="9">
        <f t="shared" si="7"/>
        <v>1.3587957540196496E-2</v>
      </c>
      <c r="K22" s="9">
        <f t="shared" si="8"/>
        <v>0</v>
      </c>
      <c r="L22" s="9">
        <f t="shared" si="9"/>
        <v>0</v>
      </c>
      <c r="M22">
        <f t="shared" si="0"/>
        <v>1.988751202416583</v>
      </c>
      <c r="N22">
        <f t="shared" si="10"/>
        <v>0</v>
      </c>
      <c r="O22">
        <f t="shared" si="24"/>
        <v>1.988751202416583</v>
      </c>
      <c r="P22">
        <f t="shared" si="22"/>
        <v>1.6847944311641911</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0.30395677125239184</v>
      </c>
      <c r="AB22">
        <f t="shared" si="11"/>
        <v>0.30395677125239184</v>
      </c>
      <c r="AC22">
        <f t="shared" si="12"/>
        <v>0</v>
      </c>
      <c r="AD22">
        <f t="shared" si="3"/>
        <v>0.33695888623283826</v>
      </c>
      <c r="AE22">
        <f t="shared" si="13"/>
        <v>0</v>
      </c>
      <c r="AF22">
        <f t="shared" si="14"/>
        <v>0.3743987624809314</v>
      </c>
      <c r="AG22">
        <f t="shared" si="15"/>
        <v>0.67391777246567652</v>
      </c>
      <c r="AH22">
        <f t="shared" si="16"/>
        <v>0</v>
      </c>
      <c r="AI22">
        <f t="shared" si="17"/>
        <v>8.8673391113904806E-2</v>
      </c>
      <c r="AJ22">
        <f t="shared" si="18"/>
        <v>0</v>
      </c>
      <c r="AK22">
        <f t="shared" si="19"/>
        <v>0.33695888623283826</v>
      </c>
      <c r="AL22">
        <f t="shared" si="20"/>
        <v>0</v>
      </c>
    </row>
    <row r="23" spans="1:38" x14ac:dyDescent="0.2">
      <c r="A23">
        <v>2040</v>
      </c>
      <c r="B23">
        <v>15</v>
      </c>
      <c r="C23">
        <f t="shared" si="21"/>
        <v>2.0584855924952628</v>
      </c>
      <c r="D23">
        <f t="shared" si="23"/>
        <v>0.23028764569532068</v>
      </c>
      <c r="E23">
        <f t="shared" si="4"/>
        <v>0</v>
      </c>
      <c r="F23">
        <f t="shared" si="5"/>
        <v>0</v>
      </c>
      <c r="G23" s="9">
        <f t="shared" si="6"/>
        <v>0.11187236215540849</v>
      </c>
      <c r="H23" s="9">
        <f t="shared" si="6"/>
        <v>0</v>
      </c>
      <c r="I23" s="9">
        <f t="shared" si="6"/>
        <v>0</v>
      </c>
      <c r="J23" s="9">
        <f t="shared" si="7"/>
        <v>1.4543407080203104E-2</v>
      </c>
      <c r="K23" s="9">
        <f t="shared" si="8"/>
        <v>0</v>
      </c>
      <c r="L23" s="9">
        <f t="shared" si="9"/>
        <v>0</v>
      </c>
      <c r="M23">
        <f t="shared" si="0"/>
        <v>2.028548198554871</v>
      </c>
      <c r="N23">
        <f t="shared" si="10"/>
        <v>0</v>
      </c>
      <c r="O23">
        <f t="shared" si="24"/>
        <v>2.028548198554871</v>
      </c>
      <c r="P23">
        <f t="shared" si="22"/>
        <v>1.8128396706196963</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0.2157085279351747</v>
      </c>
      <c r="AB23">
        <f t="shared" si="11"/>
        <v>0.2157085279351747</v>
      </c>
      <c r="AC23">
        <f t="shared" si="12"/>
        <v>0</v>
      </c>
      <c r="AD23">
        <f t="shared" si="3"/>
        <v>0.36256793412393928</v>
      </c>
      <c r="AE23">
        <f t="shared" si="13"/>
        <v>0</v>
      </c>
      <c r="AF23">
        <f t="shared" si="14"/>
        <v>0.40285326013771033</v>
      </c>
      <c r="AG23">
        <f t="shared" si="15"/>
        <v>0.72513586824787846</v>
      </c>
      <c r="AH23">
        <f t="shared" si="16"/>
        <v>0</v>
      </c>
      <c r="AI23">
        <f t="shared" si="17"/>
        <v>9.5412614243141916E-2</v>
      </c>
      <c r="AJ23">
        <f t="shared" si="18"/>
        <v>0</v>
      </c>
      <c r="AK23">
        <f t="shared" si="19"/>
        <v>0.36256793412393928</v>
      </c>
      <c r="AL23">
        <f t="shared" si="20"/>
        <v>0</v>
      </c>
    </row>
    <row r="24" spans="1:38" x14ac:dyDescent="0.2">
      <c r="A24">
        <v>2041</v>
      </c>
      <c r="B24">
        <v>16</v>
      </c>
      <c r="C24">
        <f t="shared" si="21"/>
        <v>2.101713789937663</v>
      </c>
      <c r="D24">
        <f t="shared" si="23"/>
        <v>0.25050163187938979</v>
      </c>
      <c r="E24">
        <f t="shared" si="4"/>
        <v>0</v>
      </c>
      <c r="F24">
        <f t="shared" si="5"/>
        <v>0</v>
      </c>
      <c r="G24" s="9">
        <f t="shared" si="6"/>
        <v>0.11918922218558584</v>
      </c>
      <c r="H24" s="9">
        <f t="shared" si="6"/>
        <v>0</v>
      </c>
      <c r="I24" s="9">
        <f t="shared" si="6"/>
        <v>0</v>
      </c>
      <c r="J24" s="9">
        <f t="shared" si="7"/>
        <v>1.5494598884126159E-2</v>
      </c>
      <c r="K24" s="9">
        <f t="shared" si="8"/>
        <v>0</v>
      </c>
      <c r="L24" s="9">
        <f t="shared" si="9"/>
        <v>0</v>
      </c>
      <c r="M24">
        <f t="shared" si="0"/>
        <v>2.0691485777933423</v>
      </c>
      <c r="N24">
        <f t="shared" si="10"/>
        <v>0</v>
      </c>
      <c r="O24">
        <f t="shared" si="24"/>
        <v>2.0691485777933423</v>
      </c>
      <c r="P24">
        <f t="shared" si="22"/>
        <v>1.9161137309507454</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0.15303484684259683</v>
      </c>
      <c r="AB24">
        <f t="shared" si="11"/>
        <v>0.15303484684259683</v>
      </c>
      <c r="AC24">
        <f t="shared" si="12"/>
        <v>0</v>
      </c>
      <c r="AD24">
        <f t="shared" si="3"/>
        <v>0.38322274619014912</v>
      </c>
      <c r="AE24">
        <f t="shared" si="13"/>
        <v>0</v>
      </c>
      <c r="AF24">
        <f t="shared" si="14"/>
        <v>0.42580305132238794</v>
      </c>
      <c r="AG24">
        <f t="shared" si="15"/>
        <v>0.76644549238029824</v>
      </c>
      <c r="AH24">
        <f t="shared" si="16"/>
        <v>0</v>
      </c>
      <c r="AI24">
        <f t="shared" si="17"/>
        <v>0.10084809110267082</v>
      </c>
      <c r="AJ24">
        <f t="shared" si="18"/>
        <v>0</v>
      </c>
      <c r="AK24">
        <f t="shared" si="19"/>
        <v>0.38322274619014912</v>
      </c>
      <c r="AL24">
        <f t="shared" si="20"/>
        <v>0</v>
      </c>
    </row>
    <row r="25" spans="1:38" x14ac:dyDescent="0.2">
      <c r="A25">
        <v>2042</v>
      </c>
      <c r="B25">
        <v>17</v>
      </c>
      <c r="C25">
        <f t="shared" si="21"/>
        <v>2.1458497795263538</v>
      </c>
      <c r="D25">
        <f t="shared" si="23"/>
        <v>0.27138622117230793</v>
      </c>
      <c r="E25">
        <f t="shared" si="4"/>
        <v>0</v>
      </c>
      <c r="F25">
        <f t="shared" si="5"/>
        <v>0</v>
      </c>
      <c r="G25" s="9">
        <f t="shared" si="6"/>
        <v>0.1264702794024147</v>
      </c>
      <c r="H25" s="9">
        <f t="shared" si="6"/>
        <v>0</v>
      </c>
      <c r="I25" s="9">
        <f t="shared" si="6"/>
        <v>0</v>
      </c>
      <c r="J25" s="9">
        <f t="shared" si="7"/>
        <v>1.6441136322313914E-2</v>
      </c>
      <c r="K25" s="9">
        <f t="shared" si="8"/>
        <v>0</v>
      </c>
      <c r="L25" s="9">
        <f t="shared" si="9"/>
        <v>0</v>
      </c>
      <c r="M25">
        <f t="shared" si="0"/>
        <v>2.1105695707739538</v>
      </c>
      <c r="N25">
        <f t="shared" si="10"/>
        <v>0</v>
      </c>
      <c r="O25">
        <f t="shared" si="24"/>
        <v>2.1105695707739538</v>
      </c>
      <c r="P25">
        <f>IF($I$3=0,0,M25/(1+EXP(-$I$3*(B25-$J$3)))-M25/(1+EXP($I$3*$J$3)))</f>
        <v>2.0006548625878762</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0.10991470818607763</v>
      </c>
      <c r="AB25">
        <f t="shared" si="11"/>
        <v>0.10991470818607763</v>
      </c>
      <c r="AC25">
        <f t="shared" si="12"/>
        <v>0</v>
      </c>
      <c r="AD25">
        <f t="shared" si="3"/>
        <v>0.40013097251757529</v>
      </c>
      <c r="AE25">
        <f t="shared" si="13"/>
        <v>0</v>
      </c>
      <c r="AF25">
        <f t="shared" si="14"/>
        <v>0.44458996946397256</v>
      </c>
      <c r="AG25">
        <f t="shared" si="15"/>
        <v>0.80026194503515047</v>
      </c>
      <c r="AH25">
        <f t="shared" si="16"/>
        <v>0</v>
      </c>
      <c r="AI25">
        <f t="shared" si="17"/>
        <v>0.10529762434673033</v>
      </c>
      <c r="AJ25">
        <f t="shared" si="18"/>
        <v>0</v>
      </c>
      <c r="AK25">
        <f t="shared" si="19"/>
        <v>0.40013097251757529</v>
      </c>
      <c r="AL25">
        <f t="shared" si="20"/>
        <v>0</v>
      </c>
    </row>
    <row r="26" spans="1:38" x14ac:dyDescent="0.2">
      <c r="A26">
        <v>2043</v>
      </c>
      <c r="B26">
        <v>18</v>
      </c>
      <c r="C26">
        <f t="shared" si="21"/>
        <v>2.190912624896407</v>
      </c>
      <c r="D26">
        <f t="shared" si="23"/>
        <v>0.2929525021599777</v>
      </c>
      <c r="E26">
        <f t="shared" si="4"/>
        <v>0</v>
      </c>
      <c r="F26">
        <f t="shared" si="5"/>
        <v>0</v>
      </c>
      <c r="G26" s="9">
        <f t="shared" si="6"/>
        <v>0.13371254464053736</v>
      </c>
      <c r="H26" s="9">
        <f t="shared" si="6"/>
        <v>0</v>
      </c>
      <c r="I26" s="9">
        <f t="shared" si="6"/>
        <v>0</v>
      </c>
      <c r="J26" s="9">
        <f t="shared" si="7"/>
        <v>1.7382630803269856E-2</v>
      </c>
      <c r="K26" s="9">
        <f t="shared" si="8"/>
        <v>0</v>
      </c>
      <c r="L26" s="9">
        <f t="shared" si="9"/>
        <v>0</v>
      </c>
      <c r="M26">
        <f t="shared" si="0"/>
        <v>2.1528287996156101</v>
      </c>
      <c r="N26">
        <f t="shared" si="10"/>
        <v>0</v>
      </c>
      <c r="O26">
        <f t="shared" si="24"/>
        <v>2.1528287996156101</v>
      </c>
      <c r="P26">
        <f t="shared" si="22"/>
        <v>2.0719170193452765</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8.0911780270333633E-2</v>
      </c>
      <c r="AB26">
        <f t="shared" si="11"/>
        <v>8.0911780270333633E-2</v>
      </c>
      <c r="AC26">
        <f t="shared" si="12"/>
        <v>0</v>
      </c>
      <c r="AD26">
        <f t="shared" si="3"/>
        <v>0.41438340386905531</v>
      </c>
      <c r="AE26">
        <f t="shared" si="13"/>
        <v>0</v>
      </c>
      <c r="AF26">
        <f t="shared" si="14"/>
        <v>0.46042600429895036</v>
      </c>
      <c r="AG26">
        <f t="shared" si="15"/>
        <v>0.82876680773811051</v>
      </c>
      <c r="AH26">
        <f t="shared" si="16"/>
        <v>0</v>
      </c>
      <c r="AI26">
        <f t="shared" si="17"/>
        <v>0.10904826417606718</v>
      </c>
      <c r="AJ26">
        <f t="shared" si="18"/>
        <v>0</v>
      </c>
      <c r="AK26">
        <f t="shared" si="19"/>
        <v>0.41438340386905531</v>
      </c>
      <c r="AL26">
        <f t="shared" si="20"/>
        <v>0</v>
      </c>
    </row>
    <row r="27" spans="1:38" x14ac:dyDescent="0.2">
      <c r="A27">
        <v>2044</v>
      </c>
      <c r="B27">
        <v>19</v>
      </c>
      <c r="C27">
        <f t="shared" si="21"/>
        <v>2.2369217900192315</v>
      </c>
      <c r="D27">
        <f t="shared" si="23"/>
        <v>0.31521157317089421</v>
      </c>
      <c r="E27">
        <f t="shared" si="4"/>
        <v>0</v>
      </c>
      <c r="F27">
        <f t="shared" si="5"/>
        <v>0</v>
      </c>
      <c r="G27" s="9">
        <f t="shared" si="6"/>
        <v>0.14091309520847586</v>
      </c>
      <c r="H27" s="9">
        <f t="shared" si="6"/>
        <v>0</v>
      </c>
      <c r="I27" s="9">
        <f t="shared" si="6"/>
        <v>0</v>
      </c>
      <c r="J27" s="9">
        <f t="shared" si="7"/>
        <v>1.8318702377101863E-2</v>
      </c>
      <c r="K27" s="9">
        <f t="shared" si="8"/>
        <v>0</v>
      </c>
      <c r="L27" s="9">
        <f t="shared" si="9"/>
        <v>0</v>
      </c>
      <c r="M27">
        <f t="shared" si="0"/>
        <v>2.1959442855070153</v>
      </c>
      <c r="N27">
        <f t="shared" si="10"/>
        <v>0</v>
      </c>
      <c r="O27">
        <f t="shared" si="24"/>
        <v>2.1959442855070153</v>
      </c>
      <c r="P27">
        <f t="shared" si="22"/>
        <v>2.1342141485176667</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6.1730136989348594E-2</v>
      </c>
      <c r="AB27">
        <f t="shared" si="11"/>
        <v>6.1730136989348594E-2</v>
      </c>
      <c r="AC27">
        <f t="shared" si="12"/>
        <v>0</v>
      </c>
      <c r="AD27">
        <f t="shared" si="3"/>
        <v>0.42684282970353338</v>
      </c>
      <c r="AE27">
        <f t="shared" si="13"/>
        <v>0</v>
      </c>
      <c r="AF27">
        <f t="shared" si="14"/>
        <v>0.47426981078170377</v>
      </c>
      <c r="AG27">
        <f t="shared" si="15"/>
        <v>0.85368565940706664</v>
      </c>
      <c r="AH27">
        <f t="shared" si="16"/>
        <v>0</v>
      </c>
      <c r="AI27">
        <f t="shared" si="17"/>
        <v>0.11232706044829825</v>
      </c>
      <c r="AJ27">
        <f t="shared" si="18"/>
        <v>0</v>
      </c>
      <c r="AK27">
        <f t="shared" si="19"/>
        <v>0.42684282970353338</v>
      </c>
      <c r="AL27">
        <f t="shared" si="20"/>
        <v>0</v>
      </c>
    </row>
    <row r="28" spans="1:38" x14ac:dyDescent="0.2">
      <c r="A28">
        <v>2045</v>
      </c>
      <c r="B28">
        <v>20</v>
      </c>
      <c r="C28">
        <f t="shared" si="21"/>
        <v>2.2838971476096352</v>
      </c>
      <c r="D28">
        <f t="shared" si="23"/>
        <v>0.33817454784640266</v>
      </c>
      <c r="E28">
        <f t="shared" si="4"/>
        <v>0</v>
      </c>
      <c r="F28">
        <f t="shared" si="5"/>
        <v>0</v>
      </c>
      <c r="G28" s="9">
        <f t="shared" si="6"/>
        <v>0.14806907929297156</v>
      </c>
      <c r="H28" s="9">
        <f t="shared" si="6"/>
        <v>0</v>
      </c>
      <c r="I28" s="9">
        <f t="shared" si="6"/>
        <v>0</v>
      </c>
      <c r="J28" s="9">
        <f t="shared" si="7"/>
        <v>1.9248980308086302E-2</v>
      </c>
      <c r="K28" s="9">
        <f t="shared" si="8"/>
        <v>0</v>
      </c>
      <c r="L28" s="9">
        <f t="shared" si="9"/>
        <v>0</v>
      </c>
      <c r="M28">
        <f t="shared" si="0"/>
        <v>2.2399344563896029</v>
      </c>
      <c r="N28">
        <f t="shared" si="10"/>
        <v>0</v>
      </c>
      <c r="O28">
        <f t="shared" si="24"/>
        <v>2.2399344563896029</v>
      </c>
      <c r="P28">
        <f t="shared" si="22"/>
        <v>2.1907143936523199</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4.9220062737282966E-2</v>
      </c>
      <c r="AB28">
        <f t="shared" si="11"/>
        <v>4.9220062737282966E-2</v>
      </c>
      <c r="AC28">
        <f t="shared" si="12"/>
        <v>0</v>
      </c>
      <c r="AD28">
        <f t="shared" si="3"/>
        <v>0.43814287873046398</v>
      </c>
      <c r="AE28">
        <f t="shared" si="13"/>
        <v>0</v>
      </c>
      <c r="AF28">
        <f t="shared" si="14"/>
        <v>0.48682542081162666</v>
      </c>
      <c r="AG28">
        <f t="shared" si="15"/>
        <v>0.87628575746092807</v>
      </c>
      <c r="AH28">
        <f t="shared" si="16"/>
        <v>0</v>
      </c>
      <c r="AI28">
        <f t="shared" si="17"/>
        <v>0.11530075756064841</v>
      </c>
      <c r="AJ28">
        <f t="shared" si="18"/>
        <v>0</v>
      </c>
      <c r="AK28">
        <f t="shared" si="19"/>
        <v>0.43814287873046398</v>
      </c>
      <c r="AL28">
        <f t="shared" si="20"/>
        <v>0</v>
      </c>
    </row>
    <row r="29" spans="1:38" x14ac:dyDescent="0.2">
      <c r="A29">
        <v>2046</v>
      </c>
      <c r="B29">
        <v>21</v>
      </c>
      <c r="C29">
        <f t="shared" si="21"/>
        <v>2.3318589877094373</v>
      </c>
      <c r="D29">
        <f t="shared" si="23"/>
        <v>0.36185256133775501</v>
      </c>
      <c r="E29">
        <f t="shared" si="4"/>
        <v>0</v>
      </c>
      <c r="F29">
        <f t="shared" si="5"/>
        <v>0</v>
      </c>
      <c r="G29" s="9">
        <f t="shared" si="6"/>
        <v>0.15517772011299846</v>
      </c>
      <c r="H29" s="9">
        <f t="shared" si="6"/>
        <v>0</v>
      </c>
      <c r="I29" s="9">
        <f t="shared" si="6"/>
        <v>0</v>
      </c>
      <c r="J29" s="9">
        <f t="shared" si="7"/>
        <v>2.01731036146898E-2</v>
      </c>
      <c r="K29" s="9">
        <f t="shared" si="8"/>
        <v>0</v>
      </c>
      <c r="L29" s="9">
        <f t="shared" si="9"/>
        <v>0</v>
      </c>
      <c r="M29">
        <f t="shared" si="0"/>
        <v>2.2848181547355293</v>
      </c>
      <c r="N29">
        <f t="shared" si="10"/>
        <v>0</v>
      </c>
      <c r="O29">
        <f t="shared" si="24"/>
        <v>2.2848181547355293</v>
      </c>
      <c r="P29">
        <f t="shared" si="22"/>
        <v>2.2436445211234646</v>
      </c>
      <c r="Q29" s="9">
        <f t="shared" si="1"/>
        <v>0.98197947021441157</v>
      </c>
      <c r="R29">
        <f>VLOOKUP($B$1,dictionary!$A$3:$K$51,3,FALSE)*Q29</f>
        <v>0.19639589404288232</v>
      </c>
      <c r="S29">
        <f>VLOOKUP($B$1,dictionary!$A$3:$K$51,4,FALSE)*Q29</f>
        <v>0</v>
      </c>
      <c r="T29">
        <f>VLOOKUP($B$1,dictionary!$A$3:$K$51,5,FALSE)*Q29</f>
        <v>0.19639589404288232</v>
      </c>
      <c r="U29">
        <f>VLOOKUP($B$1,dictionary!$A$3:$K$51,6,FALSE)*Q29</f>
        <v>0.34369281457504403</v>
      </c>
      <c r="V29">
        <f>VLOOKUP($B$1,dictionary!$A$3:$K$51,7,FALSE)*Q29</f>
        <v>0</v>
      </c>
      <c r="W29">
        <f>VLOOKUP($B$1,dictionary!$A$3:$K$51,8,FALSE)*Q29</f>
        <v>4.9098973510720581E-2</v>
      </c>
      <c r="X29">
        <f>VLOOKUP($B$1,dictionary!$A$3:$K$51,9,FALSE)*Q29</f>
        <v>0</v>
      </c>
      <c r="Y29">
        <f>VLOOKUP($B$1,dictionary!$A$3:$K$51,10,FALSE)*Q29</f>
        <v>0.19639589404288232</v>
      </c>
      <c r="Z29">
        <f>VLOOKUP($B$1,dictionary!$A$3:$K$51,11,FALSE)*Q29</f>
        <v>0</v>
      </c>
      <c r="AA29">
        <f t="shared" si="2"/>
        <v>4.117363361206472E-2</v>
      </c>
      <c r="AB29">
        <f t="shared" si="11"/>
        <v>4.117363361206472E-2</v>
      </c>
      <c r="AC29">
        <f t="shared" si="12"/>
        <v>0</v>
      </c>
      <c r="AD29">
        <f t="shared" si="3"/>
        <v>0.44872890422469291</v>
      </c>
      <c r="AE29">
        <f t="shared" si="13"/>
        <v>0</v>
      </c>
      <c r="AF29">
        <f t="shared" si="14"/>
        <v>0.49858767136076992</v>
      </c>
      <c r="AG29">
        <f t="shared" si="15"/>
        <v>0.89745780844938583</v>
      </c>
      <c r="AH29">
        <f t="shared" si="16"/>
        <v>0</v>
      </c>
      <c r="AI29">
        <f t="shared" si="17"/>
        <v>0.11808655374334023</v>
      </c>
      <c r="AJ29">
        <f t="shared" si="18"/>
        <v>0</v>
      </c>
      <c r="AK29">
        <f t="shared" si="19"/>
        <v>0.44872890422469291</v>
      </c>
      <c r="AL29">
        <f t="shared" si="20"/>
        <v>0</v>
      </c>
    </row>
    <row r="30" spans="1:38" x14ac:dyDescent="0.2">
      <c r="A30">
        <v>2047</v>
      </c>
      <c r="B30">
        <v>22</v>
      </c>
      <c r="C30">
        <f t="shared" si="21"/>
        <v>2.3808280264513355</v>
      </c>
      <c r="D30">
        <f t="shared" si="23"/>
        <v>0.38625677711715745</v>
      </c>
      <c r="E30">
        <f t="shared" si="4"/>
        <v>0</v>
      </c>
      <c r="F30">
        <f t="shared" si="5"/>
        <v>0</v>
      </c>
      <c r="G30" s="9">
        <f t="shared" si="6"/>
        <v>0.16223631981217884</v>
      </c>
      <c r="H30" s="9">
        <f t="shared" si="6"/>
        <v>0</v>
      </c>
      <c r="I30" s="9">
        <f t="shared" si="6"/>
        <v>0</v>
      </c>
      <c r="J30" s="9">
        <f t="shared" si="7"/>
        <v>2.1090721575583251E-2</v>
      </c>
      <c r="K30" s="9">
        <f t="shared" si="8"/>
        <v>0</v>
      </c>
      <c r="L30" s="9">
        <f t="shared" si="9"/>
        <v>0</v>
      </c>
      <c r="M30">
        <f t="shared" si="0"/>
        <v>2.3306146454261052</v>
      </c>
      <c r="N30">
        <f t="shared" si="10"/>
        <v>0</v>
      </c>
      <c r="O30">
        <f t="shared" si="24"/>
        <v>2.3306146454261052</v>
      </c>
      <c r="P30">
        <f t="shared" si="22"/>
        <v>2.2945292359440623</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3.6085409482042863E-2</v>
      </c>
      <c r="AB30">
        <f t="shared" si="11"/>
        <v>3.6085409482042863E-2</v>
      </c>
      <c r="AC30">
        <f t="shared" si="12"/>
        <v>0</v>
      </c>
      <c r="AD30">
        <f t="shared" si="3"/>
        <v>0.4589058471888125</v>
      </c>
      <c r="AE30">
        <f t="shared" si="13"/>
        <v>0</v>
      </c>
      <c r="AF30">
        <f t="shared" si="14"/>
        <v>0.50989538576534721</v>
      </c>
      <c r="AG30">
        <f t="shared" si="15"/>
        <v>0.917811694377625</v>
      </c>
      <c r="AH30">
        <f t="shared" si="16"/>
        <v>0</v>
      </c>
      <c r="AI30">
        <f t="shared" si="17"/>
        <v>0.12076469662863486</v>
      </c>
      <c r="AJ30">
        <f t="shared" si="18"/>
        <v>0</v>
      </c>
      <c r="AK30">
        <f t="shared" si="19"/>
        <v>0.4589058471888125</v>
      </c>
      <c r="AL30">
        <f t="shared" si="20"/>
        <v>0</v>
      </c>
    </row>
    <row r="31" spans="1:38" x14ac:dyDescent="0.2">
      <c r="A31">
        <v>2048</v>
      </c>
      <c r="B31">
        <v>23</v>
      </c>
      <c r="C31">
        <f t="shared" si="21"/>
        <v>2.4308254150068134</v>
      </c>
      <c r="D31">
        <f t="shared" si="23"/>
        <v>0.41139839438777148</v>
      </c>
      <c r="E31">
        <f t="shared" si="4"/>
        <v>0</v>
      </c>
      <c r="F31">
        <f t="shared" si="5"/>
        <v>0</v>
      </c>
      <c r="G31" s="9">
        <f t="shared" si="6"/>
        <v>0.16924226307985116</v>
      </c>
      <c r="H31" s="9">
        <f t="shared" si="6"/>
        <v>0</v>
      </c>
      <c r="I31" s="9">
        <f t="shared" si="6"/>
        <v>0</v>
      </c>
      <c r="J31" s="9">
        <f t="shared" si="7"/>
        <v>2.2001494200380649E-2</v>
      </c>
      <c r="K31" s="9">
        <f t="shared" si="8"/>
        <v>0</v>
      </c>
      <c r="L31" s="9">
        <f t="shared" si="9"/>
        <v>0</v>
      </c>
      <c r="M31">
        <f t="shared" si="0"/>
        <v>2.3773436237364032</v>
      </c>
      <c r="N31">
        <f t="shared" si="10"/>
        <v>0</v>
      </c>
      <c r="O31">
        <f t="shared" si="24"/>
        <v>2.3773436237364032</v>
      </c>
      <c r="P31">
        <f t="shared" si="22"/>
        <v>2.3443970364661646</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3.2946587270238581E-2</v>
      </c>
      <c r="AB31">
        <f t="shared" si="11"/>
        <v>3.2946587270238581E-2</v>
      </c>
      <c r="AC31">
        <f t="shared" si="12"/>
        <v>0</v>
      </c>
      <c r="AD31">
        <f t="shared" si="3"/>
        <v>0.46887940729323296</v>
      </c>
      <c r="AE31">
        <f t="shared" si="13"/>
        <v>0</v>
      </c>
      <c r="AF31">
        <f t="shared" si="14"/>
        <v>0.52097711921470335</v>
      </c>
      <c r="AG31">
        <f t="shared" si="15"/>
        <v>0.93775881458646604</v>
      </c>
      <c r="AH31">
        <f t="shared" si="16"/>
        <v>0</v>
      </c>
      <c r="AI31">
        <f t="shared" si="17"/>
        <v>0.12338931770874551</v>
      </c>
      <c r="AJ31">
        <f t="shared" si="18"/>
        <v>0</v>
      </c>
      <c r="AK31">
        <f t="shared" si="19"/>
        <v>0.46887940729323296</v>
      </c>
      <c r="AL31">
        <f t="shared" si="20"/>
        <v>0</v>
      </c>
    </row>
    <row r="32" spans="1:38" x14ac:dyDescent="0.2">
      <c r="A32">
        <v>2049</v>
      </c>
      <c r="B32">
        <v>24</v>
      </c>
      <c r="C32">
        <f t="shared" si="21"/>
        <v>2.4818727487219561</v>
      </c>
      <c r="D32">
        <f t="shared" si="23"/>
        <v>0.43728865607557177</v>
      </c>
      <c r="E32">
        <f t="shared" si="4"/>
        <v>0</v>
      </c>
      <c r="F32">
        <f t="shared" si="5"/>
        <v>0</v>
      </c>
      <c r="G32" s="9">
        <f t="shared" si="6"/>
        <v>0.17619302049259142</v>
      </c>
      <c r="H32" s="9">
        <f t="shared" si="6"/>
        <v>0</v>
      </c>
      <c r="I32" s="9">
        <f t="shared" si="6"/>
        <v>0</v>
      </c>
      <c r="J32" s="9">
        <f t="shared" si="7"/>
        <v>2.2905092664036886E-2</v>
      </c>
      <c r="K32" s="9">
        <f t="shared" si="8"/>
        <v>0</v>
      </c>
      <c r="L32" s="9">
        <f t="shared" si="9"/>
        <v>0</v>
      </c>
      <c r="M32">
        <f t="shared" si="0"/>
        <v>2.4250252234321317</v>
      </c>
      <c r="N32">
        <f t="shared" si="10"/>
        <v>0</v>
      </c>
      <c r="O32">
        <f t="shared" si="24"/>
        <v>2.4250252234321317</v>
      </c>
      <c r="P32">
        <f t="shared" si="22"/>
        <v>2.3939366872559851</v>
      </c>
      <c r="Q32" s="9">
        <f t="shared" si="1"/>
        <v>0.98718011842691389</v>
      </c>
      <c r="R32">
        <f>VLOOKUP($B$1,dictionary!$A$3:$K$51,3,FALSE)*Q32</f>
        <v>0.19743602368538279</v>
      </c>
      <c r="S32">
        <f>VLOOKUP($B$1,dictionary!$A$3:$K$51,4,FALSE)*Q32</f>
        <v>0</v>
      </c>
      <c r="T32">
        <f>VLOOKUP($B$1,dictionary!$A$3:$K$51,5,FALSE)*Q32</f>
        <v>0.19743602368538279</v>
      </c>
      <c r="U32">
        <f>VLOOKUP($B$1,dictionary!$A$3:$K$51,6,FALSE)*Q32</f>
        <v>0.34551304144941986</v>
      </c>
      <c r="V32">
        <f>VLOOKUP($B$1,dictionary!$A$3:$K$51,7,FALSE)*Q32</f>
        <v>0</v>
      </c>
      <c r="W32">
        <f>VLOOKUP($B$1,dictionary!$A$3:$K$51,8,FALSE)*Q32</f>
        <v>4.9359005921345699E-2</v>
      </c>
      <c r="X32">
        <f>VLOOKUP($B$1,dictionary!$A$3:$K$51,9,FALSE)*Q32</f>
        <v>0</v>
      </c>
      <c r="Y32">
        <f>VLOOKUP($B$1,dictionary!$A$3:$K$51,10,FALSE)*Q32</f>
        <v>0.19743602368538279</v>
      </c>
      <c r="Z32">
        <f>VLOOKUP($B$1,dictionary!$A$3:$K$51,11,FALSE)*Q32</f>
        <v>0</v>
      </c>
      <c r="AA32">
        <f t="shared" si="2"/>
        <v>3.1088536176146597E-2</v>
      </c>
      <c r="AB32">
        <f t="shared" si="11"/>
        <v>3.1088536176146597E-2</v>
      </c>
      <c r="AC32">
        <f t="shared" si="12"/>
        <v>0</v>
      </c>
      <c r="AD32">
        <f t="shared" si="3"/>
        <v>0.47878733745119706</v>
      </c>
      <c r="AE32">
        <f t="shared" si="13"/>
        <v>0</v>
      </c>
      <c r="AF32">
        <f t="shared" si="14"/>
        <v>0.53198593050133014</v>
      </c>
      <c r="AG32">
        <f t="shared" si="15"/>
        <v>0.95757467490239423</v>
      </c>
      <c r="AH32">
        <f t="shared" si="16"/>
        <v>0</v>
      </c>
      <c r="AI32">
        <f t="shared" si="17"/>
        <v>0.12599666775031501</v>
      </c>
      <c r="AJ32">
        <f t="shared" si="18"/>
        <v>0</v>
      </c>
      <c r="AK32">
        <f t="shared" si="19"/>
        <v>0.47878733745119706</v>
      </c>
      <c r="AL32">
        <f t="shared" si="20"/>
        <v>0</v>
      </c>
    </row>
    <row r="33" spans="1:38" x14ac:dyDescent="0.2">
      <c r="A33">
        <v>2050</v>
      </c>
      <c r="B33">
        <v>25</v>
      </c>
      <c r="C33">
        <f t="shared" si="21"/>
        <v>2.5339920764451169</v>
      </c>
      <c r="D33">
        <f t="shared" si="23"/>
        <v>0.46393885738405682</v>
      </c>
      <c r="E33">
        <f t="shared" si="4"/>
        <v>0</v>
      </c>
      <c r="F33">
        <f t="shared" si="5"/>
        <v>0</v>
      </c>
      <c r="G33" s="9">
        <f t="shared" si="6"/>
        <v>0.18308615156954502</v>
      </c>
      <c r="H33" s="9">
        <f t="shared" si="6"/>
        <v>0</v>
      </c>
      <c r="I33" s="9">
        <f t="shared" si="6"/>
        <v>0</v>
      </c>
      <c r="J33" s="9">
        <f t="shared" si="7"/>
        <v>2.3801199704040855E-2</v>
      </c>
      <c r="K33" s="9">
        <f t="shared" si="8"/>
        <v>0</v>
      </c>
      <c r="L33" s="9">
        <f t="shared" si="9"/>
        <v>0</v>
      </c>
      <c r="M33">
        <f t="shared" si="0"/>
        <v>2.4736800249851898</v>
      </c>
      <c r="N33">
        <f t="shared" si="10"/>
        <v>0</v>
      </c>
      <c r="O33">
        <f t="shared" si="24"/>
        <v>2.4736800249851898</v>
      </c>
      <c r="P33">
        <f t="shared" si="22"/>
        <v>2.4436088502825504</v>
      </c>
      <c r="Q33" s="9">
        <f t="shared" si="1"/>
        <v>0.9878435471043514</v>
      </c>
      <c r="R33">
        <f>VLOOKUP($B$1,dictionary!$A$3:$K$51,3,FALSE)*Q33</f>
        <v>0.19756870942087029</v>
      </c>
      <c r="S33">
        <f>VLOOKUP($B$1,dictionary!$A$3:$K$51,4,FALSE)*Q33</f>
        <v>0</v>
      </c>
      <c r="T33">
        <f>VLOOKUP($B$1,dictionary!$A$3:$K$51,5,FALSE)*Q33</f>
        <v>0.19756870942087029</v>
      </c>
      <c r="U33">
        <f>VLOOKUP($B$1,dictionary!$A$3:$K$51,6,FALSE)*Q33</f>
        <v>0.34574524148652297</v>
      </c>
      <c r="V33">
        <f>VLOOKUP($B$1,dictionary!$A$3:$K$51,7,FALSE)*Q33</f>
        <v>0</v>
      </c>
      <c r="W33">
        <f>VLOOKUP($B$1,dictionary!$A$3:$K$51,8,FALSE)*Q33</f>
        <v>4.9392177355217573E-2</v>
      </c>
      <c r="X33">
        <f>VLOOKUP($B$1,dictionary!$A$3:$K$51,9,FALSE)*Q33</f>
        <v>0</v>
      </c>
      <c r="Y33">
        <f>VLOOKUP($B$1,dictionary!$A$3:$K$51,10,FALSE)*Q33</f>
        <v>0.19756870942087029</v>
      </c>
      <c r="Z33">
        <f>VLOOKUP($B$1,dictionary!$A$3:$K$51,11,FALSE)*Q33</f>
        <v>0</v>
      </c>
      <c r="AA33">
        <f t="shared" si="2"/>
        <v>3.0071174702639425E-2</v>
      </c>
      <c r="AB33">
        <f t="shared" si="11"/>
        <v>3.0071174702639425E-2</v>
      </c>
      <c r="AC33">
        <f t="shared" si="12"/>
        <v>0</v>
      </c>
      <c r="AD33">
        <f t="shared" si="3"/>
        <v>0.48872177005651013</v>
      </c>
      <c r="AE33">
        <f t="shared" si="13"/>
        <v>0</v>
      </c>
      <c r="AF33">
        <f t="shared" si="14"/>
        <v>0.54302418895167792</v>
      </c>
      <c r="AG33">
        <f t="shared" si="15"/>
        <v>0.97744354011302026</v>
      </c>
      <c r="AH33">
        <f t="shared" si="16"/>
        <v>0</v>
      </c>
      <c r="AI33">
        <f t="shared" si="17"/>
        <v>0.12861099212013424</v>
      </c>
      <c r="AJ33">
        <f t="shared" si="18"/>
        <v>0</v>
      </c>
      <c r="AK33">
        <f t="shared" si="19"/>
        <v>0.48872177005651013</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42382-6226-6948-923B-7A46C01CF8A0}">
  <sheetPr>
    <tabColor theme="4" tint="0.79998168889431442"/>
  </sheetPr>
  <dimension ref="A1:AY37"/>
  <sheetViews>
    <sheetView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36</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emissions!N38</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f>IF($N$7="LFO",M8/(1+EXP(-$I$4*(B8-$J$4)))-M8/(1+EXP($I$4*$J$4)),IF($N$7="MGO",M8/(1+EXP(-$I$5*(B8-$J$5)))-M8/(1+EXP($I$5*$J$5)),0))</f>
        <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f t="shared" ref="N9:N33" si="10">IF($N$7="LFO",M9/(1+EXP(-$I$4*(B9-$J$4)))-M9/(1+EXP($I$4*$J$4)),IF($N$7="MGO",M9/(1+EXP(-$I$5*(B9-$J$5)))-M9/(1+EXP($I$5*$J$5)),0))</f>
        <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f t="shared" si="10"/>
        <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f t="shared" si="10"/>
        <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f t="shared" si="10"/>
        <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f t="shared" si="10"/>
        <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f t="shared" si="10"/>
        <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f t="shared" si="10"/>
        <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f t="shared" si="10"/>
        <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f t="shared" si="10"/>
        <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f t="shared" si="10"/>
        <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f t="shared" si="10"/>
        <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f t="shared" si="10"/>
        <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f t="shared" si="10"/>
        <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f t="shared" si="10"/>
        <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f t="shared" si="10"/>
        <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f t="shared" si="10"/>
        <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f t="shared" si="10"/>
        <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f t="shared" si="10"/>
        <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f t="shared" si="10"/>
        <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f t="shared" si="10"/>
        <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f t="shared" si="10"/>
        <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f t="shared" si="10"/>
        <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f t="shared" si="10"/>
        <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f t="shared" si="10"/>
        <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f t="shared" si="10"/>
        <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0216-1DBE-ED4D-A984-33A7055BA946}">
  <sheetPr>
    <tabColor theme="4" tint="0.79998168889431442"/>
  </sheetPr>
  <dimension ref="A1:AY37"/>
  <sheetViews>
    <sheetView zoomScale="93" zoomScaleNormal="125" workbookViewId="0">
      <selection activeCell="B5" sqref="B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22</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0.1375060242206462</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0.1375060242206462</v>
      </c>
      <c r="N8">
        <f>IF($N$7="LFO",M8/(1+EXP(-$I$4*(B8-$J$4)))-M8/(1+EXP($I$4*$J$4)),IF($N$7="MGO",M8/(1+EXP(-$I$5*(B8-$J$5)))-M8/(1+EXP($I$5*$J$5)),0))</f>
        <v>0</v>
      </c>
      <c r="O8">
        <f>M8-N8</f>
        <v>0.1375060242206462</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0.1375060242206462</v>
      </c>
      <c r="AB8">
        <f>O8/M8*AA8</f>
        <v>0.1375060242206462</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0.14039365072927976</v>
      </c>
      <c r="D9">
        <f>IF($E$2=0,0,C9/(1+EXP(-$E$2*(B9-$G$2)))-C9/(1+EXP($E$2*$G$2)))</f>
        <v>1.048150016171992E-3</v>
      </c>
      <c r="E9">
        <f t="shared" ref="E9:E33" si="4">IF($E$3=0,0,C9/(1+EXP(-$E$3*(B9-$G$3)))-C9/(1+EXP($E$3*$G$3)))</f>
        <v>0</v>
      </c>
      <c r="F9">
        <f t="shared" ref="F9:F33" si="5">IF($E$4=0,0,C9/(1+EXP(-$E$4*(B9-$G$4)))-C9/(1+EXP($E$4*$G$4)))</f>
        <v>3.501926838904712E-4</v>
      </c>
      <c r="G9" s="9">
        <f t="shared" ref="G9:I33" si="6">D9/$C9</f>
        <v>7.4657935791778325E-3</v>
      </c>
      <c r="H9" s="9">
        <f t="shared" si="6"/>
        <v>0</v>
      </c>
      <c r="I9" s="9">
        <f t="shared" si="6"/>
        <v>2.4943626871399313E-3</v>
      </c>
      <c r="J9" s="9">
        <f t="shared" ref="J9:J33" si="7">G9*$F$2</f>
        <v>9.7055316529311825E-4</v>
      </c>
      <c r="K9" s="9">
        <f t="shared" ref="K9:K33" si="8">H9*$F$3</f>
        <v>0</v>
      </c>
      <c r="L9" s="9">
        <f t="shared" ref="L9:L33" si="9">I9*$F$4</f>
        <v>9.9774507485597252E-4</v>
      </c>
      <c r="M9">
        <f t="shared" si="0"/>
        <v>0.14011745010586835</v>
      </c>
      <c r="N9">
        <f t="shared" ref="N9:N33" si="10">IF($N$7="LFO",M9/(1+EXP(-$I$4*(B9-$J$4)))-M9/(1+EXP($I$4*$J$4)),IF($N$7="MGO",M9/(1+EXP(-$I$5*(B9-$J$5)))-M9/(1+EXP($I$5*$J$5)),0))</f>
        <v>0</v>
      </c>
      <c r="O9">
        <f>M9-N9</f>
        <v>0.14011745010586835</v>
      </c>
      <c r="P9">
        <f>IF($I$3=0,0,M9/(1+EXP(-$I$3*(B9-$J$3)))-M9/(1+EXP($I$3*$J$3)))</f>
        <v>8.5991349786953089E-4</v>
      </c>
      <c r="Q9" s="9">
        <f t="shared" si="1"/>
        <v>6.1370906851345589E-3</v>
      </c>
      <c r="R9">
        <f>VLOOKUP($B$1,dictionary!$A$3:$K$51,3,FALSE)*Q9</f>
        <v>1.2274181370269118E-3</v>
      </c>
      <c r="S9">
        <f>VLOOKUP($B$1,dictionary!$A$3:$K$51,4,FALSE)*Q9</f>
        <v>0</v>
      </c>
      <c r="T9">
        <f>VLOOKUP($B$1,dictionary!$A$3:$K$51,5,FALSE)*Q9</f>
        <v>1.2274181370269118E-3</v>
      </c>
      <c r="U9">
        <f>VLOOKUP($B$1,dictionary!$A$3:$K$51,6,FALSE)*Q9</f>
        <v>2.1479817397970953E-3</v>
      </c>
      <c r="V9">
        <f>VLOOKUP($B$1,dictionary!$A$3:$K$51,7,FALSE)*Q9</f>
        <v>0</v>
      </c>
      <c r="W9">
        <f>VLOOKUP($B$1,dictionary!$A$3:$K$51,8,FALSE)*Q9</f>
        <v>3.0685453425672796E-4</v>
      </c>
      <c r="X9">
        <f>VLOOKUP($B$1,dictionary!$A$3:$K$51,9,FALSE)*Q9</f>
        <v>0</v>
      </c>
      <c r="Y9">
        <f>VLOOKUP($B$1,dictionary!$A$3:$K$51,10,FALSE)*Q9</f>
        <v>1.2274181370269118E-3</v>
      </c>
      <c r="Z9">
        <f>VLOOKUP($B$1,dictionary!$A$3:$K$51,11,FALSE)*Q9</f>
        <v>0</v>
      </c>
      <c r="AA9">
        <f t="shared" si="2"/>
        <v>0.13925753660799881</v>
      </c>
      <c r="AB9">
        <f t="shared" ref="AB9:AB33" si="11">O9/M9*AA9</f>
        <v>0.13925753660799881</v>
      </c>
      <c r="AC9">
        <f t="shared" ref="AC9:AC33" si="12">N9/M9*AA9</f>
        <v>0</v>
      </c>
      <c r="AD9">
        <f t="shared" si="3"/>
        <v>1.719826995739062E-4</v>
      </c>
      <c r="AE9">
        <f t="shared" ref="AE9:AE33" si="13">S9*$O9*$AE$2+S9*$N9*$AE$3</f>
        <v>0</v>
      </c>
      <c r="AF9">
        <f t="shared" ref="AF9:AF33" si="14">T9*$O9*$AF$2+T9*$N9*$AF$3</f>
        <v>1.9109188841545134E-4</v>
      </c>
      <c r="AG9">
        <f t="shared" ref="AG9:AG33" si="15">U9*$O9*$AG$2+U9*$N9*$AG$3</f>
        <v>3.4396539914781241E-4</v>
      </c>
      <c r="AH9">
        <f t="shared" ref="AH9:AH33" si="16">V9*$O9*$AH$2+V9*$N9*$AH$3</f>
        <v>0</v>
      </c>
      <c r="AI9">
        <f t="shared" ref="AI9:AI33" si="17">W9*$O9*$AI$2+W9*$N9*$AI$3</f>
        <v>4.5258605151027947E-5</v>
      </c>
      <c r="AJ9">
        <f t="shared" ref="AJ9:AJ33" si="18">X9*$O9*$AJ$2+X9*$N9*$AJ$3</f>
        <v>0</v>
      </c>
      <c r="AK9">
        <f t="shared" ref="AK9:AK33" si="19">Y9*$O9*$AK$2+Y9*$N9*$AK$3</f>
        <v>1.719826995739062E-4</v>
      </c>
      <c r="AL9">
        <f t="shared" ref="AL9:AL33" si="20">Z9*$O9*$AL$2+Z9*$N9*$AL$3</f>
        <v>0</v>
      </c>
    </row>
    <row r="10" spans="1:51" x14ac:dyDescent="0.2">
      <c r="A10">
        <v>2027</v>
      </c>
      <c r="B10">
        <v>2</v>
      </c>
      <c r="C10">
        <f t="shared" ref="C10:C33" si="21">C9*(1+$I$2)</f>
        <v>0.14334191739459462</v>
      </c>
      <c r="D10">
        <f>IF($E$2=0,0,C10/(1+EXP(-$E$2*(B10-$G$2)))-C10/(1+EXP($E$2*$G$2)))</f>
        <v>2.1422479014180651E-3</v>
      </c>
      <c r="E10">
        <f t="shared" si="4"/>
        <v>0</v>
      </c>
      <c r="F10">
        <f t="shared" si="5"/>
        <v>7.1525428283646109E-4</v>
      </c>
      <c r="G10" s="9">
        <f t="shared" si="6"/>
        <v>1.4945020551949507E-2</v>
      </c>
      <c r="H10" s="9">
        <f t="shared" si="6"/>
        <v>0</v>
      </c>
      <c r="I10" s="9">
        <f t="shared" si="6"/>
        <v>4.9898473233582763E-3</v>
      </c>
      <c r="J10" s="9">
        <f t="shared" si="7"/>
        <v>1.942852671753436E-3</v>
      </c>
      <c r="K10" s="9">
        <f t="shared" si="8"/>
        <v>0</v>
      </c>
      <c r="L10" s="9">
        <f t="shared" si="9"/>
        <v>1.9959389293433107E-3</v>
      </c>
      <c r="M10">
        <f t="shared" si="0"/>
        <v>0.14277787930775343</v>
      </c>
      <c r="N10">
        <f t="shared" si="10"/>
        <v>0</v>
      </c>
      <c r="O10">
        <f>M10-N10</f>
        <v>0.14277787930775343</v>
      </c>
      <c r="P10">
        <f t="shared" ref="P10:P33" si="22">IF($I$3=0,0,M10/(1+EXP(-$I$3*(B10-$J$3)))-M10/(1+EXP($I$3*$J$3)))</f>
        <v>2.2287699699948022E-3</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0.14054910933775863</v>
      </c>
      <c r="AB10">
        <f t="shared" si="11"/>
        <v>0.14054910933775863</v>
      </c>
      <c r="AC10">
        <f t="shared" si="12"/>
        <v>0</v>
      </c>
      <c r="AD10">
        <f t="shared" si="3"/>
        <v>4.4575399399896052E-4</v>
      </c>
      <c r="AE10">
        <f t="shared" si="13"/>
        <v>0</v>
      </c>
      <c r="AF10">
        <f t="shared" si="14"/>
        <v>4.952822155544006E-4</v>
      </c>
      <c r="AG10">
        <f t="shared" si="15"/>
        <v>8.9150798799792093E-4</v>
      </c>
      <c r="AH10">
        <f t="shared" si="16"/>
        <v>0</v>
      </c>
      <c r="AI10">
        <f t="shared" si="17"/>
        <v>1.1730368263130539E-4</v>
      </c>
      <c r="AJ10">
        <f t="shared" si="18"/>
        <v>0</v>
      </c>
      <c r="AK10">
        <f t="shared" si="19"/>
        <v>4.4575399399896052E-4</v>
      </c>
      <c r="AL10">
        <f t="shared" si="20"/>
        <v>0</v>
      </c>
    </row>
    <row r="11" spans="1:51" x14ac:dyDescent="0.2">
      <c r="A11">
        <v>2028</v>
      </c>
      <c r="B11">
        <v>3</v>
      </c>
      <c r="C11">
        <f t="shared" si="21"/>
        <v>0.14635209765988108</v>
      </c>
      <c r="D11">
        <f t="shared" ref="D11:D33" si="23">IF($E$2=0,0,C11/(1+EXP(-$E$2*(B11-$G$2)))-C11/(1+EXP($E$2*$G$2)))</f>
        <v>3.2833132636798656E-3</v>
      </c>
      <c r="E11">
        <f t="shared" si="4"/>
        <v>0</v>
      </c>
      <c r="F11">
        <f t="shared" si="5"/>
        <v>1.0956400718404313E-3</v>
      </c>
      <c r="G11" s="9">
        <f t="shared" si="6"/>
        <v>2.2434343724339438E-2</v>
      </c>
      <c r="H11" s="9">
        <f t="shared" si="6"/>
        <v>0</v>
      </c>
      <c r="I11" s="9">
        <f t="shared" si="6"/>
        <v>7.4863298125502353E-3</v>
      </c>
      <c r="J11" s="9">
        <f t="shared" si="7"/>
        <v>2.9164646841641269E-3</v>
      </c>
      <c r="K11" s="9">
        <f t="shared" si="8"/>
        <v>0</v>
      </c>
      <c r="L11" s="9">
        <f t="shared" si="9"/>
        <v>2.9945319250200943E-3</v>
      </c>
      <c r="M11">
        <f t="shared" si="0"/>
        <v>0.14548828906509698</v>
      </c>
      <c r="N11">
        <f t="shared" si="10"/>
        <v>0</v>
      </c>
      <c r="O11">
        <f t="shared" ref="O11:O33" si="24">M11-N11</f>
        <v>0.14548828906509698</v>
      </c>
      <c r="P11">
        <f t="shared" si="22"/>
        <v>4.3798282755021945E-3</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0.14110846078959477</v>
      </c>
      <c r="AB11">
        <f t="shared" si="11"/>
        <v>0.14110846078959477</v>
      </c>
      <c r="AC11">
        <f t="shared" si="12"/>
        <v>0</v>
      </c>
      <c r="AD11">
        <f t="shared" si="3"/>
        <v>8.7596565510043899E-4</v>
      </c>
      <c r="AE11">
        <f t="shared" si="13"/>
        <v>0</v>
      </c>
      <c r="AF11">
        <f t="shared" si="14"/>
        <v>9.7329517233382115E-4</v>
      </c>
      <c r="AG11">
        <f t="shared" si="15"/>
        <v>1.7519313102008778E-3</v>
      </c>
      <c r="AH11">
        <f t="shared" si="16"/>
        <v>0</v>
      </c>
      <c r="AI11">
        <f t="shared" si="17"/>
        <v>2.3051727765801026E-4</v>
      </c>
      <c r="AJ11">
        <f t="shared" si="18"/>
        <v>0</v>
      </c>
      <c r="AK11">
        <f t="shared" si="19"/>
        <v>8.7596565510043899E-4</v>
      </c>
      <c r="AL11">
        <f t="shared" si="20"/>
        <v>0</v>
      </c>
    </row>
    <row r="12" spans="1:51" x14ac:dyDescent="0.2">
      <c r="A12">
        <v>2029</v>
      </c>
      <c r="B12">
        <v>4</v>
      </c>
      <c r="C12">
        <f t="shared" si="21"/>
        <v>0.14942549171073857</v>
      </c>
      <c r="D12">
        <f t="shared" si="23"/>
        <v>4.472365901591252E-3</v>
      </c>
      <c r="E12">
        <f t="shared" si="4"/>
        <v>0</v>
      </c>
      <c r="F12">
        <f t="shared" si="5"/>
        <v>1.491817168645812E-3</v>
      </c>
      <c r="G12" s="9">
        <f t="shared" si="6"/>
        <v>2.9930407793129197E-2</v>
      </c>
      <c r="H12" s="9">
        <f t="shared" si="6"/>
        <v>0</v>
      </c>
      <c r="I12" s="9">
        <f t="shared" si="6"/>
        <v>9.9836858595299602E-3</v>
      </c>
      <c r="J12" s="9">
        <f t="shared" si="7"/>
        <v>3.8909530131067955E-3</v>
      </c>
      <c r="K12" s="9">
        <f t="shared" si="8"/>
        <v>0</v>
      </c>
      <c r="L12" s="9">
        <f t="shared" si="9"/>
        <v>3.9934743438119844E-3</v>
      </c>
      <c r="M12">
        <f t="shared" si="0"/>
        <v>0.14824967911227632</v>
      </c>
      <c r="N12">
        <f t="shared" si="10"/>
        <v>0</v>
      </c>
      <c r="O12">
        <f t="shared" si="24"/>
        <v>0.14824967911227632</v>
      </c>
      <c r="P12">
        <f t="shared" si="22"/>
        <v>7.7069691086624221E-3</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0.1405427100036139</v>
      </c>
      <c r="AB12">
        <f t="shared" si="11"/>
        <v>0.1405427100036139</v>
      </c>
      <c r="AC12">
        <f t="shared" si="12"/>
        <v>0</v>
      </c>
      <c r="AD12">
        <f t="shared" si="3"/>
        <v>1.5413938217324844E-3</v>
      </c>
      <c r="AE12">
        <f t="shared" si="13"/>
        <v>0</v>
      </c>
      <c r="AF12">
        <f t="shared" si="14"/>
        <v>1.7126598019249829E-3</v>
      </c>
      <c r="AG12">
        <f t="shared" si="15"/>
        <v>3.0827876434649693E-3</v>
      </c>
      <c r="AH12">
        <f t="shared" si="16"/>
        <v>0</v>
      </c>
      <c r="AI12">
        <f t="shared" si="17"/>
        <v>4.0562995308749588E-4</v>
      </c>
      <c r="AJ12">
        <f t="shared" si="18"/>
        <v>0</v>
      </c>
      <c r="AK12">
        <f t="shared" si="19"/>
        <v>1.5413938217324844E-3</v>
      </c>
      <c r="AL12">
        <f t="shared" si="20"/>
        <v>0</v>
      </c>
    </row>
    <row r="13" spans="1:51" x14ac:dyDescent="0.2">
      <c r="A13">
        <v>2030</v>
      </c>
      <c r="B13">
        <v>5</v>
      </c>
      <c r="C13">
        <f t="shared" si="21"/>
        <v>0.15256342703666406</v>
      </c>
      <c r="D13">
        <f t="shared" si="23"/>
        <v>5.7104254790947551E-3</v>
      </c>
      <c r="E13">
        <f t="shared" si="4"/>
        <v>0</v>
      </c>
      <c r="F13">
        <f t="shared" si="5"/>
        <v>1.9042648097113285E-3</v>
      </c>
      <c r="G13" s="9">
        <f t="shared" si="6"/>
        <v>3.7429845343749553E-2</v>
      </c>
      <c r="H13" s="9">
        <f t="shared" si="6"/>
        <v>0</v>
      </c>
      <c r="I13" s="9">
        <f t="shared" si="6"/>
        <v>1.2481790994729656E-2</v>
      </c>
      <c r="J13" s="9">
        <f t="shared" si="7"/>
        <v>4.8658798946874422E-3</v>
      </c>
      <c r="K13" s="9">
        <f t="shared" si="8"/>
        <v>0</v>
      </c>
      <c r="L13" s="9">
        <f t="shared" si="9"/>
        <v>4.992716397891863E-3</v>
      </c>
      <c r="M13">
        <f t="shared" si="0"/>
        <v>0.15106307217003792</v>
      </c>
      <c r="N13">
        <f t="shared" si="10"/>
        <v>0</v>
      </c>
      <c r="O13">
        <f t="shared" si="24"/>
        <v>0.15106307217003792</v>
      </c>
      <c r="P13">
        <f t="shared" si="22"/>
        <v>1.274406178989531E-2</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0.1383190103801426</v>
      </c>
      <c r="AB13">
        <f t="shared" si="11"/>
        <v>0.1383190103801426</v>
      </c>
      <c r="AC13">
        <f t="shared" si="12"/>
        <v>0</v>
      </c>
      <c r="AD13">
        <f t="shared" si="3"/>
        <v>2.5488123579790623E-3</v>
      </c>
      <c r="AE13">
        <f t="shared" si="13"/>
        <v>0</v>
      </c>
      <c r="AF13">
        <f t="shared" si="14"/>
        <v>2.8320137310878474E-3</v>
      </c>
      <c r="AG13">
        <f t="shared" si="15"/>
        <v>5.0976247159581238E-3</v>
      </c>
      <c r="AH13">
        <f t="shared" si="16"/>
        <v>0</v>
      </c>
      <c r="AI13">
        <f t="shared" si="17"/>
        <v>6.7074009420501637E-4</v>
      </c>
      <c r="AJ13">
        <f t="shared" si="18"/>
        <v>0</v>
      </c>
      <c r="AK13">
        <f t="shared" si="19"/>
        <v>2.5488123579790623E-3</v>
      </c>
      <c r="AL13">
        <f t="shared" si="20"/>
        <v>0</v>
      </c>
    </row>
    <row r="14" spans="1:51" x14ac:dyDescent="0.2">
      <c r="A14">
        <v>2031</v>
      </c>
      <c r="B14">
        <v>6</v>
      </c>
      <c r="C14">
        <f t="shared" si="21"/>
        <v>0.155767259004434</v>
      </c>
      <c r="D14">
        <f t="shared" si="23"/>
        <v>6.9985112454907933E-3</v>
      </c>
      <c r="E14">
        <f t="shared" si="4"/>
        <v>0</v>
      </c>
      <c r="F14">
        <f t="shared" si="5"/>
        <v>2.3334746321617278E-3</v>
      </c>
      <c r="G14" s="9">
        <f t="shared" si="6"/>
        <v>4.4929282894369843E-2</v>
      </c>
      <c r="H14" s="9">
        <f t="shared" si="6"/>
        <v>0</v>
      </c>
      <c r="I14" s="9">
        <f t="shared" si="6"/>
        <v>1.4980520598974551E-2</v>
      </c>
      <c r="J14" s="9">
        <f t="shared" si="7"/>
        <v>5.8408067762680798E-3</v>
      </c>
      <c r="K14" s="9">
        <f t="shared" si="8"/>
        <v>0</v>
      </c>
      <c r="L14" s="9">
        <f t="shared" si="9"/>
        <v>5.9922082395898208E-3</v>
      </c>
      <c r="M14">
        <f t="shared" si="0"/>
        <v>0.15392951443943304</v>
      </c>
      <c r="N14">
        <f t="shared" si="10"/>
        <v>0</v>
      </c>
      <c r="O14">
        <f t="shared" si="24"/>
        <v>0.15392951443943304</v>
      </c>
      <c r="P14">
        <f t="shared" si="22"/>
        <v>2.0143850798547473E-2</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0.13378566364088557</v>
      </c>
      <c r="AB14">
        <f t="shared" si="11"/>
        <v>0.13378566364088557</v>
      </c>
      <c r="AC14">
        <f t="shared" si="12"/>
        <v>0</v>
      </c>
      <c r="AD14">
        <f t="shared" si="3"/>
        <v>4.028770159709494E-3</v>
      </c>
      <c r="AE14">
        <f t="shared" si="13"/>
        <v>0</v>
      </c>
      <c r="AF14">
        <f t="shared" si="14"/>
        <v>4.4764112885661046E-3</v>
      </c>
      <c r="AG14">
        <f t="shared" si="15"/>
        <v>8.0575403194189897E-3</v>
      </c>
      <c r="AH14">
        <f t="shared" si="16"/>
        <v>0</v>
      </c>
      <c r="AI14">
        <f t="shared" si="17"/>
        <v>1.0602026736077615E-3</v>
      </c>
      <c r="AJ14">
        <f t="shared" si="18"/>
        <v>0</v>
      </c>
      <c r="AK14">
        <f t="shared" si="19"/>
        <v>4.028770159709494E-3</v>
      </c>
      <c r="AL14">
        <f t="shared" si="20"/>
        <v>0</v>
      </c>
    </row>
    <row r="15" spans="1:51" x14ac:dyDescent="0.2">
      <c r="A15">
        <v>2032</v>
      </c>
      <c r="B15">
        <v>7</v>
      </c>
      <c r="C15">
        <f t="shared" si="21"/>
        <v>0.15903837144352709</v>
      </c>
      <c r="D15">
        <f t="shared" si="23"/>
        <v>8.337641803382756E-3</v>
      </c>
      <c r="E15">
        <f t="shared" si="4"/>
        <v>0</v>
      </c>
      <c r="F15">
        <f t="shared" si="5"/>
        <v>2.7799509618400553E-3</v>
      </c>
      <c r="G15" s="9">
        <f t="shared" si="6"/>
        <v>5.2425346963159564E-2</v>
      </c>
      <c r="H15" s="9">
        <f t="shared" si="6"/>
        <v>0</v>
      </c>
      <c r="I15" s="9">
        <f t="shared" si="6"/>
        <v>1.747974992831958E-2</v>
      </c>
      <c r="J15" s="9">
        <f t="shared" si="7"/>
        <v>6.8152951052107436E-3</v>
      </c>
      <c r="K15" s="9">
        <f t="shared" si="8"/>
        <v>0</v>
      </c>
      <c r="L15" s="9">
        <f t="shared" si="9"/>
        <v>6.9918999713278326E-3</v>
      </c>
      <c r="M15">
        <f t="shared" si="0"/>
        <v>0.15685007609882448</v>
      </c>
      <c r="N15">
        <f t="shared" si="10"/>
        <v>0</v>
      </c>
      <c r="O15">
        <f t="shared" si="24"/>
        <v>0.15685007609882448</v>
      </c>
      <c r="P15">
        <f>IF($I$3=0,0,M15/(1+EXP(-$I$3*(B15-$J$3)))-M15/(1+EXP($I$3*$J$3)))</f>
        <v>3.0567480695769918E-2</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0.12628259540305456</v>
      </c>
      <c r="AB15">
        <f t="shared" si="11"/>
        <v>0.12628259540305456</v>
      </c>
      <c r="AC15">
        <f t="shared" si="12"/>
        <v>0</v>
      </c>
      <c r="AD15">
        <f t="shared" si="3"/>
        <v>6.1134961391539839E-3</v>
      </c>
      <c r="AE15">
        <f t="shared" si="13"/>
        <v>0</v>
      </c>
      <c r="AF15">
        <f t="shared" si="14"/>
        <v>6.7927734879488716E-3</v>
      </c>
      <c r="AG15">
        <f t="shared" si="15"/>
        <v>1.2226992278307968E-2</v>
      </c>
      <c r="AH15">
        <f t="shared" si="16"/>
        <v>0</v>
      </c>
      <c r="AI15">
        <f t="shared" si="17"/>
        <v>1.6088147734615746E-3</v>
      </c>
      <c r="AJ15">
        <f t="shared" si="18"/>
        <v>0</v>
      </c>
      <c r="AK15">
        <f t="shared" si="19"/>
        <v>6.1134961391539839E-3</v>
      </c>
      <c r="AL15">
        <f t="shared" si="20"/>
        <v>0</v>
      </c>
    </row>
    <row r="16" spans="1:51" x14ac:dyDescent="0.2">
      <c r="A16">
        <v>2033</v>
      </c>
      <c r="B16">
        <v>8</v>
      </c>
      <c r="C16">
        <f t="shared" si="21"/>
        <v>0.16237817724384115</v>
      </c>
      <c r="D16">
        <f t="shared" si="23"/>
        <v>9.7288349267765639E-3</v>
      </c>
      <c r="E16">
        <f t="shared" si="4"/>
        <v>0</v>
      </c>
      <c r="F16">
        <f t="shared" si="5"/>
        <v>3.2442111075903085E-3</v>
      </c>
      <c r="G16" s="9">
        <f t="shared" si="6"/>
        <v>5.9914670135549693E-2</v>
      </c>
      <c r="H16" s="9">
        <f t="shared" si="6"/>
        <v>0</v>
      </c>
      <c r="I16" s="9">
        <f t="shared" si="6"/>
        <v>1.9979354138940232E-2</v>
      </c>
      <c r="J16" s="9">
        <f t="shared" si="7"/>
        <v>7.7889071176214606E-3</v>
      </c>
      <c r="K16" s="9">
        <f t="shared" si="8"/>
        <v>0</v>
      </c>
      <c r="L16" s="9">
        <f t="shared" si="9"/>
        <v>7.9917416555760935E-3</v>
      </c>
      <c r="M16">
        <f t="shared" si="0"/>
        <v>0.15982585180391887</v>
      </c>
      <c r="N16">
        <f t="shared" si="10"/>
        <v>0</v>
      </c>
      <c r="O16">
        <f t="shared" si="24"/>
        <v>0.15982585180391887</v>
      </c>
      <c r="P16">
        <f t="shared" si="22"/>
        <v>4.4441744492649808E-2</v>
      </c>
      <c r="Q16" s="9">
        <f t="shared" si="1"/>
        <v>0.27806355474440281</v>
      </c>
      <c r="R16">
        <f>VLOOKUP($B$1,dictionary!$A$3:$K$51,3,FALSE)*Q16</f>
        <v>5.5612710948880567E-2</v>
      </c>
      <c r="S16">
        <f>VLOOKUP($B$1,dictionary!$A$3:$K$51,4,FALSE)*Q16</f>
        <v>0</v>
      </c>
      <c r="T16">
        <f>VLOOKUP($B$1,dictionary!$A$3:$K$51,5,FALSE)*Q16</f>
        <v>5.5612710948880567E-2</v>
      </c>
      <c r="U16">
        <f>VLOOKUP($B$1,dictionary!$A$3:$K$51,6,FALSE)*Q16</f>
        <v>9.7322244160540972E-2</v>
      </c>
      <c r="V16">
        <f>VLOOKUP($B$1,dictionary!$A$3:$K$51,7,FALSE)*Q16</f>
        <v>0</v>
      </c>
      <c r="W16">
        <f>VLOOKUP($B$1,dictionary!$A$3:$K$51,8,FALSE)*Q16</f>
        <v>1.3903177737220142E-2</v>
      </c>
      <c r="X16">
        <f>VLOOKUP($B$1,dictionary!$A$3:$K$51,9,FALSE)*Q16</f>
        <v>0</v>
      </c>
      <c r="Y16">
        <f>VLOOKUP($B$1,dictionary!$A$3:$K$51,10,FALSE)*Q16</f>
        <v>5.5612710948880567E-2</v>
      </c>
      <c r="Z16">
        <f>VLOOKUP($B$1,dictionary!$A$3:$K$51,11,FALSE)*Q16</f>
        <v>0</v>
      </c>
      <c r="AA16">
        <f t="shared" si="2"/>
        <v>0.11538410731126905</v>
      </c>
      <c r="AB16">
        <f t="shared" si="11"/>
        <v>0.11538410731126905</v>
      </c>
      <c r="AC16">
        <f t="shared" si="12"/>
        <v>0</v>
      </c>
      <c r="AD16">
        <f t="shared" si="3"/>
        <v>8.8883488985299613E-3</v>
      </c>
      <c r="AE16">
        <f t="shared" si="13"/>
        <v>0</v>
      </c>
      <c r="AF16">
        <f t="shared" si="14"/>
        <v>9.8759432205888457E-3</v>
      </c>
      <c r="AG16">
        <f t="shared" si="15"/>
        <v>1.7776697797059923E-2</v>
      </c>
      <c r="AH16">
        <f t="shared" si="16"/>
        <v>0</v>
      </c>
      <c r="AI16">
        <f t="shared" si="17"/>
        <v>2.339039183823674E-3</v>
      </c>
      <c r="AJ16">
        <f t="shared" si="18"/>
        <v>0</v>
      </c>
      <c r="AK16">
        <f t="shared" si="19"/>
        <v>8.8883488985299613E-3</v>
      </c>
      <c r="AL16">
        <f t="shared" si="20"/>
        <v>0</v>
      </c>
    </row>
    <row r="17" spans="1:38" x14ac:dyDescent="0.2">
      <c r="A17">
        <v>2034</v>
      </c>
      <c r="B17">
        <v>9</v>
      </c>
      <c r="C17">
        <f t="shared" si="21"/>
        <v>0.16578811896596179</v>
      </c>
      <c r="D17">
        <f t="shared" si="23"/>
        <v>1.117310743137416E-2</v>
      </c>
      <c r="E17">
        <f t="shared" si="4"/>
        <v>0</v>
      </c>
      <c r="F17">
        <f t="shared" si="5"/>
        <v>3.7267856619012801E-3</v>
      </c>
      <c r="G17" s="9">
        <f t="shared" si="6"/>
        <v>6.7393897108321305E-2</v>
      </c>
      <c r="H17" s="9">
        <f t="shared" si="6"/>
        <v>0</v>
      </c>
      <c r="I17" s="9">
        <f t="shared" si="6"/>
        <v>2.2479208312065065E-2</v>
      </c>
      <c r="J17" s="9">
        <f t="shared" si="7"/>
        <v>8.7612066240817695E-3</v>
      </c>
      <c r="K17" s="9">
        <f t="shared" si="8"/>
        <v>0</v>
      </c>
      <c r="L17" s="9">
        <f t="shared" si="9"/>
        <v>8.9916833248260258E-3</v>
      </c>
      <c r="M17">
        <f t="shared" si="0"/>
        <v>0.16285796119081369</v>
      </c>
      <c r="N17">
        <f t="shared" si="10"/>
        <v>0</v>
      </c>
      <c r="O17">
        <f t="shared" si="24"/>
        <v>0.16285796119081369</v>
      </c>
      <c r="P17">
        <f t="shared" si="22"/>
        <v>6.1621189450184265E-2</v>
      </c>
      <c r="Q17" s="9">
        <f t="shared" si="1"/>
        <v>0.37837382342018488</v>
      </c>
      <c r="R17">
        <f>VLOOKUP($B$1,dictionary!$A$3:$K$51,3,FALSE)*Q17</f>
        <v>7.5674764684036985E-2</v>
      </c>
      <c r="S17">
        <f>VLOOKUP($B$1,dictionary!$A$3:$K$51,4,FALSE)*Q17</f>
        <v>0</v>
      </c>
      <c r="T17">
        <f>VLOOKUP($B$1,dictionary!$A$3:$K$51,5,FALSE)*Q17</f>
        <v>7.5674764684036985E-2</v>
      </c>
      <c r="U17">
        <f>VLOOKUP($B$1,dictionary!$A$3:$K$51,6,FALSE)*Q17</f>
        <v>0.13243083819706469</v>
      </c>
      <c r="V17">
        <f>VLOOKUP($B$1,dictionary!$A$3:$K$51,7,FALSE)*Q17</f>
        <v>0</v>
      </c>
      <c r="W17">
        <f>VLOOKUP($B$1,dictionary!$A$3:$K$51,8,FALSE)*Q17</f>
        <v>1.8918691171009246E-2</v>
      </c>
      <c r="X17">
        <f>VLOOKUP($B$1,dictionary!$A$3:$K$51,9,FALSE)*Q17</f>
        <v>0</v>
      </c>
      <c r="Y17">
        <f>VLOOKUP($B$1,dictionary!$A$3:$K$51,10,FALSE)*Q17</f>
        <v>7.5674764684036985E-2</v>
      </c>
      <c r="Z17">
        <f>VLOOKUP($B$1,dictionary!$A$3:$K$51,11,FALSE)*Q17</f>
        <v>0</v>
      </c>
      <c r="AA17">
        <f t="shared" si="2"/>
        <v>0.10123677174062942</v>
      </c>
      <c r="AB17">
        <f t="shared" si="11"/>
        <v>0.10123677174062942</v>
      </c>
      <c r="AC17">
        <f t="shared" si="12"/>
        <v>0</v>
      </c>
      <c r="AD17">
        <f t="shared" si="3"/>
        <v>1.2324237890036853E-2</v>
      </c>
      <c r="AE17">
        <f t="shared" si="13"/>
        <v>0</v>
      </c>
      <c r="AF17">
        <f t="shared" si="14"/>
        <v>1.3693597655596504E-2</v>
      </c>
      <c r="AG17">
        <f t="shared" si="15"/>
        <v>2.4648475780073707E-2</v>
      </c>
      <c r="AH17">
        <f t="shared" si="16"/>
        <v>0</v>
      </c>
      <c r="AI17">
        <f t="shared" si="17"/>
        <v>3.2432204973781189E-3</v>
      </c>
      <c r="AJ17">
        <f t="shared" si="18"/>
        <v>0</v>
      </c>
      <c r="AK17">
        <f t="shared" si="19"/>
        <v>1.2324237890036853E-2</v>
      </c>
      <c r="AL17">
        <f t="shared" si="20"/>
        <v>0</v>
      </c>
    </row>
    <row r="18" spans="1:38" x14ac:dyDescent="0.2">
      <c r="A18">
        <v>2035</v>
      </c>
      <c r="B18">
        <v>10</v>
      </c>
      <c r="C18">
        <f t="shared" si="21"/>
        <v>0.16926966946424699</v>
      </c>
      <c r="D18">
        <f t="shared" si="23"/>
        <v>1.2671475098868734E-2</v>
      </c>
      <c r="E18">
        <f t="shared" si="4"/>
        <v>0</v>
      </c>
      <c r="F18">
        <f t="shared" si="5"/>
        <v>4.2282188080456362E-3</v>
      </c>
      <c r="G18" s="9">
        <f t="shared" si="6"/>
        <v>7.4859690687499064E-2</v>
      </c>
      <c r="H18" s="9">
        <f t="shared" si="6"/>
        <v>0</v>
      </c>
      <c r="I18" s="9">
        <f t="shared" si="6"/>
        <v>2.4979187478940033E-2</v>
      </c>
      <c r="J18" s="9">
        <f t="shared" si="7"/>
        <v>9.7317597893748792E-3</v>
      </c>
      <c r="K18" s="9">
        <f t="shared" si="8"/>
        <v>0</v>
      </c>
      <c r="L18" s="9">
        <f t="shared" si="9"/>
        <v>9.9916749915760147E-3</v>
      </c>
      <c r="M18">
        <f t="shared" si="0"/>
        <v>0.1659475493820865</v>
      </c>
      <c r="N18">
        <f t="shared" si="10"/>
        <v>0</v>
      </c>
      <c r="O18">
        <f t="shared" si="24"/>
        <v>0.1659475493820865</v>
      </c>
      <c r="P18">
        <f t="shared" si="22"/>
        <v>8.1150518486294732E-2</v>
      </c>
      <c r="Q18" s="9">
        <f t="shared" si="1"/>
        <v>0.48901305736940681</v>
      </c>
      <c r="R18">
        <f>VLOOKUP($B$1,dictionary!$A$3:$K$51,3,FALSE)*Q18</f>
        <v>9.7802611473881362E-2</v>
      </c>
      <c r="S18">
        <f>VLOOKUP($B$1,dictionary!$A$3:$K$51,4,FALSE)*Q18</f>
        <v>0</v>
      </c>
      <c r="T18">
        <f>VLOOKUP($B$1,dictionary!$A$3:$K$51,5,FALSE)*Q18</f>
        <v>9.7802611473881362E-2</v>
      </c>
      <c r="U18">
        <f>VLOOKUP($B$1,dictionary!$A$3:$K$51,6,FALSE)*Q18</f>
        <v>0.17115457007929238</v>
      </c>
      <c r="V18">
        <f>VLOOKUP($B$1,dictionary!$A$3:$K$51,7,FALSE)*Q18</f>
        <v>0</v>
      </c>
      <c r="W18">
        <f>VLOOKUP($B$1,dictionary!$A$3:$K$51,8,FALSE)*Q18</f>
        <v>2.4450652868470341E-2</v>
      </c>
      <c r="X18">
        <f>VLOOKUP($B$1,dictionary!$A$3:$K$51,9,FALSE)*Q18</f>
        <v>0</v>
      </c>
      <c r="Y18">
        <f>VLOOKUP($B$1,dictionary!$A$3:$K$51,10,FALSE)*Q18</f>
        <v>9.7802611473881362E-2</v>
      </c>
      <c r="Z18">
        <f>VLOOKUP($B$1,dictionary!$A$3:$K$51,11,FALSE)*Q18</f>
        <v>0</v>
      </c>
      <c r="AA18">
        <f t="shared" si="2"/>
        <v>8.479703089579177E-2</v>
      </c>
      <c r="AB18">
        <f t="shared" si="11"/>
        <v>8.479703089579177E-2</v>
      </c>
      <c r="AC18">
        <f t="shared" si="12"/>
        <v>0</v>
      </c>
      <c r="AD18">
        <f t="shared" si="3"/>
        <v>1.6230103697258948E-2</v>
      </c>
      <c r="AE18">
        <f t="shared" si="13"/>
        <v>0</v>
      </c>
      <c r="AF18">
        <f t="shared" si="14"/>
        <v>1.8033448552509941E-2</v>
      </c>
      <c r="AG18">
        <f t="shared" si="15"/>
        <v>3.2460207394517895E-2</v>
      </c>
      <c r="AH18">
        <f t="shared" si="16"/>
        <v>0</v>
      </c>
      <c r="AI18">
        <f t="shared" si="17"/>
        <v>4.2710799203313022E-3</v>
      </c>
      <c r="AJ18">
        <f t="shared" si="18"/>
        <v>0</v>
      </c>
      <c r="AK18">
        <f t="shared" si="19"/>
        <v>1.6230103697258948E-2</v>
      </c>
      <c r="AL18">
        <f t="shared" si="20"/>
        <v>0</v>
      </c>
    </row>
    <row r="19" spans="1:38" x14ac:dyDescent="0.2">
      <c r="A19">
        <v>2036</v>
      </c>
      <c r="B19">
        <v>11</v>
      </c>
      <c r="C19">
        <f t="shared" si="21"/>
        <v>0.17282433252299614</v>
      </c>
      <c r="D19">
        <f t="shared" si="23"/>
        <v>1.4224952656807843E-2</v>
      </c>
      <c r="E19">
        <f t="shared" si="4"/>
        <v>0</v>
      </c>
      <c r="F19">
        <f t="shared" si="5"/>
        <v>4.7490686338511612E-3</v>
      </c>
      <c r="G19" s="9">
        <f t="shared" si="6"/>
        <v>8.2308737717329591E-2</v>
      </c>
      <c r="H19" s="9">
        <f t="shared" si="6"/>
        <v>0</v>
      </c>
      <c r="I19" s="9">
        <f t="shared" si="6"/>
        <v>2.7479166645815029E-2</v>
      </c>
      <c r="J19" s="9">
        <f t="shared" si="7"/>
        <v>1.0700135903252847E-2</v>
      </c>
      <c r="K19" s="9">
        <f t="shared" si="8"/>
        <v>0</v>
      </c>
      <c r="L19" s="9">
        <f t="shared" si="9"/>
        <v>1.0991666658326012E-2</v>
      </c>
      <c r="M19">
        <f t="shared" si="0"/>
        <v>0.16909578749598911</v>
      </c>
      <c r="N19">
        <f t="shared" si="10"/>
        <v>0</v>
      </c>
      <c r="O19">
        <f t="shared" si="24"/>
        <v>0.16909578749598911</v>
      </c>
      <c r="P19">
        <f t="shared" si="22"/>
        <v>0.10139867642429781</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6.7697111071691296E-2</v>
      </c>
      <c r="AB19">
        <f t="shared" si="11"/>
        <v>6.7697111071691296E-2</v>
      </c>
      <c r="AC19">
        <f t="shared" si="12"/>
        <v>0</v>
      </c>
      <c r="AD19">
        <f t="shared" si="3"/>
        <v>2.0279735284859567E-2</v>
      </c>
      <c r="AE19">
        <f t="shared" si="13"/>
        <v>0</v>
      </c>
      <c r="AF19">
        <f t="shared" si="14"/>
        <v>2.2533039205399518E-2</v>
      </c>
      <c r="AG19">
        <f t="shared" si="15"/>
        <v>4.0559470569719126E-2</v>
      </c>
      <c r="AH19">
        <f t="shared" si="16"/>
        <v>0</v>
      </c>
      <c r="AI19">
        <f t="shared" si="17"/>
        <v>5.336772443384096E-3</v>
      </c>
      <c r="AJ19">
        <f t="shared" si="18"/>
        <v>0</v>
      </c>
      <c r="AK19">
        <f t="shared" si="19"/>
        <v>2.0279735284859567E-2</v>
      </c>
      <c r="AL19">
        <f t="shared" si="20"/>
        <v>0</v>
      </c>
    </row>
    <row r="20" spans="1:38" x14ac:dyDescent="0.2">
      <c r="A20">
        <v>2037</v>
      </c>
      <c r="B20">
        <v>12</v>
      </c>
      <c r="C20">
        <f t="shared" si="21"/>
        <v>0.17645364350597906</v>
      </c>
      <c r="D20">
        <f t="shared" si="23"/>
        <v>1.5834553815340893E-2</v>
      </c>
      <c r="E20">
        <f t="shared" si="4"/>
        <v>0</v>
      </c>
      <c r="F20">
        <f t="shared" si="5"/>
        <v>5.2899074522435169E-3</v>
      </c>
      <c r="G20" s="9">
        <f t="shared" si="6"/>
        <v>8.9737754918074814E-2</v>
      </c>
      <c r="H20" s="9">
        <f t="shared" si="6"/>
        <v>0</v>
      </c>
      <c r="I20" s="9">
        <f t="shared" si="6"/>
        <v>2.9979020818939738E-2</v>
      </c>
      <c r="J20" s="9">
        <f t="shared" si="7"/>
        <v>1.1665908139349725E-2</v>
      </c>
      <c r="K20" s="9">
        <f t="shared" si="8"/>
        <v>0</v>
      </c>
      <c r="L20" s="9">
        <f t="shared" si="9"/>
        <v>1.1991608327575896E-2</v>
      </c>
      <c r="M20">
        <f t="shared" si="0"/>
        <v>0.17230387315884876</v>
      </c>
      <c r="N20">
        <f t="shared" si="10"/>
        <v>0</v>
      </c>
      <c r="O20">
        <f t="shared" si="24"/>
        <v>0.17230387315884876</v>
      </c>
      <c r="P20">
        <f>IF($I$3=0,0,M20/(1+EXP(-$I$3*(B20-$J$3)))-M20/(1+EXP($I$3*$J$3)))</f>
        <v>0.12060626015322001</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5.1697613005628751E-2</v>
      </c>
      <c r="AB20">
        <f t="shared" si="11"/>
        <v>5.1697613005628751E-2</v>
      </c>
      <c r="AC20">
        <f t="shared" si="12"/>
        <v>0</v>
      </c>
      <c r="AD20">
        <f t="shared" si="3"/>
        <v>2.4121252030644004E-2</v>
      </c>
      <c r="AE20">
        <f t="shared" si="13"/>
        <v>0</v>
      </c>
      <c r="AF20">
        <f t="shared" si="14"/>
        <v>2.6801391145160006E-2</v>
      </c>
      <c r="AG20">
        <f t="shared" si="15"/>
        <v>4.8242504061288008E-2</v>
      </c>
      <c r="AH20">
        <f t="shared" si="16"/>
        <v>0</v>
      </c>
      <c r="AI20">
        <f t="shared" si="17"/>
        <v>6.3476979028010529E-3</v>
      </c>
      <c r="AJ20">
        <f t="shared" si="18"/>
        <v>0</v>
      </c>
      <c r="AK20">
        <f t="shared" si="19"/>
        <v>2.4121252030644004E-2</v>
      </c>
      <c r="AL20">
        <f t="shared" si="20"/>
        <v>0</v>
      </c>
    </row>
    <row r="21" spans="1:38" x14ac:dyDescent="0.2">
      <c r="A21">
        <v>2038</v>
      </c>
      <c r="B21">
        <v>13</v>
      </c>
      <c r="C21">
        <f t="shared" si="21"/>
        <v>0.1801591700196046</v>
      </c>
      <c r="D21">
        <f t="shared" si="23"/>
        <v>1.7501291361911336E-2</v>
      </c>
      <c r="E21">
        <f t="shared" si="4"/>
        <v>0</v>
      </c>
      <c r="F21">
        <f t="shared" si="5"/>
        <v>5.8513221287035538E-3</v>
      </c>
      <c r="G21" s="9">
        <f t="shared" si="6"/>
        <v>9.7143494610942516E-2</v>
      </c>
      <c r="H21" s="9">
        <f t="shared" si="6"/>
        <v>0</v>
      </c>
      <c r="I21" s="9">
        <f t="shared" si="6"/>
        <v>3.2478625029560379E-2</v>
      </c>
      <c r="J21" s="9">
        <f t="shared" si="7"/>
        <v>1.2628654299422528E-2</v>
      </c>
      <c r="K21" s="9">
        <f t="shared" si="8"/>
        <v>0</v>
      </c>
      <c r="L21" s="9">
        <f t="shared" si="9"/>
        <v>1.2991450011824153E-2</v>
      </c>
      <c r="M21">
        <f t="shared" si="0"/>
        <v>0.17557303102081792</v>
      </c>
      <c r="N21">
        <f t="shared" si="10"/>
        <v>0</v>
      </c>
      <c r="O21">
        <f t="shared" si="24"/>
        <v>0.17557303102081792</v>
      </c>
      <c r="P21">
        <f t="shared" si="22"/>
        <v>0.1374987350270378</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3.8074295993780122E-2</v>
      </c>
      <c r="AB21">
        <f t="shared" si="11"/>
        <v>3.8074295993780122E-2</v>
      </c>
      <c r="AC21">
        <f t="shared" si="12"/>
        <v>0</v>
      </c>
      <c r="AD21">
        <f t="shared" si="3"/>
        <v>2.7499747005407565E-2</v>
      </c>
      <c r="AE21">
        <f t="shared" si="13"/>
        <v>0</v>
      </c>
      <c r="AF21">
        <f t="shared" si="14"/>
        <v>3.0555274450452852E-2</v>
      </c>
      <c r="AG21">
        <f t="shared" si="15"/>
        <v>5.4999494010815123E-2</v>
      </c>
      <c r="AH21">
        <f t="shared" si="16"/>
        <v>0</v>
      </c>
      <c r="AI21">
        <f t="shared" si="17"/>
        <v>7.2367755277388326E-3</v>
      </c>
      <c r="AJ21">
        <f t="shared" si="18"/>
        <v>0</v>
      </c>
      <c r="AK21">
        <f t="shared" si="19"/>
        <v>2.7499747005407565E-2</v>
      </c>
      <c r="AL21">
        <f t="shared" si="20"/>
        <v>0</v>
      </c>
    </row>
    <row r="22" spans="1:38" x14ac:dyDescent="0.2">
      <c r="A22">
        <v>2039</v>
      </c>
      <c r="B22">
        <v>14</v>
      </c>
      <c r="C22">
        <f t="shared" si="21"/>
        <v>0.18394251259001629</v>
      </c>
      <c r="D22">
        <f t="shared" si="23"/>
        <v>1.9226177314693865E-2</v>
      </c>
      <c r="E22">
        <f t="shared" si="4"/>
        <v>0</v>
      </c>
      <c r="F22">
        <f t="shared" si="5"/>
        <v>6.4339144157847389E-3</v>
      </c>
      <c r="G22" s="9">
        <f t="shared" si="6"/>
        <v>0.10452275030920388</v>
      </c>
      <c r="H22" s="9">
        <f t="shared" si="6"/>
        <v>0</v>
      </c>
      <c r="I22" s="9">
        <f t="shared" si="6"/>
        <v>3.497785435890554E-2</v>
      </c>
      <c r="J22" s="9">
        <f t="shared" si="7"/>
        <v>1.3587957540196505E-2</v>
      </c>
      <c r="K22" s="9">
        <f t="shared" si="8"/>
        <v>0</v>
      </c>
      <c r="L22" s="9">
        <f t="shared" si="9"/>
        <v>1.3991141743562217E-2</v>
      </c>
      <c r="M22">
        <f t="shared" si="0"/>
        <v>0.17890451327515178</v>
      </c>
      <c r="N22">
        <f t="shared" si="10"/>
        <v>0</v>
      </c>
      <c r="O22">
        <f t="shared" si="24"/>
        <v>0.17890451327515178</v>
      </c>
      <c r="P22">
        <f t="shared" si="22"/>
        <v>0.15156110392785976</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2.7343409347292014E-2</v>
      </c>
      <c r="AB22">
        <f t="shared" si="11"/>
        <v>2.7343409347292014E-2</v>
      </c>
      <c r="AC22">
        <f t="shared" si="12"/>
        <v>0</v>
      </c>
      <c r="AD22">
        <f t="shared" si="3"/>
        <v>3.0312220785571956E-2</v>
      </c>
      <c r="AE22">
        <f t="shared" si="13"/>
        <v>0</v>
      </c>
      <c r="AF22">
        <f t="shared" si="14"/>
        <v>3.3680245317302175E-2</v>
      </c>
      <c r="AG22">
        <f t="shared" si="15"/>
        <v>6.0624441571143904E-2</v>
      </c>
      <c r="AH22">
        <f t="shared" si="16"/>
        <v>0</v>
      </c>
      <c r="AI22">
        <f t="shared" si="17"/>
        <v>7.976900206729462E-3</v>
      </c>
      <c r="AJ22">
        <f t="shared" si="18"/>
        <v>0</v>
      </c>
      <c r="AK22">
        <f t="shared" si="19"/>
        <v>3.0312220785571956E-2</v>
      </c>
      <c r="AL22">
        <f t="shared" si="20"/>
        <v>0</v>
      </c>
    </row>
    <row r="23" spans="1:38" x14ac:dyDescent="0.2">
      <c r="A23">
        <v>2040</v>
      </c>
      <c r="B23">
        <v>15</v>
      </c>
      <c r="C23">
        <f t="shared" si="21"/>
        <v>0.18780530535440662</v>
      </c>
      <c r="D23">
        <f t="shared" si="23"/>
        <v>2.1010223135315267E-2</v>
      </c>
      <c r="E23">
        <f t="shared" si="4"/>
        <v>0</v>
      </c>
      <c r="F23">
        <f t="shared" si="5"/>
        <v>7.0383012948395107E-3</v>
      </c>
      <c r="G23" s="9">
        <f t="shared" si="6"/>
        <v>0.11187236215540856</v>
      </c>
      <c r="H23" s="9">
        <f t="shared" si="6"/>
        <v>0</v>
      </c>
      <c r="I23" s="9">
        <f t="shared" si="6"/>
        <v>3.7476583963150352E-2</v>
      </c>
      <c r="J23" s="9">
        <f t="shared" si="7"/>
        <v>1.4543407080203114E-2</v>
      </c>
      <c r="K23" s="9">
        <f t="shared" si="8"/>
        <v>0</v>
      </c>
      <c r="L23" s="9">
        <f t="shared" si="9"/>
        <v>1.4990633585260142E-2</v>
      </c>
      <c r="M23">
        <f t="shared" si="0"/>
        <v>0.18229960018123342</v>
      </c>
      <c r="N23">
        <f t="shared" si="10"/>
        <v>0</v>
      </c>
      <c r="O23">
        <f t="shared" si="24"/>
        <v>0.18229960018123342</v>
      </c>
      <c r="P23">
        <f t="shared" si="22"/>
        <v>0.16291451560385994</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1.9385084577373479E-2</v>
      </c>
      <c r="AB23">
        <f t="shared" si="11"/>
        <v>1.9385084577373479E-2</v>
      </c>
      <c r="AC23">
        <f t="shared" si="12"/>
        <v>0</v>
      </c>
      <c r="AD23">
        <f t="shared" si="3"/>
        <v>3.2582903120771993E-2</v>
      </c>
      <c r="AE23">
        <f t="shared" si="13"/>
        <v>0</v>
      </c>
      <c r="AF23">
        <f t="shared" si="14"/>
        <v>3.6203225689746661E-2</v>
      </c>
      <c r="AG23">
        <f t="shared" si="15"/>
        <v>6.5165806241543986E-2</v>
      </c>
      <c r="AH23">
        <f t="shared" si="16"/>
        <v>0</v>
      </c>
      <c r="AI23">
        <f t="shared" si="17"/>
        <v>8.5744481896768403E-3</v>
      </c>
      <c r="AJ23">
        <f t="shared" si="18"/>
        <v>0</v>
      </c>
      <c r="AK23">
        <f t="shared" si="19"/>
        <v>3.2582903120771993E-2</v>
      </c>
      <c r="AL23">
        <f t="shared" si="20"/>
        <v>0</v>
      </c>
    </row>
    <row r="24" spans="1:38" x14ac:dyDescent="0.2">
      <c r="A24">
        <v>2041</v>
      </c>
      <c r="B24">
        <v>16</v>
      </c>
      <c r="C24">
        <f t="shared" si="21"/>
        <v>0.19174921676684914</v>
      </c>
      <c r="D24">
        <f t="shared" si="23"/>
        <v>2.2854440001136039E-2</v>
      </c>
      <c r="E24">
        <f t="shared" si="4"/>
        <v>0</v>
      </c>
      <c r="F24">
        <f t="shared" si="5"/>
        <v>7.6651153251069276E-3</v>
      </c>
      <c r="G24" s="9">
        <f t="shared" si="6"/>
        <v>0.11918922218558582</v>
      </c>
      <c r="H24" s="9">
        <f t="shared" si="6"/>
        <v>0</v>
      </c>
      <c r="I24" s="9">
        <f t="shared" si="6"/>
        <v>3.9974689098350065E-2</v>
      </c>
      <c r="J24" s="9">
        <f t="shared" si="7"/>
        <v>1.5494598884126158E-2</v>
      </c>
      <c r="K24" s="9">
        <f t="shared" si="8"/>
        <v>0</v>
      </c>
      <c r="L24" s="9">
        <f t="shared" si="9"/>
        <v>1.5989875639340026E-2</v>
      </c>
      <c r="M24">
        <f t="shared" si="0"/>
        <v>0.1857596005916039</v>
      </c>
      <c r="N24">
        <f t="shared" si="10"/>
        <v>0</v>
      </c>
      <c r="O24">
        <f t="shared" si="24"/>
        <v>0.1857596005916039</v>
      </c>
      <c r="P24">
        <f t="shared" si="22"/>
        <v>0.17202076504776154</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1.3738835543842365E-2</v>
      </c>
      <c r="AB24">
        <f t="shared" si="11"/>
        <v>1.3738835543842365E-2</v>
      </c>
      <c r="AC24">
        <f t="shared" si="12"/>
        <v>0</v>
      </c>
      <c r="AD24">
        <f t="shared" si="3"/>
        <v>3.440415300955231E-2</v>
      </c>
      <c r="AE24">
        <f t="shared" si="13"/>
        <v>0</v>
      </c>
      <c r="AF24">
        <f t="shared" si="14"/>
        <v>3.8226836677280343E-2</v>
      </c>
      <c r="AG24">
        <f t="shared" si="15"/>
        <v>6.880830601910462E-2</v>
      </c>
      <c r="AH24">
        <f t="shared" si="16"/>
        <v>0</v>
      </c>
      <c r="AI24">
        <f t="shared" si="17"/>
        <v>9.053724476197976E-3</v>
      </c>
      <c r="AJ24">
        <f t="shared" si="18"/>
        <v>0</v>
      </c>
      <c r="AK24">
        <f t="shared" si="19"/>
        <v>3.440415300955231E-2</v>
      </c>
      <c r="AL24">
        <f t="shared" si="20"/>
        <v>0</v>
      </c>
    </row>
    <row r="25" spans="1:38" x14ac:dyDescent="0.2">
      <c r="A25">
        <v>2042</v>
      </c>
      <c r="B25">
        <v>17</v>
      </c>
      <c r="C25">
        <f t="shared" si="21"/>
        <v>0.19577595031895295</v>
      </c>
      <c r="D25">
        <f t="shared" si="23"/>
        <v>2.4759839137111231E-2</v>
      </c>
      <c r="E25">
        <f t="shared" si="4"/>
        <v>0</v>
      </c>
      <c r="F25">
        <f t="shared" si="5"/>
        <v>8.3150050003164E-3</v>
      </c>
      <c r="G25" s="9">
        <f t="shared" si="6"/>
        <v>0.12647027940241465</v>
      </c>
      <c r="H25" s="9">
        <f t="shared" si="6"/>
        <v>0</v>
      </c>
      <c r="I25" s="9">
        <f t="shared" si="6"/>
        <v>4.2472045145329727E-2</v>
      </c>
      <c r="J25" s="9">
        <f t="shared" si="7"/>
        <v>1.6441136322313903E-2</v>
      </c>
      <c r="K25" s="9">
        <f t="shared" si="8"/>
        <v>0</v>
      </c>
      <c r="L25" s="9">
        <f t="shared" si="9"/>
        <v>1.6988818058131891E-2</v>
      </c>
      <c r="M25">
        <f t="shared" si="0"/>
        <v>0.18928585248329427</v>
      </c>
      <c r="N25">
        <f t="shared" si="10"/>
        <v>0</v>
      </c>
      <c r="O25">
        <f t="shared" si="24"/>
        <v>0.18928585248329427</v>
      </c>
      <c r="P25">
        <f>IF($I$3=0,0,M25/(1+EXP(-$I$3*(B25-$J$3)))-M25/(1+EXP($I$3*$J$3)))</f>
        <v>0.17942818205747418</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9.8576704258200865E-3</v>
      </c>
      <c r="AB25">
        <f t="shared" si="11"/>
        <v>9.8576704258200865E-3</v>
      </c>
      <c r="AC25">
        <f t="shared" si="12"/>
        <v>0</v>
      </c>
      <c r="AD25">
        <f t="shared" si="3"/>
        <v>3.5885636411494844E-2</v>
      </c>
      <c r="AE25">
        <f t="shared" si="13"/>
        <v>0</v>
      </c>
      <c r="AF25">
        <f t="shared" si="14"/>
        <v>3.9872929346105382E-2</v>
      </c>
      <c r="AG25">
        <f t="shared" si="15"/>
        <v>7.1771272822989687E-2</v>
      </c>
      <c r="AH25">
        <f t="shared" si="16"/>
        <v>0</v>
      </c>
      <c r="AI25">
        <f t="shared" si="17"/>
        <v>9.4435885293407476E-3</v>
      </c>
      <c r="AJ25">
        <f t="shared" si="18"/>
        <v>0</v>
      </c>
      <c r="AK25">
        <f t="shared" si="19"/>
        <v>3.5885636411494844E-2</v>
      </c>
      <c r="AL25">
        <f t="shared" si="20"/>
        <v>0</v>
      </c>
    </row>
    <row r="26" spans="1:38" x14ac:dyDescent="0.2">
      <c r="A26">
        <v>2043</v>
      </c>
      <c r="B26">
        <v>18</v>
      </c>
      <c r="C26">
        <f t="shared" si="21"/>
        <v>0.19988724527565094</v>
      </c>
      <c r="D26">
        <f t="shared" si="23"/>
        <v>2.6727432206994528E-2</v>
      </c>
      <c r="E26">
        <f t="shared" si="4"/>
        <v>0</v>
      </c>
      <c r="F26">
        <f t="shared" si="5"/>
        <v>8.9886351129665476E-3</v>
      </c>
      <c r="G26" s="9">
        <f t="shared" si="6"/>
        <v>0.13371254464053742</v>
      </c>
      <c r="H26" s="9">
        <f t="shared" si="6"/>
        <v>0</v>
      </c>
      <c r="I26" s="9">
        <f t="shared" si="6"/>
        <v>4.4968527634521804E-2</v>
      </c>
      <c r="J26" s="9">
        <f t="shared" si="7"/>
        <v>1.7382630803269863E-2</v>
      </c>
      <c r="K26" s="9">
        <f t="shared" si="8"/>
        <v>0</v>
      </c>
      <c r="L26" s="9">
        <f t="shared" si="9"/>
        <v>1.7987411053808723E-2</v>
      </c>
      <c r="M26">
        <f t="shared" si="0"/>
        <v>0.19287972349379265</v>
      </c>
      <c r="N26">
        <f t="shared" si="10"/>
        <v>0</v>
      </c>
      <c r="O26">
        <f t="shared" si="24"/>
        <v>0.19287972349379265</v>
      </c>
      <c r="P26">
        <f t="shared" si="22"/>
        <v>0.1856305442702896</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7.2491792235030439E-3</v>
      </c>
      <c r="AB26">
        <f t="shared" si="11"/>
        <v>7.2491792235030439E-3</v>
      </c>
      <c r="AC26">
        <f t="shared" si="12"/>
        <v>0</v>
      </c>
      <c r="AD26">
        <f t="shared" si="3"/>
        <v>3.7126108854057926E-2</v>
      </c>
      <c r="AE26">
        <f t="shared" si="13"/>
        <v>0</v>
      </c>
      <c r="AF26">
        <f t="shared" si="14"/>
        <v>4.1251232060064362E-2</v>
      </c>
      <c r="AG26">
        <f t="shared" si="15"/>
        <v>7.4252217708115853E-2</v>
      </c>
      <c r="AH26">
        <f t="shared" si="16"/>
        <v>0</v>
      </c>
      <c r="AI26">
        <f t="shared" si="17"/>
        <v>9.770028645804717E-3</v>
      </c>
      <c r="AJ26">
        <f t="shared" si="18"/>
        <v>0</v>
      </c>
      <c r="AK26">
        <f t="shared" si="19"/>
        <v>3.7126108854057926E-2</v>
      </c>
      <c r="AL26">
        <f t="shared" si="20"/>
        <v>0</v>
      </c>
    </row>
    <row r="27" spans="1:38" x14ac:dyDescent="0.2">
      <c r="A27">
        <v>2044</v>
      </c>
      <c r="B27">
        <v>19</v>
      </c>
      <c r="C27">
        <f t="shared" si="21"/>
        <v>0.20408487742643958</v>
      </c>
      <c r="D27">
        <f t="shared" si="23"/>
        <v>2.8758231763402003E-2</v>
      </c>
      <c r="E27">
        <f t="shared" si="4"/>
        <v>0</v>
      </c>
      <c r="F27">
        <f t="shared" si="5"/>
        <v>9.6866871264410237E-3</v>
      </c>
      <c r="G27" s="9">
        <f t="shared" si="6"/>
        <v>0.14091309520847584</v>
      </c>
      <c r="H27" s="9">
        <f t="shared" si="6"/>
        <v>0</v>
      </c>
      <c r="I27" s="9">
        <f t="shared" si="6"/>
        <v>4.7464012270740132E-2</v>
      </c>
      <c r="J27" s="9">
        <f t="shared" si="7"/>
        <v>1.8318702377101859E-2</v>
      </c>
      <c r="K27" s="9">
        <f t="shared" si="8"/>
        <v>0</v>
      </c>
      <c r="L27" s="9">
        <f t="shared" si="9"/>
        <v>1.8985604908296053E-2</v>
      </c>
      <c r="M27">
        <f t="shared" si="0"/>
        <v>0.19654261146201668</v>
      </c>
      <c r="N27">
        <f t="shared" si="10"/>
        <v>0</v>
      </c>
      <c r="O27">
        <f t="shared" si="24"/>
        <v>0.19654261146201668</v>
      </c>
      <c r="P27">
        <f t="shared" si="22"/>
        <v>0.19101760683878083</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5.5250046232358518E-3</v>
      </c>
      <c r="AB27">
        <f t="shared" si="11"/>
        <v>5.5250046232358518E-3</v>
      </c>
      <c r="AC27">
        <f t="shared" si="12"/>
        <v>0</v>
      </c>
      <c r="AD27">
        <f t="shared" si="3"/>
        <v>3.820352136775617E-2</v>
      </c>
      <c r="AE27">
        <f t="shared" si="13"/>
        <v>0</v>
      </c>
      <c r="AF27">
        <f t="shared" si="14"/>
        <v>4.2448357075284632E-2</v>
      </c>
      <c r="AG27">
        <f t="shared" si="15"/>
        <v>7.6407042735512326E-2</v>
      </c>
      <c r="AH27">
        <f t="shared" si="16"/>
        <v>0</v>
      </c>
      <c r="AI27">
        <f t="shared" si="17"/>
        <v>1.0053558254672676E-2</v>
      </c>
      <c r="AJ27">
        <f t="shared" si="18"/>
        <v>0</v>
      </c>
      <c r="AK27">
        <f t="shared" si="19"/>
        <v>3.820352136775617E-2</v>
      </c>
      <c r="AL27">
        <f t="shared" si="20"/>
        <v>0</v>
      </c>
    </row>
    <row r="28" spans="1:38" x14ac:dyDescent="0.2">
      <c r="A28">
        <v>2045</v>
      </c>
      <c r="B28">
        <v>20</v>
      </c>
      <c r="C28">
        <f t="shared" si="21"/>
        <v>0.20837065985239478</v>
      </c>
      <c r="D28">
        <f t="shared" si="23"/>
        <v>3.0853251756013042E-2</v>
      </c>
      <c r="E28">
        <f t="shared" si="4"/>
        <v>0</v>
      </c>
      <c r="F28">
        <f t="shared" si="5"/>
        <v>1.0409859555126813E-2</v>
      </c>
      <c r="G28" s="9">
        <f t="shared" si="6"/>
        <v>0.14806907929297153</v>
      </c>
      <c r="H28" s="9">
        <f t="shared" si="6"/>
        <v>0</v>
      </c>
      <c r="I28" s="9">
        <f t="shared" si="6"/>
        <v>4.9958374957880011E-2</v>
      </c>
      <c r="J28" s="9">
        <f t="shared" si="7"/>
        <v>1.9248980308086298E-2</v>
      </c>
      <c r="K28" s="9">
        <f t="shared" si="8"/>
        <v>0</v>
      </c>
      <c r="L28" s="9">
        <f t="shared" si="9"/>
        <v>1.9983349983152005E-2</v>
      </c>
      <c r="M28">
        <f t="shared" si="0"/>
        <v>0.200275944974697</v>
      </c>
      <c r="N28">
        <f t="shared" si="10"/>
        <v>0</v>
      </c>
      <c r="O28">
        <f t="shared" si="24"/>
        <v>0.200275944974697</v>
      </c>
      <c r="P28">
        <f t="shared" si="22"/>
        <v>0.19587510433924735</v>
      </c>
      <c r="Q28" s="9">
        <f t="shared" si="1"/>
        <v>0.97802611473881373</v>
      </c>
      <c r="R28">
        <f>VLOOKUP($B$1,dictionary!$A$3:$K$51,3,FALSE)*Q28</f>
        <v>0.19560522294776275</v>
      </c>
      <c r="S28">
        <f>VLOOKUP($B$1,dictionary!$A$3:$K$51,4,FALSE)*Q28</f>
        <v>0</v>
      </c>
      <c r="T28">
        <f>VLOOKUP($B$1,dictionary!$A$3:$K$51,5,FALSE)*Q28</f>
        <v>0.19560522294776275</v>
      </c>
      <c r="U28">
        <f>VLOOKUP($B$1,dictionary!$A$3:$K$51,6,FALSE)*Q28</f>
        <v>0.34230914015858477</v>
      </c>
      <c r="V28">
        <f>VLOOKUP($B$1,dictionary!$A$3:$K$51,7,FALSE)*Q28</f>
        <v>0</v>
      </c>
      <c r="W28">
        <f>VLOOKUP($B$1,dictionary!$A$3:$K$51,8,FALSE)*Q28</f>
        <v>4.8901305736940688E-2</v>
      </c>
      <c r="X28">
        <f>VLOOKUP($B$1,dictionary!$A$3:$K$51,9,FALSE)*Q28</f>
        <v>0</v>
      </c>
      <c r="Y28">
        <f>VLOOKUP($B$1,dictionary!$A$3:$K$51,10,FALSE)*Q28</f>
        <v>0.19560522294776275</v>
      </c>
      <c r="Z28">
        <f>VLOOKUP($B$1,dictionary!$A$3:$K$51,11,FALSE)*Q28</f>
        <v>0</v>
      </c>
      <c r="AA28">
        <f t="shared" si="2"/>
        <v>4.4008406354496543E-3</v>
      </c>
      <c r="AB28">
        <f t="shared" si="11"/>
        <v>4.4008406354496543E-3</v>
      </c>
      <c r="AC28">
        <f t="shared" si="12"/>
        <v>0</v>
      </c>
      <c r="AD28">
        <f t="shared" si="3"/>
        <v>3.9175020867849471E-2</v>
      </c>
      <c r="AE28">
        <f t="shared" si="13"/>
        <v>0</v>
      </c>
      <c r="AF28">
        <f t="shared" si="14"/>
        <v>4.3527800964277191E-2</v>
      </c>
      <c r="AG28">
        <f t="shared" si="15"/>
        <v>7.8350041735698941E-2</v>
      </c>
      <c r="AH28">
        <f t="shared" si="16"/>
        <v>0</v>
      </c>
      <c r="AI28">
        <f t="shared" si="17"/>
        <v>1.0309216017855123E-2</v>
      </c>
      <c r="AJ28">
        <f t="shared" si="18"/>
        <v>0</v>
      </c>
      <c r="AK28">
        <f t="shared" si="19"/>
        <v>3.9175020867849471E-2</v>
      </c>
      <c r="AL28">
        <f t="shared" si="20"/>
        <v>0</v>
      </c>
    </row>
    <row r="29" spans="1:38" x14ac:dyDescent="0.2">
      <c r="A29">
        <v>2046</v>
      </c>
      <c r="B29">
        <v>21</v>
      </c>
      <c r="C29">
        <f t="shared" si="21"/>
        <v>0.21274644370929505</v>
      </c>
      <c r="D29">
        <f t="shared" si="23"/>
        <v>3.3013508096956759E-2</v>
      </c>
      <c r="E29">
        <f t="shared" si="4"/>
        <v>0</v>
      </c>
      <c r="F29">
        <f t="shared" si="5"/>
        <v>1.1158868352703966E-2</v>
      </c>
      <c r="G29" s="9">
        <f t="shared" si="6"/>
        <v>0.15517772011299841</v>
      </c>
      <c r="H29" s="9">
        <f t="shared" si="6"/>
        <v>0</v>
      </c>
      <c r="I29" s="9">
        <f t="shared" si="6"/>
        <v>5.2451491823533716E-2</v>
      </c>
      <c r="J29" s="9">
        <f t="shared" si="7"/>
        <v>2.0173103614689793E-2</v>
      </c>
      <c r="K29" s="9">
        <f t="shared" si="8"/>
        <v>0</v>
      </c>
      <c r="L29" s="9">
        <f t="shared" si="9"/>
        <v>2.0980596729413489E-2</v>
      </c>
      <c r="M29">
        <f t="shared" si="0"/>
        <v>0.2040811839186098</v>
      </c>
      <c r="N29">
        <f t="shared" si="10"/>
        <v>0</v>
      </c>
      <c r="O29">
        <f t="shared" si="24"/>
        <v>0.2040811839186098</v>
      </c>
      <c r="P29">
        <f t="shared" si="22"/>
        <v>0.20040353286512635</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3.6776510534834439E-3</v>
      </c>
      <c r="AB29">
        <f t="shared" si="11"/>
        <v>3.6776510534834439E-3</v>
      </c>
      <c r="AC29">
        <f t="shared" si="12"/>
        <v>0</v>
      </c>
      <c r="AD29">
        <f t="shared" si="3"/>
        <v>4.0080706573025274E-2</v>
      </c>
      <c r="AE29">
        <f t="shared" si="13"/>
        <v>0</v>
      </c>
      <c r="AF29">
        <f t="shared" si="14"/>
        <v>4.453411841447253E-2</v>
      </c>
      <c r="AG29">
        <f t="shared" si="15"/>
        <v>8.0161413146050547E-2</v>
      </c>
      <c r="AH29">
        <f t="shared" si="16"/>
        <v>0</v>
      </c>
      <c r="AI29">
        <f t="shared" si="17"/>
        <v>1.054755436132244E-2</v>
      </c>
      <c r="AJ29">
        <f t="shared" si="18"/>
        <v>0</v>
      </c>
      <c r="AK29">
        <f t="shared" si="19"/>
        <v>4.0080706573025274E-2</v>
      </c>
      <c r="AL29">
        <f t="shared" si="20"/>
        <v>0</v>
      </c>
    </row>
    <row r="30" spans="1:38" x14ac:dyDescent="0.2">
      <c r="A30">
        <v>2047</v>
      </c>
      <c r="B30">
        <v>22</v>
      </c>
      <c r="C30">
        <f t="shared" si="21"/>
        <v>0.21721411902719023</v>
      </c>
      <c r="D30">
        <f t="shared" si="23"/>
        <v>3.5240019282215901E-2</v>
      </c>
      <c r="E30">
        <f t="shared" si="4"/>
        <v>0</v>
      </c>
      <c r="F30">
        <f t="shared" si="5"/>
        <v>1.1934447308779544E-2</v>
      </c>
      <c r="G30" s="9">
        <f t="shared" si="6"/>
        <v>0.16223631981217876</v>
      </c>
      <c r="H30" s="9">
        <f t="shared" si="6"/>
        <v>0</v>
      </c>
      <c r="I30" s="9">
        <f t="shared" si="6"/>
        <v>5.4943239243511723E-2</v>
      </c>
      <c r="J30" s="9">
        <f t="shared" si="7"/>
        <v>2.1090721575583241E-2</v>
      </c>
      <c r="K30" s="9">
        <f t="shared" si="8"/>
        <v>0</v>
      </c>
      <c r="L30" s="9">
        <f t="shared" si="9"/>
        <v>2.197729569740469E-2</v>
      </c>
      <c r="M30">
        <f t="shared" si="0"/>
        <v>0.20795982003912952</v>
      </c>
      <c r="N30">
        <f t="shared" si="10"/>
        <v>0</v>
      </c>
      <c r="O30">
        <f t="shared" si="24"/>
        <v>0.20795982003912952</v>
      </c>
      <c r="P30">
        <f t="shared" si="22"/>
        <v>0.20473993326949502</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3.2198867696345002E-3</v>
      </c>
      <c r="AB30">
        <f t="shared" si="11"/>
        <v>3.2198867696345002E-3</v>
      </c>
      <c r="AC30">
        <f t="shared" si="12"/>
        <v>0</v>
      </c>
      <c r="AD30">
        <f t="shared" si="3"/>
        <v>4.094798665389901E-2</v>
      </c>
      <c r="AE30">
        <f t="shared" si="13"/>
        <v>0</v>
      </c>
      <c r="AF30">
        <f t="shared" si="14"/>
        <v>4.5497762948776679E-2</v>
      </c>
      <c r="AG30">
        <f t="shared" si="15"/>
        <v>8.1895973307798006E-2</v>
      </c>
      <c r="AH30">
        <f t="shared" si="16"/>
        <v>0</v>
      </c>
      <c r="AI30">
        <f t="shared" si="17"/>
        <v>1.077578596155237E-2</v>
      </c>
      <c r="AJ30">
        <f t="shared" si="18"/>
        <v>0</v>
      </c>
      <c r="AK30">
        <f t="shared" si="19"/>
        <v>4.094798665389901E-2</v>
      </c>
      <c r="AL30">
        <f t="shared" si="20"/>
        <v>0</v>
      </c>
    </row>
    <row r="31" spans="1:38" x14ac:dyDescent="0.2">
      <c r="A31">
        <v>2048</v>
      </c>
      <c r="B31">
        <v>23</v>
      </c>
      <c r="C31">
        <f t="shared" si="21"/>
        <v>0.2217756155267612</v>
      </c>
      <c r="D31">
        <f t="shared" si="23"/>
        <v>3.7533807067676048E-2</v>
      </c>
      <c r="E31">
        <f t="shared" si="4"/>
        <v>0</v>
      </c>
      <c r="F31">
        <f t="shared" si="5"/>
        <v>1.2737348454041994E-2</v>
      </c>
      <c r="G31" s="9">
        <f t="shared" si="6"/>
        <v>0.16924226307985119</v>
      </c>
      <c r="H31" s="9">
        <f t="shared" si="6"/>
        <v>0</v>
      </c>
      <c r="I31" s="9">
        <f t="shared" si="6"/>
        <v>5.7433493866258734E-2</v>
      </c>
      <c r="J31" s="9">
        <f t="shared" si="7"/>
        <v>2.2001494200380656E-2</v>
      </c>
      <c r="K31" s="9">
        <f t="shared" si="8"/>
        <v>0</v>
      </c>
      <c r="L31" s="9">
        <f t="shared" si="9"/>
        <v>2.2973397546503495E-2</v>
      </c>
      <c r="M31">
        <f t="shared" si="0"/>
        <v>0.21191337750560246</v>
      </c>
      <c r="N31">
        <f t="shared" si="10"/>
        <v>0</v>
      </c>
      <c r="O31">
        <f t="shared" si="24"/>
        <v>0.21191337750560246</v>
      </c>
      <c r="P31">
        <f t="shared" si="22"/>
        <v>0.20897656075096513</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2.9368167546373336E-3</v>
      </c>
      <c r="AB31">
        <f t="shared" si="11"/>
        <v>2.9368167546373336E-3</v>
      </c>
      <c r="AC31">
        <f t="shared" si="12"/>
        <v>0</v>
      </c>
      <c r="AD31">
        <f t="shared" si="3"/>
        <v>4.1795312150193026E-2</v>
      </c>
      <c r="AE31">
        <f t="shared" si="13"/>
        <v>0</v>
      </c>
      <c r="AF31">
        <f t="shared" si="14"/>
        <v>4.6439235722436696E-2</v>
      </c>
      <c r="AG31">
        <f t="shared" si="15"/>
        <v>8.3590624300386052E-2</v>
      </c>
      <c r="AH31">
        <f t="shared" si="16"/>
        <v>0</v>
      </c>
      <c r="AI31">
        <f t="shared" si="17"/>
        <v>1.0998766355313954E-2</v>
      </c>
      <c r="AJ31">
        <f t="shared" si="18"/>
        <v>0</v>
      </c>
      <c r="AK31">
        <f t="shared" si="19"/>
        <v>4.1795312150193026E-2</v>
      </c>
      <c r="AL31">
        <f t="shared" si="20"/>
        <v>0</v>
      </c>
    </row>
    <row r="32" spans="1:38" x14ac:dyDescent="0.2">
      <c r="A32">
        <v>2049</v>
      </c>
      <c r="B32">
        <v>24</v>
      </c>
      <c r="C32">
        <f t="shared" si="21"/>
        <v>0.22643290345282316</v>
      </c>
      <c r="D32">
        <f t="shared" si="23"/>
        <v>3.9895897198260227E-2</v>
      </c>
      <c r="E32">
        <f t="shared" si="4"/>
        <v>0</v>
      </c>
      <c r="F32">
        <f t="shared" si="5"/>
        <v>1.3568342474116077E-2</v>
      </c>
      <c r="G32" s="9">
        <f t="shared" si="6"/>
        <v>0.17619302049259133</v>
      </c>
      <c r="H32" s="9">
        <f t="shared" si="6"/>
        <v>0</v>
      </c>
      <c r="I32" s="9">
        <f t="shared" si="6"/>
        <v>5.992213263715454E-2</v>
      </c>
      <c r="J32" s="9">
        <f t="shared" si="7"/>
        <v>2.2905092664036876E-2</v>
      </c>
      <c r="K32" s="9">
        <f t="shared" si="8"/>
        <v>0</v>
      </c>
      <c r="L32" s="9">
        <f t="shared" si="9"/>
        <v>2.3968853054861818E-2</v>
      </c>
      <c r="M32">
        <f t="shared" si="0"/>
        <v>0.2159434134840697</v>
      </c>
      <c r="N32">
        <f t="shared" si="10"/>
        <v>0</v>
      </c>
      <c r="O32">
        <f t="shared" si="24"/>
        <v>0.2159434134840697</v>
      </c>
      <c r="P32">
        <f t="shared" si="22"/>
        <v>0.21317504449671598</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2.7683689873537198E-3</v>
      </c>
      <c r="AB32">
        <f t="shared" si="11"/>
        <v>2.7683689873537198E-3</v>
      </c>
      <c r="AC32">
        <f t="shared" si="12"/>
        <v>0</v>
      </c>
      <c r="AD32">
        <f t="shared" si="3"/>
        <v>4.2635008899343199E-2</v>
      </c>
      <c r="AE32">
        <f t="shared" si="13"/>
        <v>0</v>
      </c>
      <c r="AF32">
        <f t="shared" si="14"/>
        <v>4.7372232110381336E-2</v>
      </c>
      <c r="AG32">
        <f t="shared" si="15"/>
        <v>8.5270017798686398E-2</v>
      </c>
      <c r="AH32">
        <f t="shared" si="16"/>
        <v>0</v>
      </c>
      <c r="AI32">
        <f t="shared" si="17"/>
        <v>1.1219739184037684E-2</v>
      </c>
      <c r="AJ32">
        <f t="shared" si="18"/>
        <v>0</v>
      </c>
      <c r="AK32">
        <f t="shared" si="19"/>
        <v>4.2635008899343199E-2</v>
      </c>
      <c r="AL32">
        <f t="shared" si="20"/>
        <v>0</v>
      </c>
    </row>
    <row r="33" spans="1:38" x14ac:dyDescent="0.2">
      <c r="A33">
        <v>2050</v>
      </c>
      <c r="B33">
        <v>25</v>
      </c>
      <c r="C33">
        <f t="shared" si="21"/>
        <v>0.23118799442533242</v>
      </c>
      <c r="D33">
        <f t="shared" si="23"/>
        <v>4.2327320188415535E-2</v>
      </c>
      <c r="E33">
        <f t="shared" si="4"/>
        <v>0</v>
      </c>
      <c r="F33">
        <f t="shared" si="5"/>
        <v>1.4428219132302328E-2</v>
      </c>
      <c r="G33" s="9">
        <f t="shared" si="6"/>
        <v>0.183086151569545</v>
      </c>
      <c r="H33" s="9">
        <f t="shared" si="6"/>
        <v>0</v>
      </c>
      <c r="I33" s="9">
        <f t="shared" si="6"/>
        <v>6.2409032822689503E-2</v>
      </c>
      <c r="J33" s="9">
        <f t="shared" si="7"/>
        <v>2.3801199704040852E-2</v>
      </c>
      <c r="K33" s="9">
        <f t="shared" si="8"/>
        <v>0</v>
      </c>
      <c r="L33" s="9">
        <f t="shared" si="9"/>
        <v>2.4963613129075801E-2</v>
      </c>
      <c r="M33">
        <f t="shared" si="0"/>
        <v>0.22005151871789411</v>
      </c>
      <c r="N33">
        <f t="shared" si="10"/>
        <v>0</v>
      </c>
      <c r="O33">
        <f t="shared" si="24"/>
        <v>0.22005151871789411</v>
      </c>
      <c r="P33">
        <f t="shared" si="22"/>
        <v>0.21737647279598407</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2.6750459219100353E-3</v>
      </c>
      <c r="AB33">
        <f t="shared" si="11"/>
        <v>2.6750459219100353E-3</v>
      </c>
      <c r="AC33">
        <f t="shared" si="12"/>
        <v>0</v>
      </c>
      <c r="AD33">
        <f t="shared" si="3"/>
        <v>4.3475294559196812E-2</v>
      </c>
      <c r="AE33">
        <f t="shared" si="13"/>
        <v>0</v>
      </c>
      <c r="AF33">
        <f t="shared" si="14"/>
        <v>4.8305882843552014E-2</v>
      </c>
      <c r="AG33">
        <f t="shared" si="15"/>
        <v>8.6950589118393623E-2</v>
      </c>
      <c r="AH33">
        <f t="shared" si="16"/>
        <v>0</v>
      </c>
      <c r="AI33">
        <f t="shared" si="17"/>
        <v>1.1440866989262319E-2</v>
      </c>
      <c r="AJ33">
        <f t="shared" si="18"/>
        <v>0</v>
      </c>
      <c r="AK33">
        <f t="shared" si="19"/>
        <v>4.3475294559196812E-2</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A3A8-9B6C-534C-BD9F-BDB7604A42AA}">
  <sheetPr>
    <tabColor theme="4" tint="0.79998168889431442"/>
  </sheetPr>
  <dimension ref="A1:AY37"/>
  <sheetViews>
    <sheetView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22</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Yes</v>
      </c>
      <c r="D2" t="s">
        <v>77</v>
      </c>
      <c r="E2" s="5">
        <f>IF(C2="Yes",MAIN!B4,0)</f>
        <v>0.03</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emissions!N39</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f>IF($N$7="LFO",M8/(1+EXP(-$I$4*(B8-$J$4)))-M8/(1+EXP($I$4*$J$4)),IF($N$7="MGO",M8/(1+EXP(-$I$5*(B8-$J$5)))-M8/(1+EXP($I$5*$J$5)),0))</f>
        <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f t="shared" ref="N9:N33" si="10">IF($N$7="LFO",M9/(1+EXP(-$I$4*(B9-$J$4)))-M9/(1+EXP($I$4*$J$4)),IF($N$7="MGO",M9/(1+EXP(-$I$5*(B9-$J$5)))-M9/(1+EXP($I$5*$J$5)),0))</f>
        <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f t="shared" si="10"/>
        <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f t="shared" si="10"/>
        <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f t="shared" si="10"/>
        <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f t="shared" si="10"/>
        <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f t="shared" si="10"/>
        <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f t="shared" si="10"/>
        <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f t="shared" si="10"/>
        <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f t="shared" si="10"/>
        <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f t="shared" si="10"/>
        <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f t="shared" si="10"/>
        <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f t="shared" si="10"/>
        <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f t="shared" si="10"/>
        <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f t="shared" si="10"/>
        <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f t="shared" si="10"/>
        <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f t="shared" si="10"/>
        <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f t="shared" si="10"/>
        <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f t="shared" si="10"/>
        <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f t="shared" si="10"/>
        <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f t="shared" si="10"/>
        <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f t="shared" si="10"/>
        <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f t="shared" si="10"/>
        <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f t="shared" si="10"/>
        <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f t="shared" si="10"/>
        <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f t="shared" si="10"/>
        <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F150-5240-0145-9B79-2D6539C434A4}">
  <sheetPr>
    <tabColor theme="4" tint="0.79998168889431442"/>
  </sheetPr>
  <dimension ref="A1:AY37"/>
  <sheetViews>
    <sheetView topLeftCell="T1" zoomScale="93" zoomScaleNormal="125" workbookViewId="0">
      <selection activeCell="B2" sqref="B2"/>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45</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0.44863749785702489</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0.44863749785702489</v>
      </c>
      <c r="N8">
        <f>IF($N$7="LFO",M8/(1+EXP(-$I$4*(B8-$J$4)))-M8/(1+EXP($I$4*$J$4)),IF($N$7="MGO",M8/(1+EXP(-$I$5*(B8-$J$5)))-M8/(1+EXP($I$5*$J$5)),0))</f>
        <v>0</v>
      </c>
      <c r="O8">
        <f>M8-N8</f>
        <v>0.44863749785702489</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0.44863749785702489</v>
      </c>
      <c r="AB8">
        <f>O8/M8*AA8</f>
        <v>0.44863749785702489</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0.45805888531202238</v>
      </c>
      <c r="D9">
        <f>IF($E$2=0,0,C9/(1+EXP(-$E$2*(B9-$G$2)))-C9/(1+EXP($E$2*$G$2)))</f>
        <v>3.419773084847838E-3</v>
      </c>
      <c r="E9">
        <f t="shared" ref="E9:E33" si="4">IF($E$3=0,0,C9/(1+EXP(-$E$3*(B9-$G$3)))-C9/(1+EXP($E$3*$G$3)))</f>
        <v>3.419773084847838E-3</v>
      </c>
      <c r="F9">
        <f t="shared" ref="F9:F33" si="5">IF($E$4=0,0,C9/(1+EXP(-$E$4*(B9-$G$4)))-C9/(1+EXP($E$4*$G$4)))</f>
        <v>1.1425649920351888E-3</v>
      </c>
      <c r="G9" s="9">
        <f t="shared" ref="G9:I33" si="6">D9/$C9</f>
        <v>7.4657935791778022E-3</v>
      </c>
      <c r="H9" s="9">
        <f t="shared" si="6"/>
        <v>7.4657935791778022E-3</v>
      </c>
      <c r="I9" s="9">
        <f t="shared" si="6"/>
        <v>2.494362687139868E-3</v>
      </c>
      <c r="J9" s="9">
        <f t="shared" ref="J9:J33" si="7">G9*$F$2</f>
        <v>9.7055316529311435E-4</v>
      </c>
      <c r="K9" s="9">
        <f t="shared" ref="K9:K33" si="8">H9*$F$3</f>
        <v>1.4931587158355606E-3</v>
      </c>
      <c r="L9" s="9">
        <f t="shared" ref="L9:L33" si="9">I9*$F$4</f>
        <v>9.9774507485594715E-4</v>
      </c>
      <c r="M9">
        <f t="shared" si="0"/>
        <v>0.45647512332958773</v>
      </c>
      <c r="N9">
        <f t="shared" ref="N9:N33" si="10">IF($N$7="LFO",M9/(1+EXP(-$I$4*(B9-$J$4)))-M9/(1+EXP($I$4*$J$4)),IF($N$7="MGO",M9/(1+EXP(-$I$5*(B9-$J$5)))-M9/(1+EXP($I$5*$J$5)),0))</f>
        <v>2.2389964522057784E-2</v>
      </c>
      <c r="O9">
        <f>M9-N9</f>
        <v>0.43408515880752996</v>
      </c>
      <c r="P9">
        <f>IF($I$3=0,0,M9/(1+EXP(-$I$3*(B9-$J$3)))-M9/(1+EXP($I$3*$J$3)))</f>
        <v>2.8014292273816615E-3</v>
      </c>
      <c r="Q9" s="9">
        <f t="shared" si="1"/>
        <v>6.137090685134558E-3</v>
      </c>
      <c r="R9">
        <f>VLOOKUP($B$1,dictionary!$A$3:$K$51,3,FALSE)*Q9</f>
        <v>1.2274181370269116E-3</v>
      </c>
      <c r="S9">
        <f>VLOOKUP($B$1,dictionary!$A$3:$K$51,4,FALSE)*Q9</f>
        <v>0</v>
      </c>
      <c r="T9">
        <f>VLOOKUP($B$1,dictionary!$A$3:$K$51,5,FALSE)*Q9</f>
        <v>1.2274181370269116E-3</v>
      </c>
      <c r="U9">
        <f>VLOOKUP($B$1,dictionary!$A$3:$K$51,6,FALSE)*Q9</f>
        <v>2.1479817397970953E-3</v>
      </c>
      <c r="V9">
        <f>VLOOKUP($B$1,dictionary!$A$3:$K$51,7,FALSE)*Q9</f>
        <v>0</v>
      </c>
      <c r="W9">
        <f>VLOOKUP($B$1,dictionary!$A$3:$K$51,8,FALSE)*Q9</f>
        <v>3.068545342567279E-4</v>
      </c>
      <c r="X9">
        <f>VLOOKUP($B$1,dictionary!$A$3:$K$51,9,FALSE)*Q9</f>
        <v>0</v>
      </c>
      <c r="Y9">
        <f>VLOOKUP($B$1,dictionary!$A$3:$K$51,10,FALSE)*Q9</f>
        <v>1.2274181370269116E-3</v>
      </c>
      <c r="Z9">
        <f>VLOOKUP($B$1,dictionary!$A$3:$K$51,11,FALSE)*Q9</f>
        <v>0</v>
      </c>
      <c r="AA9">
        <f t="shared" si="2"/>
        <v>0.45367369410220609</v>
      </c>
      <c r="AB9">
        <f t="shared" ref="AB9:AB33" si="11">O9/M9*AA9</f>
        <v>0.4314211388228571</v>
      </c>
      <c r="AC9">
        <f t="shared" ref="AC9:AC33" si="12">N9/M9*AA9</f>
        <v>2.2252555279348971E-2</v>
      </c>
      <c r="AD9">
        <f t="shared" si="3"/>
        <v>5.6028584547633228E-4</v>
      </c>
      <c r="AE9">
        <f t="shared" ref="AE9:AE33" si="13">S9*$O9*$AE$2+S9*$N9*$AE$3</f>
        <v>0</v>
      </c>
      <c r="AF9">
        <f t="shared" ref="AF9:AF33" si="14">T9*$O9*$AF$2+T9*$N9*$AF$3</f>
        <v>6.2253982830703589E-4</v>
      </c>
      <c r="AG9">
        <f t="shared" ref="AG9:AG33" si="15">U9*$O9*$AG$2+U9*$N9*$AG$3</f>
        <v>1.1205716909526646E-3</v>
      </c>
      <c r="AH9">
        <f t="shared" ref="AH9:AH33" si="16">V9*$O9*$AH$2+V9*$N9*$AH$3</f>
        <v>0</v>
      </c>
      <c r="AI9">
        <f t="shared" ref="AI9:AI33" si="17">W9*$O9*$AI$2+W9*$N9*$AI$3</f>
        <v>1.4744364354640324E-4</v>
      </c>
      <c r="AJ9">
        <f t="shared" ref="AJ9:AJ33" si="18">X9*$O9*$AJ$2+X9*$N9*$AJ$3</f>
        <v>0</v>
      </c>
      <c r="AK9">
        <f t="shared" ref="AK9:AK33" si="19">Y9*$O9*$AK$2+Y9*$N9*$AK$3</f>
        <v>5.6028584547633228E-4</v>
      </c>
      <c r="AL9">
        <f t="shared" ref="AL9:AL33" si="20">Z9*$O9*$AL$2+Z9*$N9*$AL$3</f>
        <v>0</v>
      </c>
    </row>
    <row r="10" spans="1:51" x14ac:dyDescent="0.2">
      <c r="A10">
        <v>2027</v>
      </c>
      <c r="B10">
        <v>2</v>
      </c>
      <c r="C10">
        <f t="shared" ref="C10:C33" si="21">C9*(1+$I$2)</f>
        <v>0.46767812190357483</v>
      </c>
      <c r="D10">
        <f>IF($E$2=0,0,C10/(1+EXP(-$E$2*(B10-$G$2)))-C10/(1+EXP($E$2*$G$2)))</f>
        <v>6.9894591435460396E-3</v>
      </c>
      <c r="E10">
        <f t="shared" si="4"/>
        <v>6.9894591435460396E-3</v>
      </c>
      <c r="F10">
        <f t="shared" si="5"/>
        <v>2.3336424247737686E-3</v>
      </c>
      <c r="G10" s="9">
        <f t="shared" si="6"/>
        <v>1.4945020551949436E-2</v>
      </c>
      <c r="H10" s="9">
        <f t="shared" si="6"/>
        <v>1.4945020551949436E-2</v>
      </c>
      <c r="I10" s="9">
        <f t="shared" si="6"/>
        <v>4.9898473233582555E-3</v>
      </c>
      <c r="J10" s="9">
        <f t="shared" si="7"/>
        <v>1.9428526717534267E-3</v>
      </c>
      <c r="K10" s="9">
        <f t="shared" si="8"/>
        <v>2.9890041103898873E-3</v>
      </c>
      <c r="L10" s="9">
        <f t="shared" si="9"/>
        <v>1.9959389293433025E-3</v>
      </c>
      <c r="M10">
        <f t="shared" si="0"/>
        <v>0.4644454575694909</v>
      </c>
      <c r="N10">
        <f t="shared" si="10"/>
        <v>4.9521484637421759E-2</v>
      </c>
      <c r="O10">
        <f>M10-N10</f>
        <v>0.41492397293206917</v>
      </c>
      <c r="P10">
        <f t="shared" ref="P10:P33" si="22">IF($I$3=0,0,M10/(1+EXP(-$I$3*(B10-$J$3)))-M10/(1+EXP($I$3*$J$3)))</f>
        <v>7.2500172544246767E-3</v>
      </c>
      <c r="Q10" s="9">
        <f t="shared" si="1"/>
        <v>1.5610050946272675E-2</v>
      </c>
      <c r="R10">
        <f>VLOOKUP($B$1,dictionary!$A$3:$K$51,3,FALSE)*Q10</f>
        <v>3.1220101892545354E-3</v>
      </c>
      <c r="S10">
        <f>VLOOKUP($B$1,dictionary!$A$3:$K$51,4,FALSE)*Q10</f>
        <v>0</v>
      </c>
      <c r="T10">
        <f>VLOOKUP($B$1,dictionary!$A$3:$K$51,5,FALSE)*Q10</f>
        <v>3.1220101892545354E-3</v>
      </c>
      <c r="U10">
        <f>VLOOKUP($B$1,dictionary!$A$3:$K$51,6,FALSE)*Q10</f>
        <v>5.4635178311954356E-3</v>
      </c>
      <c r="V10">
        <f>VLOOKUP($B$1,dictionary!$A$3:$K$51,7,FALSE)*Q10</f>
        <v>0</v>
      </c>
      <c r="W10">
        <f>VLOOKUP($B$1,dictionary!$A$3:$K$51,8,FALSE)*Q10</f>
        <v>7.8050254731363384E-4</v>
      </c>
      <c r="X10">
        <f>VLOOKUP($B$1,dictionary!$A$3:$K$51,9,FALSE)*Q10</f>
        <v>0</v>
      </c>
      <c r="Y10">
        <f>VLOOKUP($B$1,dictionary!$A$3:$K$51,10,FALSE)*Q10</f>
        <v>3.1220101892545354E-3</v>
      </c>
      <c r="Z10">
        <f>VLOOKUP($B$1,dictionary!$A$3:$K$51,11,FALSE)*Q10</f>
        <v>0</v>
      </c>
      <c r="AA10">
        <f t="shared" si="2"/>
        <v>0.4571954403150662</v>
      </c>
      <c r="AB10">
        <f t="shared" si="11"/>
        <v>0.40844698857576972</v>
      </c>
      <c r="AC10">
        <f t="shared" si="12"/>
        <v>4.8748451739296546E-2</v>
      </c>
      <c r="AD10">
        <f t="shared" si="3"/>
        <v>1.4500034508849358E-3</v>
      </c>
      <c r="AE10">
        <f t="shared" si="13"/>
        <v>0</v>
      </c>
      <c r="AF10">
        <f t="shared" si="14"/>
        <v>1.6111149454277065E-3</v>
      </c>
      <c r="AG10">
        <f t="shared" si="15"/>
        <v>2.9000069017698711E-3</v>
      </c>
      <c r="AH10">
        <f t="shared" si="16"/>
        <v>0</v>
      </c>
      <c r="AI10">
        <f t="shared" si="17"/>
        <v>3.8157985549603572E-4</v>
      </c>
      <c r="AJ10">
        <f t="shared" si="18"/>
        <v>0</v>
      </c>
      <c r="AK10">
        <f t="shared" si="19"/>
        <v>1.4500034508849358E-3</v>
      </c>
      <c r="AL10">
        <f t="shared" si="20"/>
        <v>0</v>
      </c>
    </row>
    <row r="11" spans="1:51" x14ac:dyDescent="0.2">
      <c r="A11">
        <v>2028</v>
      </c>
      <c r="B11">
        <v>3</v>
      </c>
      <c r="C11">
        <f t="shared" si="21"/>
        <v>0.47749936246354985</v>
      </c>
      <c r="D11">
        <f t="shared" ref="D11:D33" si="23">IF($E$2=0,0,C11/(1+EXP(-$E$2*(B11-$G$2)))-C11/(1+EXP($E$2*$G$2)))</f>
        <v>1.0712384825660226E-2</v>
      </c>
      <c r="E11">
        <f t="shared" si="4"/>
        <v>1.0712384825660226E-2</v>
      </c>
      <c r="F11">
        <f t="shared" si="5"/>
        <v>3.5747177126846386E-3</v>
      </c>
      <c r="G11" s="9">
        <f t="shared" si="6"/>
        <v>2.2434343724339445E-2</v>
      </c>
      <c r="H11" s="9">
        <f t="shared" si="6"/>
        <v>2.2434343724339445E-2</v>
      </c>
      <c r="I11" s="9">
        <f t="shared" si="6"/>
        <v>7.4863298125503073E-3</v>
      </c>
      <c r="J11" s="9">
        <f t="shared" si="7"/>
        <v>2.9164646841641278E-3</v>
      </c>
      <c r="K11" s="9">
        <f t="shared" si="8"/>
        <v>4.4868687448678893E-3</v>
      </c>
      <c r="L11" s="9">
        <f t="shared" si="9"/>
        <v>2.9945319250201229E-3</v>
      </c>
      <c r="M11">
        <f t="shared" si="0"/>
        <v>0.47255120406406198</v>
      </c>
      <c r="N11">
        <f t="shared" si="10"/>
        <v>8.124013821879672E-2</v>
      </c>
      <c r="O11">
        <f t="shared" ref="O11:O33" si="24">M11-N11</f>
        <v>0.39131106584526526</v>
      </c>
      <c r="P11">
        <f t="shared" si="22"/>
        <v>1.4225840021091505E-2</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0.45832536404297047</v>
      </c>
      <c r="AB11">
        <f t="shared" si="11"/>
        <v>0.3795309062068552</v>
      </c>
      <c r="AC11">
        <f t="shared" si="12"/>
        <v>7.87944578361153E-2</v>
      </c>
      <c r="AD11">
        <f t="shared" si="3"/>
        <v>2.8451680042183014E-3</v>
      </c>
      <c r="AE11">
        <f t="shared" si="13"/>
        <v>0</v>
      </c>
      <c r="AF11">
        <f t="shared" si="14"/>
        <v>3.1612977824647796E-3</v>
      </c>
      <c r="AG11">
        <f t="shared" si="15"/>
        <v>5.6903360084366028E-3</v>
      </c>
      <c r="AH11">
        <f t="shared" si="16"/>
        <v>0</v>
      </c>
      <c r="AI11">
        <f t="shared" si="17"/>
        <v>7.4872842216271087E-4</v>
      </c>
      <c r="AJ11">
        <f t="shared" si="18"/>
        <v>0</v>
      </c>
      <c r="AK11">
        <f t="shared" si="19"/>
        <v>2.8451680042183014E-3</v>
      </c>
      <c r="AL11">
        <f t="shared" si="20"/>
        <v>0</v>
      </c>
    </row>
    <row r="12" spans="1:51" x14ac:dyDescent="0.2">
      <c r="A12">
        <v>2029</v>
      </c>
      <c r="B12">
        <v>4</v>
      </c>
      <c r="C12">
        <f t="shared" si="21"/>
        <v>0.48752684907528437</v>
      </c>
      <c r="D12">
        <f t="shared" si="23"/>
        <v>1.4591877402922615E-2</v>
      </c>
      <c r="E12">
        <f t="shared" si="4"/>
        <v>1.4591877402922615E-2</v>
      </c>
      <c r="F12">
        <f t="shared" si="5"/>
        <v>4.8673149092541002E-3</v>
      </c>
      <c r="G12" s="9">
        <f t="shared" si="6"/>
        <v>2.99304077931292E-2</v>
      </c>
      <c r="H12" s="9">
        <f t="shared" si="6"/>
        <v>2.99304077931292E-2</v>
      </c>
      <c r="I12" s="9">
        <f t="shared" si="6"/>
        <v>9.9836858595299324E-3</v>
      </c>
      <c r="J12" s="9">
        <f t="shared" si="7"/>
        <v>3.890953013106796E-3</v>
      </c>
      <c r="K12" s="9">
        <f t="shared" si="8"/>
        <v>5.9860815586258408E-3</v>
      </c>
      <c r="L12" s="9">
        <f t="shared" si="9"/>
        <v>3.9934743438119731E-3</v>
      </c>
      <c r="M12">
        <f t="shared" si="0"/>
        <v>0.48079514333859302</v>
      </c>
      <c r="N12">
        <f t="shared" si="10"/>
        <v>0.11689666526125428</v>
      </c>
      <c r="O12">
        <f t="shared" si="24"/>
        <v>0.36389847807733877</v>
      </c>
      <c r="P12">
        <f t="shared" si="22"/>
        <v>2.4994815095006929E-2</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0.45580032824358607</v>
      </c>
      <c r="AB12">
        <f t="shared" si="11"/>
        <v>0.34498070135077125</v>
      </c>
      <c r="AC12">
        <f t="shared" si="12"/>
        <v>0.11081962689281484</v>
      </c>
      <c r="AD12">
        <f t="shared" si="3"/>
        <v>4.9989630190013859E-3</v>
      </c>
      <c r="AE12">
        <f t="shared" si="13"/>
        <v>0</v>
      </c>
      <c r="AF12">
        <f t="shared" si="14"/>
        <v>5.5544033544459841E-3</v>
      </c>
      <c r="AG12">
        <f t="shared" si="15"/>
        <v>9.9979260380027735E-3</v>
      </c>
      <c r="AH12">
        <f t="shared" si="16"/>
        <v>0</v>
      </c>
      <c r="AI12">
        <f t="shared" si="17"/>
        <v>1.3155165839477331E-3</v>
      </c>
      <c r="AJ12">
        <f t="shared" si="18"/>
        <v>0</v>
      </c>
      <c r="AK12">
        <f t="shared" si="19"/>
        <v>4.9989630190013859E-3</v>
      </c>
      <c r="AL12">
        <f t="shared" si="20"/>
        <v>0</v>
      </c>
    </row>
    <row r="13" spans="1:51" x14ac:dyDescent="0.2">
      <c r="A13">
        <v>2030</v>
      </c>
      <c r="B13">
        <v>5</v>
      </c>
      <c r="C13">
        <f t="shared" si="21"/>
        <v>0.49776491290586528</v>
      </c>
      <c r="D13">
        <f t="shared" si="23"/>
        <v>1.8631263707611506E-2</v>
      </c>
      <c r="E13">
        <f t="shared" si="4"/>
        <v>1.8631263707611506E-2</v>
      </c>
      <c r="F13">
        <f t="shared" si="5"/>
        <v>6.2129976074007665E-3</v>
      </c>
      <c r="G13" s="9">
        <f t="shared" si="6"/>
        <v>3.742984534374956E-2</v>
      </c>
      <c r="H13" s="9">
        <f t="shared" si="6"/>
        <v>3.742984534374956E-2</v>
      </c>
      <c r="I13" s="9">
        <f t="shared" si="6"/>
        <v>1.2481790994729547E-2</v>
      </c>
      <c r="J13" s="9">
        <f t="shared" si="7"/>
        <v>4.8658798946874431E-3</v>
      </c>
      <c r="K13" s="9">
        <f t="shared" si="8"/>
        <v>7.4859690687499123E-3</v>
      </c>
      <c r="L13" s="9">
        <f t="shared" si="9"/>
        <v>4.9927163978918188E-3</v>
      </c>
      <c r="M13">
        <f t="shared" si="0"/>
        <v>0.4891801346154846</v>
      </c>
      <c r="N13">
        <f t="shared" si="10"/>
        <v>0.1553511250148486</v>
      </c>
      <c r="O13">
        <f t="shared" si="24"/>
        <v>0.333829009600636</v>
      </c>
      <c r="P13">
        <f t="shared" si="22"/>
        <v>4.1268469999814622E-2</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0.44791166461567</v>
      </c>
      <c r="AB13">
        <f t="shared" si="11"/>
        <v>0.3056663523443256</v>
      </c>
      <c r="AC13">
        <f t="shared" si="12"/>
        <v>0.1422453122713444</v>
      </c>
      <c r="AD13">
        <f t="shared" si="3"/>
        <v>8.2536939999629261E-3</v>
      </c>
      <c r="AE13">
        <f t="shared" si="13"/>
        <v>0</v>
      </c>
      <c r="AF13">
        <f t="shared" si="14"/>
        <v>9.1707711110699183E-3</v>
      </c>
      <c r="AG13">
        <f t="shared" si="15"/>
        <v>1.6507387999925852E-2</v>
      </c>
      <c r="AH13">
        <f t="shared" si="16"/>
        <v>0</v>
      </c>
      <c r="AI13">
        <f t="shared" si="17"/>
        <v>2.1720247368323489E-3</v>
      </c>
      <c r="AJ13">
        <f t="shared" si="18"/>
        <v>0</v>
      </c>
      <c r="AK13">
        <f t="shared" si="19"/>
        <v>8.2536939999629261E-3</v>
      </c>
      <c r="AL13">
        <f t="shared" si="20"/>
        <v>0</v>
      </c>
    </row>
    <row r="14" spans="1:51" x14ac:dyDescent="0.2">
      <c r="A14">
        <v>2031</v>
      </c>
      <c r="B14">
        <v>6</v>
      </c>
      <c r="C14">
        <f t="shared" si="21"/>
        <v>0.50821797607688846</v>
      </c>
      <c r="D14">
        <f t="shared" si="23"/>
        <v>2.2833869219162611E-2</v>
      </c>
      <c r="E14">
        <f t="shared" si="4"/>
        <v>2.2833869219162611E-2</v>
      </c>
      <c r="F14">
        <f t="shared" si="5"/>
        <v>7.6133698593890131E-3</v>
      </c>
      <c r="G14" s="9">
        <f t="shared" si="6"/>
        <v>4.492928289436985E-2</v>
      </c>
      <c r="H14" s="9">
        <f t="shared" si="6"/>
        <v>4.492928289436985E-2</v>
      </c>
      <c r="I14" s="9">
        <f t="shared" si="6"/>
        <v>1.498052059897461E-2</v>
      </c>
      <c r="J14" s="9">
        <f t="shared" si="7"/>
        <v>5.8408067762680807E-3</v>
      </c>
      <c r="K14" s="9">
        <f t="shared" si="8"/>
        <v>8.98585657887397E-3</v>
      </c>
      <c r="L14" s="9">
        <f t="shared" si="9"/>
        <v>5.9922082395898442E-3</v>
      </c>
      <c r="M14">
        <f t="shared" si="0"/>
        <v>0.4977091174491563</v>
      </c>
      <c r="N14">
        <f t="shared" si="10"/>
        <v>0.19511043161374131</v>
      </c>
      <c r="O14">
        <f t="shared" si="24"/>
        <v>0.30259868583541499</v>
      </c>
      <c r="P14">
        <f t="shared" si="22"/>
        <v>6.513226680070773E-2</v>
      </c>
      <c r="Q14" s="9">
        <f t="shared" si="1"/>
        <v>0.13086412226989461</v>
      </c>
      <c r="R14">
        <f>VLOOKUP($B$1,dictionary!$A$3:$K$51,3,FALSE)*Q14</f>
        <v>2.6172824453978921E-2</v>
      </c>
      <c r="S14">
        <f>VLOOKUP($B$1,dictionary!$A$3:$K$51,4,FALSE)*Q14</f>
        <v>0</v>
      </c>
      <c r="T14">
        <f>VLOOKUP($B$1,dictionary!$A$3:$K$51,5,FALSE)*Q14</f>
        <v>2.6172824453978921E-2</v>
      </c>
      <c r="U14">
        <f>VLOOKUP($B$1,dictionary!$A$3:$K$51,6,FALSE)*Q14</f>
        <v>4.5802442794463112E-2</v>
      </c>
      <c r="V14">
        <f>VLOOKUP($B$1,dictionary!$A$3:$K$51,7,FALSE)*Q14</f>
        <v>0</v>
      </c>
      <c r="W14">
        <f>VLOOKUP($B$1,dictionary!$A$3:$K$51,8,FALSE)*Q14</f>
        <v>6.5432061134947303E-3</v>
      </c>
      <c r="X14">
        <f>VLOOKUP($B$1,dictionary!$A$3:$K$51,9,FALSE)*Q14</f>
        <v>0</v>
      </c>
      <c r="Y14">
        <f>VLOOKUP($B$1,dictionary!$A$3:$K$51,10,FALSE)*Q14</f>
        <v>2.6172824453978921E-2</v>
      </c>
      <c r="Z14">
        <f>VLOOKUP($B$1,dictionary!$A$3:$K$51,11,FALSE)*Q14</f>
        <v>0</v>
      </c>
      <c r="AA14">
        <f t="shared" si="2"/>
        <v>0.43257685064844859</v>
      </c>
      <c r="AB14">
        <f t="shared" si="11"/>
        <v>0.26299937441353982</v>
      </c>
      <c r="AC14">
        <f t="shared" si="12"/>
        <v>0.16957747623490876</v>
      </c>
      <c r="AD14">
        <f t="shared" si="3"/>
        <v>1.3026453360141545E-2</v>
      </c>
      <c r="AE14">
        <f t="shared" si="13"/>
        <v>0</v>
      </c>
      <c r="AF14">
        <f t="shared" si="14"/>
        <v>1.4473837066823942E-2</v>
      </c>
      <c r="AG14">
        <f t="shared" si="15"/>
        <v>2.6052906720283094E-2</v>
      </c>
      <c r="AH14">
        <f t="shared" si="16"/>
        <v>0</v>
      </c>
      <c r="AI14">
        <f t="shared" si="17"/>
        <v>3.4280140421425118E-3</v>
      </c>
      <c r="AJ14">
        <f t="shared" si="18"/>
        <v>0</v>
      </c>
      <c r="AK14">
        <f t="shared" si="19"/>
        <v>1.3026453360141545E-2</v>
      </c>
      <c r="AL14">
        <f t="shared" si="20"/>
        <v>0</v>
      </c>
    </row>
    <row r="15" spans="1:51" x14ac:dyDescent="0.2">
      <c r="A15">
        <v>2032</v>
      </c>
      <c r="B15">
        <v>7</v>
      </c>
      <c r="C15">
        <f t="shared" si="21"/>
        <v>0.51889055357450309</v>
      </c>
      <c r="D15">
        <f t="shared" si="23"/>
        <v>2.7203017307049243E-2</v>
      </c>
      <c r="E15">
        <f t="shared" si="4"/>
        <v>2.7203017307049243E-2</v>
      </c>
      <c r="F15">
        <f t="shared" si="5"/>
        <v>9.0700771166496441E-3</v>
      </c>
      <c r="G15" s="9">
        <f t="shared" si="6"/>
        <v>5.2425346963159529E-2</v>
      </c>
      <c r="H15" s="9">
        <f t="shared" si="6"/>
        <v>5.2425346963159529E-2</v>
      </c>
      <c r="I15" s="9">
        <f t="shared" si="6"/>
        <v>1.7479749928319611E-2</v>
      </c>
      <c r="J15" s="9">
        <f t="shared" si="7"/>
        <v>6.8152951052107393E-3</v>
      </c>
      <c r="K15" s="9">
        <f t="shared" si="8"/>
        <v>1.0485069392631906E-2</v>
      </c>
      <c r="L15" s="9">
        <f t="shared" si="9"/>
        <v>6.9918999713278447E-3</v>
      </c>
      <c r="M15">
        <f t="shared" si="0"/>
        <v>0.50638511333583003</v>
      </c>
      <c r="N15">
        <f t="shared" si="10"/>
        <v>0.23457317225611288</v>
      </c>
      <c r="O15">
        <f t="shared" si="24"/>
        <v>0.27181194107971718</v>
      </c>
      <c r="P15">
        <f>IF($I$3=0,0,M15/(1+EXP(-$I$3*(B15-$J$3)))-M15/(1+EXP($I$3*$J$3)))</f>
        <v>9.868606736770498E-2</v>
      </c>
      <c r="Q15" s="9">
        <f t="shared" si="1"/>
        <v>0.19488342917035412</v>
      </c>
      <c r="R15">
        <f>VLOOKUP($B$1,dictionary!$A$3:$K$51,3,FALSE)*Q15</f>
        <v>3.8976685834070823E-2</v>
      </c>
      <c r="S15">
        <f>VLOOKUP($B$1,dictionary!$A$3:$K$51,4,FALSE)*Q15</f>
        <v>0</v>
      </c>
      <c r="T15">
        <f>VLOOKUP($B$1,dictionary!$A$3:$K$51,5,FALSE)*Q15</f>
        <v>3.8976685834070823E-2</v>
      </c>
      <c r="U15">
        <f>VLOOKUP($B$1,dictionary!$A$3:$K$51,6,FALSE)*Q15</f>
        <v>6.8209200209623941E-2</v>
      </c>
      <c r="V15">
        <f>VLOOKUP($B$1,dictionary!$A$3:$K$51,7,FALSE)*Q15</f>
        <v>0</v>
      </c>
      <c r="W15">
        <f>VLOOKUP($B$1,dictionary!$A$3:$K$51,8,FALSE)*Q15</f>
        <v>9.7441714585177058E-3</v>
      </c>
      <c r="X15">
        <f>VLOOKUP($B$1,dictionary!$A$3:$K$51,9,FALSE)*Q15</f>
        <v>0</v>
      </c>
      <c r="Y15">
        <f>VLOOKUP($B$1,dictionary!$A$3:$K$51,10,FALSE)*Q15</f>
        <v>3.8976685834070823E-2</v>
      </c>
      <c r="Z15">
        <f>VLOOKUP($B$1,dictionary!$A$3:$K$51,11,FALSE)*Q15</f>
        <v>0</v>
      </c>
      <c r="AA15">
        <f t="shared" si="2"/>
        <v>0.40769904596812506</v>
      </c>
      <c r="AB15">
        <f t="shared" si="11"/>
        <v>0.21884029791265164</v>
      </c>
      <c r="AC15">
        <f t="shared" si="12"/>
        <v>0.18885874805547345</v>
      </c>
      <c r="AD15">
        <f t="shared" si="3"/>
        <v>1.9737213473540995E-2</v>
      </c>
      <c r="AE15">
        <f t="shared" si="13"/>
        <v>0</v>
      </c>
      <c r="AF15">
        <f t="shared" si="14"/>
        <v>2.1930237192823328E-2</v>
      </c>
      <c r="AG15">
        <f t="shared" si="15"/>
        <v>3.9474426947081996E-2</v>
      </c>
      <c r="AH15">
        <f t="shared" si="16"/>
        <v>0</v>
      </c>
      <c r="AI15">
        <f t="shared" si="17"/>
        <v>5.1940035456686821E-3</v>
      </c>
      <c r="AJ15">
        <f t="shared" si="18"/>
        <v>0</v>
      </c>
      <c r="AK15">
        <f t="shared" si="19"/>
        <v>1.9737213473540995E-2</v>
      </c>
      <c r="AL15">
        <f t="shared" si="20"/>
        <v>0</v>
      </c>
    </row>
    <row r="16" spans="1:51" x14ac:dyDescent="0.2">
      <c r="A16">
        <v>2033</v>
      </c>
      <c r="B16">
        <v>8</v>
      </c>
      <c r="C16">
        <f t="shared" si="21"/>
        <v>0.5297872551995676</v>
      </c>
      <c r="D16">
        <f t="shared" si="23"/>
        <v>3.1742028637300385E-2</v>
      </c>
      <c r="E16">
        <f t="shared" si="4"/>
        <v>3.1742028637300385E-2</v>
      </c>
      <c r="F16">
        <f t="shared" si="5"/>
        <v>1.0584807189929324E-2</v>
      </c>
      <c r="G16" s="9">
        <f t="shared" si="6"/>
        <v>5.9914670135549707E-2</v>
      </c>
      <c r="H16" s="9">
        <f t="shared" si="6"/>
        <v>5.9914670135549707E-2</v>
      </c>
      <c r="I16" s="9">
        <f t="shared" si="6"/>
        <v>1.9979354138940343E-2</v>
      </c>
      <c r="J16" s="9">
        <f t="shared" si="7"/>
        <v>7.7889071176214623E-3</v>
      </c>
      <c r="K16" s="9">
        <f t="shared" si="8"/>
        <v>1.1982934027109942E-2</v>
      </c>
      <c r="L16" s="9">
        <f t="shared" si="9"/>
        <v>7.9917416555761369E-3</v>
      </c>
      <c r="M16">
        <f t="shared" si="0"/>
        <v>0.51521122729757673</v>
      </c>
      <c r="N16">
        <f t="shared" si="10"/>
        <v>0.27230148778335389</v>
      </c>
      <c r="O16">
        <f t="shared" si="24"/>
        <v>0.24290973951422284</v>
      </c>
      <c r="P16">
        <f t="shared" si="22"/>
        <v>0.1432614653065907</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0.37194976199098606</v>
      </c>
      <c r="AB16">
        <f t="shared" si="11"/>
        <v>0.17536539386286112</v>
      </c>
      <c r="AC16">
        <f t="shared" si="12"/>
        <v>0.19658436812812496</v>
      </c>
      <c r="AD16">
        <f t="shared" si="3"/>
        <v>2.8652293061318144E-2</v>
      </c>
      <c r="AE16">
        <f t="shared" si="13"/>
        <v>0</v>
      </c>
      <c r="AF16">
        <f t="shared" si="14"/>
        <v>3.1835881179242381E-2</v>
      </c>
      <c r="AG16">
        <f t="shared" si="15"/>
        <v>5.7304586122636295E-2</v>
      </c>
      <c r="AH16">
        <f t="shared" si="16"/>
        <v>0</v>
      </c>
      <c r="AI16">
        <f t="shared" si="17"/>
        <v>7.5400771213995112E-3</v>
      </c>
      <c r="AJ16">
        <f t="shared" si="18"/>
        <v>0</v>
      </c>
      <c r="AK16">
        <f t="shared" si="19"/>
        <v>2.8652293061318144E-2</v>
      </c>
      <c r="AL16">
        <f t="shared" si="20"/>
        <v>0</v>
      </c>
    </row>
    <row r="17" spans="1:38" x14ac:dyDescent="0.2">
      <c r="A17">
        <v>2034</v>
      </c>
      <c r="B17">
        <v>9</v>
      </c>
      <c r="C17">
        <f t="shared" si="21"/>
        <v>0.54091278755875849</v>
      </c>
      <c r="D17">
        <f t="shared" si="23"/>
        <v>3.6454220749310207E-2</v>
      </c>
      <c r="E17">
        <f t="shared" si="4"/>
        <v>3.6454220749310207E-2</v>
      </c>
      <c r="F17">
        <f t="shared" si="5"/>
        <v>1.2159291230193103E-2</v>
      </c>
      <c r="G17" s="9">
        <f t="shared" si="6"/>
        <v>6.7393897108321263E-2</v>
      </c>
      <c r="H17" s="9">
        <f t="shared" si="6"/>
        <v>6.7393897108321263E-2</v>
      </c>
      <c r="I17" s="9">
        <f t="shared" si="6"/>
        <v>2.2479208312065017E-2</v>
      </c>
      <c r="J17" s="9">
        <f t="shared" si="7"/>
        <v>8.7612066240817642E-3</v>
      </c>
      <c r="K17" s="9">
        <f t="shared" si="8"/>
        <v>1.3478779421664254E-2</v>
      </c>
      <c r="L17" s="9">
        <f t="shared" si="9"/>
        <v>8.9916833248260067E-3</v>
      </c>
      <c r="M17">
        <f t="shared" si="0"/>
        <v>0.52419064944029636</v>
      </c>
      <c r="N17">
        <f t="shared" si="10"/>
        <v>0.307227751574773</v>
      </c>
      <c r="O17">
        <f t="shared" si="24"/>
        <v>0.21696289786552336</v>
      </c>
      <c r="P17">
        <f t="shared" si="22"/>
        <v>0.19834002022983471</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0.32585062921046165</v>
      </c>
      <c r="AB17">
        <f t="shared" si="11"/>
        <v>0.13486981665982223</v>
      </c>
      <c r="AC17">
        <f t="shared" si="12"/>
        <v>0.19098081255063942</v>
      </c>
      <c r="AD17">
        <f t="shared" si="3"/>
        <v>3.9668004045966945E-2</v>
      </c>
      <c r="AE17">
        <f t="shared" si="13"/>
        <v>0</v>
      </c>
      <c r="AF17">
        <f t="shared" si="14"/>
        <v>4.4075560051074381E-2</v>
      </c>
      <c r="AG17">
        <f t="shared" si="15"/>
        <v>7.9336008091933891E-2</v>
      </c>
      <c r="AH17">
        <f t="shared" si="16"/>
        <v>0</v>
      </c>
      <c r="AI17">
        <f t="shared" si="17"/>
        <v>1.0438948433149194E-2</v>
      </c>
      <c r="AJ17">
        <f t="shared" si="18"/>
        <v>0</v>
      </c>
      <c r="AK17">
        <f t="shared" si="19"/>
        <v>3.9668004045966945E-2</v>
      </c>
      <c r="AL17">
        <f t="shared" si="20"/>
        <v>0</v>
      </c>
    </row>
    <row r="18" spans="1:38" x14ac:dyDescent="0.2">
      <c r="A18">
        <v>2035</v>
      </c>
      <c r="B18">
        <v>10</v>
      </c>
      <c r="C18">
        <f t="shared" si="21"/>
        <v>0.55227195609749236</v>
      </c>
      <c r="D18">
        <f t="shared" si="23"/>
        <v>4.1342907808838314E-2</v>
      </c>
      <c r="E18">
        <f t="shared" si="4"/>
        <v>4.1342907808838314E-2</v>
      </c>
      <c r="F18">
        <f t="shared" si="5"/>
        <v>1.3795304730720159E-2</v>
      </c>
      <c r="G18" s="9">
        <f t="shared" si="6"/>
        <v>7.4859690687499023E-2</v>
      </c>
      <c r="H18" s="9">
        <f t="shared" si="6"/>
        <v>7.4859690687499023E-2</v>
      </c>
      <c r="I18" s="9">
        <f t="shared" si="6"/>
        <v>2.4979187478939957E-2</v>
      </c>
      <c r="J18" s="9">
        <f t="shared" si="7"/>
        <v>9.731759789374874E-3</v>
      </c>
      <c r="K18" s="9">
        <f t="shared" si="8"/>
        <v>1.4971938137499806E-2</v>
      </c>
      <c r="L18" s="9">
        <f t="shared" si="9"/>
        <v>9.9916749915759835E-3</v>
      </c>
      <c r="M18">
        <f t="shared" si="0"/>
        <v>0.53332665648559641</v>
      </c>
      <c r="N18">
        <f t="shared" si="10"/>
        <v>0.33874186714704119</v>
      </c>
      <c r="O18">
        <f t="shared" si="24"/>
        <v>0.19458478933855522</v>
      </c>
      <c r="P18">
        <f t="shared" si="22"/>
        <v>0.2608036988646249</v>
      </c>
      <c r="Q18" s="9">
        <f t="shared" si="1"/>
        <v>0.48901305736940687</v>
      </c>
      <c r="R18">
        <f>VLOOKUP($B$1,dictionary!$A$3:$K$51,3,FALSE)*Q18</f>
        <v>9.7802611473881376E-2</v>
      </c>
      <c r="S18">
        <f>VLOOKUP($B$1,dictionary!$A$3:$K$51,4,FALSE)*Q18</f>
        <v>0</v>
      </c>
      <c r="T18">
        <f>VLOOKUP($B$1,dictionary!$A$3:$K$51,5,FALSE)*Q18</f>
        <v>9.7802611473881376E-2</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0.27252295762097151</v>
      </c>
      <c r="AB18">
        <f t="shared" si="11"/>
        <v>9.9430286586526376E-2</v>
      </c>
      <c r="AC18">
        <f t="shared" si="12"/>
        <v>0.17309267103444514</v>
      </c>
      <c r="AD18">
        <f t="shared" si="3"/>
        <v>5.2160739772924986E-2</v>
      </c>
      <c r="AE18">
        <f t="shared" si="13"/>
        <v>0</v>
      </c>
      <c r="AF18">
        <f t="shared" si="14"/>
        <v>5.7956377525472204E-2</v>
      </c>
      <c r="AG18">
        <f t="shared" si="15"/>
        <v>0.10432147954584997</v>
      </c>
      <c r="AH18">
        <f t="shared" si="16"/>
        <v>0</v>
      </c>
      <c r="AI18">
        <f t="shared" si="17"/>
        <v>1.3726510466559205E-2</v>
      </c>
      <c r="AJ18">
        <f t="shared" si="18"/>
        <v>0</v>
      </c>
      <c r="AK18">
        <f t="shared" si="19"/>
        <v>5.2160739772924986E-2</v>
      </c>
      <c r="AL18">
        <f t="shared" si="20"/>
        <v>0</v>
      </c>
    </row>
    <row r="19" spans="1:38" x14ac:dyDescent="0.2">
      <c r="A19">
        <v>2036</v>
      </c>
      <c r="B19">
        <v>11</v>
      </c>
      <c r="C19">
        <f t="shared" si="21"/>
        <v>0.56386966717553966</v>
      </c>
      <c r="D19">
        <f t="shared" si="23"/>
        <v>4.6411400542309467E-2</v>
      </c>
      <c r="E19">
        <f t="shared" si="4"/>
        <v>4.6411400542309467E-2</v>
      </c>
      <c r="F19">
        <f t="shared" si="5"/>
        <v>1.5494668550836865E-2</v>
      </c>
      <c r="G19" s="9">
        <f t="shared" si="6"/>
        <v>8.2308737717329661E-2</v>
      </c>
      <c r="H19" s="9">
        <f t="shared" si="6"/>
        <v>8.2308737717329661E-2</v>
      </c>
      <c r="I19" s="9">
        <f t="shared" si="6"/>
        <v>2.7479166645814949E-2</v>
      </c>
      <c r="J19" s="9">
        <f t="shared" si="7"/>
        <v>1.0700135903252856E-2</v>
      </c>
      <c r="K19" s="9">
        <f t="shared" si="8"/>
        <v>1.6461747543465934E-2</v>
      </c>
      <c r="L19" s="9">
        <f t="shared" si="9"/>
        <v>1.0991666658325981E-2</v>
      </c>
      <c r="M19">
        <f t="shared" si="0"/>
        <v>0.54262261327682082</v>
      </c>
      <c r="N19">
        <f t="shared" si="10"/>
        <v>0.36666280328822026</v>
      </c>
      <c r="O19">
        <f t="shared" si="24"/>
        <v>0.17595980998860056</v>
      </c>
      <c r="P19">
        <f t="shared" si="22"/>
        <v>0.32538489337274784</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0.21723771990407298</v>
      </c>
      <c r="AB19">
        <f t="shared" si="11"/>
        <v>7.0445106748945677E-2</v>
      </c>
      <c r="AC19">
        <f t="shared" si="12"/>
        <v>0.14679261315512729</v>
      </c>
      <c r="AD19">
        <f t="shared" si="3"/>
        <v>6.5076978674549577E-2</v>
      </c>
      <c r="AE19">
        <f t="shared" si="13"/>
        <v>0</v>
      </c>
      <c r="AF19">
        <f t="shared" si="14"/>
        <v>7.2307754082832867E-2</v>
      </c>
      <c r="AG19">
        <f t="shared" si="15"/>
        <v>0.13015395734909915</v>
      </c>
      <c r="AH19">
        <f t="shared" si="16"/>
        <v>0</v>
      </c>
      <c r="AI19">
        <f t="shared" si="17"/>
        <v>1.7125520703828834E-2</v>
      </c>
      <c r="AJ19">
        <f t="shared" si="18"/>
        <v>0</v>
      </c>
      <c r="AK19">
        <f t="shared" si="19"/>
        <v>6.5076978674549577E-2</v>
      </c>
      <c r="AL19">
        <f t="shared" si="20"/>
        <v>0</v>
      </c>
    </row>
    <row r="20" spans="1:38" x14ac:dyDescent="0.2">
      <c r="A20">
        <v>2037</v>
      </c>
      <c r="B20">
        <v>12</v>
      </c>
      <c r="C20">
        <f t="shared" si="21"/>
        <v>0.57571093018622599</v>
      </c>
      <c r="D20">
        <f t="shared" si="23"/>
        <v>5.1663006356708452E-2</v>
      </c>
      <c r="E20">
        <f t="shared" si="4"/>
        <v>5.1663006356708452E-2</v>
      </c>
      <c r="F20">
        <f t="shared" si="5"/>
        <v>1.7259249961743994E-2</v>
      </c>
      <c r="G20" s="9">
        <f t="shared" si="6"/>
        <v>8.9737754918074855E-2</v>
      </c>
      <c r="H20" s="9">
        <f t="shared" si="6"/>
        <v>8.9737754918074855E-2</v>
      </c>
      <c r="I20" s="9">
        <f t="shared" si="6"/>
        <v>2.9979020818939675E-2</v>
      </c>
      <c r="J20" s="9">
        <f t="shared" si="7"/>
        <v>1.1665908139349732E-2</v>
      </c>
      <c r="K20" s="9">
        <f t="shared" si="8"/>
        <v>1.794755098361497E-2</v>
      </c>
      <c r="L20" s="9">
        <f t="shared" si="9"/>
        <v>1.199160832757587E-2</v>
      </c>
      <c r="M20">
        <f t="shared" si="0"/>
        <v>0.55208197425977878</v>
      </c>
      <c r="N20">
        <f t="shared" si="10"/>
        <v>0.39113774249025124</v>
      </c>
      <c r="O20">
        <f t="shared" si="24"/>
        <v>0.16094423176952755</v>
      </c>
      <c r="P20">
        <f>IF($I$3=0,0,M20/(1+EXP(-$I$3*(B20-$J$3)))-M20/(1+EXP($I$3*$J$3)))</f>
        <v>0.38643671202964314</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0.16564526223013565</v>
      </c>
      <c r="AB20">
        <f t="shared" si="11"/>
        <v>4.8289295283795275E-2</v>
      </c>
      <c r="AC20">
        <f t="shared" si="12"/>
        <v>0.11735596694634037</v>
      </c>
      <c r="AD20">
        <f t="shared" si="3"/>
        <v>7.7287342405928633E-2</v>
      </c>
      <c r="AE20">
        <f t="shared" si="13"/>
        <v>0</v>
      </c>
      <c r="AF20">
        <f t="shared" si="14"/>
        <v>8.5874824895476265E-2</v>
      </c>
      <c r="AG20">
        <f t="shared" si="15"/>
        <v>0.15457468481185727</v>
      </c>
      <c r="AH20">
        <f t="shared" si="16"/>
        <v>0</v>
      </c>
      <c r="AI20">
        <f t="shared" si="17"/>
        <v>2.033877431734964E-2</v>
      </c>
      <c r="AJ20">
        <f t="shared" si="18"/>
        <v>0</v>
      </c>
      <c r="AK20">
        <f t="shared" si="19"/>
        <v>7.7287342405928633E-2</v>
      </c>
      <c r="AL20">
        <f t="shared" si="20"/>
        <v>0</v>
      </c>
    </row>
    <row r="21" spans="1:38" x14ac:dyDescent="0.2">
      <c r="A21">
        <v>2038</v>
      </c>
      <c r="B21">
        <v>13</v>
      </c>
      <c r="C21">
        <f t="shared" si="21"/>
        <v>0.58780085972013663</v>
      </c>
      <c r="D21">
        <f t="shared" si="23"/>
        <v>5.7101029648530477E-2</v>
      </c>
      <c r="E21">
        <f t="shared" si="4"/>
        <v>5.7101029648530477E-2</v>
      </c>
      <c r="F21">
        <f t="shared" si="5"/>
        <v>1.9090963714903542E-2</v>
      </c>
      <c r="G21" s="9">
        <f t="shared" si="6"/>
        <v>9.714349461094253E-2</v>
      </c>
      <c r="H21" s="9">
        <f t="shared" si="6"/>
        <v>9.714349461094253E-2</v>
      </c>
      <c r="I21" s="9">
        <f t="shared" si="6"/>
        <v>3.2478625029560386E-2</v>
      </c>
      <c r="J21" s="9">
        <f t="shared" si="7"/>
        <v>1.262865429942253E-2</v>
      </c>
      <c r="K21" s="9">
        <f t="shared" si="8"/>
        <v>1.9428698922188507E-2</v>
      </c>
      <c r="L21" s="9">
        <f t="shared" si="9"/>
        <v>1.2991450011824154E-2</v>
      </c>
      <c r="M21">
        <f t="shared" si="0"/>
        <v>0.56170828493900427</v>
      </c>
      <c r="N21">
        <f t="shared" si="10"/>
        <v>0.41251956413128288</v>
      </c>
      <c r="O21">
        <f t="shared" si="24"/>
        <v>0.14918872080772139</v>
      </c>
      <c r="P21">
        <f t="shared" si="22"/>
        <v>0.43989773477318528</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0.12181055016581899</v>
      </c>
      <c r="AB21">
        <f t="shared" si="11"/>
        <v>3.2352665337839349E-2</v>
      </c>
      <c r="AC21">
        <f t="shared" si="12"/>
        <v>8.9457884827979645E-2</v>
      </c>
      <c r="AD21">
        <f t="shared" si="3"/>
        <v>8.797954695463707E-2</v>
      </c>
      <c r="AE21">
        <f t="shared" si="13"/>
        <v>0</v>
      </c>
      <c r="AF21">
        <f t="shared" si="14"/>
        <v>9.7755052171818971E-2</v>
      </c>
      <c r="AG21">
        <f t="shared" si="15"/>
        <v>0.17595909390927411</v>
      </c>
      <c r="AH21">
        <f t="shared" si="16"/>
        <v>0</v>
      </c>
      <c r="AI21">
        <f t="shared" si="17"/>
        <v>2.315251235648344E-2</v>
      </c>
      <c r="AJ21">
        <f t="shared" si="18"/>
        <v>0</v>
      </c>
      <c r="AK21">
        <f t="shared" si="19"/>
        <v>8.797954695463707E-2</v>
      </c>
      <c r="AL21">
        <f t="shared" si="20"/>
        <v>0</v>
      </c>
    </row>
    <row r="22" spans="1:38" x14ac:dyDescent="0.2">
      <c r="A22">
        <v>2039</v>
      </c>
      <c r="B22">
        <v>14</v>
      </c>
      <c r="C22">
        <f t="shared" si="21"/>
        <v>0.60014467777425939</v>
      </c>
      <c r="D22">
        <f t="shared" si="23"/>
        <v>6.2728772304396552E-2</v>
      </c>
      <c r="E22">
        <f t="shared" si="4"/>
        <v>6.2728772304396552E-2</v>
      </c>
      <c r="F22">
        <f t="shared" si="5"/>
        <v>2.0991773133460345E-2</v>
      </c>
      <c r="G22" s="9">
        <f t="shared" si="6"/>
        <v>0.10452275030920391</v>
      </c>
      <c r="H22" s="9">
        <f t="shared" si="6"/>
        <v>0.10452275030920391</v>
      </c>
      <c r="I22" s="9">
        <f t="shared" si="6"/>
        <v>3.4977854358905547E-2</v>
      </c>
      <c r="J22" s="9">
        <f t="shared" si="7"/>
        <v>1.3587957540196509E-2</v>
      </c>
      <c r="K22" s="9">
        <f t="shared" si="8"/>
        <v>2.0904550061840783E-2</v>
      </c>
      <c r="L22" s="9">
        <f t="shared" si="9"/>
        <v>1.3991141743562219E-2</v>
      </c>
      <c r="M22">
        <f t="shared" si="0"/>
        <v>0.57150518331067557</v>
      </c>
      <c r="N22">
        <f t="shared" si="10"/>
        <v>0.4312584514901357</v>
      </c>
      <c r="O22">
        <f t="shared" si="24"/>
        <v>0.14024673182053987</v>
      </c>
      <c r="P22">
        <f t="shared" si="22"/>
        <v>0.4841574697997868</v>
      </c>
      <c r="Q22" s="9">
        <f t="shared" si="1"/>
        <v>0.84716199246891921</v>
      </c>
      <c r="R22">
        <f>VLOOKUP($B$1,dictionary!$A$3:$K$51,3,FALSE)*Q22</f>
        <v>0.16943239849378386</v>
      </c>
      <c r="S22">
        <f>VLOOKUP($B$1,dictionary!$A$3:$K$51,4,FALSE)*Q22</f>
        <v>0</v>
      </c>
      <c r="T22">
        <f>VLOOKUP($B$1,dictionary!$A$3:$K$51,5,FALSE)*Q22</f>
        <v>0.16943239849378386</v>
      </c>
      <c r="U22">
        <f>VLOOKUP($B$1,dictionary!$A$3:$K$51,6,FALSE)*Q22</f>
        <v>0.29650669736412172</v>
      </c>
      <c r="V22">
        <f>VLOOKUP($B$1,dictionary!$A$3:$K$51,7,FALSE)*Q22</f>
        <v>0</v>
      </c>
      <c r="W22">
        <f>VLOOKUP($B$1,dictionary!$A$3:$K$51,8,FALSE)*Q22</f>
        <v>4.2358099623445965E-2</v>
      </c>
      <c r="X22">
        <f>VLOOKUP($B$1,dictionary!$A$3:$K$51,9,FALSE)*Q22</f>
        <v>0</v>
      </c>
      <c r="Y22">
        <f>VLOOKUP($B$1,dictionary!$A$3:$K$51,10,FALSE)*Q22</f>
        <v>0.16943239849378386</v>
      </c>
      <c r="Z22">
        <f>VLOOKUP($B$1,dictionary!$A$3:$K$51,11,FALSE)*Q22</f>
        <v>0</v>
      </c>
      <c r="AA22">
        <f t="shared" si="2"/>
        <v>8.7347713510888769E-2</v>
      </c>
      <c r="AB22">
        <f t="shared" si="11"/>
        <v>2.1435031054197147E-2</v>
      </c>
      <c r="AC22">
        <f t="shared" si="12"/>
        <v>6.5912682456691629E-2</v>
      </c>
      <c r="AD22">
        <f t="shared" si="3"/>
        <v>9.6831493959957368E-2</v>
      </c>
      <c r="AE22">
        <f t="shared" si="13"/>
        <v>0</v>
      </c>
      <c r="AF22">
        <f t="shared" si="14"/>
        <v>0.10759054884439709</v>
      </c>
      <c r="AG22">
        <f t="shared" si="15"/>
        <v>0.19366298791991476</v>
      </c>
      <c r="AH22">
        <f t="shared" si="16"/>
        <v>0</v>
      </c>
      <c r="AI22">
        <f t="shared" si="17"/>
        <v>2.5481972094725622E-2</v>
      </c>
      <c r="AJ22">
        <f t="shared" si="18"/>
        <v>0</v>
      </c>
      <c r="AK22">
        <f t="shared" si="19"/>
        <v>9.6831493959957368E-2</v>
      </c>
      <c r="AL22">
        <f t="shared" si="20"/>
        <v>0</v>
      </c>
    </row>
    <row r="23" spans="1:38" x14ac:dyDescent="0.2">
      <c r="A23">
        <v>2040</v>
      </c>
      <c r="B23">
        <v>15</v>
      </c>
      <c r="C23">
        <f t="shared" si="21"/>
        <v>0.61274771600751876</v>
      </c>
      <c r="D23">
        <f t="shared" si="23"/>
        <v>6.8549534395092537E-2</v>
      </c>
      <c r="E23">
        <f t="shared" si="4"/>
        <v>6.8549534395092537E-2</v>
      </c>
      <c r="F23">
        <f t="shared" si="5"/>
        <v>2.2963691227184391E-2</v>
      </c>
      <c r="G23" s="9">
        <f t="shared" si="6"/>
        <v>0.11187236215540849</v>
      </c>
      <c r="H23" s="9">
        <f t="shared" si="6"/>
        <v>0.11187236215540849</v>
      </c>
      <c r="I23" s="9">
        <f t="shared" si="6"/>
        <v>3.7476583963150366E-2</v>
      </c>
      <c r="J23" s="9">
        <f t="shared" si="7"/>
        <v>1.4543407080203104E-2</v>
      </c>
      <c r="K23" s="9">
        <f t="shared" si="8"/>
        <v>2.2374472431081701E-2</v>
      </c>
      <c r="L23" s="9">
        <f t="shared" si="9"/>
        <v>1.4990633585260147E-2</v>
      </c>
      <c r="M23">
        <f t="shared" si="0"/>
        <v>0.5814764012735878</v>
      </c>
      <c r="N23">
        <f t="shared" si="10"/>
        <v>0.44782323812766939</v>
      </c>
      <c r="O23">
        <f t="shared" si="24"/>
        <v>0.13365316314591841</v>
      </c>
      <c r="P23">
        <f t="shared" si="22"/>
        <v>0.51964428969885468</v>
      </c>
      <c r="Q23" s="9">
        <f t="shared" si="1"/>
        <v>0.89366359247029736</v>
      </c>
      <c r="R23">
        <f>VLOOKUP($B$1,dictionary!$A$3:$K$51,3,FALSE)*Q23</f>
        <v>0.17873271849405947</v>
      </c>
      <c r="S23">
        <f>VLOOKUP($B$1,dictionary!$A$3:$K$51,4,FALSE)*Q23</f>
        <v>0</v>
      </c>
      <c r="T23">
        <f>VLOOKUP($B$1,dictionary!$A$3:$K$51,5,FALSE)*Q23</f>
        <v>0.17873271849405947</v>
      </c>
      <c r="U23">
        <f>VLOOKUP($B$1,dictionary!$A$3:$K$51,6,FALSE)*Q23</f>
        <v>0.31278225736460408</v>
      </c>
      <c r="V23">
        <f>VLOOKUP($B$1,dictionary!$A$3:$K$51,7,FALSE)*Q23</f>
        <v>0</v>
      </c>
      <c r="W23">
        <f>VLOOKUP($B$1,dictionary!$A$3:$K$51,8,FALSE)*Q23</f>
        <v>4.4683179623514868E-2</v>
      </c>
      <c r="X23">
        <f>VLOOKUP($B$1,dictionary!$A$3:$K$51,9,FALSE)*Q23</f>
        <v>0</v>
      </c>
      <c r="Y23">
        <f>VLOOKUP($B$1,dictionary!$A$3:$K$51,10,FALSE)*Q23</f>
        <v>0.17873271849405947</v>
      </c>
      <c r="Z23">
        <f>VLOOKUP($B$1,dictionary!$A$3:$K$51,11,FALSE)*Q23</f>
        <v>0</v>
      </c>
      <c r="AA23">
        <f t="shared" si="2"/>
        <v>6.1832111574733117E-2</v>
      </c>
      <c r="AB23">
        <f t="shared" si="11"/>
        <v>1.421219722391821E-2</v>
      </c>
      <c r="AC23">
        <f t="shared" si="12"/>
        <v>4.7619914350814911E-2</v>
      </c>
      <c r="AD23">
        <f t="shared" si="3"/>
        <v>0.10392885793977093</v>
      </c>
      <c r="AE23">
        <f t="shared" si="13"/>
        <v>0</v>
      </c>
      <c r="AF23">
        <f t="shared" si="14"/>
        <v>0.11547650882196769</v>
      </c>
      <c r="AG23">
        <f t="shared" si="15"/>
        <v>0.20785771587954188</v>
      </c>
      <c r="AH23">
        <f t="shared" si="16"/>
        <v>0</v>
      </c>
      <c r="AI23">
        <f t="shared" si="17"/>
        <v>2.7349699457834456E-2</v>
      </c>
      <c r="AJ23">
        <f t="shared" si="18"/>
        <v>0</v>
      </c>
      <c r="AK23">
        <f t="shared" si="19"/>
        <v>0.10392885793977093</v>
      </c>
      <c r="AL23">
        <f t="shared" si="20"/>
        <v>0</v>
      </c>
    </row>
    <row r="24" spans="1:38" x14ac:dyDescent="0.2">
      <c r="A24">
        <v>2041</v>
      </c>
      <c r="B24">
        <v>16</v>
      </c>
      <c r="C24">
        <f t="shared" si="21"/>
        <v>0.6256154180436766</v>
      </c>
      <c r="D24">
        <f t="shared" si="23"/>
        <v>7.4566615063935915E-2</v>
      </c>
      <c r="E24">
        <f t="shared" si="4"/>
        <v>7.4566615063935915E-2</v>
      </c>
      <c r="F24">
        <f t="shared" si="5"/>
        <v>2.5008781831430238E-2</v>
      </c>
      <c r="G24" s="9">
        <f t="shared" si="6"/>
        <v>0.11918922218558581</v>
      </c>
      <c r="H24" s="9">
        <f t="shared" si="6"/>
        <v>0.11918922218558581</v>
      </c>
      <c r="I24" s="9">
        <f t="shared" si="6"/>
        <v>3.9974689098350003E-2</v>
      </c>
      <c r="J24" s="9">
        <f t="shared" si="7"/>
        <v>1.5494598884126156E-2</v>
      </c>
      <c r="K24" s="9">
        <f t="shared" si="8"/>
        <v>2.3837844437117162E-2</v>
      </c>
      <c r="L24" s="9">
        <f t="shared" si="9"/>
        <v>1.5989875639340002E-2</v>
      </c>
      <c r="M24">
        <f t="shared" si="0"/>
        <v>0.59162576601985195</v>
      </c>
      <c r="N24">
        <f t="shared" si="10"/>
        <v>0.46265329365468311</v>
      </c>
      <c r="O24">
        <f t="shared" si="24"/>
        <v>0.12897247236516884</v>
      </c>
      <c r="P24">
        <f t="shared" si="22"/>
        <v>0.54786894765374972</v>
      </c>
      <c r="Q24" s="9">
        <f t="shared" si="1"/>
        <v>0.92603970131241042</v>
      </c>
      <c r="R24">
        <f>VLOOKUP($B$1,dictionary!$A$3:$K$51,3,FALSE)*Q24</f>
        <v>0.18520794026248211</v>
      </c>
      <c r="S24">
        <f>VLOOKUP($B$1,dictionary!$A$3:$K$51,4,FALSE)*Q24</f>
        <v>0</v>
      </c>
      <c r="T24">
        <f>VLOOKUP($B$1,dictionary!$A$3:$K$51,5,FALSE)*Q24</f>
        <v>0.18520794026248211</v>
      </c>
      <c r="U24">
        <f>VLOOKUP($B$1,dictionary!$A$3:$K$51,6,FALSE)*Q24</f>
        <v>0.3241138954593436</v>
      </c>
      <c r="V24">
        <f>VLOOKUP($B$1,dictionary!$A$3:$K$51,7,FALSE)*Q24</f>
        <v>0</v>
      </c>
      <c r="W24">
        <f>VLOOKUP($B$1,dictionary!$A$3:$K$51,8,FALSE)*Q24</f>
        <v>4.6301985065620527E-2</v>
      </c>
      <c r="X24">
        <f>VLOOKUP($B$1,dictionary!$A$3:$K$51,9,FALSE)*Q24</f>
        <v>0</v>
      </c>
      <c r="Y24">
        <f>VLOOKUP($B$1,dictionary!$A$3:$K$51,10,FALSE)*Q24</f>
        <v>0.18520794026248211</v>
      </c>
      <c r="Z24">
        <f>VLOOKUP($B$1,dictionary!$A$3:$K$51,11,FALSE)*Q24</f>
        <v>0</v>
      </c>
      <c r="AA24">
        <f t="shared" si="2"/>
        <v>4.3756818366102235E-2</v>
      </c>
      <c r="AB24">
        <f t="shared" si="11"/>
        <v>9.5388425786047809E-3</v>
      </c>
      <c r="AC24">
        <f t="shared" si="12"/>
        <v>3.4217975787497454E-2</v>
      </c>
      <c r="AD24">
        <f t="shared" si="3"/>
        <v>0.10957378953074995</v>
      </c>
      <c r="AE24">
        <f t="shared" si="13"/>
        <v>0</v>
      </c>
      <c r="AF24">
        <f t="shared" si="14"/>
        <v>0.12174865503416663</v>
      </c>
      <c r="AG24">
        <f t="shared" si="15"/>
        <v>0.2191475790614999</v>
      </c>
      <c r="AH24">
        <f t="shared" si="16"/>
        <v>0</v>
      </c>
      <c r="AI24">
        <f t="shared" si="17"/>
        <v>2.8835207771249989E-2</v>
      </c>
      <c r="AJ24">
        <f t="shared" si="18"/>
        <v>0</v>
      </c>
      <c r="AK24">
        <f t="shared" si="19"/>
        <v>0.10957378953074995</v>
      </c>
      <c r="AL24">
        <f t="shared" si="20"/>
        <v>0</v>
      </c>
    </row>
    <row r="25" spans="1:38" x14ac:dyDescent="0.2">
      <c r="A25">
        <v>2042</v>
      </c>
      <c r="B25">
        <v>17</v>
      </c>
      <c r="C25">
        <f t="shared" si="21"/>
        <v>0.6387533418225938</v>
      </c>
      <c r="D25">
        <f t="shared" si="23"/>
        <v>8.0783313609529506E-2</v>
      </c>
      <c r="E25">
        <f t="shared" si="4"/>
        <v>8.0783313609529506E-2</v>
      </c>
      <c r="F25">
        <f t="shared" si="5"/>
        <v>2.7129160770619443E-2</v>
      </c>
      <c r="G25" s="9">
        <f t="shared" si="6"/>
        <v>0.12647027940241465</v>
      </c>
      <c r="H25" s="9">
        <f t="shared" si="6"/>
        <v>0.12647027940241465</v>
      </c>
      <c r="I25" s="9">
        <f t="shared" si="6"/>
        <v>4.2472045145329741E-2</v>
      </c>
      <c r="J25" s="9">
        <f t="shared" si="7"/>
        <v>1.6441136322313903E-2</v>
      </c>
      <c r="K25" s="9">
        <f t="shared" si="8"/>
        <v>2.5294055880482932E-2</v>
      </c>
      <c r="L25" s="9">
        <f t="shared" si="9"/>
        <v>1.6988818058131898E-2</v>
      </c>
      <c r="M25">
        <f t="shared" si="0"/>
        <v>0.60195720140724995</v>
      </c>
      <c r="N25">
        <f t="shared" si="10"/>
        <v>0.47613459181214723</v>
      </c>
      <c r="O25">
        <f t="shared" si="24"/>
        <v>0.12582260959510272</v>
      </c>
      <c r="P25">
        <f>IF($I$3=0,0,M25/(1+EXP(-$I$3*(B25-$J$3)))-M25/(1+EXP($I$3*$J$3)))</f>
        <v>0.5706083413415175</v>
      </c>
      <c r="Q25" s="9">
        <f t="shared" si="1"/>
        <v>0.94792177916894194</v>
      </c>
      <c r="R25">
        <f>VLOOKUP($B$1,dictionary!$A$3:$K$51,3,FALSE)*Q25</f>
        <v>0.18958435583378841</v>
      </c>
      <c r="S25">
        <f>VLOOKUP($B$1,dictionary!$A$3:$K$51,4,FALSE)*Q25</f>
        <v>0</v>
      </c>
      <c r="T25">
        <f>VLOOKUP($B$1,dictionary!$A$3:$K$51,5,FALSE)*Q25</f>
        <v>0.18958435583378841</v>
      </c>
      <c r="U25">
        <f>VLOOKUP($B$1,dictionary!$A$3:$K$51,6,FALSE)*Q25</f>
        <v>0.33177262270912966</v>
      </c>
      <c r="V25">
        <f>VLOOKUP($B$1,dictionary!$A$3:$K$51,7,FALSE)*Q25</f>
        <v>0</v>
      </c>
      <c r="W25">
        <f>VLOOKUP($B$1,dictionary!$A$3:$K$51,8,FALSE)*Q25</f>
        <v>4.7396088958447102E-2</v>
      </c>
      <c r="X25">
        <f>VLOOKUP($B$1,dictionary!$A$3:$K$51,9,FALSE)*Q25</f>
        <v>0</v>
      </c>
      <c r="Y25">
        <f>VLOOKUP($B$1,dictionary!$A$3:$K$51,10,FALSE)*Q25</f>
        <v>0.18958435583378841</v>
      </c>
      <c r="Z25">
        <f>VLOOKUP($B$1,dictionary!$A$3:$K$51,11,FALSE)*Q25</f>
        <v>0</v>
      </c>
      <c r="AA25">
        <f t="shared" si="2"/>
        <v>3.1348860065732453E-2</v>
      </c>
      <c r="AB25">
        <f t="shared" si="11"/>
        <v>6.552617648033764E-3</v>
      </c>
      <c r="AC25">
        <f t="shared" si="12"/>
        <v>2.4796242417698691E-2</v>
      </c>
      <c r="AD25">
        <f t="shared" si="3"/>
        <v>0.11412166826830351</v>
      </c>
      <c r="AE25">
        <f t="shared" si="13"/>
        <v>0</v>
      </c>
      <c r="AF25">
        <f t="shared" si="14"/>
        <v>0.12680185363144836</v>
      </c>
      <c r="AG25">
        <f t="shared" si="15"/>
        <v>0.22824333653660703</v>
      </c>
      <c r="AH25">
        <f t="shared" si="16"/>
        <v>0</v>
      </c>
      <c r="AI25">
        <f t="shared" si="17"/>
        <v>3.0032017965343029E-2</v>
      </c>
      <c r="AJ25">
        <f t="shared" si="18"/>
        <v>0</v>
      </c>
      <c r="AK25">
        <f t="shared" si="19"/>
        <v>0.11412166826830351</v>
      </c>
      <c r="AL25">
        <f t="shared" si="20"/>
        <v>0</v>
      </c>
    </row>
    <row r="26" spans="1:38" x14ac:dyDescent="0.2">
      <c r="A26">
        <v>2043</v>
      </c>
      <c r="B26">
        <v>18</v>
      </c>
      <c r="C26">
        <f t="shared" si="21"/>
        <v>0.65216716200086822</v>
      </c>
      <c r="D26">
        <f t="shared" si="23"/>
        <v>8.7202930762133646E-2</v>
      </c>
      <c r="E26">
        <f t="shared" si="4"/>
        <v>8.7202930762133646E-2</v>
      </c>
      <c r="F26">
        <f t="shared" si="5"/>
        <v>2.9326997046763725E-2</v>
      </c>
      <c r="G26" s="9">
        <f t="shared" si="6"/>
        <v>0.13371254464053736</v>
      </c>
      <c r="H26" s="9">
        <f t="shared" si="6"/>
        <v>0.13371254464053736</v>
      </c>
      <c r="I26" s="9">
        <f t="shared" si="6"/>
        <v>4.4968527634521839E-2</v>
      </c>
      <c r="J26" s="9">
        <f t="shared" si="7"/>
        <v>1.7382630803269856E-2</v>
      </c>
      <c r="K26" s="9">
        <f t="shared" si="8"/>
        <v>2.6742508928107474E-2</v>
      </c>
      <c r="L26" s="9">
        <f t="shared" si="9"/>
        <v>1.7987411053808737E-2</v>
      </c>
      <c r="M26">
        <f t="shared" si="0"/>
        <v>0.61247472931541957</v>
      </c>
      <c r="N26">
        <f t="shared" si="10"/>
        <v>0.48859202011788355</v>
      </c>
      <c r="O26">
        <f t="shared" si="24"/>
        <v>0.12388270919753602</v>
      </c>
      <c r="P26">
        <f t="shared" si="22"/>
        <v>0.58945551816014796</v>
      </c>
      <c r="Q26" s="9">
        <f t="shared" si="1"/>
        <v>0.96241606379254074</v>
      </c>
      <c r="R26">
        <f>VLOOKUP($B$1,dictionary!$A$3:$K$51,3,FALSE)*Q26</f>
        <v>0.19248321275850816</v>
      </c>
      <c r="S26">
        <f>VLOOKUP($B$1,dictionary!$A$3:$K$51,4,FALSE)*Q26</f>
        <v>0</v>
      </c>
      <c r="T26">
        <f>VLOOKUP($B$1,dictionary!$A$3:$K$51,5,FALSE)*Q26</f>
        <v>0.19248321275850816</v>
      </c>
      <c r="U26">
        <f>VLOOKUP($B$1,dictionary!$A$3:$K$51,6,FALSE)*Q26</f>
        <v>0.33684562232738924</v>
      </c>
      <c r="V26">
        <f>VLOOKUP($B$1,dictionary!$A$3:$K$51,7,FALSE)*Q26</f>
        <v>0</v>
      </c>
      <c r="W26">
        <f>VLOOKUP($B$1,dictionary!$A$3:$K$51,8,FALSE)*Q26</f>
        <v>4.812080318962704E-2</v>
      </c>
      <c r="X26">
        <f>VLOOKUP($B$1,dictionary!$A$3:$K$51,9,FALSE)*Q26</f>
        <v>0</v>
      </c>
      <c r="Y26">
        <f>VLOOKUP($B$1,dictionary!$A$3:$K$51,10,FALSE)*Q26</f>
        <v>0.19248321275850816</v>
      </c>
      <c r="Z26">
        <f>VLOOKUP($B$1,dictionary!$A$3:$K$51,11,FALSE)*Q26</f>
        <v>0</v>
      </c>
      <c r="AA26">
        <f t="shared" si="2"/>
        <v>2.3019211155271613E-2</v>
      </c>
      <c r="AB26">
        <f t="shared" si="11"/>
        <v>4.6559998396874212E-3</v>
      </c>
      <c r="AC26">
        <f t="shared" si="12"/>
        <v>1.8363211315584192E-2</v>
      </c>
      <c r="AD26">
        <f t="shared" si="3"/>
        <v>0.11789110363202961</v>
      </c>
      <c r="AE26">
        <f t="shared" si="13"/>
        <v>0</v>
      </c>
      <c r="AF26">
        <f t="shared" si="14"/>
        <v>0.13099011514669956</v>
      </c>
      <c r="AG26">
        <f t="shared" si="15"/>
        <v>0.23578220726405921</v>
      </c>
      <c r="AH26">
        <f t="shared" si="16"/>
        <v>0</v>
      </c>
      <c r="AI26">
        <f t="shared" si="17"/>
        <v>3.1023974640007786E-2</v>
      </c>
      <c r="AJ26">
        <f t="shared" si="18"/>
        <v>0</v>
      </c>
      <c r="AK26">
        <f t="shared" si="19"/>
        <v>0.11789110363202961</v>
      </c>
      <c r="AL26">
        <f t="shared" si="20"/>
        <v>0</v>
      </c>
    </row>
    <row r="27" spans="1:38" x14ac:dyDescent="0.2">
      <c r="A27">
        <v>2044</v>
      </c>
      <c r="B27">
        <v>19</v>
      </c>
      <c r="C27">
        <f t="shared" si="21"/>
        <v>0.66586267240288644</v>
      </c>
      <c r="D27">
        <f t="shared" si="23"/>
        <v>9.3828770152078078E-2</v>
      </c>
      <c r="E27">
        <f t="shared" si="4"/>
        <v>9.3828770152078078E-2</v>
      </c>
      <c r="F27">
        <f t="shared" si="5"/>
        <v>3.1604514053558408E-2</v>
      </c>
      <c r="G27" s="9">
        <f t="shared" si="6"/>
        <v>0.14091309520847581</v>
      </c>
      <c r="H27" s="9">
        <f t="shared" si="6"/>
        <v>0.14091309520847581</v>
      </c>
      <c r="I27" s="9">
        <f t="shared" si="6"/>
        <v>4.7464012270740118E-2</v>
      </c>
      <c r="J27" s="9">
        <f t="shared" si="7"/>
        <v>1.8318702377101856E-2</v>
      </c>
      <c r="K27" s="9">
        <f t="shared" si="8"/>
        <v>2.8182619041695164E-2</v>
      </c>
      <c r="L27" s="9">
        <f t="shared" si="9"/>
        <v>1.8985604908296049E-2</v>
      </c>
      <c r="M27">
        <f t="shared" si="0"/>
        <v>0.62318247098827984</v>
      </c>
      <c r="N27">
        <f t="shared" si="10"/>
        <v>0.50029116471423041</v>
      </c>
      <c r="O27">
        <f t="shared" si="24"/>
        <v>0.12289130627404943</v>
      </c>
      <c r="P27">
        <f t="shared" si="22"/>
        <v>0.60566420353615946</v>
      </c>
      <c r="Q27" s="9">
        <f t="shared" si="1"/>
        <v>0.97188902405367905</v>
      </c>
      <c r="R27">
        <f>VLOOKUP($B$1,dictionary!$A$3:$K$51,3,FALSE)*Q27</f>
        <v>0.19437780481073583</v>
      </c>
      <c r="S27">
        <f>VLOOKUP($B$1,dictionary!$A$3:$K$51,4,FALSE)*Q27</f>
        <v>0</v>
      </c>
      <c r="T27">
        <f>VLOOKUP($B$1,dictionary!$A$3:$K$51,5,FALSE)*Q27</f>
        <v>0.19437780481073583</v>
      </c>
      <c r="U27">
        <f>VLOOKUP($B$1,dictionary!$A$3:$K$51,6,FALSE)*Q27</f>
        <v>0.34016115841878763</v>
      </c>
      <c r="V27">
        <f>VLOOKUP($B$1,dictionary!$A$3:$K$51,7,FALSE)*Q27</f>
        <v>0</v>
      </c>
      <c r="W27">
        <f>VLOOKUP($B$1,dictionary!$A$3:$K$51,8,FALSE)*Q27</f>
        <v>4.8594451202683957E-2</v>
      </c>
      <c r="X27">
        <f>VLOOKUP($B$1,dictionary!$A$3:$K$51,9,FALSE)*Q27</f>
        <v>0</v>
      </c>
      <c r="Y27">
        <f>VLOOKUP($B$1,dictionary!$A$3:$K$51,10,FALSE)*Q27</f>
        <v>0.19437780481073583</v>
      </c>
      <c r="Z27">
        <f>VLOOKUP($B$1,dictionary!$A$3:$K$51,11,FALSE)*Q27</f>
        <v>0</v>
      </c>
      <c r="AA27">
        <f t="shared" si="2"/>
        <v>1.7518267452120373E-2</v>
      </c>
      <c r="AB27">
        <f t="shared" si="11"/>
        <v>3.4545945546817611E-3</v>
      </c>
      <c r="AC27">
        <f t="shared" si="12"/>
        <v>1.4063672897438612E-2</v>
      </c>
      <c r="AD27">
        <f t="shared" si="3"/>
        <v>0.1211328407072319</v>
      </c>
      <c r="AE27">
        <f t="shared" si="13"/>
        <v>0</v>
      </c>
      <c r="AF27">
        <f t="shared" si="14"/>
        <v>0.1345920452302577</v>
      </c>
      <c r="AG27">
        <f t="shared" si="15"/>
        <v>0.24226568141446381</v>
      </c>
      <c r="AH27">
        <f t="shared" si="16"/>
        <v>0</v>
      </c>
      <c r="AI27">
        <f t="shared" si="17"/>
        <v>3.1877063344008395E-2</v>
      </c>
      <c r="AJ27">
        <f t="shared" si="18"/>
        <v>0</v>
      </c>
      <c r="AK27">
        <f t="shared" si="19"/>
        <v>0.1211328407072319</v>
      </c>
      <c r="AL27">
        <f t="shared" si="20"/>
        <v>0</v>
      </c>
    </row>
    <row r="28" spans="1:38" x14ac:dyDescent="0.2">
      <c r="A28">
        <v>2045</v>
      </c>
      <c r="B28">
        <v>20</v>
      </c>
      <c r="C28">
        <f t="shared" si="21"/>
        <v>0.67984578852334698</v>
      </c>
      <c r="D28">
        <f t="shared" si="23"/>
        <v>0.10066413996785628</v>
      </c>
      <c r="E28">
        <f t="shared" si="4"/>
        <v>0.10066413996785628</v>
      </c>
      <c r="F28">
        <f t="shared" si="5"/>
        <v>3.3963990816584966E-2</v>
      </c>
      <c r="G28" s="9">
        <f t="shared" si="6"/>
        <v>0.14806907929297161</v>
      </c>
      <c r="H28" s="9">
        <f t="shared" si="6"/>
        <v>0.14806907929297161</v>
      </c>
      <c r="I28" s="9">
        <f t="shared" si="6"/>
        <v>4.9958374957880011E-2</v>
      </c>
      <c r="J28" s="9">
        <f t="shared" si="7"/>
        <v>1.9248980308086309E-2</v>
      </c>
      <c r="K28" s="9">
        <f t="shared" si="8"/>
        <v>2.9613815858594322E-2</v>
      </c>
      <c r="L28" s="9">
        <f t="shared" si="9"/>
        <v>1.9983349983152005E-2</v>
      </c>
      <c r="M28">
        <f t="shared" si="0"/>
        <v>0.63408464836532175</v>
      </c>
      <c r="N28">
        <f t="shared" si="10"/>
        <v>0.51144477259517906</v>
      </c>
      <c r="O28">
        <f t="shared" si="24"/>
        <v>0.12263987577014268</v>
      </c>
      <c r="P28">
        <f t="shared" si="22"/>
        <v>0.62015134505626257</v>
      </c>
      <c r="Q28" s="9">
        <f t="shared" si="1"/>
        <v>0.97802611473881385</v>
      </c>
      <c r="R28">
        <f>VLOOKUP($B$1,dictionary!$A$3:$K$51,3,FALSE)*Q28</f>
        <v>0.19560522294776278</v>
      </c>
      <c r="S28">
        <f>VLOOKUP($B$1,dictionary!$A$3:$K$51,4,FALSE)*Q28</f>
        <v>0</v>
      </c>
      <c r="T28">
        <f>VLOOKUP($B$1,dictionary!$A$3:$K$51,5,FALSE)*Q28</f>
        <v>0.19560522294776278</v>
      </c>
      <c r="U28">
        <f>VLOOKUP($B$1,dictionary!$A$3:$K$51,6,FALSE)*Q28</f>
        <v>0.34230914015858482</v>
      </c>
      <c r="V28">
        <f>VLOOKUP($B$1,dictionary!$A$3:$K$51,7,FALSE)*Q28</f>
        <v>0</v>
      </c>
      <c r="W28">
        <f>VLOOKUP($B$1,dictionary!$A$3:$K$51,8,FALSE)*Q28</f>
        <v>4.8901305736940695E-2</v>
      </c>
      <c r="X28">
        <f>VLOOKUP($B$1,dictionary!$A$3:$K$51,9,FALSE)*Q28</f>
        <v>0</v>
      </c>
      <c r="Y28">
        <f>VLOOKUP($B$1,dictionary!$A$3:$K$51,10,FALSE)*Q28</f>
        <v>0.19560522294776278</v>
      </c>
      <c r="Z28">
        <f>VLOOKUP($B$1,dictionary!$A$3:$K$51,11,FALSE)*Q28</f>
        <v>0</v>
      </c>
      <c r="AA28">
        <f t="shared" si="2"/>
        <v>1.3933303309059175E-2</v>
      </c>
      <c r="AB28">
        <f t="shared" si="11"/>
        <v>2.6948745586192445E-3</v>
      </c>
      <c r="AC28">
        <f t="shared" si="12"/>
        <v>1.1238428750439931E-2</v>
      </c>
      <c r="AD28">
        <f t="shared" si="3"/>
        <v>0.12403026901125253</v>
      </c>
      <c r="AE28">
        <f t="shared" si="13"/>
        <v>0</v>
      </c>
      <c r="AF28">
        <f t="shared" si="14"/>
        <v>0.13781141001250283</v>
      </c>
      <c r="AG28">
        <f t="shared" si="15"/>
        <v>0.24806053802250505</v>
      </c>
      <c r="AH28">
        <f t="shared" si="16"/>
        <v>0</v>
      </c>
      <c r="AI28">
        <f t="shared" si="17"/>
        <v>3.2639544476645396E-2</v>
      </c>
      <c r="AJ28">
        <f t="shared" si="18"/>
        <v>0</v>
      </c>
      <c r="AK28">
        <f t="shared" si="19"/>
        <v>0.12403026901125253</v>
      </c>
      <c r="AL28">
        <f t="shared" si="20"/>
        <v>0</v>
      </c>
    </row>
    <row r="29" spans="1:38" x14ac:dyDescent="0.2">
      <c r="A29">
        <v>2046</v>
      </c>
      <c r="B29">
        <v>21</v>
      </c>
      <c r="C29">
        <f t="shared" si="21"/>
        <v>0.69412255008233725</v>
      </c>
      <c r="D29">
        <f t="shared" si="23"/>
        <v>0.10771235480079772</v>
      </c>
      <c r="E29">
        <f t="shared" si="4"/>
        <v>0.10771235480079772</v>
      </c>
      <c r="F29">
        <f t="shared" si="5"/>
        <v>3.6407763260174086E-2</v>
      </c>
      <c r="G29" s="9">
        <f t="shared" si="6"/>
        <v>0.15517772011299849</v>
      </c>
      <c r="H29" s="9">
        <f t="shared" si="6"/>
        <v>0.15517772011299849</v>
      </c>
      <c r="I29" s="9">
        <f t="shared" si="6"/>
        <v>5.2451491823533716E-2</v>
      </c>
      <c r="J29" s="9">
        <f t="shared" si="7"/>
        <v>2.0173103614689804E-2</v>
      </c>
      <c r="K29" s="9">
        <f t="shared" si="8"/>
        <v>3.1035544022599698E-2</v>
      </c>
      <c r="L29" s="9">
        <f t="shared" si="9"/>
        <v>2.0980596729413489E-2</v>
      </c>
      <c r="M29">
        <f t="shared" si="0"/>
        <v>0.64518558540459048</v>
      </c>
      <c r="N29">
        <f t="shared" si="10"/>
        <v>0.52222089378698933</v>
      </c>
      <c r="O29">
        <f t="shared" si="24"/>
        <v>0.12296469161760115</v>
      </c>
      <c r="P29">
        <f t="shared" si="22"/>
        <v>0.6335589993455748</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1.1626586059015676E-2</v>
      </c>
      <c r="AB29">
        <f t="shared" si="11"/>
        <v>2.2158888878706672E-3</v>
      </c>
      <c r="AC29">
        <f t="shared" si="12"/>
        <v>9.4106971711450087E-3</v>
      </c>
      <c r="AD29">
        <f t="shared" si="3"/>
        <v>0.12671179986911496</v>
      </c>
      <c r="AE29">
        <f t="shared" si="13"/>
        <v>0</v>
      </c>
      <c r="AF29">
        <f t="shared" si="14"/>
        <v>0.14079088874346107</v>
      </c>
      <c r="AG29">
        <f t="shared" si="15"/>
        <v>0.25342359973822992</v>
      </c>
      <c r="AH29">
        <f t="shared" si="16"/>
        <v>0</v>
      </c>
      <c r="AI29">
        <f t="shared" si="17"/>
        <v>3.3345210491872362E-2</v>
      </c>
      <c r="AJ29">
        <f t="shared" si="18"/>
        <v>0</v>
      </c>
      <c r="AK29">
        <f t="shared" si="19"/>
        <v>0.12671179986911496</v>
      </c>
      <c r="AL29">
        <f t="shared" si="20"/>
        <v>0</v>
      </c>
    </row>
    <row r="30" spans="1:38" x14ac:dyDescent="0.2">
      <c r="A30">
        <v>2047</v>
      </c>
      <c r="B30">
        <v>22</v>
      </c>
      <c r="C30">
        <f t="shared" si="21"/>
        <v>0.70869912363406629</v>
      </c>
      <c r="D30">
        <f t="shared" si="23"/>
        <v>0.11497673767250727</v>
      </c>
      <c r="E30">
        <f t="shared" si="4"/>
        <v>0.11497673767250727</v>
      </c>
      <c r="F30">
        <f t="shared" si="5"/>
        <v>3.8938225501493617E-2</v>
      </c>
      <c r="G30" s="9">
        <f t="shared" si="6"/>
        <v>0.16223631981217887</v>
      </c>
      <c r="H30" s="9">
        <f t="shared" si="6"/>
        <v>0.16223631981217887</v>
      </c>
      <c r="I30" s="9">
        <f t="shared" si="6"/>
        <v>5.494323924351175E-2</v>
      </c>
      <c r="J30" s="9">
        <f t="shared" si="7"/>
        <v>2.1090721575583254E-2</v>
      </c>
      <c r="K30" s="9">
        <f t="shared" si="8"/>
        <v>3.2447263962435774E-2</v>
      </c>
      <c r="L30" s="9">
        <f t="shared" si="9"/>
        <v>2.1977295697404701E-2</v>
      </c>
      <c r="M30">
        <f t="shared" si="0"/>
        <v>0.6564897094003681</v>
      </c>
      <c r="N30">
        <f t="shared" si="10"/>
        <v>0.53275103296928927</v>
      </c>
      <c r="O30">
        <f t="shared" si="24"/>
        <v>0.12373867643107883</v>
      </c>
      <c r="P30">
        <f t="shared" si="22"/>
        <v>0.64632513756480048</v>
      </c>
      <c r="Q30" s="9">
        <f t="shared" si="1"/>
        <v>0.98451678420846556</v>
      </c>
      <c r="R30">
        <f>VLOOKUP($B$1,dictionary!$A$3:$K$51,3,FALSE)*Q30</f>
        <v>0.19690335684169313</v>
      </c>
      <c r="S30">
        <f>VLOOKUP($B$1,dictionary!$A$3:$K$51,4,FALSE)*Q30</f>
        <v>0</v>
      </c>
      <c r="T30">
        <f>VLOOKUP($B$1,dictionary!$A$3:$K$51,5,FALSE)*Q30</f>
        <v>0.19690335684169313</v>
      </c>
      <c r="U30">
        <f>VLOOKUP($B$1,dictionary!$A$3:$K$51,6,FALSE)*Q30</f>
        <v>0.34458087447296293</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1.0164571835567626E-2</v>
      </c>
      <c r="AB30">
        <f t="shared" si="11"/>
        <v>1.9158726289412486E-3</v>
      </c>
      <c r="AC30">
        <f t="shared" si="12"/>
        <v>8.2486992066263774E-3</v>
      </c>
      <c r="AD30">
        <f t="shared" si="3"/>
        <v>0.1292650275129601</v>
      </c>
      <c r="AE30">
        <f t="shared" si="13"/>
        <v>0</v>
      </c>
      <c r="AF30">
        <f t="shared" si="14"/>
        <v>0.14362780834773348</v>
      </c>
      <c r="AG30">
        <f t="shared" si="15"/>
        <v>0.25853005502592019</v>
      </c>
      <c r="AH30">
        <f t="shared" si="16"/>
        <v>0</v>
      </c>
      <c r="AI30">
        <f t="shared" si="17"/>
        <v>3.4017112503410551E-2</v>
      </c>
      <c r="AJ30">
        <f t="shared" si="18"/>
        <v>0</v>
      </c>
      <c r="AK30">
        <f t="shared" si="19"/>
        <v>0.1292650275129601</v>
      </c>
      <c r="AL30">
        <f t="shared" si="20"/>
        <v>0</v>
      </c>
    </row>
    <row r="31" spans="1:38" x14ac:dyDescent="0.2">
      <c r="A31">
        <v>2048</v>
      </c>
      <c r="B31">
        <v>23</v>
      </c>
      <c r="C31">
        <f t="shared" si="21"/>
        <v>0.72358180523038163</v>
      </c>
      <c r="D31">
        <f t="shared" si="23"/>
        <v>0.12246062224059384</v>
      </c>
      <c r="E31">
        <f t="shared" si="4"/>
        <v>0.12246062224059384</v>
      </c>
      <c r="F31">
        <f t="shared" si="5"/>
        <v>4.1557831172435555E-2</v>
      </c>
      <c r="G31" s="9">
        <f t="shared" si="6"/>
        <v>0.16924226307985113</v>
      </c>
      <c r="H31" s="9">
        <f t="shared" si="6"/>
        <v>0.16924226307985113</v>
      </c>
      <c r="I31" s="9">
        <f t="shared" si="6"/>
        <v>5.7433493866258747E-2</v>
      </c>
      <c r="J31" s="9">
        <f t="shared" si="7"/>
        <v>2.2001494200380646E-2</v>
      </c>
      <c r="K31" s="9">
        <f t="shared" si="8"/>
        <v>3.3848452615970227E-2</v>
      </c>
      <c r="L31" s="9">
        <f t="shared" si="9"/>
        <v>2.2973397546503502E-2</v>
      </c>
      <c r="M31">
        <f t="shared" si="0"/>
        <v>0.66800155229872982</v>
      </c>
      <c r="N31">
        <f t="shared" si="10"/>
        <v>0.54313750176610698</v>
      </c>
      <c r="O31">
        <f t="shared" si="24"/>
        <v>0.12486405053262284</v>
      </c>
      <c r="P31">
        <f t="shared" si="22"/>
        <v>0.65874400483284223</v>
      </c>
      <c r="Q31" s="9">
        <f t="shared" si="1"/>
        <v>0.98614142821370632</v>
      </c>
      <c r="R31">
        <f>VLOOKUP($B$1,dictionary!$A$3:$K$51,3,FALSE)*Q31</f>
        <v>0.19722828564274128</v>
      </c>
      <c r="S31">
        <f>VLOOKUP($B$1,dictionary!$A$3:$K$51,4,FALSE)*Q31</f>
        <v>0</v>
      </c>
      <c r="T31">
        <f>VLOOKUP($B$1,dictionary!$A$3:$K$51,5,FALSE)*Q31</f>
        <v>0.19722828564274128</v>
      </c>
      <c r="U31">
        <f>VLOOKUP($B$1,dictionary!$A$3:$K$51,6,FALSE)*Q31</f>
        <v>0.34514949987479721</v>
      </c>
      <c r="V31">
        <f>VLOOKUP($B$1,dictionary!$A$3:$K$51,7,FALSE)*Q31</f>
        <v>0</v>
      </c>
      <c r="W31">
        <f>VLOOKUP($B$1,dictionary!$A$3:$K$51,8,FALSE)*Q31</f>
        <v>4.930707141068532E-2</v>
      </c>
      <c r="X31">
        <f>VLOOKUP($B$1,dictionary!$A$3:$K$51,9,FALSE)*Q31</f>
        <v>0</v>
      </c>
      <c r="Y31">
        <f>VLOOKUP($B$1,dictionary!$A$3:$K$51,10,FALSE)*Q31</f>
        <v>0.19722828564274128</v>
      </c>
      <c r="Z31">
        <f>VLOOKUP($B$1,dictionary!$A$3:$K$51,11,FALSE)*Q31</f>
        <v>0</v>
      </c>
      <c r="AA31">
        <f t="shared" si="2"/>
        <v>9.2575474658875834E-3</v>
      </c>
      <c r="AB31">
        <f t="shared" si="11"/>
        <v>1.7304374078337599E-3</v>
      </c>
      <c r="AC31">
        <f t="shared" si="12"/>
        <v>7.527110058053824E-3</v>
      </c>
      <c r="AD31">
        <f t="shared" si="3"/>
        <v>0.13174880096656846</v>
      </c>
      <c r="AE31">
        <f t="shared" si="13"/>
        <v>0</v>
      </c>
      <c r="AF31">
        <f t="shared" si="14"/>
        <v>0.14638755662952052</v>
      </c>
      <c r="AG31">
        <f t="shared" si="15"/>
        <v>0.26349760193313693</v>
      </c>
      <c r="AH31">
        <f t="shared" si="16"/>
        <v>0</v>
      </c>
      <c r="AI31">
        <f t="shared" si="17"/>
        <v>3.4670737096465377E-2</v>
      </c>
      <c r="AJ31">
        <f t="shared" si="18"/>
        <v>0</v>
      </c>
      <c r="AK31">
        <f t="shared" si="19"/>
        <v>0.13174880096656846</v>
      </c>
      <c r="AL31">
        <f t="shared" si="20"/>
        <v>0</v>
      </c>
    </row>
    <row r="32" spans="1:38" x14ac:dyDescent="0.2">
      <c r="A32">
        <v>2049</v>
      </c>
      <c r="B32">
        <v>24</v>
      </c>
      <c r="C32">
        <f t="shared" si="21"/>
        <v>0.73877702314021954</v>
      </c>
      <c r="D32">
        <f t="shared" si="23"/>
        <v>0.13016735517760042</v>
      </c>
      <c r="E32">
        <f t="shared" si="4"/>
        <v>0.13016735517760042</v>
      </c>
      <c r="F32">
        <f t="shared" si="5"/>
        <v>4.4269094769890383E-2</v>
      </c>
      <c r="G32" s="9">
        <f t="shared" si="6"/>
        <v>0.17619302049259147</v>
      </c>
      <c r="H32" s="9">
        <f t="shared" si="6"/>
        <v>0.17619302049259147</v>
      </c>
      <c r="I32" s="9">
        <f t="shared" si="6"/>
        <v>5.9922132637154485E-2</v>
      </c>
      <c r="J32" s="9">
        <f t="shared" si="7"/>
        <v>2.2905092664036893E-2</v>
      </c>
      <c r="K32" s="9">
        <f t="shared" si="8"/>
        <v>3.5238604098518297E-2</v>
      </c>
      <c r="L32" s="9">
        <f t="shared" si="9"/>
        <v>2.3968853054861794E-2</v>
      </c>
      <c r="M32">
        <f t="shared" si="0"/>
        <v>0.67972575201429153</v>
      </c>
      <c r="N32">
        <f t="shared" si="10"/>
        <v>0.55345967125356066</v>
      </c>
      <c r="O32">
        <f t="shared" si="24"/>
        <v>0.12626608076073087</v>
      </c>
      <c r="P32">
        <f t="shared" si="22"/>
        <v>0.67101174837129152</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8.7140036430000123E-3</v>
      </c>
      <c r="AB32">
        <f t="shared" si="11"/>
        <v>1.6187162020502772E-3</v>
      </c>
      <c r="AC32">
        <f t="shared" si="12"/>
        <v>7.0952874409497347E-3</v>
      </c>
      <c r="AD32">
        <f t="shared" si="3"/>
        <v>0.13420234967425831</v>
      </c>
      <c r="AE32">
        <f t="shared" si="13"/>
        <v>0</v>
      </c>
      <c r="AF32">
        <f t="shared" si="14"/>
        <v>0.14911372186028701</v>
      </c>
      <c r="AG32">
        <f t="shared" si="15"/>
        <v>0.26840469934851657</v>
      </c>
      <c r="AH32">
        <f t="shared" si="16"/>
        <v>0</v>
      </c>
      <c r="AI32">
        <f t="shared" si="17"/>
        <v>3.5316407809015342E-2</v>
      </c>
      <c r="AJ32">
        <f t="shared" si="18"/>
        <v>0</v>
      </c>
      <c r="AK32">
        <f t="shared" si="19"/>
        <v>0.13420234967425831</v>
      </c>
      <c r="AL32">
        <f t="shared" si="20"/>
        <v>0</v>
      </c>
    </row>
    <row r="33" spans="1:38" x14ac:dyDescent="0.2">
      <c r="A33">
        <v>2050</v>
      </c>
      <c r="B33">
        <v>25</v>
      </c>
      <c r="C33">
        <f t="shared" si="21"/>
        <v>0.7542913406261641</v>
      </c>
      <c r="D33">
        <f t="shared" si="23"/>
        <v>0.13810029871747714</v>
      </c>
      <c r="E33">
        <f t="shared" si="4"/>
        <v>0.13810029871747714</v>
      </c>
      <c r="F33">
        <f t="shared" si="5"/>
        <v>4.7074593035008772E-2</v>
      </c>
      <c r="G33" s="9">
        <f t="shared" si="6"/>
        <v>0.18308615156954497</v>
      </c>
      <c r="H33" s="9">
        <f t="shared" si="6"/>
        <v>0.18308615156954497</v>
      </c>
      <c r="I33" s="9">
        <f t="shared" si="6"/>
        <v>6.2409032822689538E-2</v>
      </c>
      <c r="J33" s="9">
        <f t="shared" si="7"/>
        <v>2.3801199704040849E-2</v>
      </c>
      <c r="K33" s="9">
        <f t="shared" si="8"/>
        <v>3.6617230313908997E-2</v>
      </c>
      <c r="L33" s="9">
        <f t="shared" si="9"/>
        <v>2.4963613129075815E-2</v>
      </c>
      <c r="M33">
        <f t="shared" si="0"/>
        <v>0.69166705375158988</v>
      </c>
      <c r="N33">
        <f t="shared" si="10"/>
        <v>0.56377909719756936</v>
      </c>
      <c r="O33">
        <f t="shared" si="24"/>
        <v>0.12788795655402052</v>
      </c>
      <c r="P33">
        <f t="shared" si="22"/>
        <v>0.68325883579318647</v>
      </c>
      <c r="Q33" s="9">
        <f t="shared" si="1"/>
        <v>0.98784354710435118</v>
      </c>
      <c r="R33">
        <f>VLOOKUP($B$1,dictionary!$A$3:$K$51,3,FALSE)*Q33</f>
        <v>0.19756870942087024</v>
      </c>
      <c r="S33">
        <f>VLOOKUP($B$1,dictionary!$A$3:$K$51,4,FALSE)*Q33</f>
        <v>0</v>
      </c>
      <c r="T33">
        <f>VLOOKUP($B$1,dictionary!$A$3:$K$51,5,FALSE)*Q33</f>
        <v>0.19756870942087024</v>
      </c>
      <c r="U33">
        <f>VLOOKUP($B$1,dictionary!$A$3:$K$51,6,FALSE)*Q33</f>
        <v>0.34574524148652291</v>
      </c>
      <c r="V33">
        <f>VLOOKUP($B$1,dictionary!$A$3:$K$51,7,FALSE)*Q33</f>
        <v>0</v>
      </c>
      <c r="W33">
        <f>VLOOKUP($B$1,dictionary!$A$3:$K$51,8,FALSE)*Q33</f>
        <v>4.9392177355217559E-2</v>
      </c>
      <c r="X33">
        <f>VLOOKUP($B$1,dictionary!$A$3:$K$51,9,FALSE)*Q33</f>
        <v>0</v>
      </c>
      <c r="Y33">
        <f>VLOOKUP($B$1,dictionary!$A$3:$K$51,10,FALSE)*Q33</f>
        <v>0.19756870942087024</v>
      </c>
      <c r="Z33">
        <f>VLOOKUP($B$1,dictionary!$A$3:$K$51,11,FALSE)*Q33</f>
        <v>0</v>
      </c>
      <c r="AA33">
        <f t="shared" si="2"/>
        <v>8.4082179584034078E-3</v>
      </c>
      <c r="AB33">
        <f t="shared" si="11"/>
        <v>1.5546639197697341E-3</v>
      </c>
      <c r="AC33">
        <f t="shared" si="12"/>
        <v>6.8535540386336731E-3</v>
      </c>
      <c r="AD33">
        <f t="shared" si="3"/>
        <v>0.13665176715863731</v>
      </c>
      <c r="AE33">
        <f t="shared" si="13"/>
        <v>0</v>
      </c>
      <c r="AF33">
        <f t="shared" si="14"/>
        <v>0.15183529684293035</v>
      </c>
      <c r="AG33">
        <f t="shared" si="15"/>
        <v>0.27330353431727461</v>
      </c>
      <c r="AH33">
        <f t="shared" si="16"/>
        <v>0</v>
      </c>
      <c r="AI33">
        <f t="shared" si="17"/>
        <v>3.5960991357536123E-2</v>
      </c>
      <c r="AJ33">
        <f t="shared" si="18"/>
        <v>0</v>
      </c>
      <c r="AK33">
        <f t="shared" si="19"/>
        <v>0.13665176715863731</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BD977-8C94-984B-8643-0332EBE7A4AE}">
  <sheetPr>
    <tabColor theme="4" tint="0.79998168889431442"/>
  </sheetPr>
  <dimension ref="A1:AY37"/>
  <sheetViews>
    <sheetView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45</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HFO</v>
      </c>
      <c r="C2" s="14" t="str">
        <f>VLOOKUP(B1,dictionary!$A$3:$N$51,12,FALSE)</f>
        <v>Yes</v>
      </c>
      <c r="D2" t="s">
        <v>77</v>
      </c>
      <c r="E2" s="5">
        <f>IF(C2="Yes",MAIN!B4,0)</f>
        <v>0.03</v>
      </c>
      <c r="F2" s="5">
        <f>MAIN!C4</f>
        <v>0.13</v>
      </c>
      <c r="G2" s="11">
        <f>MAIN!D4</f>
        <v>5</v>
      </c>
      <c r="H2" t="s">
        <v>73</v>
      </c>
      <c r="I2" s="5">
        <f>MAIN!B1</f>
        <v>2.1000000000000001E-2</v>
      </c>
      <c r="J2" s="4"/>
      <c r="K2" s="4"/>
      <c r="L2" s="13"/>
      <c r="AC2" t="str">
        <f>B2</f>
        <v>HFO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Yes</v>
      </c>
      <c r="D3" t="s">
        <v>63</v>
      </c>
      <c r="E3" s="5">
        <f>IF(C3="Yes",MAIN!B5,0)</f>
        <v>0.03</v>
      </c>
      <c r="F3" s="5">
        <f>MAIN!C5</f>
        <v>0.2</v>
      </c>
      <c r="G3" s="11">
        <f>MAIN!D5</f>
        <v>5</v>
      </c>
      <c r="H3" t="s">
        <v>78</v>
      </c>
      <c r="I3" s="5">
        <f>MAIN!B8</f>
        <v>0.45</v>
      </c>
      <c r="J3" s="11">
        <f>MAIN!C8</f>
        <v>10</v>
      </c>
      <c r="K3" s="4"/>
      <c r="AC3" t="str">
        <f>N7</f>
        <v>LFO</v>
      </c>
      <c r="AD3">
        <f>IF($AC$3="",0,VLOOKUP(AC3,efficiency!$A$2:$K$6,2,FALSE))</f>
        <v>1</v>
      </c>
      <c r="AE3">
        <f>IF($AC$3="",0,VLOOKUP(AC3,efficiency!$A$2:$K$6,3,FALSE))</f>
        <v>0.44444444444444448</v>
      </c>
      <c r="AF3">
        <f>IF($AC$3="",0,VLOOKUP(AC3,efficiency!$A$2:$K$6,4,FALSE))</f>
        <v>1.1111111111111112</v>
      </c>
      <c r="AG3">
        <f>IF($AC$3="",0,VLOOKUP(AC3,efficiency!$A$2:$K$6,5,FALSE))</f>
        <v>1.142857142857143</v>
      </c>
      <c r="AH3">
        <f>IF($AC$3="",0,VLOOKUP(AC3,efficiency!$A$2:$K$6,6,FALSE))</f>
        <v>1.0526315789473684</v>
      </c>
      <c r="AI3">
        <f>IF($AC$3="",0,VLOOKUP(AC3,efficiency!$A$2:$K$6,7,FALSE))</f>
        <v>1.0526315789473684</v>
      </c>
      <c r="AJ3">
        <f>IF($AC$3="",0,VLOOKUP(AC3,efficiency!$A$2:$K$6,8,FALSE))</f>
        <v>1.0526315789473684</v>
      </c>
      <c r="AK3">
        <f>IF($AC$3="",0,VLOOKUP(AC3,efficiency!$A$2:$K$6,9,FALSE))</f>
        <v>1</v>
      </c>
      <c r="AL3">
        <f>IF($AC$3="",0,VLOOKUP(AC3,efficiency!$A$2:$K$6,10,FALSE))</f>
        <v>0.44444444444444448</v>
      </c>
    </row>
    <row r="4" spans="1:51" x14ac:dyDescent="0.2">
      <c r="B4" s="1"/>
      <c r="C4" s="14" t="str">
        <f>VLOOKUP(B1,dictionary!$A$3:$N$51,14,FALSE)</f>
        <v>Yes</v>
      </c>
      <c r="D4" t="s">
        <v>64</v>
      </c>
      <c r="E4" s="5">
        <f>IF(C4="Yes",MAIN!B6,0)</f>
        <v>0.01</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LFO</v>
      </c>
      <c r="O7" s="1" t="str">
        <f>B2</f>
        <v>HFO</v>
      </c>
      <c r="P7" t="s">
        <v>163</v>
      </c>
      <c r="Q7" t="s">
        <v>164</v>
      </c>
      <c r="R7" s="1" t="s">
        <v>53</v>
      </c>
      <c r="S7" s="1" t="s">
        <v>54</v>
      </c>
      <c r="T7" s="1" t="s">
        <v>55</v>
      </c>
      <c r="U7" s="1" t="s">
        <v>56</v>
      </c>
      <c r="V7" s="1" t="s">
        <v>57</v>
      </c>
      <c r="W7" s="1" t="s">
        <v>58</v>
      </c>
      <c r="X7" s="1" t="s">
        <v>59</v>
      </c>
      <c r="Y7" s="1" t="s">
        <v>60</v>
      </c>
      <c r="Z7" s="1" t="s">
        <v>61</v>
      </c>
      <c r="AA7" s="1" t="s">
        <v>186</v>
      </c>
      <c r="AB7" s="1" t="str">
        <f>O7</f>
        <v>HFO</v>
      </c>
      <c r="AC7" s="1" t="str">
        <f>N7</f>
        <v>LFO</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emissions!N40</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t="e">
        <f>IF($N$7="LFO",M8/(1+EXP(-$I$4*(B8-$J$4)))-M8/(1+EXP($I$4*$J$4)),IF($N$7="MGO",M8/(1+EXP(-$I$5*(B8-$J$5)))-M8/(1+EXP($I$5*$J$5)),0))</f>
        <v>#DIV/0!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t="e">
        <f t="shared" ref="N9:N33" si="10">IF($N$7="LFO",M9/(1+EXP(-$I$4*(B9-$J$4)))-M9/(1+EXP($I$4*$J$4)),IF($N$7="MGO",M9/(1+EXP(-$I$5*(B9-$J$5)))-M9/(1+EXP($I$5*$J$5)),0))</f>
        <v>#DIV/0!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t="e">
        <f t="shared" si="10"/>
        <v>#DIV/0!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t="e">
        <f t="shared" si="10"/>
        <v>#DIV/0!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t="e">
        <f t="shared" si="10"/>
        <v>#DIV/0!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t="e">
        <f t="shared" si="10"/>
        <v>#DIV/0!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t="e">
        <f t="shared" si="10"/>
        <v>#DIV/0!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t="e">
        <f t="shared" si="10"/>
        <v>#DIV/0!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t="e">
        <f t="shared" si="10"/>
        <v>#DIV/0!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t="e">
        <f t="shared" si="10"/>
        <v>#DIV/0!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t="e">
        <f t="shared" si="10"/>
        <v>#DIV/0!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t="e">
        <f t="shared" si="10"/>
        <v>#DIV/0!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t="e">
        <f t="shared" si="10"/>
        <v>#DIV/0!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t="e">
        <f t="shared" si="10"/>
        <v>#DIV/0!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t="e">
        <f t="shared" si="10"/>
        <v>#DIV/0!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t="e">
        <f t="shared" si="10"/>
        <v>#DIV/0!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t="e">
        <f t="shared" si="10"/>
        <v>#DIV/0!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t="e">
        <f t="shared" si="10"/>
        <v>#DIV/0!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t="e">
        <f t="shared" si="10"/>
        <v>#DIV/0!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t="e">
        <f t="shared" si="10"/>
        <v>#DIV/0!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t="e">
        <f t="shared" si="10"/>
        <v>#DIV/0!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t="e">
        <f t="shared" si="10"/>
        <v>#DIV/0!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t="e">
        <f t="shared" si="10"/>
        <v>#DIV/0!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t="e">
        <f t="shared" si="10"/>
        <v>#DIV/0!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t="e">
        <f t="shared" si="10"/>
        <v>#DIV/0!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t="e">
        <f t="shared" si="10"/>
        <v>#DIV/0!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3473-6F74-3C4A-BF04-54C8FA7E88A2}">
  <sheetPr>
    <tabColor theme="4" tint="0.79998168889431442"/>
  </sheetPr>
  <dimension ref="A1:AY37"/>
  <sheetViews>
    <sheetView zoomScale="93" zoomScaleNormal="125" workbookViewId="0">
      <selection activeCell="B5" sqref="B5"/>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51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No</v>
      </c>
      <c r="D2" t="s">
        <v>77</v>
      </c>
      <c r="E2" s="5">
        <f>IF(C2="Yes",MAIN!B4,0)</f>
        <v>0</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VLOOKUP(B1,'consumptions per type'!A2:B24,2,FALSE)</f>
        <v>4.4417023405944747</v>
      </c>
      <c r="D8">
        <f>IF($E$2=0,0,C8/(1+EXP(-$E$2*(B8-$G$2)))-C8/(1+EXP($E$2*$G$2)))</f>
        <v>0</v>
      </c>
      <c r="E8">
        <f>IF($E$3=0,0,C8/(1+EXP(-$E$3*(B8-$G$3)))-C8/(1+EXP($E$3*$G$3)))</f>
        <v>0</v>
      </c>
      <c r="F8">
        <f>IF($E$4=0,0,C8/(1+EXP(-$E$4*(B8-$G$4)))-C8/(1+EXP($E$4*$G$4)))</f>
        <v>0</v>
      </c>
      <c r="G8" s="9">
        <f>D8/$C8</f>
        <v>0</v>
      </c>
      <c r="H8" s="9">
        <f>E8/$C8</f>
        <v>0</v>
      </c>
      <c r="I8" s="9">
        <f>F8/$C8</f>
        <v>0</v>
      </c>
      <c r="J8" s="9">
        <f>G8*$F$2</f>
        <v>0</v>
      </c>
      <c r="K8" s="9">
        <f>H8*$F$3</f>
        <v>0</v>
      </c>
      <c r="L8" s="9">
        <f>I8*$F$4</f>
        <v>0</v>
      </c>
      <c r="M8">
        <f t="shared" ref="M8:M33" si="0">C8*(1-J8)*(1-K8)*(1-L8)</f>
        <v>4.4417023405944747</v>
      </c>
      <c r="N8">
        <f>IF($N$7="LFO",M8/(1+EXP(-$I$4*(B8-$J$4)))-M8/(1+EXP($I$4*$J$4)),IF($N$7="MGO",M8/(1+EXP(-$I$5*(B8-$J$5)))-M8/(1+EXP($I$5*$J$5)),0))</f>
        <v>0</v>
      </c>
      <c r="O8">
        <f>M8-N8</f>
        <v>4.4417023405944747</v>
      </c>
      <c r="P8">
        <f>IF($I$3=0,0,M8/(1+EXP(-$I$3*(B8-$J$3)))-M8/(1+EXP($I$3*$J$3)))</f>
        <v>0</v>
      </c>
      <c r="Q8" s="9">
        <f t="shared" ref="Q8:Q33" si="1">P8/M8</f>
        <v>0</v>
      </c>
      <c r="R8">
        <f>VLOOKUP($B$1,dictionary!$A$3:$K$51,3,FALSE)*Q8</f>
        <v>0</v>
      </c>
      <c r="S8">
        <f>VLOOKUP($B$1,dictionary!$A$3:$K$51,4,FALSE)*Q8</f>
        <v>0</v>
      </c>
      <c r="T8">
        <f>VLOOKUP($B$1,dictionary!$A$3:$K$51,5,FALSE)*Q8</f>
        <v>0</v>
      </c>
      <c r="U8">
        <f>VLOOKUP($B$1,dictionary!$A$3:$K$51,6,FALSE)*Q8</f>
        <v>0</v>
      </c>
      <c r="V8">
        <f>VLOOKUP($B$1,dictionary!$A$3:$K$51,7,FALSE)*Q8</f>
        <v>0</v>
      </c>
      <c r="W8">
        <f>VLOOKUP($B$1,dictionary!$A$3:$K$51,8,FALSE)*Q8</f>
        <v>0</v>
      </c>
      <c r="X8">
        <f>VLOOKUP($B$1,dictionary!$A$3:$K$51,9,FALSE)*Q8</f>
        <v>0</v>
      </c>
      <c r="Y8">
        <f>VLOOKUP($B$1,dictionary!$A$3:$K$51,10,FALSE)*Q8</f>
        <v>0</v>
      </c>
      <c r="Z8">
        <f>VLOOKUP($B$1,dictionary!$A$3:$K$51,11,FALSE)*Q8</f>
        <v>0</v>
      </c>
      <c r="AA8">
        <f t="shared" ref="AA8:AA33" si="2">M8-P8</f>
        <v>4.4417023405944747</v>
      </c>
      <c r="AB8">
        <f>O8/M8*AA8</f>
        <v>4.4417023405944747</v>
      </c>
      <c r="AC8">
        <f>N8/M8*AA8</f>
        <v>0</v>
      </c>
      <c r="AD8">
        <f t="shared" ref="AD8:AD33" si="3">R8*$O8*$AD$2+R8*$N8*$AD$3</f>
        <v>0</v>
      </c>
      <c r="AE8">
        <f>S8*$O8*$AE$2+S8*$N8*$AE$3</f>
        <v>0</v>
      </c>
      <c r="AF8">
        <f>T8*$O8*$AF$2+T8*$N8*$AF$3</f>
        <v>0</v>
      </c>
      <c r="AG8">
        <f>U8*$O8*$AG$2+U8*$N8*$AG$3</f>
        <v>0</v>
      </c>
      <c r="AH8">
        <f>V8*$O8*$AH$2+V8*$N8*$AH$3</f>
        <v>0</v>
      </c>
      <c r="AI8">
        <f>W8*$O8*$AI$2+W8*$N8*$AI$3</f>
        <v>0</v>
      </c>
      <c r="AJ8">
        <f>X8*$O8*$AJ$2+X8*$N8*$AJ$3</f>
        <v>0</v>
      </c>
      <c r="AK8">
        <f>Y8*$O8*$AK$2+Y8*$N8*$AK$3</f>
        <v>0</v>
      </c>
      <c r="AL8">
        <f>Z8*$O8*$AL$2+Z8*$N8*$AL$3</f>
        <v>0</v>
      </c>
    </row>
    <row r="9" spans="1:51" x14ac:dyDescent="0.2">
      <c r="A9">
        <v>2026</v>
      </c>
      <c r="B9">
        <v>1</v>
      </c>
      <c r="C9">
        <f>C8*(1+$I$2)</f>
        <v>4.534978089746958</v>
      </c>
      <c r="D9">
        <f>IF($E$2=0,0,C9/(1+EXP(-$E$2*(B9-$G$2)))-C9/(1+EXP($E$2*$G$2)))</f>
        <v>0</v>
      </c>
      <c r="E9">
        <f t="shared" ref="E9:E33" si="4">IF($E$3=0,0,C9/(1+EXP(-$E$3*(B9-$G$3)))-C9/(1+EXP($E$3*$G$3)))</f>
        <v>0</v>
      </c>
      <c r="F9">
        <f t="shared" ref="F9:F33" si="5">IF($E$4=0,0,C9/(1+EXP(-$E$4*(B9-$G$4)))-C9/(1+EXP($E$4*$G$4)))</f>
        <v>0</v>
      </c>
      <c r="G9" s="9">
        <f t="shared" ref="G9:I33" si="6">D9/$C9</f>
        <v>0</v>
      </c>
      <c r="H9" s="9">
        <f t="shared" si="6"/>
        <v>0</v>
      </c>
      <c r="I9" s="9">
        <f t="shared" si="6"/>
        <v>0</v>
      </c>
      <c r="J9" s="9">
        <f t="shared" ref="J9:J33" si="7">G9*$F$2</f>
        <v>0</v>
      </c>
      <c r="K9" s="9">
        <f t="shared" ref="K9:K33" si="8">H9*$F$3</f>
        <v>0</v>
      </c>
      <c r="L9" s="9">
        <f t="shared" ref="L9:L33" si="9">I9*$F$4</f>
        <v>0</v>
      </c>
      <c r="M9">
        <f t="shared" si="0"/>
        <v>4.534978089746958</v>
      </c>
      <c r="N9">
        <f t="shared" ref="N9:N33" si="10">IF($N$7="LFO",M9/(1+EXP(-$I$4*(B9-$J$4)))-M9/(1+EXP($I$4*$J$4)),IF($N$7="MGO",M9/(1+EXP(-$I$5*(B9-$J$5)))-M9/(1+EXP($I$5*$J$5)),0))</f>
        <v>0</v>
      </c>
      <c r="O9">
        <f>M9-N9</f>
        <v>4.534978089746958</v>
      </c>
      <c r="P9">
        <f>IF($I$3=0,0,M9/(1+EXP(-$I$3*(B9-$J$3)))-M9/(1+EXP($I$3*$J$3)))</f>
        <v>2.783157179187537E-2</v>
      </c>
      <c r="Q9" s="9">
        <f t="shared" si="1"/>
        <v>6.1370906851345589E-3</v>
      </c>
      <c r="R9">
        <f>VLOOKUP($B$1,dictionary!$A$3:$K$51,3,FALSE)*Q9</f>
        <v>1.2274181370269118E-3</v>
      </c>
      <c r="S9">
        <f>VLOOKUP($B$1,dictionary!$A$3:$K$51,4,FALSE)*Q9</f>
        <v>0</v>
      </c>
      <c r="T9">
        <f>VLOOKUP($B$1,dictionary!$A$3:$K$51,5,FALSE)*Q9</f>
        <v>1.2274181370269118E-3</v>
      </c>
      <c r="U9">
        <f>VLOOKUP($B$1,dictionary!$A$3:$K$51,6,FALSE)*Q9</f>
        <v>2.1479817397970953E-3</v>
      </c>
      <c r="V9">
        <f>VLOOKUP($B$1,dictionary!$A$3:$K$51,7,FALSE)*Q9</f>
        <v>0</v>
      </c>
      <c r="W9">
        <f>VLOOKUP($B$1,dictionary!$A$3:$K$51,8,FALSE)*Q9</f>
        <v>3.0685453425672796E-4</v>
      </c>
      <c r="X9">
        <f>VLOOKUP($B$1,dictionary!$A$3:$K$51,9,FALSE)*Q9</f>
        <v>0</v>
      </c>
      <c r="Y9">
        <f>VLOOKUP($B$1,dictionary!$A$3:$K$51,10,FALSE)*Q9</f>
        <v>1.2274181370269118E-3</v>
      </c>
      <c r="Z9">
        <f>VLOOKUP($B$1,dictionary!$A$3:$K$51,11,FALSE)*Q9</f>
        <v>0</v>
      </c>
      <c r="AA9">
        <f t="shared" si="2"/>
        <v>4.5071465179550829</v>
      </c>
      <c r="AB9">
        <f t="shared" ref="AB9:AB33" si="11">O9/M9*AA9</f>
        <v>4.5071465179550829</v>
      </c>
      <c r="AC9">
        <f t="shared" ref="AC9:AC33" si="12">N9/M9*AA9</f>
        <v>0</v>
      </c>
      <c r="AD9">
        <f t="shared" si="3"/>
        <v>5.5663143583750746E-3</v>
      </c>
      <c r="AE9">
        <f t="shared" ref="AE9:AE33" si="13">S9*$O9*$AE$2+S9*$N9*$AE$3</f>
        <v>0</v>
      </c>
      <c r="AF9">
        <f t="shared" ref="AF9:AF33" si="14">T9*$O9*$AF$2+T9*$N9*$AF$3</f>
        <v>6.1847937315278609E-3</v>
      </c>
      <c r="AG9">
        <f t="shared" ref="AG9:AG33" si="15">U9*$O9*$AG$2+U9*$N9*$AG$3</f>
        <v>1.1132628716750149E-2</v>
      </c>
      <c r="AH9">
        <f t="shared" ref="AH9:AH33" si="16">V9*$O9*$AH$2+V9*$N9*$AH$3</f>
        <v>0</v>
      </c>
      <c r="AI9">
        <f t="shared" ref="AI9:AI33" si="17">W9*$O9*$AI$2+W9*$N9*$AI$3</f>
        <v>1.4648195679934405E-3</v>
      </c>
      <c r="AJ9">
        <f t="shared" ref="AJ9:AJ33" si="18">X9*$O9*$AJ$2+X9*$N9*$AJ$3</f>
        <v>0</v>
      </c>
      <c r="AK9">
        <f t="shared" ref="AK9:AK33" si="19">Y9*$O9*$AK$2+Y9*$N9*$AK$3</f>
        <v>5.5663143583750746E-3</v>
      </c>
      <c r="AL9">
        <f t="shared" ref="AL9:AL33" si="20">Z9*$O9*$AL$2+Z9*$N9*$AL$3</f>
        <v>0</v>
      </c>
    </row>
    <row r="10" spans="1:51" x14ac:dyDescent="0.2">
      <c r="A10">
        <v>2027</v>
      </c>
      <c r="B10">
        <v>2</v>
      </c>
      <c r="C10">
        <f t="shared" ref="C10:C33" si="21">C9*(1+$I$2)</f>
        <v>4.6302126296316439</v>
      </c>
      <c r="D10">
        <f>IF($E$2=0,0,C10/(1+EXP(-$E$2*(B10-$G$2)))-C10/(1+EXP($E$2*$G$2)))</f>
        <v>0</v>
      </c>
      <c r="E10">
        <f t="shared" si="4"/>
        <v>0</v>
      </c>
      <c r="F10">
        <f t="shared" si="5"/>
        <v>0</v>
      </c>
      <c r="G10" s="9">
        <f t="shared" si="6"/>
        <v>0</v>
      </c>
      <c r="H10" s="9">
        <f t="shared" si="6"/>
        <v>0</v>
      </c>
      <c r="I10" s="9">
        <f t="shared" si="6"/>
        <v>0</v>
      </c>
      <c r="J10" s="9">
        <f t="shared" si="7"/>
        <v>0</v>
      </c>
      <c r="K10" s="9">
        <f t="shared" si="8"/>
        <v>0</v>
      </c>
      <c r="L10" s="9">
        <f t="shared" si="9"/>
        <v>0</v>
      </c>
      <c r="M10">
        <f t="shared" si="0"/>
        <v>4.6302126296316439</v>
      </c>
      <c r="N10">
        <f t="shared" si="10"/>
        <v>0</v>
      </c>
      <c r="O10">
        <f>M10-N10</f>
        <v>4.6302126296316439</v>
      </c>
      <c r="P10">
        <f t="shared" ref="P10:P33" si="22">IF($I$3=0,0,M10/(1+EXP(-$I$3*(B10-$J$3)))-M10/(1+EXP($I$3*$J$3)))</f>
        <v>7.227785504062513E-2</v>
      </c>
      <c r="Q10" s="9">
        <f t="shared" si="1"/>
        <v>1.5610050946272673E-2</v>
      </c>
      <c r="R10">
        <f>VLOOKUP($B$1,dictionary!$A$3:$K$51,3,FALSE)*Q10</f>
        <v>3.1220101892545349E-3</v>
      </c>
      <c r="S10">
        <f>VLOOKUP($B$1,dictionary!$A$3:$K$51,4,FALSE)*Q10</f>
        <v>0</v>
      </c>
      <c r="T10">
        <f>VLOOKUP($B$1,dictionary!$A$3:$K$51,5,FALSE)*Q10</f>
        <v>3.1220101892545349E-3</v>
      </c>
      <c r="U10">
        <f>VLOOKUP($B$1,dictionary!$A$3:$K$51,6,FALSE)*Q10</f>
        <v>5.4635178311954356E-3</v>
      </c>
      <c r="V10">
        <f>VLOOKUP($B$1,dictionary!$A$3:$K$51,7,FALSE)*Q10</f>
        <v>0</v>
      </c>
      <c r="W10">
        <f>VLOOKUP($B$1,dictionary!$A$3:$K$51,8,FALSE)*Q10</f>
        <v>7.8050254731363373E-4</v>
      </c>
      <c r="X10">
        <f>VLOOKUP($B$1,dictionary!$A$3:$K$51,9,FALSE)*Q10</f>
        <v>0</v>
      </c>
      <c r="Y10">
        <f>VLOOKUP($B$1,dictionary!$A$3:$K$51,10,FALSE)*Q10</f>
        <v>3.1220101892545349E-3</v>
      </c>
      <c r="Z10">
        <f>VLOOKUP($B$1,dictionary!$A$3:$K$51,11,FALSE)*Q10</f>
        <v>0</v>
      </c>
      <c r="AA10">
        <f t="shared" si="2"/>
        <v>4.5579347745910184</v>
      </c>
      <c r="AB10">
        <f t="shared" si="11"/>
        <v>4.5579347745910184</v>
      </c>
      <c r="AC10">
        <f t="shared" si="12"/>
        <v>0</v>
      </c>
      <c r="AD10">
        <f t="shared" si="3"/>
        <v>1.4455571008125027E-2</v>
      </c>
      <c r="AE10">
        <f t="shared" si="13"/>
        <v>0</v>
      </c>
      <c r="AF10">
        <f t="shared" si="14"/>
        <v>1.6061745564583365E-2</v>
      </c>
      <c r="AG10">
        <f t="shared" si="15"/>
        <v>2.8911142016250054E-2</v>
      </c>
      <c r="AH10">
        <f t="shared" si="16"/>
        <v>0</v>
      </c>
      <c r="AI10">
        <f t="shared" si="17"/>
        <v>3.804097633717112E-3</v>
      </c>
      <c r="AJ10">
        <f t="shared" si="18"/>
        <v>0</v>
      </c>
      <c r="AK10">
        <f t="shared" si="19"/>
        <v>1.4455571008125027E-2</v>
      </c>
      <c r="AL10">
        <f t="shared" si="20"/>
        <v>0</v>
      </c>
    </row>
    <row r="11" spans="1:51" x14ac:dyDescent="0.2">
      <c r="A11">
        <v>2028</v>
      </c>
      <c r="B11">
        <v>3</v>
      </c>
      <c r="C11">
        <f t="shared" si="21"/>
        <v>4.7274470948539085</v>
      </c>
      <c r="D11">
        <f t="shared" ref="D11:D33" si="23">IF($E$2=0,0,C11/(1+EXP(-$E$2*(B11-$G$2)))-C11/(1+EXP($E$2*$G$2)))</f>
        <v>0</v>
      </c>
      <c r="E11">
        <f t="shared" si="4"/>
        <v>0</v>
      </c>
      <c r="F11">
        <f t="shared" si="5"/>
        <v>0</v>
      </c>
      <c r="G11" s="9">
        <f t="shared" si="6"/>
        <v>0</v>
      </c>
      <c r="H11" s="9">
        <f t="shared" si="6"/>
        <v>0</v>
      </c>
      <c r="I11" s="9">
        <f t="shared" si="6"/>
        <v>0</v>
      </c>
      <c r="J11" s="9">
        <f t="shared" si="7"/>
        <v>0</v>
      </c>
      <c r="K11" s="9">
        <f t="shared" si="8"/>
        <v>0</v>
      </c>
      <c r="L11" s="9">
        <f t="shared" si="9"/>
        <v>0</v>
      </c>
      <c r="M11">
        <f t="shared" si="0"/>
        <v>4.7274470948539085</v>
      </c>
      <c r="N11">
        <f t="shared" si="10"/>
        <v>0</v>
      </c>
      <c r="O11">
        <f t="shared" ref="O11:O33" si="24">M11-N11</f>
        <v>4.7274470948539085</v>
      </c>
      <c r="P11">
        <f t="shared" si="22"/>
        <v>0.14231665373229779</v>
      </c>
      <c r="Q11" s="9">
        <f t="shared" si="1"/>
        <v>3.0104335569871837E-2</v>
      </c>
      <c r="R11">
        <f>VLOOKUP($B$1,dictionary!$A$3:$K$51,3,FALSE)*Q11</f>
        <v>6.0208671139743673E-3</v>
      </c>
      <c r="S11">
        <f>VLOOKUP($B$1,dictionary!$A$3:$K$51,4,FALSE)*Q11</f>
        <v>0</v>
      </c>
      <c r="T11">
        <f>VLOOKUP($B$1,dictionary!$A$3:$K$51,5,FALSE)*Q11</f>
        <v>6.0208671139743673E-3</v>
      </c>
      <c r="U11">
        <f>VLOOKUP($B$1,dictionary!$A$3:$K$51,6,FALSE)*Q11</f>
        <v>1.0536517449455142E-2</v>
      </c>
      <c r="V11">
        <f>VLOOKUP($B$1,dictionary!$A$3:$K$51,7,FALSE)*Q11</f>
        <v>0</v>
      </c>
      <c r="W11">
        <f>VLOOKUP($B$1,dictionary!$A$3:$K$51,8,FALSE)*Q11</f>
        <v>1.5052167784935918E-3</v>
      </c>
      <c r="X11">
        <f>VLOOKUP($B$1,dictionary!$A$3:$K$51,9,FALSE)*Q11</f>
        <v>0</v>
      </c>
      <c r="Y11">
        <f>VLOOKUP($B$1,dictionary!$A$3:$K$51,10,FALSE)*Q11</f>
        <v>6.0208671139743673E-3</v>
      </c>
      <c r="Z11">
        <f>VLOOKUP($B$1,dictionary!$A$3:$K$51,11,FALSE)*Q11</f>
        <v>0</v>
      </c>
      <c r="AA11">
        <f t="shared" si="2"/>
        <v>4.5851304411216107</v>
      </c>
      <c r="AB11">
        <f t="shared" si="11"/>
        <v>4.5851304411216107</v>
      </c>
      <c r="AC11">
        <f t="shared" si="12"/>
        <v>0</v>
      </c>
      <c r="AD11">
        <f t="shared" si="3"/>
        <v>2.8463330746459559E-2</v>
      </c>
      <c r="AE11">
        <f t="shared" si="13"/>
        <v>0</v>
      </c>
      <c r="AF11">
        <f t="shared" si="14"/>
        <v>3.1625923051621735E-2</v>
      </c>
      <c r="AG11">
        <f t="shared" si="15"/>
        <v>5.6926661492919126E-2</v>
      </c>
      <c r="AH11">
        <f t="shared" si="16"/>
        <v>0</v>
      </c>
      <c r="AI11">
        <f t="shared" si="17"/>
        <v>7.490350196436726E-3</v>
      </c>
      <c r="AJ11">
        <f t="shared" si="18"/>
        <v>0</v>
      </c>
      <c r="AK11">
        <f t="shared" si="19"/>
        <v>2.8463330746459559E-2</v>
      </c>
      <c r="AL11">
        <f t="shared" si="20"/>
        <v>0</v>
      </c>
    </row>
    <row r="12" spans="1:51" x14ac:dyDescent="0.2">
      <c r="A12">
        <v>2029</v>
      </c>
      <c r="B12">
        <v>4</v>
      </c>
      <c r="C12">
        <f t="shared" si="21"/>
        <v>4.8267234838458402</v>
      </c>
      <c r="D12">
        <f t="shared" si="23"/>
        <v>0</v>
      </c>
      <c r="E12">
        <f t="shared" si="4"/>
        <v>0</v>
      </c>
      <c r="F12">
        <f t="shared" si="5"/>
        <v>0</v>
      </c>
      <c r="G12" s="9">
        <f t="shared" si="6"/>
        <v>0</v>
      </c>
      <c r="H12" s="9">
        <f t="shared" si="6"/>
        <v>0</v>
      </c>
      <c r="I12" s="9">
        <f t="shared" si="6"/>
        <v>0</v>
      </c>
      <c r="J12" s="9">
        <f t="shared" si="7"/>
        <v>0</v>
      </c>
      <c r="K12" s="9">
        <f t="shared" si="8"/>
        <v>0</v>
      </c>
      <c r="L12" s="9">
        <f t="shared" si="9"/>
        <v>0</v>
      </c>
      <c r="M12">
        <f t="shared" si="0"/>
        <v>4.8267234838458402</v>
      </c>
      <c r="N12">
        <f t="shared" si="10"/>
        <v>0</v>
      </c>
      <c r="O12">
        <f t="shared" si="24"/>
        <v>4.8267234838458402</v>
      </c>
      <c r="P12">
        <f t="shared" si="22"/>
        <v>0.25092404252613948</v>
      </c>
      <c r="Q12" s="9">
        <f t="shared" si="1"/>
        <v>5.1986413426403297E-2</v>
      </c>
      <c r="R12">
        <f>VLOOKUP($B$1,dictionary!$A$3:$K$51,3,FALSE)*Q12</f>
        <v>1.0397282685280659E-2</v>
      </c>
      <c r="S12">
        <f>VLOOKUP($B$1,dictionary!$A$3:$K$51,4,FALSE)*Q12</f>
        <v>0</v>
      </c>
      <c r="T12">
        <f>VLOOKUP($B$1,dictionary!$A$3:$K$51,5,FALSE)*Q12</f>
        <v>1.0397282685280659E-2</v>
      </c>
      <c r="U12">
        <f>VLOOKUP($B$1,dictionary!$A$3:$K$51,6,FALSE)*Q12</f>
        <v>1.8195244699241154E-2</v>
      </c>
      <c r="V12">
        <f>VLOOKUP($B$1,dictionary!$A$3:$K$51,7,FALSE)*Q12</f>
        <v>0</v>
      </c>
      <c r="W12">
        <f>VLOOKUP($B$1,dictionary!$A$3:$K$51,8,FALSE)*Q12</f>
        <v>2.5993206713201648E-3</v>
      </c>
      <c r="X12">
        <f>VLOOKUP($B$1,dictionary!$A$3:$K$51,9,FALSE)*Q12</f>
        <v>0</v>
      </c>
      <c r="Y12">
        <f>VLOOKUP($B$1,dictionary!$A$3:$K$51,10,FALSE)*Q12</f>
        <v>1.0397282685280659E-2</v>
      </c>
      <c r="Z12">
        <f>VLOOKUP($B$1,dictionary!$A$3:$K$51,11,FALSE)*Q12</f>
        <v>0</v>
      </c>
      <c r="AA12">
        <f t="shared" si="2"/>
        <v>4.5757994413197007</v>
      </c>
      <c r="AB12">
        <f t="shared" si="11"/>
        <v>4.5757994413197007</v>
      </c>
      <c r="AC12">
        <f t="shared" si="12"/>
        <v>0</v>
      </c>
      <c r="AD12">
        <f t="shared" si="3"/>
        <v>5.0184808505227899E-2</v>
      </c>
      <c r="AE12">
        <f t="shared" si="13"/>
        <v>0</v>
      </c>
      <c r="AF12">
        <f t="shared" si="14"/>
        <v>5.5760898339142113E-2</v>
      </c>
      <c r="AG12">
        <f t="shared" si="15"/>
        <v>0.1003696170104558</v>
      </c>
      <c r="AH12">
        <f t="shared" si="16"/>
        <v>0</v>
      </c>
      <c r="AI12">
        <f t="shared" si="17"/>
        <v>1.320652855400734E-2</v>
      </c>
      <c r="AJ12">
        <f t="shared" si="18"/>
        <v>0</v>
      </c>
      <c r="AK12">
        <f t="shared" si="19"/>
        <v>5.0184808505227899E-2</v>
      </c>
      <c r="AL12">
        <f t="shared" si="20"/>
        <v>0</v>
      </c>
    </row>
    <row r="13" spans="1:51" x14ac:dyDescent="0.2">
      <c r="A13">
        <v>2030</v>
      </c>
      <c r="B13">
        <v>5</v>
      </c>
      <c r="C13">
        <f t="shared" si="21"/>
        <v>4.928084677006602</v>
      </c>
      <c r="D13">
        <f t="shared" si="23"/>
        <v>0</v>
      </c>
      <c r="E13">
        <f t="shared" si="4"/>
        <v>0</v>
      </c>
      <c r="F13">
        <f t="shared" si="5"/>
        <v>0</v>
      </c>
      <c r="G13" s="9">
        <f t="shared" si="6"/>
        <v>0</v>
      </c>
      <c r="H13" s="9">
        <f t="shared" si="6"/>
        <v>0</v>
      </c>
      <c r="I13" s="9">
        <f t="shared" si="6"/>
        <v>0</v>
      </c>
      <c r="J13" s="9">
        <f t="shared" si="7"/>
        <v>0</v>
      </c>
      <c r="K13" s="9">
        <f t="shared" si="8"/>
        <v>0</v>
      </c>
      <c r="L13" s="9">
        <f t="shared" si="9"/>
        <v>0</v>
      </c>
      <c r="M13">
        <f t="shared" si="0"/>
        <v>4.928084677006602</v>
      </c>
      <c r="N13">
        <f t="shared" si="10"/>
        <v>0</v>
      </c>
      <c r="O13">
        <f t="shared" si="24"/>
        <v>4.928084677006602</v>
      </c>
      <c r="P13">
        <f t="shared" si="22"/>
        <v>0.41574565330510344</v>
      </c>
      <c r="Q13" s="9">
        <f t="shared" si="1"/>
        <v>8.4362522268516302E-2</v>
      </c>
      <c r="R13">
        <f>VLOOKUP($B$1,dictionary!$A$3:$K$51,3,FALSE)*Q13</f>
        <v>1.6872504453703262E-2</v>
      </c>
      <c r="S13">
        <f>VLOOKUP($B$1,dictionary!$A$3:$K$51,4,FALSE)*Q13</f>
        <v>0</v>
      </c>
      <c r="T13">
        <f>VLOOKUP($B$1,dictionary!$A$3:$K$51,5,FALSE)*Q13</f>
        <v>1.6872504453703262E-2</v>
      </c>
      <c r="U13">
        <f>VLOOKUP($B$1,dictionary!$A$3:$K$51,6,FALSE)*Q13</f>
        <v>2.9526882793980705E-2</v>
      </c>
      <c r="V13">
        <f>VLOOKUP($B$1,dictionary!$A$3:$K$51,7,FALSE)*Q13</f>
        <v>0</v>
      </c>
      <c r="W13">
        <f>VLOOKUP($B$1,dictionary!$A$3:$K$51,8,FALSE)*Q13</f>
        <v>4.2181261134258156E-3</v>
      </c>
      <c r="X13">
        <f>VLOOKUP($B$1,dictionary!$A$3:$K$51,9,FALSE)*Q13</f>
        <v>0</v>
      </c>
      <c r="Y13">
        <f>VLOOKUP($B$1,dictionary!$A$3:$K$51,10,FALSE)*Q13</f>
        <v>1.6872504453703262E-2</v>
      </c>
      <c r="Z13">
        <f>VLOOKUP($B$1,dictionary!$A$3:$K$51,11,FALSE)*Q13</f>
        <v>0</v>
      </c>
      <c r="AA13">
        <f t="shared" si="2"/>
        <v>4.5123390237014984</v>
      </c>
      <c r="AB13">
        <f t="shared" si="11"/>
        <v>4.5123390237014984</v>
      </c>
      <c r="AC13">
        <f t="shared" si="12"/>
        <v>0</v>
      </c>
      <c r="AD13">
        <f t="shared" si="3"/>
        <v>8.3149130661020698E-2</v>
      </c>
      <c r="AE13">
        <f t="shared" si="13"/>
        <v>0</v>
      </c>
      <c r="AF13">
        <f t="shared" si="14"/>
        <v>9.2387922956689669E-2</v>
      </c>
      <c r="AG13">
        <f t="shared" si="15"/>
        <v>0.1662982613220414</v>
      </c>
      <c r="AH13">
        <f t="shared" si="16"/>
        <v>0</v>
      </c>
      <c r="AI13">
        <f t="shared" si="17"/>
        <v>2.1881350173952815E-2</v>
      </c>
      <c r="AJ13">
        <f t="shared" si="18"/>
        <v>0</v>
      </c>
      <c r="AK13">
        <f t="shared" si="19"/>
        <v>8.3149130661020698E-2</v>
      </c>
      <c r="AL13">
        <f t="shared" si="20"/>
        <v>0</v>
      </c>
    </row>
    <row r="14" spans="1:51" x14ac:dyDescent="0.2">
      <c r="A14">
        <v>2031</v>
      </c>
      <c r="B14">
        <v>6</v>
      </c>
      <c r="C14">
        <f t="shared" si="21"/>
        <v>5.0315744552237405</v>
      </c>
      <c r="D14">
        <f t="shared" si="23"/>
        <v>0</v>
      </c>
      <c r="E14">
        <f t="shared" si="4"/>
        <v>0</v>
      </c>
      <c r="F14">
        <f t="shared" si="5"/>
        <v>0</v>
      </c>
      <c r="G14" s="9">
        <f t="shared" si="6"/>
        <v>0</v>
      </c>
      <c r="H14" s="9">
        <f t="shared" si="6"/>
        <v>0</v>
      </c>
      <c r="I14" s="9">
        <f t="shared" si="6"/>
        <v>0</v>
      </c>
      <c r="J14" s="9">
        <f t="shared" si="7"/>
        <v>0</v>
      </c>
      <c r="K14" s="9">
        <f t="shared" si="8"/>
        <v>0</v>
      </c>
      <c r="L14" s="9">
        <f t="shared" si="9"/>
        <v>0</v>
      </c>
      <c r="M14">
        <f t="shared" si="0"/>
        <v>5.0315744552237405</v>
      </c>
      <c r="N14">
        <f t="shared" si="10"/>
        <v>0</v>
      </c>
      <c r="O14">
        <f t="shared" si="24"/>
        <v>5.0315744552237405</v>
      </c>
      <c r="P14">
        <f t="shared" si="22"/>
        <v>0.65845257471847785</v>
      </c>
      <c r="Q14" s="9">
        <f t="shared" si="1"/>
        <v>0.13086412226989458</v>
      </c>
      <c r="R14">
        <f>VLOOKUP($B$1,dictionary!$A$3:$K$51,3,FALSE)*Q14</f>
        <v>2.6172824453978918E-2</v>
      </c>
      <c r="S14">
        <f>VLOOKUP($B$1,dictionary!$A$3:$K$51,4,FALSE)*Q14</f>
        <v>0</v>
      </c>
      <c r="T14">
        <f>VLOOKUP($B$1,dictionary!$A$3:$K$51,5,FALSE)*Q14</f>
        <v>2.6172824453978918E-2</v>
      </c>
      <c r="U14">
        <f>VLOOKUP($B$1,dictionary!$A$3:$K$51,6,FALSE)*Q14</f>
        <v>4.5802442794463098E-2</v>
      </c>
      <c r="V14">
        <f>VLOOKUP($B$1,dictionary!$A$3:$K$51,7,FALSE)*Q14</f>
        <v>0</v>
      </c>
      <c r="W14">
        <f>VLOOKUP($B$1,dictionary!$A$3:$K$51,8,FALSE)*Q14</f>
        <v>6.5432061134947294E-3</v>
      </c>
      <c r="X14">
        <f>VLOOKUP($B$1,dictionary!$A$3:$K$51,9,FALSE)*Q14</f>
        <v>0</v>
      </c>
      <c r="Y14">
        <f>VLOOKUP($B$1,dictionary!$A$3:$K$51,10,FALSE)*Q14</f>
        <v>2.6172824453978918E-2</v>
      </c>
      <c r="Z14">
        <f>VLOOKUP($B$1,dictionary!$A$3:$K$51,11,FALSE)*Q14</f>
        <v>0</v>
      </c>
      <c r="AA14">
        <f t="shared" si="2"/>
        <v>4.3731218805052627</v>
      </c>
      <c r="AB14">
        <f t="shared" si="11"/>
        <v>4.3731218805052627</v>
      </c>
      <c r="AC14">
        <f t="shared" si="12"/>
        <v>0</v>
      </c>
      <c r="AD14">
        <f t="shared" si="3"/>
        <v>0.13169051494369557</v>
      </c>
      <c r="AE14">
        <f t="shared" si="13"/>
        <v>0</v>
      </c>
      <c r="AF14">
        <f t="shared" si="14"/>
        <v>0.14632279438188397</v>
      </c>
      <c r="AG14">
        <f t="shared" si="15"/>
        <v>0.26338102988739115</v>
      </c>
      <c r="AH14">
        <f t="shared" si="16"/>
        <v>0</v>
      </c>
      <c r="AI14">
        <f t="shared" si="17"/>
        <v>3.4655398669393572E-2</v>
      </c>
      <c r="AJ14">
        <f t="shared" si="18"/>
        <v>0</v>
      </c>
      <c r="AK14">
        <f t="shared" si="19"/>
        <v>0.13169051494369557</v>
      </c>
      <c r="AL14">
        <f t="shared" si="20"/>
        <v>0</v>
      </c>
    </row>
    <row r="15" spans="1:51" x14ac:dyDescent="0.2">
      <c r="A15">
        <v>2032</v>
      </c>
      <c r="B15">
        <v>7</v>
      </c>
      <c r="C15">
        <f t="shared" si="21"/>
        <v>5.1372375187834383</v>
      </c>
      <c r="D15">
        <f t="shared" si="23"/>
        <v>0</v>
      </c>
      <c r="E15">
        <f t="shared" si="4"/>
        <v>0</v>
      </c>
      <c r="F15">
        <f t="shared" si="5"/>
        <v>0</v>
      </c>
      <c r="G15" s="9">
        <f t="shared" si="6"/>
        <v>0</v>
      </c>
      <c r="H15" s="9">
        <f t="shared" si="6"/>
        <v>0</v>
      </c>
      <c r="I15" s="9">
        <f t="shared" si="6"/>
        <v>0</v>
      </c>
      <c r="J15" s="9">
        <f t="shared" si="7"/>
        <v>0</v>
      </c>
      <c r="K15" s="9">
        <f t="shared" si="8"/>
        <v>0</v>
      </c>
      <c r="L15" s="9">
        <f t="shared" si="9"/>
        <v>0</v>
      </c>
      <c r="M15">
        <f t="shared" si="0"/>
        <v>5.1372375187834383</v>
      </c>
      <c r="N15">
        <f t="shared" si="10"/>
        <v>0</v>
      </c>
      <c r="O15">
        <f t="shared" si="24"/>
        <v>5.1372375187834383</v>
      </c>
      <c r="P15">
        <f>IF($I$3=0,0,M15/(1+EXP(-$I$3*(B15-$J$3)))-M15/(1+EXP($I$3*$J$3)))</f>
        <v>1.001162464123118</v>
      </c>
      <c r="Q15" s="9">
        <f t="shared" si="1"/>
        <v>0.19488342917035414</v>
      </c>
      <c r="R15">
        <f>VLOOKUP($B$1,dictionary!$A$3:$K$51,3,FALSE)*Q15</f>
        <v>3.897668583407083E-2</v>
      </c>
      <c r="S15">
        <f>VLOOKUP($B$1,dictionary!$A$3:$K$51,4,FALSE)*Q15</f>
        <v>0</v>
      </c>
      <c r="T15">
        <f>VLOOKUP($B$1,dictionary!$A$3:$K$51,5,FALSE)*Q15</f>
        <v>3.897668583407083E-2</v>
      </c>
      <c r="U15">
        <f>VLOOKUP($B$1,dictionary!$A$3:$K$51,6,FALSE)*Q15</f>
        <v>6.8209200209623941E-2</v>
      </c>
      <c r="V15">
        <f>VLOOKUP($B$1,dictionary!$A$3:$K$51,7,FALSE)*Q15</f>
        <v>0</v>
      </c>
      <c r="W15">
        <f>VLOOKUP($B$1,dictionary!$A$3:$K$51,8,FALSE)*Q15</f>
        <v>9.7441714585177076E-3</v>
      </c>
      <c r="X15">
        <f>VLOOKUP($B$1,dictionary!$A$3:$K$51,9,FALSE)*Q15</f>
        <v>0</v>
      </c>
      <c r="Y15">
        <f>VLOOKUP($B$1,dictionary!$A$3:$K$51,10,FALSE)*Q15</f>
        <v>3.897668583407083E-2</v>
      </c>
      <c r="Z15">
        <f>VLOOKUP($B$1,dictionary!$A$3:$K$51,11,FALSE)*Q15</f>
        <v>0</v>
      </c>
      <c r="AA15">
        <f t="shared" si="2"/>
        <v>4.1360750546603207</v>
      </c>
      <c r="AB15">
        <f t="shared" si="11"/>
        <v>4.1360750546603207</v>
      </c>
      <c r="AC15">
        <f t="shared" si="12"/>
        <v>0</v>
      </c>
      <c r="AD15">
        <f t="shared" si="3"/>
        <v>0.20023249282462363</v>
      </c>
      <c r="AE15">
        <f t="shared" si="13"/>
        <v>0</v>
      </c>
      <c r="AF15">
        <f t="shared" si="14"/>
        <v>0.22248054758291516</v>
      </c>
      <c r="AG15">
        <f t="shared" si="15"/>
        <v>0.40046498564924721</v>
      </c>
      <c r="AH15">
        <f t="shared" si="16"/>
        <v>0</v>
      </c>
      <c r="AI15">
        <f t="shared" si="17"/>
        <v>5.2692761269637796E-2</v>
      </c>
      <c r="AJ15">
        <f t="shared" si="18"/>
        <v>0</v>
      </c>
      <c r="AK15">
        <f t="shared" si="19"/>
        <v>0.20023249282462363</v>
      </c>
      <c r="AL15">
        <f t="shared" si="20"/>
        <v>0</v>
      </c>
    </row>
    <row r="16" spans="1:51" x14ac:dyDescent="0.2">
      <c r="A16">
        <v>2033</v>
      </c>
      <c r="B16">
        <v>8</v>
      </c>
      <c r="C16">
        <f t="shared" si="21"/>
        <v>5.2451195066778897</v>
      </c>
      <c r="D16">
        <f t="shared" si="23"/>
        <v>0</v>
      </c>
      <c r="E16">
        <f t="shared" si="4"/>
        <v>0</v>
      </c>
      <c r="F16">
        <f t="shared" si="5"/>
        <v>0</v>
      </c>
      <c r="G16" s="9">
        <f t="shared" si="6"/>
        <v>0</v>
      </c>
      <c r="H16" s="9">
        <f t="shared" si="6"/>
        <v>0</v>
      </c>
      <c r="I16" s="9">
        <f t="shared" si="6"/>
        <v>0</v>
      </c>
      <c r="J16" s="9">
        <f t="shared" si="7"/>
        <v>0</v>
      </c>
      <c r="K16" s="9">
        <f t="shared" si="8"/>
        <v>0</v>
      </c>
      <c r="L16" s="9">
        <f t="shared" si="9"/>
        <v>0</v>
      </c>
      <c r="M16">
        <f t="shared" si="0"/>
        <v>5.2451195066778897</v>
      </c>
      <c r="N16">
        <f t="shared" si="10"/>
        <v>0</v>
      </c>
      <c r="O16">
        <f t="shared" si="24"/>
        <v>5.2451195066778897</v>
      </c>
      <c r="P16">
        <f t="shared" si="22"/>
        <v>1.4584765750860627</v>
      </c>
      <c r="Q16" s="9">
        <f t="shared" si="1"/>
        <v>0.27806355474440286</v>
      </c>
      <c r="R16">
        <f>VLOOKUP($B$1,dictionary!$A$3:$K$51,3,FALSE)*Q16</f>
        <v>5.5612710948880574E-2</v>
      </c>
      <c r="S16">
        <f>VLOOKUP($B$1,dictionary!$A$3:$K$51,4,FALSE)*Q16</f>
        <v>0</v>
      </c>
      <c r="T16">
        <f>VLOOKUP($B$1,dictionary!$A$3:$K$51,5,FALSE)*Q16</f>
        <v>5.5612710948880574E-2</v>
      </c>
      <c r="U16">
        <f>VLOOKUP($B$1,dictionary!$A$3:$K$51,6,FALSE)*Q16</f>
        <v>9.7322244160540999E-2</v>
      </c>
      <c r="V16">
        <f>VLOOKUP($B$1,dictionary!$A$3:$K$51,7,FALSE)*Q16</f>
        <v>0</v>
      </c>
      <c r="W16">
        <f>VLOOKUP($B$1,dictionary!$A$3:$K$51,8,FALSE)*Q16</f>
        <v>1.3903177737220144E-2</v>
      </c>
      <c r="X16">
        <f>VLOOKUP($B$1,dictionary!$A$3:$K$51,9,FALSE)*Q16</f>
        <v>0</v>
      </c>
      <c r="Y16">
        <f>VLOOKUP($B$1,dictionary!$A$3:$K$51,10,FALSE)*Q16</f>
        <v>5.5612710948880574E-2</v>
      </c>
      <c r="Z16">
        <f>VLOOKUP($B$1,dictionary!$A$3:$K$51,11,FALSE)*Q16</f>
        <v>0</v>
      </c>
      <c r="AA16">
        <f t="shared" si="2"/>
        <v>3.7866429315918273</v>
      </c>
      <c r="AB16">
        <f t="shared" si="11"/>
        <v>3.7866429315918273</v>
      </c>
      <c r="AC16">
        <f t="shared" si="12"/>
        <v>0</v>
      </c>
      <c r="AD16">
        <f t="shared" si="3"/>
        <v>0.29169531501721258</v>
      </c>
      <c r="AE16">
        <f t="shared" si="13"/>
        <v>0</v>
      </c>
      <c r="AF16">
        <f t="shared" si="14"/>
        <v>0.32410590557468066</v>
      </c>
      <c r="AG16">
        <f t="shared" si="15"/>
        <v>0.58339063003442515</v>
      </c>
      <c r="AH16">
        <f t="shared" si="16"/>
        <v>0</v>
      </c>
      <c r="AI16">
        <f t="shared" si="17"/>
        <v>7.6761925004529621E-2</v>
      </c>
      <c r="AJ16">
        <f t="shared" si="18"/>
        <v>0</v>
      </c>
      <c r="AK16">
        <f t="shared" si="19"/>
        <v>0.29169531501721258</v>
      </c>
      <c r="AL16">
        <f t="shared" si="20"/>
        <v>0</v>
      </c>
    </row>
    <row r="17" spans="1:38" x14ac:dyDescent="0.2">
      <c r="A17">
        <v>2034</v>
      </c>
      <c r="B17">
        <v>9</v>
      </c>
      <c r="C17">
        <f t="shared" si="21"/>
        <v>5.3552670163181251</v>
      </c>
      <c r="D17">
        <f t="shared" si="23"/>
        <v>0</v>
      </c>
      <c r="E17">
        <f t="shared" si="4"/>
        <v>0</v>
      </c>
      <c r="F17">
        <f t="shared" si="5"/>
        <v>0</v>
      </c>
      <c r="G17" s="9">
        <f t="shared" si="6"/>
        <v>0</v>
      </c>
      <c r="H17" s="9">
        <f t="shared" si="6"/>
        <v>0</v>
      </c>
      <c r="I17" s="9">
        <f t="shared" si="6"/>
        <v>0</v>
      </c>
      <c r="J17" s="9">
        <f t="shared" si="7"/>
        <v>0</v>
      </c>
      <c r="K17" s="9">
        <f t="shared" si="8"/>
        <v>0</v>
      </c>
      <c r="L17" s="9">
        <f t="shared" si="9"/>
        <v>0</v>
      </c>
      <c r="M17">
        <f t="shared" si="0"/>
        <v>5.3552670163181251</v>
      </c>
      <c r="N17">
        <f t="shared" si="10"/>
        <v>0</v>
      </c>
      <c r="O17">
        <f t="shared" si="24"/>
        <v>5.3552670163181251</v>
      </c>
      <c r="P17">
        <f t="shared" si="22"/>
        <v>2.0262928564002944</v>
      </c>
      <c r="Q17" s="9">
        <f t="shared" si="1"/>
        <v>0.37837382342018483</v>
      </c>
      <c r="R17">
        <f>VLOOKUP($B$1,dictionary!$A$3:$K$51,3,FALSE)*Q17</f>
        <v>7.5674764684036971E-2</v>
      </c>
      <c r="S17">
        <f>VLOOKUP($B$1,dictionary!$A$3:$K$51,4,FALSE)*Q17</f>
        <v>0</v>
      </c>
      <c r="T17">
        <f>VLOOKUP($B$1,dictionary!$A$3:$K$51,5,FALSE)*Q17</f>
        <v>7.5674764684036971E-2</v>
      </c>
      <c r="U17">
        <f>VLOOKUP($B$1,dictionary!$A$3:$K$51,6,FALSE)*Q17</f>
        <v>0.13243083819706469</v>
      </c>
      <c r="V17">
        <f>VLOOKUP($B$1,dictionary!$A$3:$K$51,7,FALSE)*Q17</f>
        <v>0</v>
      </c>
      <c r="W17">
        <f>VLOOKUP($B$1,dictionary!$A$3:$K$51,8,FALSE)*Q17</f>
        <v>1.8918691171009243E-2</v>
      </c>
      <c r="X17">
        <f>VLOOKUP($B$1,dictionary!$A$3:$K$51,9,FALSE)*Q17</f>
        <v>0</v>
      </c>
      <c r="Y17">
        <f>VLOOKUP($B$1,dictionary!$A$3:$K$51,10,FALSE)*Q17</f>
        <v>7.5674764684036971E-2</v>
      </c>
      <c r="Z17">
        <f>VLOOKUP($B$1,dictionary!$A$3:$K$51,11,FALSE)*Q17</f>
        <v>0</v>
      </c>
      <c r="AA17">
        <f t="shared" si="2"/>
        <v>3.3289741599178306</v>
      </c>
      <c r="AB17">
        <f t="shared" si="11"/>
        <v>3.3289741599178306</v>
      </c>
      <c r="AC17">
        <f t="shared" si="12"/>
        <v>0</v>
      </c>
      <c r="AD17">
        <f t="shared" si="3"/>
        <v>0.40525857128005888</v>
      </c>
      <c r="AE17">
        <f t="shared" si="13"/>
        <v>0</v>
      </c>
      <c r="AF17">
        <f t="shared" si="14"/>
        <v>0.45028730142228768</v>
      </c>
      <c r="AG17">
        <f t="shared" si="15"/>
        <v>0.81051714256011786</v>
      </c>
      <c r="AH17">
        <f t="shared" si="16"/>
        <v>0</v>
      </c>
      <c r="AI17">
        <f t="shared" si="17"/>
        <v>0.10664699244212075</v>
      </c>
      <c r="AJ17">
        <f t="shared" si="18"/>
        <v>0</v>
      </c>
      <c r="AK17">
        <f t="shared" si="19"/>
        <v>0.40525857128005888</v>
      </c>
      <c r="AL17">
        <f t="shared" si="20"/>
        <v>0</v>
      </c>
    </row>
    <row r="18" spans="1:38" x14ac:dyDescent="0.2">
      <c r="A18">
        <v>2035</v>
      </c>
      <c r="B18">
        <v>10</v>
      </c>
      <c r="C18">
        <f t="shared" si="21"/>
        <v>5.4677276236608048</v>
      </c>
      <c r="D18">
        <f t="shared" si="23"/>
        <v>0</v>
      </c>
      <c r="E18">
        <f t="shared" si="4"/>
        <v>0</v>
      </c>
      <c r="F18">
        <f t="shared" si="5"/>
        <v>0</v>
      </c>
      <c r="G18" s="9">
        <f t="shared" si="6"/>
        <v>0</v>
      </c>
      <c r="H18" s="9">
        <f t="shared" si="6"/>
        <v>0</v>
      </c>
      <c r="I18" s="9">
        <f t="shared" si="6"/>
        <v>0</v>
      </c>
      <c r="J18" s="9">
        <f t="shared" si="7"/>
        <v>0</v>
      </c>
      <c r="K18" s="9">
        <f t="shared" si="8"/>
        <v>0</v>
      </c>
      <c r="L18" s="9">
        <f t="shared" si="9"/>
        <v>0</v>
      </c>
      <c r="M18">
        <f t="shared" si="0"/>
        <v>5.4677276236608048</v>
      </c>
      <c r="N18">
        <f t="shared" si="10"/>
        <v>0</v>
      </c>
      <c r="O18">
        <f t="shared" si="24"/>
        <v>5.4677276236608048</v>
      </c>
      <c r="P18">
        <f t="shared" si="22"/>
        <v>2.6737902021095317</v>
      </c>
      <c r="Q18" s="9">
        <f t="shared" si="1"/>
        <v>0.48901305736940687</v>
      </c>
      <c r="R18">
        <f>VLOOKUP($B$1,dictionary!$A$3:$K$51,3,FALSE)*Q18</f>
        <v>9.7802611473881376E-2</v>
      </c>
      <c r="S18">
        <f>VLOOKUP($B$1,dictionary!$A$3:$K$51,4,FALSE)*Q18</f>
        <v>0</v>
      </c>
      <c r="T18">
        <f>VLOOKUP($B$1,dictionary!$A$3:$K$51,5,FALSE)*Q18</f>
        <v>9.7802611473881376E-2</v>
      </c>
      <c r="U18">
        <f>VLOOKUP($B$1,dictionary!$A$3:$K$51,6,FALSE)*Q18</f>
        <v>0.17115457007929238</v>
      </c>
      <c r="V18">
        <f>VLOOKUP($B$1,dictionary!$A$3:$K$51,7,FALSE)*Q18</f>
        <v>0</v>
      </c>
      <c r="W18">
        <f>VLOOKUP($B$1,dictionary!$A$3:$K$51,8,FALSE)*Q18</f>
        <v>2.4450652868470344E-2</v>
      </c>
      <c r="X18">
        <f>VLOOKUP($B$1,dictionary!$A$3:$K$51,9,FALSE)*Q18</f>
        <v>0</v>
      </c>
      <c r="Y18">
        <f>VLOOKUP($B$1,dictionary!$A$3:$K$51,10,FALSE)*Q18</f>
        <v>9.7802611473881376E-2</v>
      </c>
      <c r="Z18">
        <f>VLOOKUP($B$1,dictionary!$A$3:$K$51,11,FALSE)*Q18</f>
        <v>0</v>
      </c>
      <c r="AA18">
        <f t="shared" si="2"/>
        <v>2.7939374215512731</v>
      </c>
      <c r="AB18">
        <f t="shared" si="11"/>
        <v>2.7939374215512731</v>
      </c>
      <c r="AC18">
        <f t="shared" si="12"/>
        <v>0</v>
      </c>
      <c r="AD18">
        <f t="shared" si="3"/>
        <v>0.53475804042190633</v>
      </c>
      <c r="AE18">
        <f t="shared" si="13"/>
        <v>0</v>
      </c>
      <c r="AF18">
        <f t="shared" si="14"/>
        <v>0.59417560046878481</v>
      </c>
      <c r="AG18">
        <f t="shared" si="15"/>
        <v>1.0695160808438127</v>
      </c>
      <c r="AH18">
        <f t="shared" si="16"/>
        <v>0</v>
      </c>
      <c r="AI18">
        <f t="shared" si="17"/>
        <v>0.14072580011102798</v>
      </c>
      <c r="AJ18">
        <f t="shared" si="18"/>
        <v>0</v>
      </c>
      <c r="AK18">
        <f t="shared" si="19"/>
        <v>0.53475804042190633</v>
      </c>
      <c r="AL18">
        <f t="shared" si="20"/>
        <v>0</v>
      </c>
    </row>
    <row r="19" spans="1:38" x14ac:dyDescent="0.2">
      <c r="A19">
        <v>2036</v>
      </c>
      <c r="B19">
        <v>11</v>
      </c>
      <c r="C19">
        <f t="shared" si="21"/>
        <v>5.5825499037576813</v>
      </c>
      <c r="D19">
        <f t="shared" si="23"/>
        <v>0</v>
      </c>
      <c r="E19">
        <f t="shared" si="4"/>
        <v>0</v>
      </c>
      <c r="F19">
        <f t="shared" si="5"/>
        <v>0</v>
      </c>
      <c r="G19" s="9">
        <f t="shared" si="6"/>
        <v>0</v>
      </c>
      <c r="H19" s="9">
        <f t="shared" si="6"/>
        <v>0</v>
      </c>
      <c r="I19" s="9">
        <f t="shared" si="6"/>
        <v>0</v>
      </c>
      <c r="J19" s="9">
        <f t="shared" si="7"/>
        <v>0</v>
      </c>
      <c r="K19" s="9">
        <f t="shared" si="8"/>
        <v>0</v>
      </c>
      <c r="L19" s="9">
        <f t="shared" si="9"/>
        <v>0</v>
      </c>
      <c r="M19">
        <f t="shared" si="0"/>
        <v>5.5825499037576813</v>
      </c>
      <c r="N19">
        <f t="shared" si="10"/>
        <v>0</v>
      </c>
      <c r="O19">
        <f t="shared" si="24"/>
        <v>5.5825499037576813</v>
      </c>
      <c r="P19">
        <f t="shared" si="22"/>
        <v>3.3475888411888848</v>
      </c>
      <c r="Q19" s="9">
        <f t="shared" si="1"/>
        <v>0.59965229131862885</v>
      </c>
      <c r="R19">
        <f>VLOOKUP($B$1,dictionary!$A$3:$K$51,3,FALSE)*Q19</f>
        <v>0.11993045826372578</v>
      </c>
      <c r="S19">
        <f>VLOOKUP($B$1,dictionary!$A$3:$K$51,4,FALSE)*Q19</f>
        <v>0</v>
      </c>
      <c r="T19">
        <f>VLOOKUP($B$1,dictionary!$A$3:$K$51,5,FALSE)*Q19</f>
        <v>0.11993045826372578</v>
      </c>
      <c r="U19">
        <f>VLOOKUP($B$1,dictionary!$A$3:$K$51,6,FALSE)*Q19</f>
        <v>0.20987830196152008</v>
      </c>
      <c r="V19">
        <f>VLOOKUP($B$1,dictionary!$A$3:$K$51,7,FALSE)*Q19</f>
        <v>0</v>
      </c>
      <c r="W19">
        <f>VLOOKUP($B$1,dictionary!$A$3:$K$51,8,FALSE)*Q19</f>
        <v>2.9982614565931445E-2</v>
      </c>
      <c r="X19">
        <f>VLOOKUP($B$1,dictionary!$A$3:$K$51,9,FALSE)*Q19</f>
        <v>0</v>
      </c>
      <c r="Y19">
        <f>VLOOKUP($B$1,dictionary!$A$3:$K$51,10,FALSE)*Q19</f>
        <v>0.11993045826372578</v>
      </c>
      <c r="Z19">
        <f>VLOOKUP($B$1,dictionary!$A$3:$K$51,11,FALSE)*Q19</f>
        <v>0</v>
      </c>
      <c r="AA19">
        <f t="shared" si="2"/>
        <v>2.2349610625687966</v>
      </c>
      <c r="AB19">
        <f t="shared" si="11"/>
        <v>2.2349610625687966</v>
      </c>
      <c r="AC19">
        <f t="shared" si="12"/>
        <v>0</v>
      </c>
      <c r="AD19">
        <f t="shared" si="3"/>
        <v>0.66951776823777698</v>
      </c>
      <c r="AE19">
        <f t="shared" si="13"/>
        <v>0</v>
      </c>
      <c r="AF19">
        <f t="shared" si="14"/>
        <v>0.74390863137530783</v>
      </c>
      <c r="AG19">
        <f t="shared" si="15"/>
        <v>1.3390355364755537</v>
      </c>
      <c r="AH19">
        <f t="shared" si="16"/>
        <v>0</v>
      </c>
      <c r="AI19">
        <f t="shared" si="17"/>
        <v>0.17618888637836236</v>
      </c>
      <c r="AJ19">
        <f t="shared" si="18"/>
        <v>0</v>
      </c>
      <c r="AK19">
        <f t="shared" si="19"/>
        <v>0.66951776823777698</v>
      </c>
      <c r="AL19">
        <f t="shared" si="20"/>
        <v>0</v>
      </c>
    </row>
    <row r="20" spans="1:38" x14ac:dyDescent="0.2">
      <c r="A20">
        <v>2037</v>
      </c>
      <c r="B20">
        <v>12</v>
      </c>
      <c r="C20">
        <f t="shared" si="21"/>
        <v>5.6997834517365922</v>
      </c>
      <c r="D20">
        <f t="shared" si="23"/>
        <v>0</v>
      </c>
      <c r="E20">
        <f t="shared" si="4"/>
        <v>0</v>
      </c>
      <c r="F20">
        <f t="shared" si="5"/>
        <v>0</v>
      </c>
      <c r="G20" s="9">
        <f t="shared" si="6"/>
        <v>0</v>
      </c>
      <c r="H20" s="9">
        <f t="shared" si="6"/>
        <v>0</v>
      </c>
      <c r="I20" s="9">
        <f t="shared" si="6"/>
        <v>0</v>
      </c>
      <c r="J20" s="9">
        <f t="shared" si="7"/>
        <v>0</v>
      </c>
      <c r="K20" s="9">
        <f t="shared" si="8"/>
        <v>0</v>
      </c>
      <c r="L20" s="9">
        <f t="shared" si="9"/>
        <v>0</v>
      </c>
      <c r="M20">
        <f t="shared" si="0"/>
        <v>5.6997834517365922</v>
      </c>
      <c r="N20">
        <f t="shared" si="10"/>
        <v>0</v>
      </c>
      <c r="O20">
        <f t="shared" si="24"/>
        <v>5.6997834517365922</v>
      </c>
      <c r="P20">
        <f>IF($I$3=0,0,M20/(1+EXP(-$I$3*(B20-$J$3)))-M20/(1+EXP($I$3*$J$3)))</f>
        <v>3.9896350162913237</v>
      </c>
      <c r="Q20" s="9">
        <f t="shared" si="1"/>
        <v>0.6999625599944107</v>
      </c>
      <c r="R20">
        <f>VLOOKUP($B$1,dictionary!$A$3:$K$51,3,FALSE)*Q20</f>
        <v>0.13999251199888216</v>
      </c>
      <c r="S20">
        <f>VLOOKUP($B$1,dictionary!$A$3:$K$51,4,FALSE)*Q20</f>
        <v>0</v>
      </c>
      <c r="T20">
        <f>VLOOKUP($B$1,dictionary!$A$3:$K$51,5,FALSE)*Q20</f>
        <v>0.13999251199888216</v>
      </c>
      <c r="U20">
        <f>VLOOKUP($B$1,dictionary!$A$3:$K$51,6,FALSE)*Q20</f>
        <v>0.24498689599804374</v>
      </c>
      <c r="V20">
        <f>VLOOKUP($B$1,dictionary!$A$3:$K$51,7,FALSE)*Q20</f>
        <v>0</v>
      </c>
      <c r="W20">
        <f>VLOOKUP($B$1,dictionary!$A$3:$K$51,8,FALSE)*Q20</f>
        <v>3.4998127999720539E-2</v>
      </c>
      <c r="X20">
        <f>VLOOKUP($B$1,dictionary!$A$3:$K$51,9,FALSE)*Q20</f>
        <v>0</v>
      </c>
      <c r="Y20">
        <f>VLOOKUP($B$1,dictionary!$A$3:$K$51,10,FALSE)*Q20</f>
        <v>0.13999251199888216</v>
      </c>
      <c r="Z20">
        <f>VLOOKUP($B$1,dictionary!$A$3:$K$51,11,FALSE)*Q20</f>
        <v>0</v>
      </c>
      <c r="AA20">
        <f t="shared" si="2"/>
        <v>1.7101484354452685</v>
      </c>
      <c r="AB20">
        <f t="shared" si="11"/>
        <v>1.7101484354452685</v>
      </c>
      <c r="AC20">
        <f t="shared" si="12"/>
        <v>0</v>
      </c>
      <c r="AD20">
        <f t="shared" si="3"/>
        <v>0.79792700325826482</v>
      </c>
      <c r="AE20">
        <f t="shared" si="13"/>
        <v>0</v>
      </c>
      <c r="AF20">
        <f t="shared" si="14"/>
        <v>0.8865855591758498</v>
      </c>
      <c r="AG20">
        <f t="shared" si="15"/>
        <v>1.5958540065165296</v>
      </c>
      <c r="AH20">
        <f t="shared" si="16"/>
        <v>0</v>
      </c>
      <c r="AI20">
        <f t="shared" si="17"/>
        <v>0.2099807903311223</v>
      </c>
      <c r="AJ20">
        <f t="shared" si="18"/>
        <v>0</v>
      </c>
      <c r="AK20">
        <f t="shared" si="19"/>
        <v>0.79792700325826482</v>
      </c>
      <c r="AL20">
        <f t="shared" si="20"/>
        <v>0</v>
      </c>
    </row>
    <row r="21" spans="1:38" x14ac:dyDescent="0.2">
      <c r="A21">
        <v>2038</v>
      </c>
      <c r="B21">
        <v>13</v>
      </c>
      <c r="C21">
        <f t="shared" si="21"/>
        <v>5.8194789042230601</v>
      </c>
      <c r="D21">
        <f t="shared" si="23"/>
        <v>0</v>
      </c>
      <c r="E21">
        <f t="shared" si="4"/>
        <v>0</v>
      </c>
      <c r="F21">
        <f t="shared" si="5"/>
        <v>0</v>
      </c>
      <c r="G21" s="9">
        <f t="shared" si="6"/>
        <v>0</v>
      </c>
      <c r="H21" s="9">
        <f t="shared" si="6"/>
        <v>0</v>
      </c>
      <c r="I21" s="9">
        <f t="shared" si="6"/>
        <v>0</v>
      </c>
      <c r="J21" s="9">
        <f t="shared" si="7"/>
        <v>0</v>
      </c>
      <c r="K21" s="9">
        <f t="shared" si="8"/>
        <v>0</v>
      </c>
      <c r="L21" s="9">
        <f t="shared" si="9"/>
        <v>0</v>
      </c>
      <c r="M21">
        <f t="shared" si="0"/>
        <v>5.8194789042230601</v>
      </c>
      <c r="N21">
        <f t="shared" si="10"/>
        <v>0</v>
      </c>
      <c r="O21">
        <f t="shared" si="24"/>
        <v>5.8194789042230601</v>
      </c>
      <c r="P21">
        <f t="shared" si="22"/>
        <v>4.5574823376622433</v>
      </c>
      <c r="Q21" s="9">
        <f t="shared" si="1"/>
        <v>0.78314268556845956</v>
      </c>
      <c r="R21">
        <f>VLOOKUP($B$1,dictionary!$A$3:$K$51,3,FALSE)*Q21</f>
        <v>0.15662853711369193</v>
      </c>
      <c r="S21">
        <f>VLOOKUP($B$1,dictionary!$A$3:$K$51,4,FALSE)*Q21</f>
        <v>0</v>
      </c>
      <c r="T21">
        <f>VLOOKUP($B$1,dictionary!$A$3:$K$51,5,FALSE)*Q21</f>
        <v>0.15662853711369193</v>
      </c>
      <c r="U21">
        <f>VLOOKUP($B$1,dictionary!$A$3:$K$51,6,FALSE)*Q21</f>
        <v>0.27409993994896081</v>
      </c>
      <c r="V21">
        <f>VLOOKUP($B$1,dictionary!$A$3:$K$51,7,FALSE)*Q21</f>
        <v>0</v>
      </c>
      <c r="W21">
        <f>VLOOKUP($B$1,dictionary!$A$3:$K$51,8,FALSE)*Q21</f>
        <v>3.9157134278422982E-2</v>
      </c>
      <c r="X21">
        <f>VLOOKUP($B$1,dictionary!$A$3:$K$51,9,FALSE)*Q21</f>
        <v>0</v>
      </c>
      <c r="Y21">
        <f>VLOOKUP($B$1,dictionary!$A$3:$K$51,10,FALSE)*Q21</f>
        <v>0.15662853711369193</v>
      </c>
      <c r="Z21">
        <f>VLOOKUP($B$1,dictionary!$A$3:$K$51,11,FALSE)*Q21</f>
        <v>0</v>
      </c>
      <c r="AA21">
        <f t="shared" si="2"/>
        <v>1.2619965665608168</v>
      </c>
      <c r="AB21">
        <f t="shared" si="11"/>
        <v>1.2619965665608168</v>
      </c>
      <c r="AC21">
        <f t="shared" si="12"/>
        <v>0</v>
      </c>
      <c r="AD21">
        <f t="shared" si="3"/>
        <v>0.91149646753244884</v>
      </c>
      <c r="AE21">
        <f t="shared" si="13"/>
        <v>0</v>
      </c>
      <c r="AF21">
        <f t="shared" si="14"/>
        <v>1.0127738528138321</v>
      </c>
      <c r="AG21">
        <f t="shared" si="15"/>
        <v>1.8229929350648975</v>
      </c>
      <c r="AH21">
        <f t="shared" si="16"/>
        <v>0</v>
      </c>
      <c r="AI21">
        <f t="shared" si="17"/>
        <v>0.23986749145590758</v>
      </c>
      <c r="AJ21">
        <f t="shared" si="18"/>
        <v>0</v>
      </c>
      <c r="AK21">
        <f t="shared" si="19"/>
        <v>0.91149646753244884</v>
      </c>
      <c r="AL21">
        <f t="shared" si="20"/>
        <v>0</v>
      </c>
    </row>
    <row r="22" spans="1:38" x14ac:dyDescent="0.2">
      <c r="A22">
        <v>2039</v>
      </c>
      <c r="B22">
        <v>14</v>
      </c>
      <c r="C22">
        <f t="shared" si="21"/>
        <v>5.9416879612117439</v>
      </c>
      <c r="D22">
        <f t="shared" si="23"/>
        <v>0</v>
      </c>
      <c r="E22">
        <f t="shared" si="4"/>
        <v>0</v>
      </c>
      <c r="F22">
        <f t="shared" si="5"/>
        <v>0</v>
      </c>
      <c r="G22" s="9">
        <f t="shared" si="6"/>
        <v>0</v>
      </c>
      <c r="H22" s="9">
        <f t="shared" si="6"/>
        <v>0</v>
      </c>
      <c r="I22" s="9">
        <f t="shared" si="6"/>
        <v>0</v>
      </c>
      <c r="J22" s="9">
        <f t="shared" si="7"/>
        <v>0</v>
      </c>
      <c r="K22" s="9">
        <f t="shared" si="8"/>
        <v>0</v>
      </c>
      <c r="L22" s="9">
        <f t="shared" si="9"/>
        <v>0</v>
      </c>
      <c r="M22">
        <f t="shared" si="0"/>
        <v>5.9416879612117439</v>
      </c>
      <c r="N22">
        <f t="shared" si="10"/>
        <v>0</v>
      </c>
      <c r="O22">
        <f t="shared" si="24"/>
        <v>5.9416879612117439</v>
      </c>
      <c r="P22">
        <f t="shared" si="22"/>
        <v>5.0335722118487309</v>
      </c>
      <c r="Q22" s="9">
        <f t="shared" si="1"/>
        <v>0.8471619924689191</v>
      </c>
      <c r="R22">
        <f>VLOOKUP($B$1,dictionary!$A$3:$K$51,3,FALSE)*Q22</f>
        <v>0.16943239849378383</v>
      </c>
      <c r="S22">
        <f>VLOOKUP($B$1,dictionary!$A$3:$K$51,4,FALSE)*Q22</f>
        <v>0</v>
      </c>
      <c r="T22">
        <f>VLOOKUP($B$1,dictionary!$A$3:$K$51,5,FALSE)*Q22</f>
        <v>0.16943239849378383</v>
      </c>
      <c r="U22">
        <f>VLOOKUP($B$1,dictionary!$A$3:$K$51,6,FALSE)*Q22</f>
        <v>0.29650669736412166</v>
      </c>
      <c r="V22">
        <f>VLOOKUP($B$1,dictionary!$A$3:$K$51,7,FALSE)*Q22</f>
        <v>0</v>
      </c>
      <c r="W22">
        <f>VLOOKUP($B$1,dictionary!$A$3:$K$51,8,FALSE)*Q22</f>
        <v>4.2358099623445958E-2</v>
      </c>
      <c r="X22">
        <f>VLOOKUP($B$1,dictionary!$A$3:$K$51,9,FALSE)*Q22</f>
        <v>0</v>
      </c>
      <c r="Y22">
        <f>VLOOKUP($B$1,dictionary!$A$3:$K$51,10,FALSE)*Q22</f>
        <v>0.16943239849378383</v>
      </c>
      <c r="Z22">
        <f>VLOOKUP($B$1,dictionary!$A$3:$K$51,11,FALSE)*Q22</f>
        <v>0</v>
      </c>
      <c r="AA22">
        <f t="shared" si="2"/>
        <v>0.90811574936301298</v>
      </c>
      <c r="AB22">
        <f t="shared" si="11"/>
        <v>0.90811574936301298</v>
      </c>
      <c r="AC22">
        <f t="shared" si="12"/>
        <v>0</v>
      </c>
      <c r="AD22">
        <f t="shared" si="3"/>
        <v>1.0067144423697463</v>
      </c>
      <c r="AE22">
        <f t="shared" si="13"/>
        <v>0</v>
      </c>
      <c r="AF22">
        <f t="shared" si="14"/>
        <v>1.1185716026330514</v>
      </c>
      <c r="AG22">
        <f t="shared" si="15"/>
        <v>2.0134288847394926</v>
      </c>
      <c r="AH22">
        <f t="shared" si="16"/>
        <v>0</v>
      </c>
      <c r="AI22">
        <f t="shared" si="17"/>
        <v>0.26492485325519638</v>
      </c>
      <c r="AJ22">
        <f t="shared" si="18"/>
        <v>0</v>
      </c>
      <c r="AK22">
        <f t="shared" si="19"/>
        <v>1.0067144423697463</v>
      </c>
      <c r="AL22">
        <f t="shared" si="20"/>
        <v>0</v>
      </c>
    </row>
    <row r="23" spans="1:38" x14ac:dyDescent="0.2">
      <c r="A23">
        <v>2040</v>
      </c>
      <c r="B23">
        <v>15</v>
      </c>
      <c r="C23">
        <f t="shared" si="21"/>
        <v>6.0664634083971896</v>
      </c>
      <c r="D23">
        <f t="shared" si="23"/>
        <v>0</v>
      </c>
      <c r="E23">
        <f t="shared" si="4"/>
        <v>0</v>
      </c>
      <c r="F23">
        <f t="shared" si="5"/>
        <v>0</v>
      </c>
      <c r="G23" s="9">
        <f t="shared" si="6"/>
        <v>0</v>
      </c>
      <c r="H23" s="9">
        <f t="shared" si="6"/>
        <v>0</v>
      </c>
      <c r="I23" s="9">
        <f t="shared" si="6"/>
        <v>0</v>
      </c>
      <c r="J23" s="9">
        <f t="shared" si="7"/>
        <v>0</v>
      </c>
      <c r="K23" s="9">
        <f t="shared" si="8"/>
        <v>0</v>
      </c>
      <c r="L23" s="9">
        <f t="shared" si="9"/>
        <v>0</v>
      </c>
      <c r="M23">
        <f t="shared" si="0"/>
        <v>6.0664634083971896</v>
      </c>
      <c r="N23">
        <f t="shared" si="10"/>
        <v>0</v>
      </c>
      <c r="O23">
        <f t="shared" si="24"/>
        <v>6.0664634083971896</v>
      </c>
      <c r="P23">
        <f t="shared" si="22"/>
        <v>5.4213774831378378</v>
      </c>
      <c r="Q23" s="9">
        <f t="shared" si="1"/>
        <v>0.89366359247029747</v>
      </c>
      <c r="R23">
        <f>VLOOKUP($B$1,dictionary!$A$3:$K$51,3,FALSE)*Q23</f>
        <v>0.1787327184940595</v>
      </c>
      <c r="S23">
        <f>VLOOKUP($B$1,dictionary!$A$3:$K$51,4,FALSE)*Q23</f>
        <v>0</v>
      </c>
      <c r="T23">
        <f>VLOOKUP($B$1,dictionary!$A$3:$K$51,5,FALSE)*Q23</f>
        <v>0.1787327184940595</v>
      </c>
      <c r="U23">
        <f>VLOOKUP($B$1,dictionary!$A$3:$K$51,6,FALSE)*Q23</f>
        <v>0.31278225736460408</v>
      </c>
      <c r="V23">
        <f>VLOOKUP($B$1,dictionary!$A$3:$K$51,7,FALSE)*Q23</f>
        <v>0</v>
      </c>
      <c r="W23">
        <f>VLOOKUP($B$1,dictionary!$A$3:$K$51,8,FALSE)*Q23</f>
        <v>4.4683179623514875E-2</v>
      </c>
      <c r="X23">
        <f>VLOOKUP($B$1,dictionary!$A$3:$K$51,9,FALSE)*Q23</f>
        <v>0</v>
      </c>
      <c r="Y23">
        <f>VLOOKUP($B$1,dictionary!$A$3:$K$51,10,FALSE)*Q23</f>
        <v>0.1787327184940595</v>
      </c>
      <c r="Z23">
        <f>VLOOKUP($B$1,dictionary!$A$3:$K$51,11,FALSE)*Q23</f>
        <v>0</v>
      </c>
      <c r="AA23">
        <f t="shared" si="2"/>
        <v>0.64508592525935171</v>
      </c>
      <c r="AB23">
        <f t="shared" si="11"/>
        <v>0.64508592525935171</v>
      </c>
      <c r="AC23">
        <f t="shared" si="12"/>
        <v>0</v>
      </c>
      <c r="AD23">
        <f t="shared" si="3"/>
        <v>1.0842754966275676</v>
      </c>
      <c r="AE23">
        <f t="shared" si="13"/>
        <v>0</v>
      </c>
      <c r="AF23">
        <f t="shared" si="14"/>
        <v>1.2047505518084085</v>
      </c>
      <c r="AG23">
        <f t="shared" si="15"/>
        <v>2.1685509932551352</v>
      </c>
      <c r="AH23">
        <f t="shared" si="16"/>
        <v>0</v>
      </c>
      <c r="AI23">
        <f t="shared" si="17"/>
        <v>0.28533565700725461</v>
      </c>
      <c r="AJ23">
        <f t="shared" si="18"/>
        <v>0</v>
      </c>
      <c r="AK23">
        <f t="shared" si="19"/>
        <v>1.0842754966275676</v>
      </c>
      <c r="AL23">
        <f t="shared" si="20"/>
        <v>0</v>
      </c>
    </row>
    <row r="24" spans="1:38" x14ac:dyDescent="0.2">
      <c r="A24">
        <v>2041</v>
      </c>
      <c r="B24">
        <v>16</v>
      </c>
      <c r="C24">
        <f t="shared" si="21"/>
        <v>6.1938591399735303</v>
      </c>
      <c r="D24">
        <f t="shared" si="23"/>
        <v>0</v>
      </c>
      <c r="E24">
        <f t="shared" si="4"/>
        <v>0</v>
      </c>
      <c r="F24">
        <f t="shared" si="5"/>
        <v>0</v>
      </c>
      <c r="G24" s="9">
        <f t="shared" si="6"/>
        <v>0</v>
      </c>
      <c r="H24" s="9">
        <f t="shared" si="6"/>
        <v>0</v>
      </c>
      <c r="I24" s="9">
        <f t="shared" si="6"/>
        <v>0</v>
      </c>
      <c r="J24" s="9">
        <f t="shared" si="7"/>
        <v>0</v>
      </c>
      <c r="K24" s="9">
        <f t="shared" si="8"/>
        <v>0</v>
      </c>
      <c r="L24" s="9">
        <f t="shared" si="9"/>
        <v>0</v>
      </c>
      <c r="M24">
        <f t="shared" si="0"/>
        <v>6.1938591399735303</v>
      </c>
      <c r="N24">
        <f t="shared" si="10"/>
        <v>0</v>
      </c>
      <c r="O24">
        <f t="shared" si="24"/>
        <v>6.1938591399735303</v>
      </c>
      <c r="P24">
        <f t="shared" si="22"/>
        <v>5.7357594679522306</v>
      </c>
      <c r="Q24" s="9">
        <f t="shared" si="1"/>
        <v>0.92603970131241031</v>
      </c>
      <c r="R24">
        <f>VLOOKUP($B$1,dictionary!$A$3:$K$51,3,FALSE)*Q24</f>
        <v>0.18520794026248208</v>
      </c>
      <c r="S24">
        <f>VLOOKUP($B$1,dictionary!$A$3:$K$51,4,FALSE)*Q24</f>
        <v>0</v>
      </c>
      <c r="T24">
        <f>VLOOKUP($B$1,dictionary!$A$3:$K$51,5,FALSE)*Q24</f>
        <v>0.18520794026248208</v>
      </c>
      <c r="U24">
        <f>VLOOKUP($B$1,dictionary!$A$3:$K$51,6,FALSE)*Q24</f>
        <v>0.3241138954593436</v>
      </c>
      <c r="V24">
        <f>VLOOKUP($B$1,dictionary!$A$3:$K$51,7,FALSE)*Q24</f>
        <v>0</v>
      </c>
      <c r="W24">
        <f>VLOOKUP($B$1,dictionary!$A$3:$K$51,8,FALSE)*Q24</f>
        <v>4.630198506562052E-2</v>
      </c>
      <c r="X24">
        <f>VLOOKUP($B$1,dictionary!$A$3:$K$51,9,FALSE)*Q24</f>
        <v>0</v>
      </c>
      <c r="Y24">
        <f>VLOOKUP($B$1,dictionary!$A$3:$K$51,10,FALSE)*Q24</f>
        <v>0.18520794026248208</v>
      </c>
      <c r="Z24">
        <f>VLOOKUP($B$1,dictionary!$A$3:$K$51,11,FALSE)*Q24</f>
        <v>0</v>
      </c>
      <c r="AA24">
        <f t="shared" si="2"/>
        <v>0.45809967202129975</v>
      </c>
      <c r="AB24">
        <f t="shared" si="11"/>
        <v>0.45809967202129975</v>
      </c>
      <c r="AC24">
        <f t="shared" si="12"/>
        <v>0</v>
      </c>
      <c r="AD24">
        <f t="shared" si="3"/>
        <v>1.1471518935904463</v>
      </c>
      <c r="AE24">
        <f t="shared" si="13"/>
        <v>0</v>
      </c>
      <c r="AF24">
        <f t="shared" si="14"/>
        <v>1.2746132151004961</v>
      </c>
      <c r="AG24">
        <f t="shared" si="15"/>
        <v>2.2943037871808922</v>
      </c>
      <c r="AH24">
        <f t="shared" si="16"/>
        <v>0</v>
      </c>
      <c r="AI24">
        <f t="shared" si="17"/>
        <v>0.30188207726064376</v>
      </c>
      <c r="AJ24">
        <f t="shared" si="18"/>
        <v>0</v>
      </c>
      <c r="AK24">
        <f t="shared" si="19"/>
        <v>1.1471518935904463</v>
      </c>
      <c r="AL24">
        <f t="shared" si="20"/>
        <v>0</v>
      </c>
    </row>
    <row r="25" spans="1:38" x14ac:dyDescent="0.2">
      <c r="A25">
        <v>2042</v>
      </c>
      <c r="B25">
        <v>17</v>
      </c>
      <c r="C25">
        <f t="shared" si="21"/>
        <v>6.3239301819129743</v>
      </c>
      <c r="D25">
        <f t="shared" si="23"/>
        <v>0</v>
      </c>
      <c r="E25">
        <f t="shared" si="4"/>
        <v>0</v>
      </c>
      <c r="F25">
        <f t="shared" si="5"/>
        <v>0</v>
      </c>
      <c r="G25" s="9">
        <f t="shared" si="6"/>
        <v>0</v>
      </c>
      <c r="H25" s="9">
        <f t="shared" si="6"/>
        <v>0</v>
      </c>
      <c r="I25" s="9">
        <f t="shared" si="6"/>
        <v>0</v>
      </c>
      <c r="J25" s="9">
        <f t="shared" si="7"/>
        <v>0</v>
      </c>
      <c r="K25" s="9">
        <f t="shared" si="8"/>
        <v>0</v>
      </c>
      <c r="L25" s="9">
        <f t="shared" si="9"/>
        <v>0</v>
      </c>
      <c r="M25">
        <f t="shared" si="0"/>
        <v>6.3239301819129743</v>
      </c>
      <c r="N25">
        <f t="shared" si="10"/>
        <v>0</v>
      </c>
      <c r="O25">
        <f t="shared" si="24"/>
        <v>6.3239301819129743</v>
      </c>
      <c r="P25">
        <f>IF($I$3=0,0,M25/(1+EXP(-$I$3*(B25-$J$3)))-M25/(1+EXP($I$3*$J$3)))</f>
        <v>5.9945911493791169</v>
      </c>
      <c r="Q25" s="9">
        <f t="shared" si="1"/>
        <v>0.94792177916894182</v>
      </c>
      <c r="R25">
        <f>VLOOKUP($B$1,dictionary!$A$3:$K$51,3,FALSE)*Q25</f>
        <v>0.18958435583378838</v>
      </c>
      <c r="S25">
        <f>VLOOKUP($B$1,dictionary!$A$3:$K$51,4,FALSE)*Q25</f>
        <v>0</v>
      </c>
      <c r="T25">
        <f>VLOOKUP($B$1,dictionary!$A$3:$K$51,5,FALSE)*Q25</f>
        <v>0.18958435583378838</v>
      </c>
      <c r="U25">
        <f>VLOOKUP($B$1,dictionary!$A$3:$K$51,6,FALSE)*Q25</f>
        <v>0.33177262270912961</v>
      </c>
      <c r="V25">
        <f>VLOOKUP($B$1,dictionary!$A$3:$K$51,7,FALSE)*Q25</f>
        <v>0</v>
      </c>
      <c r="W25">
        <f>VLOOKUP($B$1,dictionary!$A$3:$K$51,8,FALSE)*Q25</f>
        <v>4.7396088958447095E-2</v>
      </c>
      <c r="X25">
        <f>VLOOKUP($B$1,dictionary!$A$3:$K$51,9,FALSE)*Q25</f>
        <v>0</v>
      </c>
      <c r="Y25">
        <f>VLOOKUP($B$1,dictionary!$A$3:$K$51,10,FALSE)*Q25</f>
        <v>0.18958435583378838</v>
      </c>
      <c r="Z25">
        <f>VLOOKUP($B$1,dictionary!$A$3:$K$51,11,FALSE)*Q25</f>
        <v>0</v>
      </c>
      <c r="AA25">
        <f t="shared" si="2"/>
        <v>0.32933903253385743</v>
      </c>
      <c r="AB25">
        <f t="shared" si="11"/>
        <v>0.32933903253385743</v>
      </c>
      <c r="AC25">
        <f t="shared" si="12"/>
        <v>0</v>
      </c>
      <c r="AD25">
        <f t="shared" si="3"/>
        <v>1.1989182298758234</v>
      </c>
      <c r="AE25">
        <f t="shared" si="13"/>
        <v>0</v>
      </c>
      <c r="AF25">
        <f t="shared" si="14"/>
        <v>1.3321313665286927</v>
      </c>
      <c r="AG25">
        <f t="shared" si="15"/>
        <v>2.3978364597516464</v>
      </c>
      <c r="AH25">
        <f t="shared" si="16"/>
        <v>0</v>
      </c>
      <c r="AI25">
        <f t="shared" si="17"/>
        <v>0.31550479733574299</v>
      </c>
      <c r="AJ25">
        <f t="shared" si="18"/>
        <v>0</v>
      </c>
      <c r="AK25">
        <f t="shared" si="19"/>
        <v>1.1989182298758234</v>
      </c>
      <c r="AL25">
        <f t="shared" si="20"/>
        <v>0</v>
      </c>
    </row>
    <row r="26" spans="1:38" x14ac:dyDescent="0.2">
      <c r="A26">
        <v>2043</v>
      </c>
      <c r="B26">
        <v>18</v>
      </c>
      <c r="C26">
        <f t="shared" si="21"/>
        <v>6.4567327157331462</v>
      </c>
      <c r="D26">
        <f t="shared" si="23"/>
        <v>0</v>
      </c>
      <c r="E26">
        <f t="shared" si="4"/>
        <v>0</v>
      </c>
      <c r="F26">
        <f t="shared" si="5"/>
        <v>0</v>
      </c>
      <c r="G26" s="9">
        <f t="shared" si="6"/>
        <v>0</v>
      </c>
      <c r="H26" s="9">
        <f t="shared" si="6"/>
        <v>0</v>
      </c>
      <c r="I26" s="9">
        <f t="shared" si="6"/>
        <v>0</v>
      </c>
      <c r="J26" s="9">
        <f t="shared" si="7"/>
        <v>0</v>
      </c>
      <c r="K26" s="9">
        <f t="shared" si="8"/>
        <v>0</v>
      </c>
      <c r="L26" s="9">
        <f t="shared" si="9"/>
        <v>0</v>
      </c>
      <c r="M26">
        <f t="shared" si="0"/>
        <v>6.4567327157331462</v>
      </c>
      <c r="N26">
        <f t="shared" si="10"/>
        <v>0</v>
      </c>
      <c r="O26">
        <f t="shared" si="24"/>
        <v>6.4567327157331462</v>
      </c>
      <c r="P26">
        <f t="shared" si="22"/>
        <v>6.2140632852364179</v>
      </c>
      <c r="Q26" s="9">
        <f t="shared" si="1"/>
        <v>0.96241606379254097</v>
      </c>
      <c r="R26">
        <f>VLOOKUP($B$1,dictionary!$A$3:$K$51,3,FALSE)*Q26</f>
        <v>0.19248321275850822</v>
      </c>
      <c r="S26">
        <f>VLOOKUP($B$1,dictionary!$A$3:$K$51,4,FALSE)*Q26</f>
        <v>0</v>
      </c>
      <c r="T26">
        <f>VLOOKUP($B$1,dictionary!$A$3:$K$51,5,FALSE)*Q26</f>
        <v>0.19248321275850822</v>
      </c>
      <c r="U26">
        <f>VLOOKUP($B$1,dictionary!$A$3:$K$51,6,FALSE)*Q26</f>
        <v>0.33684562232738929</v>
      </c>
      <c r="V26">
        <f>VLOOKUP($B$1,dictionary!$A$3:$K$51,7,FALSE)*Q26</f>
        <v>0</v>
      </c>
      <c r="W26">
        <f>VLOOKUP($B$1,dictionary!$A$3:$K$51,8,FALSE)*Q26</f>
        <v>4.8120803189627054E-2</v>
      </c>
      <c r="X26">
        <f>VLOOKUP($B$1,dictionary!$A$3:$K$51,9,FALSE)*Q26</f>
        <v>0</v>
      </c>
      <c r="Y26">
        <f>VLOOKUP($B$1,dictionary!$A$3:$K$51,10,FALSE)*Q26</f>
        <v>0.19248321275850822</v>
      </c>
      <c r="Z26">
        <f>VLOOKUP($B$1,dictionary!$A$3:$K$51,11,FALSE)*Q26</f>
        <v>0</v>
      </c>
      <c r="AA26">
        <f t="shared" si="2"/>
        <v>0.24266943049672829</v>
      </c>
      <c r="AB26">
        <f t="shared" si="11"/>
        <v>0.24266943049672829</v>
      </c>
      <c r="AC26">
        <f t="shared" si="12"/>
        <v>0</v>
      </c>
      <c r="AD26">
        <f t="shared" si="3"/>
        <v>1.2428126570472837</v>
      </c>
      <c r="AE26">
        <f t="shared" si="13"/>
        <v>0</v>
      </c>
      <c r="AF26">
        <f t="shared" si="14"/>
        <v>1.3809029522747598</v>
      </c>
      <c r="AG26">
        <f t="shared" si="15"/>
        <v>2.485625314094567</v>
      </c>
      <c r="AH26">
        <f t="shared" si="16"/>
        <v>0</v>
      </c>
      <c r="AI26">
        <f t="shared" si="17"/>
        <v>0.3270559623808641</v>
      </c>
      <c r="AJ26">
        <f t="shared" si="18"/>
        <v>0</v>
      </c>
      <c r="AK26">
        <f t="shared" si="19"/>
        <v>1.2428126570472837</v>
      </c>
      <c r="AL26">
        <f t="shared" si="20"/>
        <v>0</v>
      </c>
    </row>
    <row r="27" spans="1:38" x14ac:dyDescent="0.2">
      <c r="A27">
        <v>2044</v>
      </c>
      <c r="B27">
        <v>19</v>
      </c>
      <c r="C27">
        <f t="shared" si="21"/>
        <v>6.5923241027635413</v>
      </c>
      <c r="D27">
        <f t="shared" si="23"/>
        <v>0</v>
      </c>
      <c r="E27">
        <f t="shared" si="4"/>
        <v>0</v>
      </c>
      <c r="F27">
        <f t="shared" si="5"/>
        <v>0</v>
      </c>
      <c r="G27" s="9">
        <f t="shared" si="6"/>
        <v>0</v>
      </c>
      <c r="H27" s="9">
        <f t="shared" si="6"/>
        <v>0</v>
      </c>
      <c r="I27" s="9">
        <f t="shared" si="6"/>
        <v>0</v>
      </c>
      <c r="J27" s="9">
        <f t="shared" si="7"/>
        <v>0</v>
      </c>
      <c r="K27" s="9">
        <f t="shared" si="8"/>
        <v>0</v>
      </c>
      <c r="L27" s="9">
        <f t="shared" si="9"/>
        <v>0</v>
      </c>
      <c r="M27">
        <f t="shared" si="0"/>
        <v>6.5923241027635413</v>
      </c>
      <c r="N27">
        <f t="shared" si="10"/>
        <v>0</v>
      </c>
      <c r="O27">
        <f t="shared" si="24"/>
        <v>6.5923241027635413</v>
      </c>
      <c r="P27">
        <f t="shared" si="22"/>
        <v>6.4070074384804041</v>
      </c>
      <c r="Q27" s="9">
        <f t="shared" si="1"/>
        <v>0.97188902405367916</v>
      </c>
      <c r="R27">
        <f>VLOOKUP($B$1,dictionary!$A$3:$K$51,3,FALSE)*Q27</f>
        <v>0.19437780481073585</v>
      </c>
      <c r="S27">
        <f>VLOOKUP($B$1,dictionary!$A$3:$K$51,4,FALSE)*Q27</f>
        <v>0</v>
      </c>
      <c r="T27">
        <f>VLOOKUP($B$1,dictionary!$A$3:$K$51,5,FALSE)*Q27</f>
        <v>0.19437780481073585</v>
      </c>
      <c r="U27">
        <f>VLOOKUP($B$1,dictionary!$A$3:$K$51,6,FALSE)*Q27</f>
        <v>0.34016115841878769</v>
      </c>
      <c r="V27">
        <f>VLOOKUP($B$1,dictionary!$A$3:$K$51,7,FALSE)*Q27</f>
        <v>0</v>
      </c>
      <c r="W27">
        <f>VLOOKUP($B$1,dictionary!$A$3:$K$51,8,FALSE)*Q27</f>
        <v>4.8594451202683964E-2</v>
      </c>
      <c r="X27">
        <f>VLOOKUP($B$1,dictionary!$A$3:$K$51,9,FALSE)*Q27</f>
        <v>0</v>
      </c>
      <c r="Y27">
        <f>VLOOKUP($B$1,dictionary!$A$3:$K$51,10,FALSE)*Q27</f>
        <v>0.19437780481073585</v>
      </c>
      <c r="Z27">
        <f>VLOOKUP($B$1,dictionary!$A$3:$K$51,11,FALSE)*Q27</f>
        <v>0</v>
      </c>
      <c r="AA27">
        <f t="shared" si="2"/>
        <v>0.1853166642831372</v>
      </c>
      <c r="AB27">
        <f t="shared" si="11"/>
        <v>0.1853166642831372</v>
      </c>
      <c r="AC27">
        <f t="shared" si="12"/>
        <v>0</v>
      </c>
      <c r="AD27">
        <f t="shared" si="3"/>
        <v>1.2814014876960811</v>
      </c>
      <c r="AE27">
        <f t="shared" si="13"/>
        <v>0</v>
      </c>
      <c r="AF27">
        <f t="shared" si="14"/>
        <v>1.4237794307734235</v>
      </c>
      <c r="AG27">
        <f t="shared" si="15"/>
        <v>2.5628029753921617</v>
      </c>
      <c r="AH27">
        <f t="shared" si="16"/>
        <v>0</v>
      </c>
      <c r="AI27">
        <f t="shared" si="17"/>
        <v>0.33721091781475815</v>
      </c>
      <c r="AJ27">
        <f t="shared" si="18"/>
        <v>0</v>
      </c>
      <c r="AK27">
        <f t="shared" si="19"/>
        <v>1.2814014876960811</v>
      </c>
      <c r="AL27">
        <f t="shared" si="20"/>
        <v>0</v>
      </c>
    </row>
    <row r="28" spans="1:38" x14ac:dyDescent="0.2">
      <c r="A28">
        <v>2045</v>
      </c>
      <c r="B28">
        <v>20</v>
      </c>
      <c r="C28">
        <f t="shared" si="21"/>
        <v>6.7307629089215748</v>
      </c>
      <c r="D28">
        <f t="shared" si="23"/>
        <v>0</v>
      </c>
      <c r="E28">
        <f t="shared" si="4"/>
        <v>0</v>
      </c>
      <c r="F28">
        <f t="shared" si="5"/>
        <v>0</v>
      </c>
      <c r="G28" s="9">
        <f t="shared" si="6"/>
        <v>0</v>
      </c>
      <c r="H28" s="9">
        <f t="shared" si="6"/>
        <v>0</v>
      </c>
      <c r="I28" s="9">
        <f t="shared" si="6"/>
        <v>0</v>
      </c>
      <c r="J28" s="9">
        <f t="shared" si="7"/>
        <v>0</v>
      </c>
      <c r="K28" s="9">
        <f t="shared" si="8"/>
        <v>0</v>
      </c>
      <c r="L28" s="9">
        <f t="shared" si="9"/>
        <v>0</v>
      </c>
      <c r="M28">
        <f t="shared" si="0"/>
        <v>6.7307629089215748</v>
      </c>
      <c r="N28">
        <f t="shared" si="10"/>
        <v>0</v>
      </c>
      <c r="O28">
        <f t="shared" si="24"/>
        <v>6.7307629089215748</v>
      </c>
      <c r="P28">
        <f t="shared" si="22"/>
        <v>6.5828618970406829</v>
      </c>
      <c r="Q28" s="9">
        <f t="shared" si="1"/>
        <v>0.97802611473881362</v>
      </c>
      <c r="R28">
        <f>VLOOKUP($B$1,dictionary!$A$3:$K$51,3,FALSE)*Q28</f>
        <v>0.19560522294776272</v>
      </c>
      <c r="S28">
        <f>VLOOKUP($B$1,dictionary!$A$3:$K$51,4,FALSE)*Q28</f>
        <v>0</v>
      </c>
      <c r="T28">
        <f>VLOOKUP($B$1,dictionary!$A$3:$K$51,5,FALSE)*Q28</f>
        <v>0.19560522294776272</v>
      </c>
      <c r="U28">
        <f>VLOOKUP($B$1,dictionary!$A$3:$K$51,6,FALSE)*Q28</f>
        <v>0.34230914015858477</v>
      </c>
      <c r="V28">
        <f>VLOOKUP($B$1,dictionary!$A$3:$K$51,7,FALSE)*Q28</f>
        <v>0</v>
      </c>
      <c r="W28">
        <f>VLOOKUP($B$1,dictionary!$A$3:$K$51,8,FALSE)*Q28</f>
        <v>4.8901305736940681E-2</v>
      </c>
      <c r="X28">
        <f>VLOOKUP($B$1,dictionary!$A$3:$K$51,9,FALSE)*Q28</f>
        <v>0</v>
      </c>
      <c r="Y28">
        <f>VLOOKUP($B$1,dictionary!$A$3:$K$51,10,FALSE)*Q28</f>
        <v>0.19560522294776272</v>
      </c>
      <c r="Z28">
        <f>VLOOKUP($B$1,dictionary!$A$3:$K$51,11,FALSE)*Q28</f>
        <v>0</v>
      </c>
      <c r="AA28">
        <f t="shared" si="2"/>
        <v>0.14790101188089189</v>
      </c>
      <c r="AB28">
        <f t="shared" si="11"/>
        <v>0.14790101188089189</v>
      </c>
      <c r="AC28">
        <f t="shared" si="12"/>
        <v>0</v>
      </c>
      <c r="AD28">
        <f t="shared" si="3"/>
        <v>1.3165723794081365</v>
      </c>
      <c r="AE28">
        <f t="shared" si="13"/>
        <v>0</v>
      </c>
      <c r="AF28">
        <f t="shared" si="14"/>
        <v>1.4628581993423739</v>
      </c>
      <c r="AG28">
        <f t="shared" si="15"/>
        <v>2.6331447588162735</v>
      </c>
      <c r="AH28">
        <f t="shared" si="16"/>
        <v>0</v>
      </c>
      <c r="AI28">
        <f t="shared" si="17"/>
        <v>0.3464664156337201</v>
      </c>
      <c r="AJ28">
        <f t="shared" si="18"/>
        <v>0</v>
      </c>
      <c r="AK28">
        <f t="shared" si="19"/>
        <v>1.3165723794081365</v>
      </c>
      <c r="AL28">
        <f t="shared" si="20"/>
        <v>0</v>
      </c>
    </row>
    <row r="29" spans="1:38" x14ac:dyDescent="0.2">
      <c r="A29">
        <v>2046</v>
      </c>
      <c r="B29">
        <v>21</v>
      </c>
      <c r="C29">
        <f t="shared" si="21"/>
        <v>6.8721089300089275</v>
      </c>
      <c r="D29">
        <f t="shared" si="23"/>
        <v>0</v>
      </c>
      <c r="E29">
        <f t="shared" si="4"/>
        <v>0</v>
      </c>
      <c r="F29">
        <f t="shared" si="5"/>
        <v>0</v>
      </c>
      <c r="G29" s="9">
        <f t="shared" si="6"/>
        <v>0</v>
      </c>
      <c r="H29" s="9">
        <f t="shared" si="6"/>
        <v>0</v>
      </c>
      <c r="I29" s="9">
        <f t="shared" si="6"/>
        <v>0</v>
      </c>
      <c r="J29" s="9">
        <f t="shared" si="7"/>
        <v>0</v>
      </c>
      <c r="K29" s="9">
        <f t="shared" si="8"/>
        <v>0</v>
      </c>
      <c r="L29" s="9">
        <f t="shared" si="9"/>
        <v>0</v>
      </c>
      <c r="M29">
        <f t="shared" si="0"/>
        <v>6.8721089300089275</v>
      </c>
      <c r="N29">
        <f t="shared" si="10"/>
        <v>0</v>
      </c>
      <c r="O29">
        <f t="shared" si="24"/>
        <v>6.8721089300089275</v>
      </c>
      <c r="P29">
        <f t="shared" si="22"/>
        <v>6.7482698863458941</v>
      </c>
      <c r="Q29" s="9">
        <f t="shared" si="1"/>
        <v>0.98197947021441168</v>
      </c>
      <c r="R29">
        <f>VLOOKUP($B$1,dictionary!$A$3:$K$51,3,FALSE)*Q29</f>
        <v>0.19639589404288235</v>
      </c>
      <c r="S29">
        <f>VLOOKUP($B$1,dictionary!$A$3:$K$51,4,FALSE)*Q29</f>
        <v>0</v>
      </c>
      <c r="T29">
        <f>VLOOKUP($B$1,dictionary!$A$3:$K$51,5,FALSE)*Q29</f>
        <v>0.19639589404288235</v>
      </c>
      <c r="U29">
        <f>VLOOKUP($B$1,dictionary!$A$3:$K$51,6,FALSE)*Q29</f>
        <v>0.34369281457504408</v>
      </c>
      <c r="V29">
        <f>VLOOKUP($B$1,dictionary!$A$3:$K$51,7,FALSE)*Q29</f>
        <v>0</v>
      </c>
      <c r="W29">
        <f>VLOOKUP($B$1,dictionary!$A$3:$K$51,8,FALSE)*Q29</f>
        <v>4.9098973510720588E-2</v>
      </c>
      <c r="X29">
        <f>VLOOKUP($B$1,dictionary!$A$3:$K$51,9,FALSE)*Q29</f>
        <v>0</v>
      </c>
      <c r="Y29">
        <f>VLOOKUP($B$1,dictionary!$A$3:$K$51,10,FALSE)*Q29</f>
        <v>0.19639589404288235</v>
      </c>
      <c r="Z29">
        <f>VLOOKUP($B$1,dictionary!$A$3:$K$51,11,FALSE)*Q29</f>
        <v>0</v>
      </c>
      <c r="AA29">
        <f t="shared" si="2"/>
        <v>0.12383904366303344</v>
      </c>
      <c r="AB29">
        <f t="shared" si="11"/>
        <v>0.12383904366303344</v>
      </c>
      <c r="AC29">
        <f t="shared" si="12"/>
        <v>0</v>
      </c>
      <c r="AD29">
        <f t="shared" si="3"/>
        <v>1.3496539772691789</v>
      </c>
      <c r="AE29">
        <f t="shared" si="13"/>
        <v>0</v>
      </c>
      <c r="AF29">
        <f t="shared" si="14"/>
        <v>1.4996155302990877</v>
      </c>
      <c r="AG29">
        <f t="shared" si="15"/>
        <v>2.6993079545383583</v>
      </c>
      <c r="AH29">
        <f t="shared" si="16"/>
        <v>0</v>
      </c>
      <c r="AI29">
        <f t="shared" si="17"/>
        <v>0.35517209928136284</v>
      </c>
      <c r="AJ29">
        <f t="shared" si="18"/>
        <v>0</v>
      </c>
      <c r="AK29">
        <f t="shared" si="19"/>
        <v>1.3496539772691789</v>
      </c>
      <c r="AL29">
        <f t="shared" si="20"/>
        <v>0</v>
      </c>
    </row>
    <row r="30" spans="1:38" x14ac:dyDescent="0.2">
      <c r="A30">
        <v>2047</v>
      </c>
      <c r="B30">
        <v>22</v>
      </c>
      <c r="C30">
        <f t="shared" si="21"/>
        <v>7.0164232175391144</v>
      </c>
      <c r="D30">
        <f t="shared" si="23"/>
        <v>0</v>
      </c>
      <c r="E30">
        <f t="shared" si="4"/>
        <v>0</v>
      </c>
      <c r="F30">
        <f t="shared" si="5"/>
        <v>0</v>
      </c>
      <c r="G30" s="9">
        <f t="shared" si="6"/>
        <v>0</v>
      </c>
      <c r="H30" s="9">
        <f t="shared" si="6"/>
        <v>0</v>
      </c>
      <c r="I30" s="9">
        <f t="shared" si="6"/>
        <v>0</v>
      </c>
      <c r="J30" s="9">
        <f t="shared" si="7"/>
        <v>0</v>
      </c>
      <c r="K30" s="9">
        <f t="shared" si="8"/>
        <v>0</v>
      </c>
      <c r="L30" s="9">
        <f t="shared" si="9"/>
        <v>0</v>
      </c>
      <c r="M30">
        <f t="shared" si="0"/>
        <v>7.0164232175391144</v>
      </c>
      <c r="N30">
        <f t="shared" si="10"/>
        <v>0</v>
      </c>
      <c r="O30">
        <f t="shared" si="24"/>
        <v>7.0164232175391144</v>
      </c>
      <c r="P30">
        <f t="shared" si="22"/>
        <v>6.9077864227772245</v>
      </c>
      <c r="Q30" s="9">
        <f t="shared" si="1"/>
        <v>0.98451678420846567</v>
      </c>
      <c r="R30">
        <f>VLOOKUP($B$1,dictionary!$A$3:$K$51,3,FALSE)*Q30</f>
        <v>0.19690335684169313</v>
      </c>
      <c r="S30">
        <f>VLOOKUP($B$1,dictionary!$A$3:$K$51,4,FALSE)*Q30</f>
        <v>0</v>
      </c>
      <c r="T30">
        <f>VLOOKUP($B$1,dictionary!$A$3:$K$51,5,FALSE)*Q30</f>
        <v>0.19690335684169313</v>
      </c>
      <c r="U30">
        <f>VLOOKUP($B$1,dictionary!$A$3:$K$51,6,FALSE)*Q30</f>
        <v>0.34458087447296298</v>
      </c>
      <c r="V30">
        <f>VLOOKUP($B$1,dictionary!$A$3:$K$51,7,FALSE)*Q30</f>
        <v>0</v>
      </c>
      <c r="W30">
        <f>VLOOKUP($B$1,dictionary!$A$3:$K$51,8,FALSE)*Q30</f>
        <v>4.9225839210423283E-2</v>
      </c>
      <c r="X30">
        <f>VLOOKUP($B$1,dictionary!$A$3:$K$51,9,FALSE)*Q30</f>
        <v>0</v>
      </c>
      <c r="Y30">
        <f>VLOOKUP($B$1,dictionary!$A$3:$K$51,10,FALSE)*Q30</f>
        <v>0.19690335684169313</v>
      </c>
      <c r="Z30">
        <f>VLOOKUP($B$1,dictionary!$A$3:$K$51,11,FALSE)*Q30</f>
        <v>0</v>
      </c>
      <c r="AA30">
        <f t="shared" si="2"/>
        <v>0.10863679476188981</v>
      </c>
      <c r="AB30">
        <f t="shared" si="11"/>
        <v>0.10863679476188981</v>
      </c>
      <c r="AC30">
        <f t="shared" si="12"/>
        <v>0</v>
      </c>
      <c r="AD30">
        <f t="shared" si="3"/>
        <v>1.3815572845554449</v>
      </c>
      <c r="AE30">
        <f t="shared" si="13"/>
        <v>0</v>
      </c>
      <c r="AF30">
        <f t="shared" si="14"/>
        <v>1.5350636495060499</v>
      </c>
      <c r="AG30">
        <f t="shared" si="15"/>
        <v>2.7631145691108903</v>
      </c>
      <c r="AH30">
        <f t="shared" si="16"/>
        <v>0</v>
      </c>
      <c r="AI30">
        <f t="shared" si="17"/>
        <v>0.36356770646195918</v>
      </c>
      <c r="AJ30">
        <f t="shared" si="18"/>
        <v>0</v>
      </c>
      <c r="AK30">
        <f t="shared" si="19"/>
        <v>1.3815572845554449</v>
      </c>
      <c r="AL30">
        <f t="shared" si="20"/>
        <v>0</v>
      </c>
    </row>
    <row r="31" spans="1:38" x14ac:dyDescent="0.2">
      <c r="A31">
        <v>2048</v>
      </c>
      <c r="B31">
        <v>23</v>
      </c>
      <c r="C31">
        <f t="shared" si="21"/>
        <v>7.1637681051074349</v>
      </c>
      <c r="D31">
        <f t="shared" si="23"/>
        <v>0</v>
      </c>
      <c r="E31">
        <f t="shared" si="4"/>
        <v>0</v>
      </c>
      <c r="F31">
        <f t="shared" si="5"/>
        <v>0</v>
      </c>
      <c r="G31" s="9">
        <f t="shared" si="6"/>
        <v>0</v>
      </c>
      <c r="H31" s="9">
        <f t="shared" si="6"/>
        <v>0</v>
      </c>
      <c r="I31" s="9">
        <f t="shared" si="6"/>
        <v>0</v>
      </c>
      <c r="J31" s="9">
        <f t="shared" si="7"/>
        <v>0</v>
      </c>
      <c r="K31" s="9">
        <f t="shared" si="8"/>
        <v>0</v>
      </c>
      <c r="L31" s="9">
        <f t="shared" si="9"/>
        <v>0</v>
      </c>
      <c r="M31">
        <f t="shared" si="0"/>
        <v>7.1637681051074349</v>
      </c>
      <c r="N31">
        <f t="shared" si="10"/>
        <v>0</v>
      </c>
      <c r="O31">
        <f t="shared" si="24"/>
        <v>7.1637681051074349</v>
      </c>
      <c r="P31">
        <f t="shared" si="22"/>
        <v>7.0644885105624429</v>
      </c>
      <c r="Q31" s="9">
        <f t="shared" si="1"/>
        <v>0.98614142821370643</v>
      </c>
      <c r="R31">
        <f>VLOOKUP($B$1,dictionary!$A$3:$K$51,3,FALSE)*Q31</f>
        <v>0.19722828564274131</v>
      </c>
      <c r="S31">
        <f>VLOOKUP($B$1,dictionary!$A$3:$K$51,4,FALSE)*Q31</f>
        <v>0</v>
      </c>
      <c r="T31">
        <f>VLOOKUP($B$1,dictionary!$A$3:$K$51,5,FALSE)*Q31</f>
        <v>0.19722828564274131</v>
      </c>
      <c r="U31">
        <f>VLOOKUP($B$1,dictionary!$A$3:$K$51,6,FALSE)*Q31</f>
        <v>0.34514949987479721</v>
      </c>
      <c r="V31">
        <f>VLOOKUP($B$1,dictionary!$A$3:$K$51,7,FALSE)*Q31</f>
        <v>0</v>
      </c>
      <c r="W31">
        <f>VLOOKUP($B$1,dictionary!$A$3:$K$51,8,FALSE)*Q31</f>
        <v>4.9307071410685327E-2</v>
      </c>
      <c r="X31">
        <f>VLOOKUP($B$1,dictionary!$A$3:$K$51,9,FALSE)*Q31</f>
        <v>0</v>
      </c>
      <c r="Y31">
        <f>VLOOKUP($B$1,dictionary!$A$3:$K$51,10,FALSE)*Q31</f>
        <v>0.19722828564274131</v>
      </c>
      <c r="Z31">
        <f>VLOOKUP($B$1,dictionary!$A$3:$K$51,11,FALSE)*Q31</f>
        <v>0</v>
      </c>
      <c r="AA31">
        <f t="shared" si="2"/>
        <v>9.9279594544992023E-2</v>
      </c>
      <c r="AB31">
        <f t="shared" si="11"/>
        <v>9.9279594544992023E-2</v>
      </c>
      <c r="AC31">
        <f t="shared" si="12"/>
        <v>0</v>
      </c>
      <c r="AD31">
        <f t="shared" si="3"/>
        <v>1.4128977021124889</v>
      </c>
      <c r="AE31">
        <f t="shared" si="13"/>
        <v>0</v>
      </c>
      <c r="AF31">
        <f t="shared" si="14"/>
        <v>1.5698863356805433</v>
      </c>
      <c r="AG31">
        <f t="shared" si="15"/>
        <v>2.8257954042249773</v>
      </c>
      <c r="AH31">
        <f t="shared" si="16"/>
        <v>0</v>
      </c>
      <c r="AI31">
        <f t="shared" si="17"/>
        <v>0.37181518476644443</v>
      </c>
      <c r="AJ31">
        <f t="shared" si="18"/>
        <v>0</v>
      </c>
      <c r="AK31">
        <f t="shared" si="19"/>
        <v>1.4128977021124889</v>
      </c>
      <c r="AL31">
        <f t="shared" si="20"/>
        <v>0</v>
      </c>
    </row>
    <row r="32" spans="1:38" x14ac:dyDescent="0.2">
      <c r="A32">
        <v>2049</v>
      </c>
      <c r="B32">
        <v>24</v>
      </c>
      <c r="C32">
        <f t="shared" si="21"/>
        <v>7.3142072353146901</v>
      </c>
      <c r="D32">
        <f t="shared" si="23"/>
        <v>0</v>
      </c>
      <c r="E32">
        <f t="shared" si="4"/>
        <v>0</v>
      </c>
      <c r="F32">
        <f t="shared" si="5"/>
        <v>0</v>
      </c>
      <c r="G32" s="9">
        <f t="shared" si="6"/>
        <v>0</v>
      </c>
      <c r="H32" s="9">
        <f t="shared" si="6"/>
        <v>0</v>
      </c>
      <c r="I32" s="9">
        <f t="shared" si="6"/>
        <v>0</v>
      </c>
      <c r="J32" s="9">
        <f t="shared" si="7"/>
        <v>0</v>
      </c>
      <c r="K32" s="9">
        <f t="shared" si="8"/>
        <v>0</v>
      </c>
      <c r="L32" s="9">
        <f t="shared" si="9"/>
        <v>0</v>
      </c>
      <c r="M32">
        <f t="shared" si="0"/>
        <v>7.3142072353146901</v>
      </c>
      <c r="N32">
        <f t="shared" si="10"/>
        <v>0</v>
      </c>
      <c r="O32">
        <f t="shared" si="24"/>
        <v>7.3142072353146901</v>
      </c>
      <c r="P32">
        <f t="shared" si="22"/>
        <v>7.220439964756947</v>
      </c>
      <c r="Q32" s="9">
        <f t="shared" si="1"/>
        <v>0.987180118426914</v>
      </c>
      <c r="R32">
        <f>VLOOKUP($B$1,dictionary!$A$3:$K$51,3,FALSE)*Q32</f>
        <v>0.19743602368538282</v>
      </c>
      <c r="S32">
        <f>VLOOKUP($B$1,dictionary!$A$3:$K$51,4,FALSE)*Q32</f>
        <v>0</v>
      </c>
      <c r="T32">
        <f>VLOOKUP($B$1,dictionary!$A$3:$K$51,5,FALSE)*Q32</f>
        <v>0.19743602368538282</v>
      </c>
      <c r="U32">
        <f>VLOOKUP($B$1,dictionary!$A$3:$K$51,6,FALSE)*Q32</f>
        <v>0.34551304144941986</v>
      </c>
      <c r="V32">
        <f>VLOOKUP($B$1,dictionary!$A$3:$K$51,7,FALSE)*Q32</f>
        <v>0</v>
      </c>
      <c r="W32">
        <f>VLOOKUP($B$1,dictionary!$A$3:$K$51,8,FALSE)*Q32</f>
        <v>4.9359005921345706E-2</v>
      </c>
      <c r="X32">
        <f>VLOOKUP($B$1,dictionary!$A$3:$K$51,9,FALSE)*Q32</f>
        <v>0</v>
      </c>
      <c r="Y32">
        <f>VLOOKUP($B$1,dictionary!$A$3:$K$51,10,FALSE)*Q32</f>
        <v>0.19743602368538282</v>
      </c>
      <c r="Z32">
        <f>VLOOKUP($B$1,dictionary!$A$3:$K$51,11,FALSE)*Q32</f>
        <v>0</v>
      </c>
      <c r="AA32">
        <f t="shared" si="2"/>
        <v>9.3767270557743032E-2</v>
      </c>
      <c r="AB32">
        <f t="shared" si="11"/>
        <v>9.3767270557743032E-2</v>
      </c>
      <c r="AC32">
        <f t="shared" si="12"/>
        <v>0</v>
      </c>
      <c r="AD32">
        <f t="shared" si="3"/>
        <v>1.4440879929513895</v>
      </c>
      <c r="AE32">
        <f t="shared" si="13"/>
        <v>0</v>
      </c>
      <c r="AF32">
        <f t="shared" si="14"/>
        <v>1.6045422143904329</v>
      </c>
      <c r="AG32">
        <f t="shared" si="15"/>
        <v>2.8881759859027785</v>
      </c>
      <c r="AH32">
        <f t="shared" si="16"/>
        <v>0</v>
      </c>
      <c r="AI32">
        <f t="shared" si="17"/>
        <v>0.38002315603983933</v>
      </c>
      <c r="AJ32">
        <f t="shared" si="18"/>
        <v>0</v>
      </c>
      <c r="AK32">
        <f t="shared" si="19"/>
        <v>1.4440879929513895</v>
      </c>
      <c r="AL32">
        <f t="shared" si="20"/>
        <v>0</v>
      </c>
    </row>
    <row r="33" spans="1:38" x14ac:dyDescent="0.2">
      <c r="A33">
        <v>2050</v>
      </c>
      <c r="B33">
        <v>25</v>
      </c>
      <c r="C33">
        <f t="shared" si="21"/>
        <v>7.4678055872562981</v>
      </c>
      <c r="D33">
        <f t="shared" si="23"/>
        <v>0</v>
      </c>
      <c r="E33">
        <f t="shared" si="4"/>
        <v>0</v>
      </c>
      <c r="F33">
        <f t="shared" si="5"/>
        <v>0</v>
      </c>
      <c r="G33" s="9">
        <f t="shared" si="6"/>
        <v>0</v>
      </c>
      <c r="H33" s="9">
        <f t="shared" si="6"/>
        <v>0</v>
      </c>
      <c r="I33" s="9">
        <f t="shared" si="6"/>
        <v>0</v>
      </c>
      <c r="J33" s="9">
        <f t="shared" si="7"/>
        <v>0</v>
      </c>
      <c r="K33" s="9">
        <f t="shared" si="8"/>
        <v>0</v>
      </c>
      <c r="L33" s="9">
        <f t="shared" si="9"/>
        <v>0</v>
      </c>
      <c r="M33">
        <f t="shared" si="0"/>
        <v>7.4678055872562981</v>
      </c>
      <c r="N33">
        <f t="shared" si="10"/>
        <v>0</v>
      </c>
      <c r="O33">
        <f t="shared" si="24"/>
        <v>7.4678055872562981</v>
      </c>
      <c r="P33">
        <f t="shared" si="22"/>
        <v>7.3770235604009544</v>
      </c>
      <c r="Q33" s="9">
        <f t="shared" si="1"/>
        <v>0.98784354710435129</v>
      </c>
      <c r="R33">
        <f>VLOOKUP($B$1,dictionary!$A$3:$K$51,3,FALSE)*Q33</f>
        <v>0.19756870942087026</v>
      </c>
      <c r="S33">
        <f>VLOOKUP($B$1,dictionary!$A$3:$K$51,4,FALSE)*Q33</f>
        <v>0</v>
      </c>
      <c r="T33">
        <f>VLOOKUP($B$1,dictionary!$A$3:$K$51,5,FALSE)*Q33</f>
        <v>0.19756870942087026</v>
      </c>
      <c r="U33">
        <f>VLOOKUP($B$1,dictionary!$A$3:$K$51,6,FALSE)*Q33</f>
        <v>0.34574524148652291</v>
      </c>
      <c r="V33">
        <f>VLOOKUP($B$1,dictionary!$A$3:$K$51,7,FALSE)*Q33</f>
        <v>0</v>
      </c>
      <c r="W33">
        <f>VLOOKUP($B$1,dictionary!$A$3:$K$51,8,FALSE)*Q33</f>
        <v>4.9392177355217566E-2</v>
      </c>
      <c r="X33">
        <f>VLOOKUP($B$1,dictionary!$A$3:$K$51,9,FALSE)*Q33</f>
        <v>0</v>
      </c>
      <c r="Y33">
        <f>VLOOKUP($B$1,dictionary!$A$3:$K$51,10,FALSE)*Q33</f>
        <v>0.19756870942087026</v>
      </c>
      <c r="Z33">
        <f>VLOOKUP($B$1,dictionary!$A$3:$K$51,11,FALSE)*Q33</f>
        <v>0</v>
      </c>
      <c r="AA33">
        <f t="shared" si="2"/>
        <v>9.0782026855343645E-2</v>
      </c>
      <c r="AB33">
        <f t="shared" si="11"/>
        <v>9.0782026855343645E-2</v>
      </c>
      <c r="AC33">
        <f t="shared" si="12"/>
        <v>0</v>
      </c>
      <c r="AD33">
        <f t="shared" si="3"/>
        <v>1.475404712080191</v>
      </c>
      <c r="AE33">
        <f t="shared" si="13"/>
        <v>0</v>
      </c>
      <c r="AF33">
        <f t="shared" si="14"/>
        <v>1.63933856897799</v>
      </c>
      <c r="AG33">
        <f t="shared" si="15"/>
        <v>2.9508094241603815</v>
      </c>
      <c r="AH33">
        <f t="shared" si="16"/>
        <v>0</v>
      </c>
      <c r="AI33">
        <f t="shared" si="17"/>
        <v>0.38826439791583972</v>
      </c>
      <c r="AJ33">
        <f t="shared" si="18"/>
        <v>0</v>
      </c>
      <c r="AK33">
        <f t="shared" si="19"/>
        <v>1.475404712080191</v>
      </c>
      <c r="AL33">
        <f t="shared" si="20"/>
        <v>0</v>
      </c>
    </row>
    <row r="35" spans="1:38" x14ac:dyDescent="0.2">
      <c r="G35" s="2"/>
    </row>
    <row r="37" spans="1:38" x14ac:dyDescent="0.2">
      <c r="H37" s="2"/>
      <c r="I37" s="2"/>
    </row>
  </sheetData>
  <mergeCells count="1">
    <mergeCell ref="J6:L6"/>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32A12-707C-DB47-9E52-5E16EB4BDD6B}">
  <sheetPr>
    <tabColor theme="4" tint="0.79998168889431442"/>
  </sheetPr>
  <dimension ref="A1:AY37"/>
  <sheetViews>
    <sheetView zoomScale="93" zoomScaleNormal="125" workbookViewId="0">
      <selection activeCell="C9" sqref="C9"/>
    </sheetView>
  </sheetViews>
  <sheetFormatPr baseColWidth="10" defaultRowHeight="16" x14ac:dyDescent="0.2"/>
  <cols>
    <col min="2" max="2" width="15" customWidth="1"/>
    <col min="3" max="3" width="12.6640625" customWidth="1"/>
    <col min="4" max="4" width="9" customWidth="1"/>
    <col min="5" max="5" width="9.1640625" customWidth="1"/>
    <col min="6" max="6" width="9.33203125" customWidth="1"/>
    <col min="7" max="7" width="8.5" customWidth="1"/>
    <col min="8" max="8" width="8.1640625" customWidth="1"/>
    <col min="9" max="10" width="8" customWidth="1"/>
    <col min="11" max="12" width="8.33203125" customWidth="1"/>
    <col min="16" max="16" width="13.6640625" customWidth="1"/>
    <col min="17" max="17" width="9.33203125" customWidth="1"/>
    <col min="18" max="18" width="6.5" customWidth="1"/>
    <col min="19" max="19" width="4.83203125" customWidth="1"/>
    <col min="20" max="20" width="6.1640625" customWidth="1"/>
    <col min="21" max="21" width="6.5" customWidth="1"/>
    <col min="22" max="22" width="6" customWidth="1"/>
    <col min="23" max="23" width="5.5" customWidth="1"/>
    <col min="24" max="24" width="5.33203125" customWidth="1"/>
    <col min="25" max="25" width="5" customWidth="1"/>
    <col min="26" max="26" width="4.6640625" customWidth="1"/>
  </cols>
  <sheetData>
    <row r="1" spans="1:51" x14ac:dyDescent="0.2">
      <c r="B1" s="15" t="s">
        <v>51</v>
      </c>
      <c r="C1" t="s">
        <v>167</v>
      </c>
      <c r="D1" t="s">
        <v>74</v>
      </c>
      <c r="E1" t="s">
        <v>75</v>
      </c>
      <c r="F1" t="s">
        <v>76</v>
      </c>
      <c r="G1" t="s">
        <v>168</v>
      </c>
      <c r="I1" t="s">
        <v>172</v>
      </c>
      <c r="J1" t="s">
        <v>171</v>
      </c>
      <c r="K1" s="12" t="s">
        <v>169</v>
      </c>
      <c r="AC1" t="s">
        <v>187</v>
      </c>
      <c r="AD1" s="19" t="s">
        <v>53</v>
      </c>
      <c r="AE1" s="1" t="s">
        <v>54</v>
      </c>
      <c r="AF1" s="1" t="s">
        <v>55</v>
      </c>
      <c r="AG1" s="1" t="s">
        <v>56</v>
      </c>
      <c r="AH1" s="1" t="s">
        <v>57</v>
      </c>
      <c r="AI1" s="1" t="s">
        <v>58</v>
      </c>
      <c r="AJ1" s="1" t="s">
        <v>59</v>
      </c>
      <c r="AK1" s="1" t="s">
        <v>60</v>
      </c>
      <c r="AL1" s="1" t="s">
        <v>61</v>
      </c>
    </row>
    <row r="2" spans="1:51" x14ac:dyDescent="0.2">
      <c r="B2" s="1" t="str">
        <f>VLOOKUP(B1,dictionary!$A$3:$B$51,2,FALSE)</f>
        <v>MGO</v>
      </c>
      <c r="C2" s="14" t="str">
        <f>VLOOKUP(B1,dictionary!$A$3:$N$51,12,FALSE)</f>
        <v>No</v>
      </c>
      <c r="D2" t="s">
        <v>77</v>
      </c>
      <c r="E2" s="5">
        <f>IF(C2="Yes",MAIN!B4,0)</f>
        <v>0</v>
      </c>
      <c r="F2" s="5">
        <f>MAIN!C4</f>
        <v>0.13</v>
      </c>
      <c r="G2" s="11">
        <f>MAIN!D4</f>
        <v>5</v>
      </c>
      <c r="H2" t="s">
        <v>73</v>
      </c>
      <c r="I2" s="5">
        <f>MAIN!B1</f>
        <v>2.1000000000000001E-2</v>
      </c>
      <c r="J2" s="4"/>
      <c r="K2" s="4"/>
      <c r="L2" s="13"/>
      <c r="AC2" t="str">
        <f>B2</f>
        <v>MGO</v>
      </c>
      <c r="AD2">
        <f>VLOOKUP(AC2,efficiency!$A$2:$K$6,2,FALSE)</f>
        <v>1</v>
      </c>
      <c r="AE2">
        <f>VLOOKUP(AC2,efficiency!$A$2:$K$6,3,FALSE)</f>
        <v>0.44444444444444448</v>
      </c>
      <c r="AF2">
        <f>VLOOKUP(AC2,efficiency!$A$2:$K$6,4,FALSE)</f>
        <v>1.1111111111111112</v>
      </c>
      <c r="AG2">
        <f>VLOOKUP(AC2,efficiency!$A$2:$K$6,5,FALSE)</f>
        <v>1.142857142857143</v>
      </c>
      <c r="AH2">
        <f>VLOOKUP(AC2,efficiency!$A$2:$K$6,6,FALSE)</f>
        <v>1.0526315789473684</v>
      </c>
      <c r="AI2">
        <f>VLOOKUP(AC2,efficiency!$A$2:$K$6,7,FALSE)</f>
        <v>1.0526315789473684</v>
      </c>
      <c r="AJ2">
        <f>VLOOKUP(AC2,efficiency!$A$2:$K$6,8,FALSE)</f>
        <v>1.0526315789473684</v>
      </c>
      <c r="AK2">
        <f>VLOOKUP(AC2,efficiency!$A$2:$K$6,9,FALSE)</f>
        <v>1</v>
      </c>
      <c r="AL2">
        <f>VLOOKUP(AC2,efficiency!$A$2:$K$6,10,FALSE)</f>
        <v>0.44444444444444448</v>
      </c>
    </row>
    <row r="3" spans="1:51" x14ac:dyDescent="0.2">
      <c r="B3" s="1"/>
      <c r="C3" s="14" t="str">
        <f>VLOOKUP(B1,dictionary!$A$3:$N$51,13,FALSE)</f>
        <v>No</v>
      </c>
      <c r="D3" t="s">
        <v>63</v>
      </c>
      <c r="E3" s="5">
        <f>IF(C3="Yes",MAIN!B5,0)</f>
        <v>0</v>
      </c>
      <c r="F3" s="5">
        <f>MAIN!C5</f>
        <v>0.2</v>
      </c>
      <c r="G3" s="11">
        <f>MAIN!D5</f>
        <v>5</v>
      </c>
      <c r="H3" t="s">
        <v>78</v>
      </c>
      <c r="I3" s="5">
        <f>MAIN!B8</f>
        <v>0.45</v>
      </c>
      <c r="J3" s="11">
        <f>MAIN!C8</f>
        <v>10</v>
      </c>
      <c r="K3" s="4"/>
      <c r="AC3" t="str">
        <f>N7</f>
        <v/>
      </c>
      <c r="AD3">
        <f>IF($AC$3="",0,VLOOKUP(AC3,efficiency!$A$2:$K$6,2,FALSE))</f>
        <v>0</v>
      </c>
      <c r="AE3">
        <f>IF($AC$3="",0,VLOOKUP(AC3,efficiency!$A$2:$K$6,3,FALSE))</f>
        <v>0</v>
      </c>
      <c r="AF3">
        <f>IF($AC$3="",0,VLOOKUP(AC3,efficiency!$A$2:$K$6,4,FALSE))</f>
        <v>0</v>
      </c>
      <c r="AG3">
        <f>IF($AC$3="",0,VLOOKUP(AC3,efficiency!$A$2:$K$6,5,FALSE))</f>
        <v>0</v>
      </c>
      <c r="AH3">
        <f>IF($AC$3="",0,VLOOKUP(AC3,efficiency!$A$2:$K$6,6,FALSE))</f>
        <v>0</v>
      </c>
      <c r="AI3">
        <f>IF($AC$3="",0,VLOOKUP(AC3,efficiency!$A$2:$K$6,7,FALSE))</f>
        <v>0</v>
      </c>
      <c r="AJ3">
        <f>IF($AC$3="",0,VLOOKUP(AC3,efficiency!$A$2:$K$6,8,FALSE))</f>
        <v>0</v>
      </c>
      <c r="AK3">
        <f>IF($AC$3="",0,VLOOKUP(AC3,efficiency!$A$2:$K$6,9,FALSE))</f>
        <v>0</v>
      </c>
      <c r="AL3">
        <f>IF($AC$3="",0,VLOOKUP(AC3,efficiency!$A$2:$K$6,10,FALSE))</f>
        <v>0</v>
      </c>
    </row>
    <row r="4" spans="1:51" x14ac:dyDescent="0.2">
      <c r="B4" s="1"/>
      <c r="C4" s="14" t="str">
        <f>VLOOKUP(B1,dictionary!$A$3:$N$51,14,FALSE)</f>
        <v>No</v>
      </c>
      <c r="D4" t="s">
        <v>64</v>
      </c>
      <c r="E4" s="5">
        <f>IF(C4="Yes",MAIN!B6,0)</f>
        <v>0</v>
      </c>
      <c r="F4" s="5">
        <f>MAIN!C6</f>
        <v>0.4</v>
      </c>
      <c r="G4" s="11">
        <f>MAIN!D6</f>
        <v>10</v>
      </c>
      <c r="H4" t="s">
        <v>182</v>
      </c>
      <c r="I4" s="5">
        <f>MAIN!B11</f>
        <v>0.3</v>
      </c>
      <c r="J4" s="11">
        <f>MAIN!C11</f>
        <v>5</v>
      </c>
      <c r="K4" s="4"/>
    </row>
    <row r="5" spans="1:51" x14ac:dyDescent="0.2">
      <c r="B5" s="1"/>
      <c r="H5" t="s">
        <v>183</v>
      </c>
      <c r="I5" s="5">
        <f>MAIN!B12</f>
        <v>0</v>
      </c>
      <c r="J5" s="11">
        <f>MAIN!C12</f>
        <v>3</v>
      </c>
      <c r="K5" s="4"/>
      <c r="N5" s="24" t="s">
        <v>189</v>
      </c>
      <c r="AD5" t="s">
        <v>191</v>
      </c>
    </row>
    <row r="6" spans="1:51" x14ac:dyDescent="0.2">
      <c r="B6" s="1"/>
      <c r="D6" s="8" t="s">
        <v>161</v>
      </c>
      <c r="J6" s="163"/>
      <c r="K6" s="163"/>
      <c r="L6" s="163"/>
      <c r="N6" s="8" t="s">
        <v>184</v>
      </c>
      <c r="O6" s="8"/>
      <c r="P6" s="8" t="s">
        <v>162</v>
      </c>
      <c r="R6" t="s">
        <v>193</v>
      </c>
      <c r="AB6" s="8" t="s">
        <v>192</v>
      </c>
      <c r="AD6" t="s">
        <v>190</v>
      </c>
      <c r="AO6" s="8"/>
    </row>
    <row r="7" spans="1:51" x14ac:dyDescent="0.2">
      <c r="A7" t="s">
        <v>170</v>
      </c>
      <c r="B7" s="7" t="s">
        <v>0</v>
      </c>
      <c r="C7" t="s">
        <v>150</v>
      </c>
      <c r="D7" t="s">
        <v>151</v>
      </c>
      <c r="E7" t="s">
        <v>152</v>
      </c>
      <c r="F7" t="s">
        <v>153</v>
      </c>
      <c r="G7" t="s">
        <v>154</v>
      </c>
      <c r="H7" t="s">
        <v>155</v>
      </c>
      <c r="I7" t="s">
        <v>156</v>
      </c>
      <c r="J7" t="s">
        <v>157</v>
      </c>
      <c r="K7" t="s">
        <v>158</v>
      </c>
      <c r="L7" t="s">
        <v>159</v>
      </c>
      <c r="M7" t="s">
        <v>160</v>
      </c>
      <c r="N7" s="1" t="str">
        <f>IF(B2="HFO","LFO",IF(B2="MDO","MGO",""))</f>
        <v/>
      </c>
      <c r="O7" s="1" t="str">
        <f>B2</f>
        <v>MGO</v>
      </c>
      <c r="P7" t="s">
        <v>163</v>
      </c>
      <c r="Q7" t="s">
        <v>164</v>
      </c>
      <c r="R7" s="1" t="s">
        <v>53</v>
      </c>
      <c r="S7" s="1" t="s">
        <v>54</v>
      </c>
      <c r="T7" s="1" t="s">
        <v>55</v>
      </c>
      <c r="U7" s="1" t="s">
        <v>56</v>
      </c>
      <c r="V7" s="1" t="s">
        <v>57</v>
      </c>
      <c r="W7" s="1" t="s">
        <v>58</v>
      </c>
      <c r="X7" s="1" t="s">
        <v>59</v>
      </c>
      <c r="Y7" s="1" t="s">
        <v>60</v>
      </c>
      <c r="Z7" s="1" t="s">
        <v>61</v>
      </c>
      <c r="AA7" s="1" t="s">
        <v>186</v>
      </c>
      <c r="AB7" s="1" t="str">
        <f>O7</f>
        <v>MGO</v>
      </c>
      <c r="AC7" s="1" t="str">
        <f>N7</f>
        <v/>
      </c>
      <c r="AD7" s="1" t="s">
        <v>53</v>
      </c>
      <c r="AE7" s="1" t="s">
        <v>54</v>
      </c>
      <c r="AF7" s="1" t="s">
        <v>55</v>
      </c>
      <c r="AG7" s="1" t="s">
        <v>56</v>
      </c>
      <c r="AH7" s="1" t="s">
        <v>57</v>
      </c>
      <c r="AI7" s="1" t="s">
        <v>58</v>
      </c>
      <c r="AJ7" s="1" t="s">
        <v>59</v>
      </c>
      <c r="AK7" s="1" t="s">
        <v>60</v>
      </c>
      <c r="AL7" s="1" t="s">
        <v>61</v>
      </c>
      <c r="AO7" s="1"/>
      <c r="AP7" s="1"/>
      <c r="AQ7" s="1"/>
      <c r="AR7" s="1"/>
      <c r="AS7" s="1"/>
      <c r="AT7" s="1"/>
      <c r="AU7" s="1"/>
      <c r="AV7" s="1"/>
      <c r="AW7" s="1"/>
      <c r="AX7" s="1"/>
      <c r="AY7" s="1"/>
    </row>
    <row r="8" spans="1:51" x14ac:dyDescent="0.2">
      <c r="A8">
        <v>2025</v>
      </c>
      <c r="B8">
        <v>0</v>
      </c>
      <c r="C8">
        <f>emissions!N41</f>
        <v>0</v>
      </c>
      <c r="D8">
        <f>IF($E$2=0,0,C8/(1+EXP(-$E$2*(B8-$G$2)))-C8/(1+EXP($E$2*$G$2)))</f>
        <v>0</v>
      </c>
      <c r="E8">
        <f>IF($E$3=0,0,C8/(1+EXP(-$E$3*(B8-$G$3)))-C8/(1+EXP($E$3*$G$3)))</f>
        <v>0</v>
      </c>
      <c r="F8">
        <f>IF($E$4=0,0,C8/(1+EXP(-$E$4*(B8-$G$4)))-C8/(1+EXP($E$4*$G$4)))</f>
        <v>0</v>
      </c>
      <c r="G8" s="9" t="e">
        <f>D8/$C8</f>
        <v>#DIV/0!</v>
      </c>
      <c r="H8" s="9" t="e">
        <f>E8/$C8</f>
        <v>#DIV/0!</v>
      </c>
      <c r="I8" s="9" t="e">
        <f>F8/$C8</f>
        <v>#DIV/0!</v>
      </c>
      <c r="J8" s="9" t="e">
        <f>G8*$F$2</f>
        <v>#DIV/0!</v>
      </c>
      <c r="K8" s="9" t="e">
        <f>H8*$F$3</f>
        <v>#DIV/0!</v>
      </c>
      <c r="L8" s="9" t="e">
        <f>I8*$F$4</f>
        <v>#DIV/0!</v>
      </c>
      <c r="M8" t="e">
        <f t="shared" ref="M8:M33" si="0">C8*(1-J8)*(1-K8)*(1-L8)</f>
        <v>#DIV/0!</v>
      </c>
      <c r="N8">
        <f>IF($N$7="LFO",M8/(1+EXP(-$I$4*(B8-$J$4)))-M8/(1+EXP($I$4*$J$4)),IF($N$7="MGO",M8/(1+EXP(-$I$5*(B8-$J$5)))-M8/(1+EXP($I$5*$J$5)),0))</f>
        <v>0</v>
      </c>
      <c r="O8" t="e">
        <f>M8-N8</f>
        <v>#DIV/0!</v>
      </c>
      <c r="P8" t="e">
        <f>IF($I$3=0,0,M8/(1+EXP(-$I$3*(B8-$J$3)))-M8/(1+EXP($I$3*$J$3)))</f>
        <v>#DIV/0!</v>
      </c>
      <c r="Q8" s="9" t="e">
        <f t="shared" ref="Q8:Q33" si="1">P8/M8</f>
        <v>#DIV/0!</v>
      </c>
      <c r="R8" t="e">
        <f>VLOOKUP($B$1,dictionary!$A$3:$K$51,3,FALSE)*Q8</f>
        <v>#DIV/0!</v>
      </c>
      <c r="S8" t="e">
        <f>VLOOKUP($B$1,dictionary!$A$3:$K$51,4,FALSE)*Q8</f>
        <v>#DIV/0!</v>
      </c>
      <c r="T8" t="e">
        <f>VLOOKUP($B$1,dictionary!$A$3:$K$51,5,FALSE)*Q8</f>
        <v>#DIV/0!</v>
      </c>
      <c r="U8" t="e">
        <f>VLOOKUP($B$1,dictionary!$A$3:$K$51,6,FALSE)*Q8</f>
        <v>#DIV/0!</v>
      </c>
      <c r="V8" t="e">
        <f>VLOOKUP($B$1,dictionary!$A$3:$K$51,7,FALSE)*Q8</f>
        <v>#DIV/0!</v>
      </c>
      <c r="W8" t="e">
        <f>VLOOKUP($B$1,dictionary!$A$3:$K$51,8,FALSE)*Q8</f>
        <v>#DIV/0!</v>
      </c>
      <c r="X8" t="e">
        <f>VLOOKUP($B$1,dictionary!$A$3:$K$51,9,FALSE)*Q8</f>
        <v>#DIV/0!</v>
      </c>
      <c r="Y8" t="e">
        <f>VLOOKUP($B$1,dictionary!$A$3:$K$51,10,FALSE)*Q8</f>
        <v>#DIV/0!</v>
      </c>
      <c r="Z8" t="e">
        <f>VLOOKUP($B$1,dictionary!$A$3:$K$51,11,FALSE)*Q8</f>
        <v>#DIV/0!</v>
      </c>
      <c r="AA8" t="e">
        <f t="shared" ref="AA8:AA33" si="2">M8-P8</f>
        <v>#DIV/0!</v>
      </c>
      <c r="AB8" t="e">
        <f>O8/M8*AA8</f>
        <v>#DIV/0!</v>
      </c>
      <c r="AC8" t="e">
        <f>N8/M8*AA8</f>
        <v>#DIV/0!</v>
      </c>
      <c r="AD8" t="e">
        <f t="shared" ref="AD8:AD33" si="3">R8*$O8*$AD$2+R8*$N8*$AD$3</f>
        <v>#DIV/0!</v>
      </c>
      <c r="AE8" t="e">
        <f>S8*$O8*$AE$2+S8*$N8*$AE$3</f>
        <v>#DIV/0!</v>
      </c>
      <c r="AF8" t="e">
        <f>T8*$O8*$AF$2+T8*$N8*$AF$3</f>
        <v>#DIV/0!</v>
      </c>
      <c r="AG8" t="e">
        <f>U8*$O8*$AG$2+U8*$N8*$AG$3</f>
        <v>#DIV/0!</v>
      </c>
      <c r="AH8" t="e">
        <f>V8*$O8*$AH$2+V8*$N8*$AH$3</f>
        <v>#DIV/0!</v>
      </c>
      <c r="AI8" t="e">
        <f>W8*$O8*$AI$2+W8*$N8*$AI$3</f>
        <v>#DIV/0!</v>
      </c>
      <c r="AJ8" t="e">
        <f>X8*$O8*$AJ$2+X8*$N8*$AJ$3</f>
        <v>#DIV/0!</v>
      </c>
      <c r="AK8" t="e">
        <f>Y8*$O8*$AK$2+Y8*$N8*$AK$3</f>
        <v>#DIV/0!</v>
      </c>
      <c r="AL8" t="e">
        <f>Z8*$O8*$AL$2+Z8*$N8*$AL$3</f>
        <v>#DIV/0!</v>
      </c>
    </row>
    <row r="9" spans="1:51" x14ac:dyDescent="0.2">
      <c r="A9">
        <v>2026</v>
      </c>
      <c r="B9">
        <v>1</v>
      </c>
      <c r="C9">
        <f>C8*(1+$I$2)</f>
        <v>0</v>
      </c>
      <c r="D9">
        <f>IF($E$2=0,0,C9/(1+EXP(-$E$2*(B9-$G$2)))-C9/(1+EXP($E$2*$G$2)))</f>
        <v>0</v>
      </c>
      <c r="E9">
        <f t="shared" ref="E9:E33" si="4">IF($E$3=0,0,C9/(1+EXP(-$E$3*(B9-$G$3)))-C9/(1+EXP($E$3*$G$3)))</f>
        <v>0</v>
      </c>
      <c r="F9">
        <f t="shared" ref="F9:F33" si="5">IF($E$4=0,0,C9/(1+EXP(-$E$4*(B9-$G$4)))-C9/(1+EXP($E$4*$G$4)))</f>
        <v>0</v>
      </c>
      <c r="G9" s="9" t="e">
        <f t="shared" ref="G9:I33" si="6">D9/$C9</f>
        <v>#DIV/0!</v>
      </c>
      <c r="H9" s="9" t="e">
        <f t="shared" si="6"/>
        <v>#DIV/0!</v>
      </c>
      <c r="I9" s="9" t="e">
        <f t="shared" si="6"/>
        <v>#DIV/0!</v>
      </c>
      <c r="J9" s="9" t="e">
        <f t="shared" ref="J9:J33" si="7">G9*$F$2</f>
        <v>#DIV/0!</v>
      </c>
      <c r="K9" s="9" t="e">
        <f t="shared" ref="K9:K33" si="8">H9*$F$3</f>
        <v>#DIV/0!</v>
      </c>
      <c r="L9" s="9" t="e">
        <f t="shared" ref="L9:L33" si="9">I9*$F$4</f>
        <v>#DIV/0!</v>
      </c>
      <c r="M9" t="e">
        <f t="shared" si="0"/>
        <v>#DIV/0!</v>
      </c>
      <c r="N9">
        <f t="shared" ref="N9:N33" si="10">IF($N$7="LFO",M9/(1+EXP(-$I$4*(B9-$J$4)))-M9/(1+EXP($I$4*$J$4)),IF($N$7="MGO",M9/(1+EXP(-$I$5*(B9-$J$5)))-M9/(1+EXP($I$5*$J$5)),0))</f>
        <v>0</v>
      </c>
      <c r="O9" t="e">
        <f>M9-N9</f>
        <v>#DIV/0!</v>
      </c>
      <c r="P9" t="e">
        <f>IF($I$3=0,0,M9/(1+EXP(-$I$3*(B9-$J$3)))-M9/(1+EXP($I$3*$J$3)))</f>
        <v>#DIV/0!</v>
      </c>
      <c r="Q9" s="9" t="e">
        <f t="shared" si="1"/>
        <v>#DIV/0!</v>
      </c>
      <c r="R9" t="e">
        <f>VLOOKUP($B$1,dictionary!$A$3:$K$51,3,FALSE)*Q9</f>
        <v>#DIV/0!</v>
      </c>
      <c r="S9" t="e">
        <f>VLOOKUP($B$1,dictionary!$A$3:$K$51,4,FALSE)*Q9</f>
        <v>#DIV/0!</v>
      </c>
      <c r="T9" t="e">
        <f>VLOOKUP($B$1,dictionary!$A$3:$K$51,5,FALSE)*Q9</f>
        <v>#DIV/0!</v>
      </c>
      <c r="U9" t="e">
        <f>VLOOKUP($B$1,dictionary!$A$3:$K$51,6,FALSE)*Q9</f>
        <v>#DIV/0!</v>
      </c>
      <c r="V9" t="e">
        <f>VLOOKUP($B$1,dictionary!$A$3:$K$51,7,FALSE)*Q9</f>
        <v>#DIV/0!</v>
      </c>
      <c r="W9" t="e">
        <f>VLOOKUP($B$1,dictionary!$A$3:$K$51,8,FALSE)*Q9</f>
        <v>#DIV/0!</v>
      </c>
      <c r="X9" t="e">
        <f>VLOOKUP($B$1,dictionary!$A$3:$K$51,9,FALSE)*Q9</f>
        <v>#DIV/0!</v>
      </c>
      <c r="Y9" t="e">
        <f>VLOOKUP($B$1,dictionary!$A$3:$K$51,10,FALSE)*Q9</f>
        <v>#DIV/0!</v>
      </c>
      <c r="Z9" t="e">
        <f>VLOOKUP($B$1,dictionary!$A$3:$K$51,11,FALSE)*Q9</f>
        <v>#DIV/0!</v>
      </c>
      <c r="AA9" t="e">
        <f t="shared" si="2"/>
        <v>#DIV/0!</v>
      </c>
      <c r="AB9" t="e">
        <f t="shared" ref="AB9:AB33" si="11">O9/M9*AA9</f>
        <v>#DIV/0!</v>
      </c>
      <c r="AC9" t="e">
        <f t="shared" ref="AC9:AC33" si="12">N9/M9*AA9</f>
        <v>#DIV/0!</v>
      </c>
      <c r="AD9" t="e">
        <f t="shared" si="3"/>
        <v>#DIV/0!</v>
      </c>
      <c r="AE9" t="e">
        <f t="shared" ref="AE9:AE33" si="13">S9*$O9*$AE$2+S9*$N9*$AE$3</f>
        <v>#DIV/0!</v>
      </c>
      <c r="AF9" t="e">
        <f t="shared" ref="AF9:AF33" si="14">T9*$O9*$AF$2+T9*$N9*$AF$3</f>
        <v>#DIV/0!</v>
      </c>
      <c r="AG9" t="e">
        <f t="shared" ref="AG9:AG33" si="15">U9*$O9*$AG$2+U9*$N9*$AG$3</f>
        <v>#DIV/0!</v>
      </c>
      <c r="AH9" t="e">
        <f t="shared" ref="AH9:AH33" si="16">V9*$O9*$AH$2+V9*$N9*$AH$3</f>
        <v>#DIV/0!</v>
      </c>
      <c r="AI9" t="e">
        <f t="shared" ref="AI9:AI33" si="17">W9*$O9*$AI$2+W9*$N9*$AI$3</f>
        <v>#DIV/0!</v>
      </c>
      <c r="AJ9" t="e">
        <f t="shared" ref="AJ9:AJ33" si="18">X9*$O9*$AJ$2+X9*$N9*$AJ$3</f>
        <v>#DIV/0!</v>
      </c>
      <c r="AK9" t="e">
        <f t="shared" ref="AK9:AK33" si="19">Y9*$O9*$AK$2+Y9*$N9*$AK$3</f>
        <v>#DIV/0!</v>
      </c>
      <c r="AL9" t="e">
        <f t="shared" ref="AL9:AL33" si="20">Z9*$O9*$AL$2+Z9*$N9*$AL$3</f>
        <v>#DIV/0!</v>
      </c>
    </row>
    <row r="10" spans="1:51" x14ac:dyDescent="0.2">
      <c r="A10">
        <v>2027</v>
      </c>
      <c r="B10">
        <v>2</v>
      </c>
      <c r="C10">
        <f t="shared" ref="C10:C33" si="21">C9*(1+$I$2)</f>
        <v>0</v>
      </c>
      <c r="D10">
        <f>IF($E$2=0,0,C10/(1+EXP(-$E$2*(B10-$G$2)))-C10/(1+EXP($E$2*$G$2)))</f>
        <v>0</v>
      </c>
      <c r="E10">
        <f t="shared" si="4"/>
        <v>0</v>
      </c>
      <c r="F10">
        <f t="shared" si="5"/>
        <v>0</v>
      </c>
      <c r="G10" s="9" t="e">
        <f t="shared" si="6"/>
        <v>#DIV/0!</v>
      </c>
      <c r="H10" s="9" t="e">
        <f t="shared" si="6"/>
        <v>#DIV/0!</v>
      </c>
      <c r="I10" s="9" t="e">
        <f t="shared" si="6"/>
        <v>#DIV/0!</v>
      </c>
      <c r="J10" s="9" t="e">
        <f t="shared" si="7"/>
        <v>#DIV/0!</v>
      </c>
      <c r="K10" s="9" t="e">
        <f t="shared" si="8"/>
        <v>#DIV/0!</v>
      </c>
      <c r="L10" s="9" t="e">
        <f t="shared" si="9"/>
        <v>#DIV/0!</v>
      </c>
      <c r="M10" t="e">
        <f t="shared" si="0"/>
        <v>#DIV/0!</v>
      </c>
      <c r="N10">
        <f t="shared" si="10"/>
        <v>0</v>
      </c>
      <c r="O10" t="e">
        <f>M10-N10</f>
        <v>#DIV/0!</v>
      </c>
      <c r="P10" t="e">
        <f t="shared" ref="P10:P33" si="22">IF($I$3=0,0,M10/(1+EXP(-$I$3*(B10-$J$3)))-M10/(1+EXP($I$3*$J$3)))</f>
        <v>#DIV/0!</v>
      </c>
      <c r="Q10" s="9" t="e">
        <f t="shared" si="1"/>
        <v>#DIV/0!</v>
      </c>
      <c r="R10" t="e">
        <f>VLOOKUP($B$1,dictionary!$A$3:$K$51,3,FALSE)*Q10</f>
        <v>#DIV/0!</v>
      </c>
      <c r="S10" t="e">
        <f>VLOOKUP($B$1,dictionary!$A$3:$K$51,4,FALSE)*Q10</f>
        <v>#DIV/0!</v>
      </c>
      <c r="T10" t="e">
        <f>VLOOKUP($B$1,dictionary!$A$3:$K$51,5,FALSE)*Q10</f>
        <v>#DIV/0!</v>
      </c>
      <c r="U10" t="e">
        <f>VLOOKUP($B$1,dictionary!$A$3:$K$51,6,FALSE)*Q10</f>
        <v>#DIV/0!</v>
      </c>
      <c r="V10" t="e">
        <f>VLOOKUP($B$1,dictionary!$A$3:$K$51,7,FALSE)*Q10</f>
        <v>#DIV/0!</v>
      </c>
      <c r="W10" t="e">
        <f>VLOOKUP($B$1,dictionary!$A$3:$K$51,8,FALSE)*Q10</f>
        <v>#DIV/0!</v>
      </c>
      <c r="X10" t="e">
        <f>VLOOKUP($B$1,dictionary!$A$3:$K$51,9,FALSE)*Q10</f>
        <v>#DIV/0!</v>
      </c>
      <c r="Y10" t="e">
        <f>VLOOKUP($B$1,dictionary!$A$3:$K$51,10,FALSE)*Q10</f>
        <v>#DIV/0!</v>
      </c>
      <c r="Z10" t="e">
        <f>VLOOKUP($B$1,dictionary!$A$3:$K$51,11,FALSE)*Q10</f>
        <v>#DIV/0!</v>
      </c>
      <c r="AA10" t="e">
        <f t="shared" si="2"/>
        <v>#DIV/0!</v>
      </c>
      <c r="AB10" t="e">
        <f t="shared" si="11"/>
        <v>#DIV/0!</v>
      </c>
      <c r="AC10" t="e">
        <f t="shared" si="12"/>
        <v>#DIV/0!</v>
      </c>
      <c r="AD10" t="e">
        <f t="shared" si="3"/>
        <v>#DIV/0!</v>
      </c>
      <c r="AE10" t="e">
        <f t="shared" si="13"/>
        <v>#DIV/0!</v>
      </c>
      <c r="AF10" t="e">
        <f t="shared" si="14"/>
        <v>#DIV/0!</v>
      </c>
      <c r="AG10" t="e">
        <f t="shared" si="15"/>
        <v>#DIV/0!</v>
      </c>
      <c r="AH10" t="e">
        <f t="shared" si="16"/>
        <v>#DIV/0!</v>
      </c>
      <c r="AI10" t="e">
        <f t="shared" si="17"/>
        <v>#DIV/0!</v>
      </c>
      <c r="AJ10" t="e">
        <f t="shared" si="18"/>
        <v>#DIV/0!</v>
      </c>
      <c r="AK10" t="e">
        <f t="shared" si="19"/>
        <v>#DIV/0!</v>
      </c>
      <c r="AL10" t="e">
        <f t="shared" si="20"/>
        <v>#DIV/0!</v>
      </c>
    </row>
    <row r="11" spans="1:51" x14ac:dyDescent="0.2">
      <c r="A11">
        <v>2028</v>
      </c>
      <c r="B11">
        <v>3</v>
      </c>
      <c r="C11">
        <f t="shared" si="21"/>
        <v>0</v>
      </c>
      <c r="D11">
        <f t="shared" ref="D11:D33" si="23">IF($E$2=0,0,C11/(1+EXP(-$E$2*(B11-$G$2)))-C11/(1+EXP($E$2*$G$2)))</f>
        <v>0</v>
      </c>
      <c r="E11">
        <f t="shared" si="4"/>
        <v>0</v>
      </c>
      <c r="F11">
        <f t="shared" si="5"/>
        <v>0</v>
      </c>
      <c r="G11" s="9" t="e">
        <f t="shared" si="6"/>
        <v>#DIV/0!</v>
      </c>
      <c r="H11" s="9" t="e">
        <f t="shared" si="6"/>
        <v>#DIV/0!</v>
      </c>
      <c r="I11" s="9" t="e">
        <f t="shared" si="6"/>
        <v>#DIV/0!</v>
      </c>
      <c r="J11" s="9" t="e">
        <f t="shared" si="7"/>
        <v>#DIV/0!</v>
      </c>
      <c r="K11" s="9" t="e">
        <f t="shared" si="8"/>
        <v>#DIV/0!</v>
      </c>
      <c r="L11" s="9" t="e">
        <f t="shared" si="9"/>
        <v>#DIV/0!</v>
      </c>
      <c r="M11" t="e">
        <f t="shared" si="0"/>
        <v>#DIV/0!</v>
      </c>
      <c r="N11">
        <f t="shared" si="10"/>
        <v>0</v>
      </c>
      <c r="O11" t="e">
        <f t="shared" ref="O11:O33" si="24">M11-N11</f>
        <v>#DIV/0!</v>
      </c>
      <c r="P11" t="e">
        <f t="shared" si="22"/>
        <v>#DIV/0!</v>
      </c>
      <c r="Q11" s="9" t="e">
        <f t="shared" si="1"/>
        <v>#DIV/0!</v>
      </c>
      <c r="R11" t="e">
        <f>VLOOKUP($B$1,dictionary!$A$3:$K$51,3,FALSE)*Q11</f>
        <v>#DIV/0!</v>
      </c>
      <c r="S11" t="e">
        <f>VLOOKUP($B$1,dictionary!$A$3:$K$51,4,FALSE)*Q11</f>
        <v>#DIV/0!</v>
      </c>
      <c r="T11" t="e">
        <f>VLOOKUP($B$1,dictionary!$A$3:$K$51,5,FALSE)*Q11</f>
        <v>#DIV/0!</v>
      </c>
      <c r="U11" t="e">
        <f>VLOOKUP($B$1,dictionary!$A$3:$K$51,6,FALSE)*Q11</f>
        <v>#DIV/0!</v>
      </c>
      <c r="V11" t="e">
        <f>VLOOKUP($B$1,dictionary!$A$3:$K$51,7,FALSE)*Q11</f>
        <v>#DIV/0!</v>
      </c>
      <c r="W11" t="e">
        <f>VLOOKUP($B$1,dictionary!$A$3:$K$51,8,FALSE)*Q11</f>
        <v>#DIV/0!</v>
      </c>
      <c r="X11" t="e">
        <f>VLOOKUP($B$1,dictionary!$A$3:$K$51,9,FALSE)*Q11</f>
        <v>#DIV/0!</v>
      </c>
      <c r="Y11" t="e">
        <f>VLOOKUP($B$1,dictionary!$A$3:$K$51,10,FALSE)*Q11</f>
        <v>#DIV/0!</v>
      </c>
      <c r="Z11" t="e">
        <f>VLOOKUP($B$1,dictionary!$A$3:$K$51,11,FALSE)*Q11</f>
        <v>#DIV/0!</v>
      </c>
      <c r="AA11" t="e">
        <f t="shared" si="2"/>
        <v>#DIV/0!</v>
      </c>
      <c r="AB11" t="e">
        <f t="shared" si="11"/>
        <v>#DIV/0!</v>
      </c>
      <c r="AC11" t="e">
        <f t="shared" si="12"/>
        <v>#DIV/0!</v>
      </c>
      <c r="AD11" t="e">
        <f t="shared" si="3"/>
        <v>#DIV/0!</v>
      </c>
      <c r="AE11" t="e">
        <f t="shared" si="13"/>
        <v>#DIV/0!</v>
      </c>
      <c r="AF11" t="e">
        <f t="shared" si="14"/>
        <v>#DIV/0!</v>
      </c>
      <c r="AG11" t="e">
        <f t="shared" si="15"/>
        <v>#DIV/0!</v>
      </c>
      <c r="AH11" t="e">
        <f t="shared" si="16"/>
        <v>#DIV/0!</v>
      </c>
      <c r="AI11" t="e">
        <f t="shared" si="17"/>
        <v>#DIV/0!</v>
      </c>
      <c r="AJ11" t="e">
        <f t="shared" si="18"/>
        <v>#DIV/0!</v>
      </c>
      <c r="AK11" t="e">
        <f t="shared" si="19"/>
        <v>#DIV/0!</v>
      </c>
      <c r="AL11" t="e">
        <f t="shared" si="20"/>
        <v>#DIV/0!</v>
      </c>
    </row>
    <row r="12" spans="1:51" x14ac:dyDescent="0.2">
      <c r="A12">
        <v>2029</v>
      </c>
      <c r="B12">
        <v>4</v>
      </c>
      <c r="C12">
        <f t="shared" si="21"/>
        <v>0</v>
      </c>
      <c r="D12">
        <f t="shared" si="23"/>
        <v>0</v>
      </c>
      <c r="E12">
        <f t="shared" si="4"/>
        <v>0</v>
      </c>
      <c r="F12">
        <f t="shared" si="5"/>
        <v>0</v>
      </c>
      <c r="G12" s="9" t="e">
        <f t="shared" si="6"/>
        <v>#DIV/0!</v>
      </c>
      <c r="H12" s="9" t="e">
        <f t="shared" si="6"/>
        <v>#DIV/0!</v>
      </c>
      <c r="I12" s="9" t="e">
        <f t="shared" si="6"/>
        <v>#DIV/0!</v>
      </c>
      <c r="J12" s="9" t="e">
        <f t="shared" si="7"/>
        <v>#DIV/0!</v>
      </c>
      <c r="K12" s="9" t="e">
        <f t="shared" si="8"/>
        <v>#DIV/0!</v>
      </c>
      <c r="L12" s="9" t="e">
        <f t="shared" si="9"/>
        <v>#DIV/0!</v>
      </c>
      <c r="M12" t="e">
        <f t="shared" si="0"/>
        <v>#DIV/0!</v>
      </c>
      <c r="N12">
        <f t="shared" si="10"/>
        <v>0</v>
      </c>
      <c r="O12" t="e">
        <f t="shared" si="24"/>
        <v>#DIV/0!</v>
      </c>
      <c r="P12" t="e">
        <f t="shared" si="22"/>
        <v>#DIV/0!</v>
      </c>
      <c r="Q12" s="9" t="e">
        <f t="shared" si="1"/>
        <v>#DIV/0!</v>
      </c>
      <c r="R12" t="e">
        <f>VLOOKUP($B$1,dictionary!$A$3:$K$51,3,FALSE)*Q12</f>
        <v>#DIV/0!</v>
      </c>
      <c r="S12" t="e">
        <f>VLOOKUP($B$1,dictionary!$A$3:$K$51,4,FALSE)*Q12</f>
        <v>#DIV/0!</v>
      </c>
      <c r="T12" t="e">
        <f>VLOOKUP($B$1,dictionary!$A$3:$K$51,5,FALSE)*Q12</f>
        <v>#DIV/0!</v>
      </c>
      <c r="U12" t="e">
        <f>VLOOKUP($B$1,dictionary!$A$3:$K$51,6,FALSE)*Q12</f>
        <v>#DIV/0!</v>
      </c>
      <c r="V12" t="e">
        <f>VLOOKUP($B$1,dictionary!$A$3:$K$51,7,FALSE)*Q12</f>
        <v>#DIV/0!</v>
      </c>
      <c r="W12" t="e">
        <f>VLOOKUP($B$1,dictionary!$A$3:$K$51,8,FALSE)*Q12</f>
        <v>#DIV/0!</v>
      </c>
      <c r="X12" t="e">
        <f>VLOOKUP($B$1,dictionary!$A$3:$K$51,9,FALSE)*Q12</f>
        <v>#DIV/0!</v>
      </c>
      <c r="Y12" t="e">
        <f>VLOOKUP($B$1,dictionary!$A$3:$K$51,10,FALSE)*Q12</f>
        <v>#DIV/0!</v>
      </c>
      <c r="Z12" t="e">
        <f>VLOOKUP($B$1,dictionary!$A$3:$K$51,11,FALSE)*Q12</f>
        <v>#DIV/0!</v>
      </c>
      <c r="AA12" t="e">
        <f t="shared" si="2"/>
        <v>#DIV/0!</v>
      </c>
      <c r="AB12" t="e">
        <f t="shared" si="11"/>
        <v>#DIV/0!</v>
      </c>
      <c r="AC12" t="e">
        <f t="shared" si="12"/>
        <v>#DIV/0!</v>
      </c>
      <c r="AD12" t="e">
        <f t="shared" si="3"/>
        <v>#DIV/0!</v>
      </c>
      <c r="AE12" t="e">
        <f t="shared" si="13"/>
        <v>#DIV/0!</v>
      </c>
      <c r="AF12" t="e">
        <f t="shared" si="14"/>
        <v>#DIV/0!</v>
      </c>
      <c r="AG12" t="e">
        <f t="shared" si="15"/>
        <v>#DIV/0!</v>
      </c>
      <c r="AH12" t="e">
        <f t="shared" si="16"/>
        <v>#DIV/0!</v>
      </c>
      <c r="AI12" t="e">
        <f t="shared" si="17"/>
        <v>#DIV/0!</v>
      </c>
      <c r="AJ12" t="e">
        <f t="shared" si="18"/>
        <v>#DIV/0!</v>
      </c>
      <c r="AK12" t="e">
        <f t="shared" si="19"/>
        <v>#DIV/0!</v>
      </c>
      <c r="AL12" t="e">
        <f t="shared" si="20"/>
        <v>#DIV/0!</v>
      </c>
    </row>
    <row r="13" spans="1:51" x14ac:dyDescent="0.2">
      <c r="A13">
        <v>2030</v>
      </c>
      <c r="B13">
        <v>5</v>
      </c>
      <c r="C13">
        <f t="shared" si="21"/>
        <v>0</v>
      </c>
      <c r="D13">
        <f t="shared" si="23"/>
        <v>0</v>
      </c>
      <c r="E13">
        <f t="shared" si="4"/>
        <v>0</v>
      </c>
      <c r="F13">
        <f t="shared" si="5"/>
        <v>0</v>
      </c>
      <c r="G13" s="9" t="e">
        <f t="shared" si="6"/>
        <v>#DIV/0!</v>
      </c>
      <c r="H13" s="9" t="e">
        <f t="shared" si="6"/>
        <v>#DIV/0!</v>
      </c>
      <c r="I13" s="9" t="e">
        <f t="shared" si="6"/>
        <v>#DIV/0!</v>
      </c>
      <c r="J13" s="9" t="e">
        <f t="shared" si="7"/>
        <v>#DIV/0!</v>
      </c>
      <c r="K13" s="9" t="e">
        <f t="shared" si="8"/>
        <v>#DIV/0!</v>
      </c>
      <c r="L13" s="9" t="e">
        <f t="shared" si="9"/>
        <v>#DIV/0!</v>
      </c>
      <c r="M13" t="e">
        <f t="shared" si="0"/>
        <v>#DIV/0!</v>
      </c>
      <c r="N13">
        <f t="shared" si="10"/>
        <v>0</v>
      </c>
      <c r="O13" t="e">
        <f t="shared" si="24"/>
        <v>#DIV/0!</v>
      </c>
      <c r="P13" t="e">
        <f t="shared" si="22"/>
        <v>#DIV/0!</v>
      </c>
      <c r="Q13" s="9" t="e">
        <f t="shared" si="1"/>
        <v>#DIV/0!</v>
      </c>
      <c r="R13" t="e">
        <f>VLOOKUP($B$1,dictionary!$A$3:$K$51,3,FALSE)*Q13</f>
        <v>#DIV/0!</v>
      </c>
      <c r="S13" t="e">
        <f>VLOOKUP($B$1,dictionary!$A$3:$K$51,4,FALSE)*Q13</f>
        <v>#DIV/0!</v>
      </c>
      <c r="T13" t="e">
        <f>VLOOKUP($B$1,dictionary!$A$3:$K$51,5,FALSE)*Q13</f>
        <v>#DIV/0!</v>
      </c>
      <c r="U13" t="e">
        <f>VLOOKUP($B$1,dictionary!$A$3:$K$51,6,FALSE)*Q13</f>
        <v>#DIV/0!</v>
      </c>
      <c r="V13" t="e">
        <f>VLOOKUP($B$1,dictionary!$A$3:$K$51,7,FALSE)*Q13</f>
        <v>#DIV/0!</v>
      </c>
      <c r="W13" t="e">
        <f>VLOOKUP($B$1,dictionary!$A$3:$K$51,8,FALSE)*Q13</f>
        <v>#DIV/0!</v>
      </c>
      <c r="X13" t="e">
        <f>VLOOKUP($B$1,dictionary!$A$3:$K$51,9,FALSE)*Q13</f>
        <v>#DIV/0!</v>
      </c>
      <c r="Y13" t="e">
        <f>VLOOKUP($B$1,dictionary!$A$3:$K$51,10,FALSE)*Q13</f>
        <v>#DIV/0!</v>
      </c>
      <c r="Z13" t="e">
        <f>VLOOKUP($B$1,dictionary!$A$3:$K$51,11,FALSE)*Q13</f>
        <v>#DIV/0!</v>
      </c>
      <c r="AA13" t="e">
        <f t="shared" si="2"/>
        <v>#DIV/0!</v>
      </c>
      <c r="AB13" t="e">
        <f t="shared" si="11"/>
        <v>#DIV/0!</v>
      </c>
      <c r="AC13" t="e">
        <f t="shared" si="12"/>
        <v>#DIV/0!</v>
      </c>
      <c r="AD13" t="e">
        <f t="shared" si="3"/>
        <v>#DIV/0!</v>
      </c>
      <c r="AE13" t="e">
        <f t="shared" si="13"/>
        <v>#DIV/0!</v>
      </c>
      <c r="AF13" t="e">
        <f t="shared" si="14"/>
        <v>#DIV/0!</v>
      </c>
      <c r="AG13" t="e">
        <f t="shared" si="15"/>
        <v>#DIV/0!</v>
      </c>
      <c r="AH13" t="e">
        <f t="shared" si="16"/>
        <v>#DIV/0!</v>
      </c>
      <c r="AI13" t="e">
        <f t="shared" si="17"/>
        <v>#DIV/0!</v>
      </c>
      <c r="AJ13" t="e">
        <f t="shared" si="18"/>
        <v>#DIV/0!</v>
      </c>
      <c r="AK13" t="e">
        <f t="shared" si="19"/>
        <v>#DIV/0!</v>
      </c>
      <c r="AL13" t="e">
        <f t="shared" si="20"/>
        <v>#DIV/0!</v>
      </c>
    </row>
    <row r="14" spans="1:51" x14ac:dyDescent="0.2">
      <c r="A14">
        <v>2031</v>
      </c>
      <c r="B14">
        <v>6</v>
      </c>
      <c r="C14">
        <f t="shared" si="21"/>
        <v>0</v>
      </c>
      <c r="D14">
        <f t="shared" si="23"/>
        <v>0</v>
      </c>
      <c r="E14">
        <f t="shared" si="4"/>
        <v>0</v>
      </c>
      <c r="F14">
        <f t="shared" si="5"/>
        <v>0</v>
      </c>
      <c r="G14" s="9" t="e">
        <f t="shared" si="6"/>
        <v>#DIV/0!</v>
      </c>
      <c r="H14" s="9" t="e">
        <f t="shared" si="6"/>
        <v>#DIV/0!</v>
      </c>
      <c r="I14" s="9" t="e">
        <f t="shared" si="6"/>
        <v>#DIV/0!</v>
      </c>
      <c r="J14" s="9" t="e">
        <f t="shared" si="7"/>
        <v>#DIV/0!</v>
      </c>
      <c r="K14" s="9" t="e">
        <f t="shared" si="8"/>
        <v>#DIV/0!</v>
      </c>
      <c r="L14" s="9" t="e">
        <f t="shared" si="9"/>
        <v>#DIV/0!</v>
      </c>
      <c r="M14" t="e">
        <f t="shared" si="0"/>
        <v>#DIV/0!</v>
      </c>
      <c r="N14">
        <f t="shared" si="10"/>
        <v>0</v>
      </c>
      <c r="O14" t="e">
        <f t="shared" si="24"/>
        <v>#DIV/0!</v>
      </c>
      <c r="P14" t="e">
        <f t="shared" si="22"/>
        <v>#DIV/0!</v>
      </c>
      <c r="Q14" s="9" t="e">
        <f t="shared" si="1"/>
        <v>#DIV/0!</v>
      </c>
      <c r="R14" t="e">
        <f>VLOOKUP($B$1,dictionary!$A$3:$K$51,3,FALSE)*Q14</f>
        <v>#DIV/0!</v>
      </c>
      <c r="S14" t="e">
        <f>VLOOKUP($B$1,dictionary!$A$3:$K$51,4,FALSE)*Q14</f>
        <v>#DIV/0!</v>
      </c>
      <c r="T14" t="e">
        <f>VLOOKUP($B$1,dictionary!$A$3:$K$51,5,FALSE)*Q14</f>
        <v>#DIV/0!</v>
      </c>
      <c r="U14" t="e">
        <f>VLOOKUP($B$1,dictionary!$A$3:$K$51,6,FALSE)*Q14</f>
        <v>#DIV/0!</v>
      </c>
      <c r="V14" t="e">
        <f>VLOOKUP($B$1,dictionary!$A$3:$K$51,7,FALSE)*Q14</f>
        <v>#DIV/0!</v>
      </c>
      <c r="W14" t="e">
        <f>VLOOKUP($B$1,dictionary!$A$3:$K$51,8,FALSE)*Q14</f>
        <v>#DIV/0!</v>
      </c>
      <c r="X14" t="e">
        <f>VLOOKUP($B$1,dictionary!$A$3:$K$51,9,FALSE)*Q14</f>
        <v>#DIV/0!</v>
      </c>
      <c r="Y14" t="e">
        <f>VLOOKUP($B$1,dictionary!$A$3:$K$51,10,FALSE)*Q14</f>
        <v>#DIV/0!</v>
      </c>
      <c r="Z14" t="e">
        <f>VLOOKUP($B$1,dictionary!$A$3:$K$51,11,FALSE)*Q14</f>
        <v>#DIV/0!</v>
      </c>
      <c r="AA14" t="e">
        <f t="shared" si="2"/>
        <v>#DIV/0!</v>
      </c>
      <c r="AB14" t="e">
        <f t="shared" si="11"/>
        <v>#DIV/0!</v>
      </c>
      <c r="AC14" t="e">
        <f t="shared" si="12"/>
        <v>#DIV/0!</v>
      </c>
      <c r="AD14" t="e">
        <f t="shared" si="3"/>
        <v>#DIV/0!</v>
      </c>
      <c r="AE14" t="e">
        <f t="shared" si="13"/>
        <v>#DIV/0!</v>
      </c>
      <c r="AF14" t="e">
        <f t="shared" si="14"/>
        <v>#DIV/0!</v>
      </c>
      <c r="AG14" t="e">
        <f t="shared" si="15"/>
        <v>#DIV/0!</v>
      </c>
      <c r="AH14" t="e">
        <f t="shared" si="16"/>
        <v>#DIV/0!</v>
      </c>
      <c r="AI14" t="e">
        <f t="shared" si="17"/>
        <v>#DIV/0!</v>
      </c>
      <c r="AJ14" t="e">
        <f t="shared" si="18"/>
        <v>#DIV/0!</v>
      </c>
      <c r="AK14" t="e">
        <f t="shared" si="19"/>
        <v>#DIV/0!</v>
      </c>
      <c r="AL14" t="e">
        <f t="shared" si="20"/>
        <v>#DIV/0!</v>
      </c>
    </row>
    <row r="15" spans="1:51" x14ac:dyDescent="0.2">
      <c r="A15">
        <v>2032</v>
      </c>
      <c r="B15">
        <v>7</v>
      </c>
      <c r="C15">
        <f t="shared" si="21"/>
        <v>0</v>
      </c>
      <c r="D15">
        <f t="shared" si="23"/>
        <v>0</v>
      </c>
      <c r="E15">
        <f t="shared" si="4"/>
        <v>0</v>
      </c>
      <c r="F15">
        <f t="shared" si="5"/>
        <v>0</v>
      </c>
      <c r="G15" s="9" t="e">
        <f t="shared" si="6"/>
        <v>#DIV/0!</v>
      </c>
      <c r="H15" s="9" t="e">
        <f t="shared" si="6"/>
        <v>#DIV/0!</v>
      </c>
      <c r="I15" s="9" t="e">
        <f t="shared" si="6"/>
        <v>#DIV/0!</v>
      </c>
      <c r="J15" s="9" t="e">
        <f t="shared" si="7"/>
        <v>#DIV/0!</v>
      </c>
      <c r="K15" s="9" t="e">
        <f t="shared" si="8"/>
        <v>#DIV/0!</v>
      </c>
      <c r="L15" s="9" t="e">
        <f t="shared" si="9"/>
        <v>#DIV/0!</v>
      </c>
      <c r="M15" t="e">
        <f t="shared" si="0"/>
        <v>#DIV/0!</v>
      </c>
      <c r="N15">
        <f t="shared" si="10"/>
        <v>0</v>
      </c>
      <c r="O15" t="e">
        <f t="shared" si="24"/>
        <v>#DIV/0!</v>
      </c>
      <c r="P15" t="e">
        <f>IF($I$3=0,0,M15/(1+EXP(-$I$3*(B15-$J$3)))-M15/(1+EXP($I$3*$J$3)))</f>
        <v>#DIV/0!</v>
      </c>
      <c r="Q15" s="9" t="e">
        <f t="shared" si="1"/>
        <v>#DIV/0!</v>
      </c>
      <c r="R15" t="e">
        <f>VLOOKUP($B$1,dictionary!$A$3:$K$51,3,FALSE)*Q15</f>
        <v>#DIV/0!</v>
      </c>
      <c r="S15" t="e">
        <f>VLOOKUP($B$1,dictionary!$A$3:$K$51,4,FALSE)*Q15</f>
        <v>#DIV/0!</v>
      </c>
      <c r="T15" t="e">
        <f>VLOOKUP($B$1,dictionary!$A$3:$K$51,5,FALSE)*Q15</f>
        <v>#DIV/0!</v>
      </c>
      <c r="U15" t="e">
        <f>VLOOKUP($B$1,dictionary!$A$3:$K$51,6,FALSE)*Q15</f>
        <v>#DIV/0!</v>
      </c>
      <c r="V15" t="e">
        <f>VLOOKUP($B$1,dictionary!$A$3:$K$51,7,FALSE)*Q15</f>
        <v>#DIV/0!</v>
      </c>
      <c r="W15" t="e">
        <f>VLOOKUP($B$1,dictionary!$A$3:$K$51,8,FALSE)*Q15</f>
        <v>#DIV/0!</v>
      </c>
      <c r="X15" t="e">
        <f>VLOOKUP($B$1,dictionary!$A$3:$K$51,9,FALSE)*Q15</f>
        <v>#DIV/0!</v>
      </c>
      <c r="Y15" t="e">
        <f>VLOOKUP($B$1,dictionary!$A$3:$K$51,10,FALSE)*Q15</f>
        <v>#DIV/0!</v>
      </c>
      <c r="Z15" t="e">
        <f>VLOOKUP($B$1,dictionary!$A$3:$K$51,11,FALSE)*Q15</f>
        <v>#DIV/0!</v>
      </c>
      <c r="AA15" t="e">
        <f t="shared" si="2"/>
        <v>#DIV/0!</v>
      </c>
      <c r="AB15" t="e">
        <f t="shared" si="11"/>
        <v>#DIV/0!</v>
      </c>
      <c r="AC15" t="e">
        <f t="shared" si="12"/>
        <v>#DIV/0!</v>
      </c>
      <c r="AD15" t="e">
        <f t="shared" si="3"/>
        <v>#DIV/0!</v>
      </c>
      <c r="AE15" t="e">
        <f t="shared" si="13"/>
        <v>#DIV/0!</v>
      </c>
      <c r="AF15" t="e">
        <f t="shared" si="14"/>
        <v>#DIV/0!</v>
      </c>
      <c r="AG15" t="e">
        <f t="shared" si="15"/>
        <v>#DIV/0!</v>
      </c>
      <c r="AH15" t="e">
        <f t="shared" si="16"/>
        <v>#DIV/0!</v>
      </c>
      <c r="AI15" t="e">
        <f t="shared" si="17"/>
        <v>#DIV/0!</v>
      </c>
      <c r="AJ15" t="e">
        <f t="shared" si="18"/>
        <v>#DIV/0!</v>
      </c>
      <c r="AK15" t="e">
        <f t="shared" si="19"/>
        <v>#DIV/0!</v>
      </c>
      <c r="AL15" t="e">
        <f t="shared" si="20"/>
        <v>#DIV/0!</v>
      </c>
    </row>
    <row r="16" spans="1:51" x14ac:dyDescent="0.2">
      <c r="A16">
        <v>2033</v>
      </c>
      <c r="B16">
        <v>8</v>
      </c>
      <c r="C16">
        <f t="shared" si="21"/>
        <v>0</v>
      </c>
      <c r="D16">
        <f t="shared" si="23"/>
        <v>0</v>
      </c>
      <c r="E16">
        <f t="shared" si="4"/>
        <v>0</v>
      </c>
      <c r="F16">
        <f t="shared" si="5"/>
        <v>0</v>
      </c>
      <c r="G16" s="9" t="e">
        <f t="shared" si="6"/>
        <v>#DIV/0!</v>
      </c>
      <c r="H16" s="9" t="e">
        <f t="shared" si="6"/>
        <v>#DIV/0!</v>
      </c>
      <c r="I16" s="9" t="e">
        <f t="shared" si="6"/>
        <v>#DIV/0!</v>
      </c>
      <c r="J16" s="9" t="e">
        <f t="shared" si="7"/>
        <v>#DIV/0!</v>
      </c>
      <c r="K16" s="9" t="e">
        <f t="shared" si="8"/>
        <v>#DIV/0!</v>
      </c>
      <c r="L16" s="9" t="e">
        <f t="shared" si="9"/>
        <v>#DIV/0!</v>
      </c>
      <c r="M16" t="e">
        <f t="shared" si="0"/>
        <v>#DIV/0!</v>
      </c>
      <c r="N16">
        <f t="shared" si="10"/>
        <v>0</v>
      </c>
      <c r="O16" t="e">
        <f t="shared" si="24"/>
        <v>#DIV/0!</v>
      </c>
      <c r="P16" t="e">
        <f t="shared" si="22"/>
        <v>#DIV/0!</v>
      </c>
      <c r="Q16" s="9" t="e">
        <f t="shared" si="1"/>
        <v>#DIV/0!</v>
      </c>
      <c r="R16" t="e">
        <f>VLOOKUP($B$1,dictionary!$A$3:$K$51,3,FALSE)*Q16</f>
        <v>#DIV/0!</v>
      </c>
      <c r="S16" t="e">
        <f>VLOOKUP($B$1,dictionary!$A$3:$K$51,4,FALSE)*Q16</f>
        <v>#DIV/0!</v>
      </c>
      <c r="T16" t="e">
        <f>VLOOKUP($B$1,dictionary!$A$3:$K$51,5,FALSE)*Q16</f>
        <v>#DIV/0!</v>
      </c>
      <c r="U16" t="e">
        <f>VLOOKUP($B$1,dictionary!$A$3:$K$51,6,FALSE)*Q16</f>
        <v>#DIV/0!</v>
      </c>
      <c r="V16" t="e">
        <f>VLOOKUP($B$1,dictionary!$A$3:$K$51,7,FALSE)*Q16</f>
        <v>#DIV/0!</v>
      </c>
      <c r="W16" t="e">
        <f>VLOOKUP($B$1,dictionary!$A$3:$K$51,8,FALSE)*Q16</f>
        <v>#DIV/0!</v>
      </c>
      <c r="X16" t="e">
        <f>VLOOKUP($B$1,dictionary!$A$3:$K$51,9,FALSE)*Q16</f>
        <v>#DIV/0!</v>
      </c>
      <c r="Y16" t="e">
        <f>VLOOKUP($B$1,dictionary!$A$3:$K$51,10,FALSE)*Q16</f>
        <v>#DIV/0!</v>
      </c>
      <c r="Z16" t="e">
        <f>VLOOKUP($B$1,dictionary!$A$3:$K$51,11,FALSE)*Q16</f>
        <v>#DIV/0!</v>
      </c>
      <c r="AA16" t="e">
        <f t="shared" si="2"/>
        <v>#DIV/0!</v>
      </c>
      <c r="AB16" t="e">
        <f t="shared" si="11"/>
        <v>#DIV/0!</v>
      </c>
      <c r="AC16" t="e">
        <f t="shared" si="12"/>
        <v>#DIV/0!</v>
      </c>
      <c r="AD16" t="e">
        <f t="shared" si="3"/>
        <v>#DIV/0!</v>
      </c>
      <c r="AE16" t="e">
        <f t="shared" si="13"/>
        <v>#DIV/0!</v>
      </c>
      <c r="AF16" t="e">
        <f t="shared" si="14"/>
        <v>#DIV/0!</v>
      </c>
      <c r="AG16" t="e">
        <f t="shared" si="15"/>
        <v>#DIV/0!</v>
      </c>
      <c r="AH16" t="e">
        <f t="shared" si="16"/>
        <v>#DIV/0!</v>
      </c>
      <c r="AI16" t="e">
        <f t="shared" si="17"/>
        <v>#DIV/0!</v>
      </c>
      <c r="AJ16" t="e">
        <f t="shared" si="18"/>
        <v>#DIV/0!</v>
      </c>
      <c r="AK16" t="e">
        <f t="shared" si="19"/>
        <v>#DIV/0!</v>
      </c>
      <c r="AL16" t="e">
        <f t="shared" si="20"/>
        <v>#DIV/0!</v>
      </c>
    </row>
    <row r="17" spans="1:38" x14ac:dyDescent="0.2">
      <c r="A17">
        <v>2034</v>
      </c>
      <c r="B17">
        <v>9</v>
      </c>
      <c r="C17">
        <f t="shared" si="21"/>
        <v>0</v>
      </c>
      <c r="D17">
        <f t="shared" si="23"/>
        <v>0</v>
      </c>
      <c r="E17">
        <f t="shared" si="4"/>
        <v>0</v>
      </c>
      <c r="F17">
        <f t="shared" si="5"/>
        <v>0</v>
      </c>
      <c r="G17" s="9" t="e">
        <f t="shared" si="6"/>
        <v>#DIV/0!</v>
      </c>
      <c r="H17" s="9" t="e">
        <f t="shared" si="6"/>
        <v>#DIV/0!</v>
      </c>
      <c r="I17" s="9" t="e">
        <f t="shared" si="6"/>
        <v>#DIV/0!</v>
      </c>
      <c r="J17" s="9" t="e">
        <f t="shared" si="7"/>
        <v>#DIV/0!</v>
      </c>
      <c r="K17" s="9" t="e">
        <f t="shared" si="8"/>
        <v>#DIV/0!</v>
      </c>
      <c r="L17" s="9" t="e">
        <f t="shared" si="9"/>
        <v>#DIV/0!</v>
      </c>
      <c r="M17" t="e">
        <f t="shared" si="0"/>
        <v>#DIV/0!</v>
      </c>
      <c r="N17">
        <f t="shared" si="10"/>
        <v>0</v>
      </c>
      <c r="O17" t="e">
        <f t="shared" si="24"/>
        <v>#DIV/0!</v>
      </c>
      <c r="P17" t="e">
        <f t="shared" si="22"/>
        <v>#DIV/0!</v>
      </c>
      <c r="Q17" s="9" t="e">
        <f t="shared" si="1"/>
        <v>#DIV/0!</v>
      </c>
      <c r="R17" t="e">
        <f>VLOOKUP($B$1,dictionary!$A$3:$K$51,3,FALSE)*Q17</f>
        <v>#DIV/0!</v>
      </c>
      <c r="S17" t="e">
        <f>VLOOKUP($B$1,dictionary!$A$3:$K$51,4,FALSE)*Q17</f>
        <v>#DIV/0!</v>
      </c>
      <c r="T17" t="e">
        <f>VLOOKUP($B$1,dictionary!$A$3:$K$51,5,FALSE)*Q17</f>
        <v>#DIV/0!</v>
      </c>
      <c r="U17" t="e">
        <f>VLOOKUP($B$1,dictionary!$A$3:$K$51,6,FALSE)*Q17</f>
        <v>#DIV/0!</v>
      </c>
      <c r="V17" t="e">
        <f>VLOOKUP($B$1,dictionary!$A$3:$K$51,7,FALSE)*Q17</f>
        <v>#DIV/0!</v>
      </c>
      <c r="W17" t="e">
        <f>VLOOKUP($B$1,dictionary!$A$3:$K$51,8,FALSE)*Q17</f>
        <v>#DIV/0!</v>
      </c>
      <c r="X17" t="e">
        <f>VLOOKUP($B$1,dictionary!$A$3:$K$51,9,FALSE)*Q17</f>
        <v>#DIV/0!</v>
      </c>
      <c r="Y17" t="e">
        <f>VLOOKUP($B$1,dictionary!$A$3:$K$51,10,FALSE)*Q17</f>
        <v>#DIV/0!</v>
      </c>
      <c r="Z17" t="e">
        <f>VLOOKUP($B$1,dictionary!$A$3:$K$51,11,FALSE)*Q17</f>
        <v>#DIV/0!</v>
      </c>
      <c r="AA17" t="e">
        <f t="shared" si="2"/>
        <v>#DIV/0!</v>
      </c>
      <c r="AB17" t="e">
        <f t="shared" si="11"/>
        <v>#DIV/0!</v>
      </c>
      <c r="AC17" t="e">
        <f t="shared" si="12"/>
        <v>#DIV/0!</v>
      </c>
      <c r="AD17" t="e">
        <f t="shared" si="3"/>
        <v>#DIV/0!</v>
      </c>
      <c r="AE17" t="e">
        <f t="shared" si="13"/>
        <v>#DIV/0!</v>
      </c>
      <c r="AF17" t="e">
        <f t="shared" si="14"/>
        <v>#DIV/0!</v>
      </c>
      <c r="AG17" t="e">
        <f t="shared" si="15"/>
        <v>#DIV/0!</v>
      </c>
      <c r="AH17" t="e">
        <f t="shared" si="16"/>
        <v>#DIV/0!</v>
      </c>
      <c r="AI17" t="e">
        <f t="shared" si="17"/>
        <v>#DIV/0!</v>
      </c>
      <c r="AJ17" t="e">
        <f t="shared" si="18"/>
        <v>#DIV/0!</v>
      </c>
      <c r="AK17" t="e">
        <f t="shared" si="19"/>
        <v>#DIV/0!</v>
      </c>
      <c r="AL17" t="e">
        <f t="shared" si="20"/>
        <v>#DIV/0!</v>
      </c>
    </row>
    <row r="18" spans="1:38" x14ac:dyDescent="0.2">
      <c r="A18">
        <v>2035</v>
      </c>
      <c r="B18">
        <v>10</v>
      </c>
      <c r="C18">
        <f t="shared" si="21"/>
        <v>0</v>
      </c>
      <c r="D18">
        <f t="shared" si="23"/>
        <v>0</v>
      </c>
      <c r="E18">
        <f t="shared" si="4"/>
        <v>0</v>
      </c>
      <c r="F18">
        <f t="shared" si="5"/>
        <v>0</v>
      </c>
      <c r="G18" s="9" t="e">
        <f t="shared" si="6"/>
        <v>#DIV/0!</v>
      </c>
      <c r="H18" s="9" t="e">
        <f t="shared" si="6"/>
        <v>#DIV/0!</v>
      </c>
      <c r="I18" s="9" t="e">
        <f t="shared" si="6"/>
        <v>#DIV/0!</v>
      </c>
      <c r="J18" s="9" t="e">
        <f t="shared" si="7"/>
        <v>#DIV/0!</v>
      </c>
      <c r="K18" s="9" t="e">
        <f t="shared" si="8"/>
        <v>#DIV/0!</v>
      </c>
      <c r="L18" s="9" t="e">
        <f t="shared" si="9"/>
        <v>#DIV/0!</v>
      </c>
      <c r="M18" t="e">
        <f t="shared" si="0"/>
        <v>#DIV/0!</v>
      </c>
      <c r="N18">
        <f t="shared" si="10"/>
        <v>0</v>
      </c>
      <c r="O18" t="e">
        <f t="shared" si="24"/>
        <v>#DIV/0!</v>
      </c>
      <c r="P18" t="e">
        <f t="shared" si="22"/>
        <v>#DIV/0!</v>
      </c>
      <c r="Q18" s="9" t="e">
        <f t="shared" si="1"/>
        <v>#DIV/0!</v>
      </c>
      <c r="R18" t="e">
        <f>VLOOKUP($B$1,dictionary!$A$3:$K$51,3,FALSE)*Q18</f>
        <v>#DIV/0!</v>
      </c>
      <c r="S18" t="e">
        <f>VLOOKUP($B$1,dictionary!$A$3:$K$51,4,FALSE)*Q18</f>
        <v>#DIV/0!</v>
      </c>
      <c r="T18" t="e">
        <f>VLOOKUP($B$1,dictionary!$A$3:$K$51,5,FALSE)*Q18</f>
        <v>#DIV/0!</v>
      </c>
      <c r="U18" t="e">
        <f>VLOOKUP($B$1,dictionary!$A$3:$K$51,6,FALSE)*Q18</f>
        <v>#DIV/0!</v>
      </c>
      <c r="V18" t="e">
        <f>VLOOKUP($B$1,dictionary!$A$3:$K$51,7,FALSE)*Q18</f>
        <v>#DIV/0!</v>
      </c>
      <c r="W18" t="e">
        <f>VLOOKUP($B$1,dictionary!$A$3:$K$51,8,FALSE)*Q18</f>
        <v>#DIV/0!</v>
      </c>
      <c r="X18" t="e">
        <f>VLOOKUP($B$1,dictionary!$A$3:$K$51,9,FALSE)*Q18</f>
        <v>#DIV/0!</v>
      </c>
      <c r="Y18" t="e">
        <f>VLOOKUP($B$1,dictionary!$A$3:$K$51,10,FALSE)*Q18</f>
        <v>#DIV/0!</v>
      </c>
      <c r="Z18" t="e">
        <f>VLOOKUP($B$1,dictionary!$A$3:$K$51,11,FALSE)*Q18</f>
        <v>#DIV/0!</v>
      </c>
      <c r="AA18" t="e">
        <f t="shared" si="2"/>
        <v>#DIV/0!</v>
      </c>
      <c r="AB18" t="e">
        <f t="shared" si="11"/>
        <v>#DIV/0!</v>
      </c>
      <c r="AC18" t="e">
        <f t="shared" si="12"/>
        <v>#DIV/0!</v>
      </c>
      <c r="AD18" t="e">
        <f t="shared" si="3"/>
        <v>#DIV/0!</v>
      </c>
      <c r="AE18" t="e">
        <f t="shared" si="13"/>
        <v>#DIV/0!</v>
      </c>
      <c r="AF18" t="e">
        <f t="shared" si="14"/>
        <v>#DIV/0!</v>
      </c>
      <c r="AG18" t="e">
        <f t="shared" si="15"/>
        <v>#DIV/0!</v>
      </c>
      <c r="AH18" t="e">
        <f t="shared" si="16"/>
        <v>#DIV/0!</v>
      </c>
      <c r="AI18" t="e">
        <f t="shared" si="17"/>
        <v>#DIV/0!</v>
      </c>
      <c r="AJ18" t="e">
        <f t="shared" si="18"/>
        <v>#DIV/0!</v>
      </c>
      <c r="AK18" t="e">
        <f t="shared" si="19"/>
        <v>#DIV/0!</v>
      </c>
      <c r="AL18" t="e">
        <f t="shared" si="20"/>
        <v>#DIV/0!</v>
      </c>
    </row>
    <row r="19" spans="1:38" x14ac:dyDescent="0.2">
      <c r="A19">
        <v>2036</v>
      </c>
      <c r="B19">
        <v>11</v>
      </c>
      <c r="C19">
        <f t="shared" si="21"/>
        <v>0</v>
      </c>
      <c r="D19">
        <f t="shared" si="23"/>
        <v>0</v>
      </c>
      <c r="E19">
        <f t="shared" si="4"/>
        <v>0</v>
      </c>
      <c r="F19">
        <f t="shared" si="5"/>
        <v>0</v>
      </c>
      <c r="G19" s="9" t="e">
        <f t="shared" si="6"/>
        <v>#DIV/0!</v>
      </c>
      <c r="H19" s="9" t="e">
        <f t="shared" si="6"/>
        <v>#DIV/0!</v>
      </c>
      <c r="I19" s="9" t="e">
        <f t="shared" si="6"/>
        <v>#DIV/0!</v>
      </c>
      <c r="J19" s="9" t="e">
        <f t="shared" si="7"/>
        <v>#DIV/0!</v>
      </c>
      <c r="K19" s="9" t="e">
        <f t="shared" si="8"/>
        <v>#DIV/0!</v>
      </c>
      <c r="L19" s="9" t="e">
        <f t="shared" si="9"/>
        <v>#DIV/0!</v>
      </c>
      <c r="M19" t="e">
        <f t="shared" si="0"/>
        <v>#DIV/0!</v>
      </c>
      <c r="N19">
        <f t="shared" si="10"/>
        <v>0</v>
      </c>
      <c r="O19" t="e">
        <f t="shared" si="24"/>
        <v>#DIV/0!</v>
      </c>
      <c r="P19" t="e">
        <f t="shared" si="22"/>
        <v>#DIV/0!</v>
      </c>
      <c r="Q19" s="9" t="e">
        <f t="shared" si="1"/>
        <v>#DIV/0!</v>
      </c>
      <c r="R19" t="e">
        <f>VLOOKUP($B$1,dictionary!$A$3:$K$51,3,FALSE)*Q19</f>
        <v>#DIV/0!</v>
      </c>
      <c r="S19" t="e">
        <f>VLOOKUP($B$1,dictionary!$A$3:$K$51,4,FALSE)*Q19</f>
        <v>#DIV/0!</v>
      </c>
      <c r="T19" t="e">
        <f>VLOOKUP($B$1,dictionary!$A$3:$K$51,5,FALSE)*Q19</f>
        <v>#DIV/0!</v>
      </c>
      <c r="U19" t="e">
        <f>VLOOKUP($B$1,dictionary!$A$3:$K$51,6,FALSE)*Q19</f>
        <v>#DIV/0!</v>
      </c>
      <c r="V19" t="e">
        <f>VLOOKUP($B$1,dictionary!$A$3:$K$51,7,FALSE)*Q19</f>
        <v>#DIV/0!</v>
      </c>
      <c r="W19" t="e">
        <f>VLOOKUP($B$1,dictionary!$A$3:$K$51,8,FALSE)*Q19</f>
        <v>#DIV/0!</v>
      </c>
      <c r="X19" t="e">
        <f>VLOOKUP($B$1,dictionary!$A$3:$K$51,9,FALSE)*Q19</f>
        <v>#DIV/0!</v>
      </c>
      <c r="Y19" t="e">
        <f>VLOOKUP($B$1,dictionary!$A$3:$K$51,10,FALSE)*Q19</f>
        <v>#DIV/0!</v>
      </c>
      <c r="Z19" t="e">
        <f>VLOOKUP($B$1,dictionary!$A$3:$K$51,11,FALSE)*Q19</f>
        <v>#DIV/0!</v>
      </c>
      <c r="AA19" t="e">
        <f t="shared" si="2"/>
        <v>#DIV/0!</v>
      </c>
      <c r="AB19" t="e">
        <f t="shared" si="11"/>
        <v>#DIV/0!</v>
      </c>
      <c r="AC19" t="e">
        <f t="shared" si="12"/>
        <v>#DIV/0!</v>
      </c>
      <c r="AD19" t="e">
        <f t="shared" si="3"/>
        <v>#DIV/0!</v>
      </c>
      <c r="AE19" t="e">
        <f t="shared" si="13"/>
        <v>#DIV/0!</v>
      </c>
      <c r="AF19" t="e">
        <f t="shared" si="14"/>
        <v>#DIV/0!</v>
      </c>
      <c r="AG19" t="e">
        <f t="shared" si="15"/>
        <v>#DIV/0!</v>
      </c>
      <c r="AH19" t="e">
        <f t="shared" si="16"/>
        <v>#DIV/0!</v>
      </c>
      <c r="AI19" t="e">
        <f t="shared" si="17"/>
        <v>#DIV/0!</v>
      </c>
      <c r="AJ19" t="e">
        <f t="shared" si="18"/>
        <v>#DIV/0!</v>
      </c>
      <c r="AK19" t="e">
        <f t="shared" si="19"/>
        <v>#DIV/0!</v>
      </c>
      <c r="AL19" t="e">
        <f t="shared" si="20"/>
        <v>#DIV/0!</v>
      </c>
    </row>
    <row r="20" spans="1:38" x14ac:dyDescent="0.2">
      <c r="A20">
        <v>2037</v>
      </c>
      <c r="B20">
        <v>12</v>
      </c>
      <c r="C20">
        <f t="shared" si="21"/>
        <v>0</v>
      </c>
      <c r="D20">
        <f t="shared" si="23"/>
        <v>0</v>
      </c>
      <c r="E20">
        <f t="shared" si="4"/>
        <v>0</v>
      </c>
      <c r="F20">
        <f t="shared" si="5"/>
        <v>0</v>
      </c>
      <c r="G20" s="9" t="e">
        <f t="shared" si="6"/>
        <v>#DIV/0!</v>
      </c>
      <c r="H20" s="9" t="e">
        <f t="shared" si="6"/>
        <v>#DIV/0!</v>
      </c>
      <c r="I20" s="9" t="e">
        <f t="shared" si="6"/>
        <v>#DIV/0!</v>
      </c>
      <c r="J20" s="9" t="e">
        <f t="shared" si="7"/>
        <v>#DIV/0!</v>
      </c>
      <c r="K20" s="9" t="e">
        <f t="shared" si="8"/>
        <v>#DIV/0!</v>
      </c>
      <c r="L20" s="9" t="e">
        <f t="shared" si="9"/>
        <v>#DIV/0!</v>
      </c>
      <c r="M20" t="e">
        <f t="shared" si="0"/>
        <v>#DIV/0!</v>
      </c>
      <c r="N20">
        <f t="shared" si="10"/>
        <v>0</v>
      </c>
      <c r="O20" t="e">
        <f t="shared" si="24"/>
        <v>#DIV/0!</v>
      </c>
      <c r="P20" t="e">
        <f>IF($I$3=0,0,M20/(1+EXP(-$I$3*(B20-$J$3)))-M20/(1+EXP($I$3*$J$3)))</f>
        <v>#DIV/0!</v>
      </c>
      <c r="Q20" s="9" t="e">
        <f t="shared" si="1"/>
        <v>#DIV/0!</v>
      </c>
      <c r="R20" t="e">
        <f>VLOOKUP($B$1,dictionary!$A$3:$K$51,3,FALSE)*Q20</f>
        <v>#DIV/0!</v>
      </c>
      <c r="S20" t="e">
        <f>VLOOKUP($B$1,dictionary!$A$3:$K$51,4,FALSE)*Q20</f>
        <v>#DIV/0!</v>
      </c>
      <c r="T20" t="e">
        <f>VLOOKUP($B$1,dictionary!$A$3:$K$51,5,FALSE)*Q20</f>
        <v>#DIV/0!</v>
      </c>
      <c r="U20" t="e">
        <f>VLOOKUP($B$1,dictionary!$A$3:$K$51,6,FALSE)*Q20</f>
        <v>#DIV/0!</v>
      </c>
      <c r="V20" t="e">
        <f>VLOOKUP($B$1,dictionary!$A$3:$K$51,7,FALSE)*Q20</f>
        <v>#DIV/0!</v>
      </c>
      <c r="W20" t="e">
        <f>VLOOKUP($B$1,dictionary!$A$3:$K$51,8,FALSE)*Q20</f>
        <v>#DIV/0!</v>
      </c>
      <c r="X20" t="e">
        <f>VLOOKUP($B$1,dictionary!$A$3:$K$51,9,FALSE)*Q20</f>
        <v>#DIV/0!</v>
      </c>
      <c r="Y20" t="e">
        <f>VLOOKUP($B$1,dictionary!$A$3:$K$51,10,FALSE)*Q20</f>
        <v>#DIV/0!</v>
      </c>
      <c r="Z20" t="e">
        <f>VLOOKUP($B$1,dictionary!$A$3:$K$51,11,FALSE)*Q20</f>
        <v>#DIV/0!</v>
      </c>
      <c r="AA20" t="e">
        <f t="shared" si="2"/>
        <v>#DIV/0!</v>
      </c>
      <c r="AB20" t="e">
        <f t="shared" si="11"/>
        <v>#DIV/0!</v>
      </c>
      <c r="AC20" t="e">
        <f t="shared" si="12"/>
        <v>#DIV/0!</v>
      </c>
      <c r="AD20" t="e">
        <f t="shared" si="3"/>
        <v>#DIV/0!</v>
      </c>
      <c r="AE20" t="e">
        <f t="shared" si="13"/>
        <v>#DIV/0!</v>
      </c>
      <c r="AF20" t="e">
        <f t="shared" si="14"/>
        <v>#DIV/0!</v>
      </c>
      <c r="AG20" t="e">
        <f t="shared" si="15"/>
        <v>#DIV/0!</v>
      </c>
      <c r="AH20" t="e">
        <f t="shared" si="16"/>
        <v>#DIV/0!</v>
      </c>
      <c r="AI20" t="e">
        <f t="shared" si="17"/>
        <v>#DIV/0!</v>
      </c>
      <c r="AJ20" t="e">
        <f t="shared" si="18"/>
        <v>#DIV/0!</v>
      </c>
      <c r="AK20" t="e">
        <f t="shared" si="19"/>
        <v>#DIV/0!</v>
      </c>
      <c r="AL20" t="e">
        <f t="shared" si="20"/>
        <v>#DIV/0!</v>
      </c>
    </row>
    <row r="21" spans="1:38" x14ac:dyDescent="0.2">
      <c r="A21">
        <v>2038</v>
      </c>
      <c r="B21">
        <v>13</v>
      </c>
      <c r="C21">
        <f t="shared" si="21"/>
        <v>0</v>
      </c>
      <c r="D21">
        <f t="shared" si="23"/>
        <v>0</v>
      </c>
      <c r="E21">
        <f t="shared" si="4"/>
        <v>0</v>
      </c>
      <c r="F21">
        <f t="shared" si="5"/>
        <v>0</v>
      </c>
      <c r="G21" s="9" t="e">
        <f t="shared" si="6"/>
        <v>#DIV/0!</v>
      </c>
      <c r="H21" s="9" t="e">
        <f t="shared" si="6"/>
        <v>#DIV/0!</v>
      </c>
      <c r="I21" s="9" t="e">
        <f t="shared" si="6"/>
        <v>#DIV/0!</v>
      </c>
      <c r="J21" s="9" t="e">
        <f t="shared" si="7"/>
        <v>#DIV/0!</v>
      </c>
      <c r="K21" s="9" t="e">
        <f t="shared" si="8"/>
        <v>#DIV/0!</v>
      </c>
      <c r="L21" s="9" t="e">
        <f t="shared" si="9"/>
        <v>#DIV/0!</v>
      </c>
      <c r="M21" t="e">
        <f t="shared" si="0"/>
        <v>#DIV/0!</v>
      </c>
      <c r="N21">
        <f t="shared" si="10"/>
        <v>0</v>
      </c>
      <c r="O21" t="e">
        <f t="shared" si="24"/>
        <v>#DIV/0!</v>
      </c>
      <c r="P21" t="e">
        <f t="shared" si="22"/>
        <v>#DIV/0!</v>
      </c>
      <c r="Q21" s="9" t="e">
        <f t="shared" si="1"/>
        <v>#DIV/0!</v>
      </c>
      <c r="R21" t="e">
        <f>VLOOKUP($B$1,dictionary!$A$3:$K$51,3,FALSE)*Q21</f>
        <v>#DIV/0!</v>
      </c>
      <c r="S21" t="e">
        <f>VLOOKUP($B$1,dictionary!$A$3:$K$51,4,FALSE)*Q21</f>
        <v>#DIV/0!</v>
      </c>
      <c r="T21" t="e">
        <f>VLOOKUP($B$1,dictionary!$A$3:$K$51,5,FALSE)*Q21</f>
        <v>#DIV/0!</v>
      </c>
      <c r="U21" t="e">
        <f>VLOOKUP($B$1,dictionary!$A$3:$K$51,6,FALSE)*Q21</f>
        <v>#DIV/0!</v>
      </c>
      <c r="V21" t="e">
        <f>VLOOKUP($B$1,dictionary!$A$3:$K$51,7,FALSE)*Q21</f>
        <v>#DIV/0!</v>
      </c>
      <c r="W21" t="e">
        <f>VLOOKUP($B$1,dictionary!$A$3:$K$51,8,FALSE)*Q21</f>
        <v>#DIV/0!</v>
      </c>
      <c r="X21" t="e">
        <f>VLOOKUP($B$1,dictionary!$A$3:$K$51,9,FALSE)*Q21</f>
        <v>#DIV/0!</v>
      </c>
      <c r="Y21" t="e">
        <f>VLOOKUP($B$1,dictionary!$A$3:$K$51,10,FALSE)*Q21</f>
        <v>#DIV/0!</v>
      </c>
      <c r="Z21" t="e">
        <f>VLOOKUP($B$1,dictionary!$A$3:$K$51,11,FALSE)*Q21</f>
        <v>#DIV/0!</v>
      </c>
      <c r="AA21" t="e">
        <f t="shared" si="2"/>
        <v>#DIV/0!</v>
      </c>
      <c r="AB21" t="e">
        <f t="shared" si="11"/>
        <v>#DIV/0!</v>
      </c>
      <c r="AC21" t="e">
        <f t="shared" si="12"/>
        <v>#DIV/0!</v>
      </c>
      <c r="AD21" t="e">
        <f t="shared" si="3"/>
        <v>#DIV/0!</v>
      </c>
      <c r="AE21" t="e">
        <f t="shared" si="13"/>
        <v>#DIV/0!</v>
      </c>
      <c r="AF21" t="e">
        <f t="shared" si="14"/>
        <v>#DIV/0!</v>
      </c>
      <c r="AG21" t="e">
        <f t="shared" si="15"/>
        <v>#DIV/0!</v>
      </c>
      <c r="AH21" t="e">
        <f t="shared" si="16"/>
        <v>#DIV/0!</v>
      </c>
      <c r="AI21" t="e">
        <f t="shared" si="17"/>
        <v>#DIV/0!</v>
      </c>
      <c r="AJ21" t="e">
        <f t="shared" si="18"/>
        <v>#DIV/0!</v>
      </c>
      <c r="AK21" t="e">
        <f t="shared" si="19"/>
        <v>#DIV/0!</v>
      </c>
      <c r="AL21" t="e">
        <f t="shared" si="20"/>
        <v>#DIV/0!</v>
      </c>
    </row>
    <row r="22" spans="1:38" x14ac:dyDescent="0.2">
      <c r="A22">
        <v>2039</v>
      </c>
      <c r="B22">
        <v>14</v>
      </c>
      <c r="C22">
        <f t="shared" si="21"/>
        <v>0</v>
      </c>
      <c r="D22">
        <f t="shared" si="23"/>
        <v>0</v>
      </c>
      <c r="E22">
        <f t="shared" si="4"/>
        <v>0</v>
      </c>
      <c r="F22">
        <f t="shared" si="5"/>
        <v>0</v>
      </c>
      <c r="G22" s="9" t="e">
        <f t="shared" si="6"/>
        <v>#DIV/0!</v>
      </c>
      <c r="H22" s="9" t="e">
        <f t="shared" si="6"/>
        <v>#DIV/0!</v>
      </c>
      <c r="I22" s="9" t="e">
        <f t="shared" si="6"/>
        <v>#DIV/0!</v>
      </c>
      <c r="J22" s="9" t="e">
        <f t="shared" si="7"/>
        <v>#DIV/0!</v>
      </c>
      <c r="K22" s="9" t="e">
        <f t="shared" si="8"/>
        <v>#DIV/0!</v>
      </c>
      <c r="L22" s="9" t="e">
        <f t="shared" si="9"/>
        <v>#DIV/0!</v>
      </c>
      <c r="M22" t="e">
        <f t="shared" si="0"/>
        <v>#DIV/0!</v>
      </c>
      <c r="N22">
        <f t="shared" si="10"/>
        <v>0</v>
      </c>
      <c r="O22" t="e">
        <f t="shared" si="24"/>
        <v>#DIV/0!</v>
      </c>
      <c r="P22" t="e">
        <f t="shared" si="22"/>
        <v>#DIV/0!</v>
      </c>
      <c r="Q22" s="9" t="e">
        <f t="shared" si="1"/>
        <v>#DIV/0!</v>
      </c>
      <c r="R22" t="e">
        <f>VLOOKUP($B$1,dictionary!$A$3:$K$51,3,FALSE)*Q22</f>
        <v>#DIV/0!</v>
      </c>
      <c r="S22" t="e">
        <f>VLOOKUP($B$1,dictionary!$A$3:$K$51,4,FALSE)*Q22</f>
        <v>#DIV/0!</v>
      </c>
      <c r="T22" t="e">
        <f>VLOOKUP($B$1,dictionary!$A$3:$K$51,5,FALSE)*Q22</f>
        <v>#DIV/0!</v>
      </c>
      <c r="U22" t="e">
        <f>VLOOKUP($B$1,dictionary!$A$3:$K$51,6,FALSE)*Q22</f>
        <v>#DIV/0!</v>
      </c>
      <c r="V22" t="e">
        <f>VLOOKUP($B$1,dictionary!$A$3:$K$51,7,FALSE)*Q22</f>
        <v>#DIV/0!</v>
      </c>
      <c r="W22" t="e">
        <f>VLOOKUP($B$1,dictionary!$A$3:$K$51,8,FALSE)*Q22</f>
        <v>#DIV/0!</v>
      </c>
      <c r="X22" t="e">
        <f>VLOOKUP($B$1,dictionary!$A$3:$K$51,9,FALSE)*Q22</f>
        <v>#DIV/0!</v>
      </c>
      <c r="Y22" t="e">
        <f>VLOOKUP($B$1,dictionary!$A$3:$K$51,10,FALSE)*Q22</f>
        <v>#DIV/0!</v>
      </c>
      <c r="Z22" t="e">
        <f>VLOOKUP($B$1,dictionary!$A$3:$K$51,11,FALSE)*Q22</f>
        <v>#DIV/0!</v>
      </c>
      <c r="AA22" t="e">
        <f t="shared" si="2"/>
        <v>#DIV/0!</v>
      </c>
      <c r="AB22" t="e">
        <f t="shared" si="11"/>
        <v>#DIV/0!</v>
      </c>
      <c r="AC22" t="e">
        <f t="shared" si="12"/>
        <v>#DIV/0!</v>
      </c>
      <c r="AD22" t="e">
        <f t="shared" si="3"/>
        <v>#DIV/0!</v>
      </c>
      <c r="AE22" t="e">
        <f t="shared" si="13"/>
        <v>#DIV/0!</v>
      </c>
      <c r="AF22" t="e">
        <f t="shared" si="14"/>
        <v>#DIV/0!</v>
      </c>
      <c r="AG22" t="e">
        <f t="shared" si="15"/>
        <v>#DIV/0!</v>
      </c>
      <c r="AH22" t="e">
        <f t="shared" si="16"/>
        <v>#DIV/0!</v>
      </c>
      <c r="AI22" t="e">
        <f t="shared" si="17"/>
        <v>#DIV/0!</v>
      </c>
      <c r="AJ22" t="e">
        <f t="shared" si="18"/>
        <v>#DIV/0!</v>
      </c>
      <c r="AK22" t="e">
        <f t="shared" si="19"/>
        <v>#DIV/0!</v>
      </c>
      <c r="AL22" t="e">
        <f t="shared" si="20"/>
        <v>#DIV/0!</v>
      </c>
    </row>
    <row r="23" spans="1:38" x14ac:dyDescent="0.2">
      <c r="A23">
        <v>2040</v>
      </c>
      <c r="B23">
        <v>15</v>
      </c>
      <c r="C23">
        <f t="shared" si="21"/>
        <v>0</v>
      </c>
      <c r="D23">
        <f t="shared" si="23"/>
        <v>0</v>
      </c>
      <c r="E23">
        <f t="shared" si="4"/>
        <v>0</v>
      </c>
      <c r="F23">
        <f t="shared" si="5"/>
        <v>0</v>
      </c>
      <c r="G23" s="9" t="e">
        <f t="shared" si="6"/>
        <v>#DIV/0!</v>
      </c>
      <c r="H23" s="9" t="e">
        <f t="shared" si="6"/>
        <v>#DIV/0!</v>
      </c>
      <c r="I23" s="9" t="e">
        <f t="shared" si="6"/>
        <v>#DIV/0!</v>
      </c>
      <c r="J23" s="9" t="e">
        <f t="shared" si="7"/>
        <v>#DIV/0!</v>
      </c>
      <c r="K23" s="9" t="e">
        <f t="shared" si="8"/>
        <v>#DIV/0!</v>
      </c>
      <c r="L23" s="9" t="e">
        <f t="shared" si="9"/>
        <v>#DIV/0!</v>
      </c>
      <c r="M23" t="e">
        <f t="shared" si="0"/>
        <v>#DIV/0!</v>
      </c>
      <c r="N23">
        <f t="shared" si="10"/>
        <v>0</v>
      </c>
      <c r="O23" t="e">
        <f t="shared" si="24"/>
        <v>#DIV/0!</v>
      </c>
      <c r="P23" t="e">
        <f t="shared" si="22"/>
        <v>#DIV/0!</v>
      </c>
      <c r="Q23" s="9" t="e">
        <f t="shared" si="1"/>
        <v>#DIV/0!</v>
      </c>
      <c r="R23" t="e">
        <f>VLOOKUP($B$1,dictionary!$A$3:$K$51,3,FALSE)*Q23</f>
        <v>#DIV/0!</v>
      </c>
      <c r="S23" t="e">
        <f>VLOOKUP($B$1,dictionary!$A$3:$K$51,4,FALSE)*Q23</f>
        <v>#DIV/0!</v>
      </c>
      <c r="T23" t="e">
        <f>VLOOKUP($B$1,dictionary!$A$3:$K$51,5,FALSE)*Q23</f>
        <v>#DIV/0!</v>
      </c>
      <c r="U23" t="e">
        <f>VLOOKUP($B$1,dictionary!$A$3:$K$51,6,FALSE)*Q23</f>
        <v>#DIV/0!</v>
      </c>
      <c r="V23" t="e">
        <f>VLOOKUP($B$1,dictionary!$A$3:$K$51,7,FALSE)*Q23</f>
        <v>#DIV/0!</v>
      </c>
      <c r="W23" t="e">
        <f>VLOOKUP($B$1,dictionary!$A$3:$K$51,8,FALSE)*Q23</f>
        <v>#DIV/0!</v>
      </c>
      <c r="X23" t="e">
        <f>VLOOKUP($B$1,dictionary!$A$3:$K$51,9,FALSE)*Q23</f>
        <v>#DIV/0!</v>
      </c>
      <c r="Y23" t="e">
        <f>VLOOKUP($B$1,dictionary!$A$3:$K$51,10,FALSE)*Q23</f>
        <v>#DIV/0!</v>
      </c>
      <c r="Z23" t="e">
        <f>VLOOKUP($B$1,dictionary!$A$3:$K$51,11,FALSE)*Q23</f>
        <v>#DIV/0!</v>
      </c>
      <c r="AA23" t="e">
        <f t="shared" si="2"/>
        <v>#DIV/0!</v>
      </c>
      <c r="AB23" t="e">
        <f t="shared" si="11"/>
        <v>#DIV/0!</v>
      </c>
      <c r="AC23" t="e">
        <f t="shared" si="12"/>
        <v>#DIV/0!</v>
      </c>
      <c r="AD23" t="e">
        <f t="shared" si="3"/>
        <v>#DIV/0!</v>
      </c>
      <c r="AE23" t="e">
        <f t="shared" si="13"/>
        <v>#DIV/0!</v>
      </c>
      <c r="AF23" t="e">
        <f t="shared" si="14"/>
        <v>#DIV/0!</v>
      </c>
      <c r="AG23" t="e">
        <f t="shared" si="15"/>
        <v>#DIV/0!</v>
      </c>
      <c r="AH23" t="e">
        <f t="shared" si="16"/>
        <v>#DIV/0!</v>
      </c>
      <c r="AI23" t="e">
        <f t="shared" si="17"/>
        <v>#DIV/0!</v>
      </c>
      <c r="AJ23" t="e">
        <f t="shared" si="18"/>
        <v>#DIV/0!</v>
      </c>
      <c r="AK23" t="e">
        <f t="shared" si="19"/>
        <v>#DIV/0!</v>
      </c>
      <c r="AL23" t="e">
        <f t="shared" si="20"/>
        <v>#DIV/0!</v>
      </c>
    </row>
    <row r="24" spans="1:38" x14ac:dyDescent="0.2">
      <c r="A24">
        <v>2041</v>
      </c>
      <c r="B24">
        <v>16</v>
      </c>
      <c r="C24">
        <f t="shared" si="21"/>
        <v>0</v>
      </c>
      <c r="D24">
        <f t="shared" si="23"/>
        <v>0</v>
      </c>
      <c r="E24">
        <f t="shared" si="4"/>
        <v>0</v>
      </c>
      <c r="F24">
        <f t="shared" si="5"/>
        <v>0</v>
      </c>
      <c r="G24" s="9" t="e">
        <f t="shared" si="6"/>
        <v>#DIV/0!</v>
      </c>
      <c r="H24" s="9" t="e">
        <f t="shared" si="6"/>
        <v>#DIV/0!</v>
      </c>
      <c r="I24" s="9" t="e">
        <f t="shared" si="6"/>
        <v>#DIV/0!</v>
      </c>
      <c r="J24" s="9" t="e">
        <f t="shared" si="7"/>
        <v>#DIV/0!</v>
      </c>
      <c r="K24" s="9" t="e">
        <f t="shared" si="8"/>
        <v>#DIV/0!</v>
      </c>
      <c r="L24" s="9" t="e">
        <f t="shared" si="9"/>
        <v>#DIV/0!</v>
      </c>
      <c r="M24" t="e">
        <f t="shared" si="0"/>
        <v>#DIV/0!</v>
      </c>
      <c r="N24">
        <f t="shared" si="10"/>
        <v>0</v>
      </c>
      <c r="O24" t="e">
        <f t="shared" si="24"/>
        <v>#DIV/0!</v>
      </c>
      <c r="P24" t="e">
        <f t="shared" si="22"/>
        <v>#DIV/0!</v>
      </c>
      <c r="Q24" s="9" t="e">
        <f t="shared" si="1"/>
        <v>#DIV/0!</v>
      </c>
      <c r="R24" t="e">
        <f>VLOOKUP($B$1,dictionary!$A$3:$K$51,3,FALSE)*Q24</f>
        <v>#DIV/0!</v>
      </c>
      <c r="S24" t="e">
        <f>VLOOKUP($B$1,dictionary!$A$3:$K$51,4,FALSE)*Q24</f>
        <v>#DIV/0!</v>
      </c>
      <c r="T24" t="e">
        <f>VLOOKUP($B$1,dictionary!$A$3:$K$51,5,FALSE)*Q24</f>
        <v>#DIV/0!</v>
      </c>
      <c r="U24" t="e">
        <f>VLOOKUP($B$1,dictionary!$A$3:$K$51,6,FALSE)*Q24</f>
        <v>#DIV/0!</v>
      </c>
      <c r="V24" t="e">
        <f>VLOOKUP($B$1,dictionary!$A$3:$K$51,7,FALSE)*Q24</f>
        <v>#DIV/0!</v>
      </c>
      <c r="W24" t="e">
        <f>VLOOKUP($B$1,dictionary!$A$3:$K$51,8,FALSE)*Q24</f>
        <v>#DIV/0!</v>
      </c>
      <c r="X24" t="e">
        <f>VLOOKUP($B$1,dictionary!$A$3:$K$51,9,FALSE)*Q24</f>
        <v>#DIV/0!</v>
      </c>
      <c r="Y24" t="e">
        <f>VLOOKUP($B$1,dictionary!$A$3:$K$51,10,FALSE)*Q24</f>
        <v>#DIV/0!</v>
      </c>
      <c r="Z24" t="e">
        <f>VLOOKUP($B$1,dictionary!$A$3:$K$51,11,FALSE)*Q24</f>
        <v>#DIV/0!</v>
      </c>
      <c r="AA24" t="e">
        <f t="shared" si="2"/>
        <v>#DIV/0!</v>
      </c>
      <c r="AB24" t="e">
        <f t="shared" si="11"/>
        <v>#DIV/0!</v>
      </c>
      <c r="AC24" t="e">
        <f t="shared" si="12"/>
        <v>#DIV/0!</v>
      </c>
      <c r="AD24" t="e">
        <f t="shared" si="3"/>
        <v>#DIV/0!</v>
      </c>
      <c r="AE24" t="e">
        <f t="shared" si="13"/>
        <v>#DIV/0!</v>
      </c>
      <c r="AF24" t="e">
        <f t="shared" si="14"/>
        <v>#DIV/0!</v>
      </c>
      <c r="AG24" t="e">
        <f t="shared" si="15"/>
        <v>#DIV/0!</v>
      </c>
      <c r="AH24" t="e">
        <f t="shared" si="16"/>
        <v>#DIV/0!</v>
      </c>
      <c r="AI24" t="e">
        <f t="shared" si="17"/>
        <v>#DIV/0!</v>
      </c>
      <c r="AJ24" t="e">
        <f t="shared" si="18"/>
        <v>#DIV/0!</v>
      </c>
      <c r="AK24" t="e">
        <f t="shared" si="19"/>
        <v>#DIV/0!</v>
      </c>
      <c r="AL24" t="e">
        <f t="shared" si="20"/>
        <v>#DIV/0!</v>
      </c>
    </row>
    <row r="25" spans="1:38" x14ac:dyDescent="0.2">
      <c r="A25">
        <v>2042</v>
      </c>
      <c r="B25">
        <v>17</v>
      </c>
      <c r="C25">
        <f t="shared" si="21"/>
        <v>0</v>
      </c>
      <c r="D25">
        <f t="shared" si="23"/>
        <v>0</v>
      </c>
      <c r="E25">
        <f t="shared" si="4"/>
        <v>0</v>
      </c>
      <c r="F25">
        <f t="shared" si="5"/>
        <v>0</v>
      </c>
      <c r="G25" s="9" t="e">
        <f t="shared" si="6"/>
        <v>#DIV/0!</v>
      </c>
      <c r="H25" s="9" t="e">
        <f t="shared" si="6"/>
        <v>#DIV/0!</v>
      </c>
      <c r="I25" s="9" t="e">
        <f t="shared" si="6"/>
        <v>#DIV/0!</v>
      </c>
      <c r="J25" s="9" t="e">
        <f t="shared" si="7"/>
        <v>#DIV/0!</v>
      </c>
      <c r="K25" s="9" t="e">
        <f t="shared" si="8"/>
        <v>#DIV/0!</v>
      </c>
      <c r="L25" s="9" t="e">
        <f t="shared" si="9"/>
        <v>#DIV/0!</v>
      </c>
      <c r="M25" t="e">
        <f t="shared" si="0"/>
        <v>#DIV/0!</v>
      </c>
      <c r="N25">
        <f t="shared" si="10"/>
        <v>0</v>
      </c>
      <c r="O25" t="e">
        <f t="shared" si="24"/>
        <v>#DIV/0!</v>
      </c>
      <c r="P25" t="e">
        <f>IF($I$3=0,0,M25/(1+EXP(-$I$3*(B25-$J$3)))-M25/(1+EXP($I$3*$J$3)))</f>
        <v>#DIV/0!</v>
      </c>
      <c r="Q25" s="9" t="e">
        <f t="shared" si="1"/>
        <v>#DIV/0!</v>
      </c>
      <c r="R25" t="e">
        <f>VLOOKUP($B$1,dictionary!$A$3:$K$51,3,FALSE)*Q25</f>
        <v>#DIV/0!</v>
      </c>
      <c r="S25" t="e">
        <f>VLOOKUP($B$1,dictionary!$A$3:$K$51,4,FALSE)*Q25</f>
        <v>#DIV/0!</v>
      </c>
      <c r="T25" t="e">
        <f>VLOOKUP($B$1,dictionary!$A$3:$K$51,5,FALSE)*Q25</f>
        <v>#DIV/0!</v>
      </c>
      <c r="U25" t="e">
        <f>VLOOKUP($B$1,dictionary!$A$3:$K$51,6,FALSE)*Q25</f>
        <v>#DIV/0!</v>
      </c>
      <c r="V25" t="e">
        <f>VLOOKUP($B$1,dictionary!$A$3:$K$51,7,FALSE)*Q25</f>
        <v>#DIV/0!</v>
      </c>
      <c r="W25" t="e">
        <f>VLOOKUP($B$1,dictionary!$A$3:$K$51,8,FALSE)*Q25</f>
        <v>#DIV/0!</v>
      </c>
      <c r="X25" t="e">
        <f>VLOOKUP($B$1,dictionary!$A$3:$K$51,9,FALSE)*Q25</f>
        <v>#DIV/0!</v>
      </c>
      <c r="Y25" t="e">
        <f>VLOOKUP($B$1,dictionary!$A$3:$K$51,10,FALSE)*Q25</f>
        <v>#DIV/0!</v>
      </c>
      <c r="Z25" t="e">
        <f>VLOOKUP($B$1,dictionary!$A$3:$K$51,11,FALSE)*Q25</f>
        <v>#DIV/0!</v>
      </c>
      <c r="AA25" t="e">
        <f t="shared" si="2"/>
        <v>#DIV/0!</v>
      </c>
      <c r="AB25" t="e">
        <f t="shared" si="11"/>
        <v>#DIV/0!</v>
      </c>
      <c r="AC25" t="e">
        <f t="shared" si="12"/>
        <v>#DIV/0!</v>
      </c>
      <c r="AD25" t="e">
        <f t="shared" si="3"/>
        <v>#DIV/0!</v>
      </c>
      <c r="AE25" t="e">
        <f t="shared" si="13"/>
        <v>#DIV/0!</v>
      </c>
      <c r="AF25" t="e">
        <f t="shared" si="14"/>
        <v>#DIV/0!</v>
      </c>
      <c r="AG25" t="e">
        <f t="shared" si="15"/>
        <v>#DIV/0!</v>
      </c>
      <c r="AH25" t="e">
        <f t="shared" si="16"/>
        <v>#DIV/0!</v>
      </c>
      <c r="AI25" t="e">
        <f t="shared" si="17"/>
        <v>#DIV/0!</v>
      </c>
      <c r="AJ25" t="e">
        <f t="shared" si="18"/>
        <v>#DIV/0!</v>
      </c>
      <c r="AK25" t="e">
        <f t="shared" si="19"/>
        <v>#DIV/0!</v>
      </c>
      <c r="AL25" t="e">
        <f t="shared" si="20"/>
        <v>#DIV/0!</v>
      </c>
    </row>
    <row r="26" spans="1:38" x14ac:dyDescent="0.2">
      <c r="A26">
        <v>2043</v>
      </c>
      <c r="B26">
        <v>18</v>
      </c>
      <c r="C26">
        <f t="shared" si="21"/>
        <v>0</v>
      </c>
      <c r="D26">
        <f t="shared" si="23"/>
        <v>0</v>
      </c>
      <c r="E26">
        <f t="shared" si="4"/>
        <v>0</v>
      </c>
      <c r="F26">
        <f t="shared" si="5"/>
        <v>0</v>
      </c>
      <c r="G26" s="9" t="e">
        <f t="shared" si="6"/>
        <v>#DIV/0!</v>
      </c>
      <c r="H26" s="9" t="e">
        <f t="shared" si="6"/>
        <v>#DIV/0!</v>
      </c>
      <c r="I26" s="9" t="e">
        <f t="shared" si="6"/>
        <v>#DIV/0!</v>
      </c>
      <c r="J26" s="9" t="e">
        <f t="shared" si="7"/>
        <v>#DIV/0!</v>
      </c>
      <c r="K26" s="9" t="e">
        <f t="shared" si="8"/>
        <v>#DIV/0!</v>
      </c>
      <c r="L26" s="9" t="e">
        <f t="shared" si="9"/>
        <v>#DIV/0!</v>
      </c>
      <c r="M26" t="e">
        <f t="shared" si="0"/>
        <v>#DIV/0!</v>
      </c>
      <c r="N26">
        <f t="shared" si="10"/>
        <v>0</v>
      </c>
      <c r="O26" t="e">
        <f t="shared" si="24"/>
        <v>#DIV/0!</v>
      </c>
      <c r="P26" t="e">
        <f t="shared" si="22"/>
        <v>#DIV/0!</v>
      </c>
      <c r="Q26" s="9" t="e">
        <f t="shared" si="1"/>
        <v>#DIV/0!</v>
      </c>
      <c r="R26" t="e">
        <f>VLOOKUP($B$1,dictionary!$A$3:$K$51,3,FALSE)*Q26</f>
        <v>#DIV/0!</v>
      </c>
      <c r="S26" t="e">
        <f>VLOOKUP($B$1,dictionary!$A$3:$K$51,4,FALSE)*Q26</f>
        <v>#DIV/0!</v>
      </c>
      <c r="T26" t="e">
        <f>VLOOKUP($B$1,dictionary!$A$3:$K$51,5,FALSE)*Q26</f>
        <v>#DIV/0!</v>
      </c>
      <c r="U26" t="e">
        <f>VLOOKUP($B$1,dictionary!$A$3:$K$51,6,FALSE)*Q26</f>
        <v>#DIV/0!</v>
      </c>
      <c r="V26" t="e">
        <f>VLOOKUP($B$1,dictionary!$A$3:$K$51,7,FALSE)*Q26</f>
        <v>#DIV/0!</v>
      </c>
      <c r="W26" t="e">
        <f>VLOOKUP($B$1,dictionary!$A$3:$K$51,8,FALSE)*Q26</f>
        <v>#DIV/0!</v>
      </c>
      <c r="X26" t="e">
        <f>VLOOKUP($B$1,dictionary!$A$3:$K$51,9,FALSE)*Q26</f>
        <v>#DIV/0!</v>
      </c>
      <c r="Y26" t="e">
        <f>VLOOKUP($B$1,dictionary!$A$3:$K$51,10,FALSE)*Q26</f>
        <v>#DIV/0!</v>
      </c>
      <c r="Z26" t="e">
        <f>VLOOKUP($B$1,dictionary!$A$3:$K$51,11,FALSE)*Q26</f>
        <v>#DIV/0!</v>
      </c>
      <c r="AA26" t="e">
        <f t="shared" si="2"/>
        <v>#DIV/0!</v>
      </c>
      <c r="AB26" t="e">
        <f t="shared" si="11"/>
        <v>#DIV/0!</v>
      </c>
      <c r="AC26" t="e">
        <f t="shared" si="12"/>
        <v>#DIV/0!</v>
      </c>
      <c r="AD26" t="e">
        <f t="shared" si="3"/>
        <v>#DIV/0!</v>
      </c>
      <c r="AE26" t="e">
        <f t="shared" si="13"/>
        <v>#DIV/0!</v>
      </c>
      <c r="AF26" t="e">
        <f t="shared" si="14"/>
        <v>#DIV/0!</v>
      </c>
      <c r="AG26" t="e">
        <f t="shared" si="15"/>
        <v>#DIV/0!</v>
      </c>
      <c r="AH26" t="e">
        <f t="shared" si="16"/>
        <v>#DIV/0!</v>
      </c>
      <c r="AI26" t="e">
        <f t="shared" si="17"/>
        <v>#DIV/0!</v>
      </c>
      <c r="AJ26" t="e">
        <f t="shared" si="18"/>
        <v>#DIV/0!</v>
      </c>
      <c r="AK26" t="e">
        <f t="shared" si="19"/>
        <v>#DIV/0!</v>
      </c>
      <c r="AL26" t="e">
        <f t="shared" si="20"/>
        <v>#DIV/0!</v>
      </c>
    </row>
    <row r="27" spans="1:38" x14ac:dyDescent="0.2">
      <c r="A27">
        <v>2044</v>
      </c>
      <c r="B27">
        <v>19</v>
      </c>
      <c r="C27">
        <f t="shared" si="21"/>
        <v>0</v>
      </c>
      <c r="D27">
        <f t="shared" si="23"/>
        <v>0</v>
      </c>
      <c r="E27">
        <f t="shared" si="4"/>
        <v>0</v>
      </c>
      <c r="F27">
        <f t="shared" si="5"/>
        <v>0</v>
      </c>
      <c r="G27" s="9" t="e">
        <f t="shared" si="6"/>
        <v>#DIV/0!</v>
      </c>
      <c r="H27" s="9" t="e">
        <f t="shared" si="6"/>
        <v>#DIV/0!</v>
      </c>
      <c r="I27" s="9" t="e">
        <f t="shared" si="6"/>
        <v>#DIV/0!</v>
      </c>
      <c r="J27" s="9" t="e">
        <f t="shared" si="7"/>
        <v>#DIV/0!</v>
      </c>
      <c r="K27" s="9" t="e">
        <f t="shared" si="8"/>
        <v>#DIV/0!</v>
      </c>
      <c r="L27" s="9" t="e">
        <f t="shared" si="9"/>
        <v>#DIV/0!</v>
      </c>
      <c r="M27" t="e">
        <f t="shared" si="0"/>
        <v>#DIV/0!</v>
      </c>
      <c r="N27">
        <f t="shared" si="10"/>
        <v>0</v>
      </c>
      <c r="O27" t="e">
        <f t="shared" si="24"/>
        <v>#DIV/0!</v>
      </c>
      <c r="P27" t="e">
        <f t="shared" si="22"/>
        <v>#DIV/0!</v>
      </c>
      <c r="Q27" s="9" t="e">
        <f t="shared" si="1"/>
        <v>#DIV/0!</v>
      </c>
      <c r="R27" t="e">
        <f>VLOOKUP($B$1,dictionary!$A$3:$K$51,3,FALSE)*Q27</f>
        <v>#DIV/0!</v>
      </c>
      <c r="S27" t="e">
        <f>VLOOKUP($B$1,dictionary!$A$3:$K$51,4,FALSE)*Q27</f>
        <v>#DIV/0!</v>
      </c>
      <c r="T27" t="e">
        <f>VLOOKUP($B$1,dictionary!$A$3:$K$51,5,FALSE)*Q27</f>
        <v>#DIV/0!</v>
      </c>
      <c r="U27" t="e">
        <f>VLOOKUP($B$1,dictionary!$A$3:$K$51,6,FALSE)*Q27</f>
        <v>#DIV/0!</v>
      </c>
      <c r="V27" t="e">
        <f>VLOOKUP($B$1,dictionary!$A$3:$K$51,7,FALSE)*Q27</f>
        <v>#DIV/0!</v>
      </c>
      <c r="W27" t="e">
        <f>VLOOKUP($B$1,dictionary!$A$3:$K$51,8,FALSE)*Q27</f>
        <v>#DIV/0!</v>
      </c>
      <c r="X27" t="e">
        <f>VLOOKUP($B$1,dictionary!$A$3:$K$51,9,FALSE)*Q27</f>
        <v>#DIV/0!</v>
      </c>
      <c r="Y27" t="e">
        <f>VLOOKUP($B$1,dictionary!$A$3:$K$51,10,FALSE)*Q27</f>
        <v>#DIV/0!</v>
      </c>
      <c r="Z27" t="e">
        <f>VLOOKUP($B$1,dictionary!$A$3:$K$51,11,FALSE)*Q27</f>
        <v>#DIV/0!</v>
      </c>
      <c r="AA27" t="e">
        <f t="shared" si="2"/>
        <v>#DIV/0!</v>
      </c>
      <c r="AB27" t="e">
        <f t="shared" si="11"/>
        <v>#DIV/0!</v>
      </c>
      <c r="AC27" t="e">
        <f t="shared" si="12"/>
        <v>#DIV/0!</v>
      </c>
      <c r="AD27" t="e">
        <f t="shared" si="3"/>
        <v>#DIV/0!</v>
      </c>
      <c r="AE27" t="e">
        <f t="shared" si="13"/>
        <v>#DIV/0!</v>
      </c>
      <c r="AF27" t="e">
        <f t="shared" si="14"/>
        <v>#DIV/0!</v>
      </c>
      <c r="AG27" t="e">
        <f t="shared" si="15"/>
        <v>#DIV/0!</v>
      </c>
      <c r="AH27" t="e">
        <f t="shared" si="16"/>
        <v>#DIV/0!</v>
      </c>
      <c r="AI27" t="e">
        <f t="shared" si="17"/>
        <v>#DIV/0!</v>
      </c>
      <c r="AJ27" t="e">
        <f t="shared" si="18"/>
        <v>#DIV/0!</v>
      </c>
      <c r="AK27" t="e">
        <f t="shared" si="19"/>
        <v>#DIV/0!</v>
      </c>
      <c r="AL27" t="e">
        <f t="shared" si="20"/>
        <v>#DIV/0!</v>
      </c>
    </row>
    <row r="28" spans="1:38" x14ac:dyDescent="0.2">
      <c r="A28">
        <v>2045</v>
      </c>
      <c r="B28">
        <v>20</v>
      </c>
      <c r="C28">
        <f t="shared" si="21"/>
        <v>0</v>
      </c>
      <c r="D28">
        <f t="shared" si="23"/>
        <v>0</v>
      </c>
      <c r="E28">
        <f t="shared" si="4"/>
        <v>0</v>
      </c>
      <c r="F28">
        <f t="shared" si="5"/>
        <v>0</v>
      </c>
      <c r="G28" s="9" t="e">
        <f t="shared" si="6"/>
        <v>#DIV/0!</v>
      </c>
      <c r="H28" s="9" t="e">
        <f t="shared" si="6"/>
        <v>#DIV/0!</v>
      </c>
      <c r="I28" s="9" t="e">
        <f t="shared" si="6"/>
        <v>#DIV/0!</v>
      </c>
      <c r="J28" s="9" t="e">
        <f t="shared" si="7"/>
        <v>#DIV/0!</v>
      </c>
      <c r="K28" s="9" t="e">
        <f t="shared" si="8"/>
        <v>#DIV/0!</v>
      </c>
      <c r="L28" s="9" t="e">
        <f t="shared" si="9"/>
        <v>#DIV/0!</v>
      </c>
      <c r="M28" t="e">
        <f t="shared" si="0"/>
        <v>#DIV/0!</v>
      </c>
      <c r="N28">
        <f t="shared" si="10"/>
        <v>0</v>
      </c>
      <c r="O28" t="e">
        <f t="shared" si="24"/>
        <v>#DIV/0!</v>
      </c>
      <c r="P28" t="e">
        <f t="shared" si="22"/>
        <v>#DIV/0!</v>
      </c>
      <c r="Q28" s="9" t="e">
        <f t="shared" si="1"/>
        <v>#DIV/0!</v>
      </c>
      <c r="R28" t="e">
        <f>VLOOKUP($B$1,dictionary!$A$3:$K$51,3,FALSE)*Q28</f>
        <v>#DIV/0!</v>
      </c>
      <c r="S28" t="e">
        <f>VLOOKUP($B$1,dictionary!$A$3:$K$51,4,FALSE)*Q28</f>
        <v>#DIV/0!</v>
      </c>
      <c r="T28" t="e">
        <f>VLOOKUP($B$1,dictionary!$A$3:$K$51,5,FALSE)*Q28</f>
        <v>#DIV/0!</v>
      </c>
      <c r="U28" t="e">
        <f>VLOOKUP($B$1,dictionary!$A$3:$K$51,6,FALSE)*Q28</f>
        <v>#DIV/0!</v>
      </c>
      <c r="V28" t="e">
        <f>VLOOKUP($B$1,dictionary!$A$3:$K$51,7,FALSE)*Q28</f>
        <v>#DIV/0!</v>
      </c>
      <c r="W28" t="e">
        <f>VLOOKUP($B$1,dictionary!$A$3:$K$51,8,FALSE)*Q28</f>
        <v>#DIV/0!</v>
      </c>
      <c r="X28" t="e">
        <f>VLOOKUP($B$1,dictionary!$A$3:$K$51,9,FALSE)*Q28</f>
        <v>#DIV/0!</v>
      </c>
      <c r="Y28" t="e">
        <f>VLOOKUP($B$1,dictionary!$A$3:$K$51,10,FALSE)*Q28</f>
        <v>#DIV/0!</v>
      </c>
      <c r="Z28" t="e">
        <f>VLOOKUP($B$1,dictionary!$A$3:$K$51,11,FALSE)*Q28</f>
        <v>#DIV/0!</v>
      </c>
      <c r="AA28" t="e">
        <f t="shared" si="2"/>
        <v>#DIV/0!</v>
      </c>
      <c r="AB28" t="e">
        <f t="shared" si="11"/>
        <v>#DIV/0!</v>
      </c>
      <c r="AC28" t="e">
        <f t="shared" si="12"/>
        <v>#DIV/0!</v>
      </c>
      <c r="AD28" t="e">
        <f t="shared" si="3"/>
        <v>#DIV/0!</v>
      </c>
      <c r="AE28" t="e">
        <f t="shared" si="13"/>
        <v>#DIV/0!</v>
      </c>
      <c r="AF28" t="e">
        <f t="shared" si="14"/>
        <v>#DIV/0!</v>
      </c>
      <c r="AG28" t="e">
        <f t="shared" si="15"/>
        <v>#DIV/0!</v>
      </c>
      <c r="AH28" t="e">
        <f t="shared" si="16"/>
        <v>#DIV/0!</v>
      </c>
      <c r="AI28" t="e">
        <f t="shared" si="17"/>
        <v>#DIV/0!</v>
      </c>
      <c r="AJ28" t="e">
        <f t="shared" si="18"/>
        <v>#DIV/0!</v>
      </c>
      <c r="AK28" t="e">
        <f t="shared" si="19"/>
        <v>#DIV/0!</v>
      </c>
      <c r="AL28" t="e">
        <f t="shared" si="20"/>
        <v>#DIV/0!</v>
      </c>
    </row>
    <row r="29" spans="1:38" x14ac:dyDescent="0.2">
      <c r="A29">
        <v>2046</v>
      </c>
      <c r="B29">
        <v>21</v>
      </c>
      <c r="C29">
        <f t="shared" si="21"/>
        <v>0</v>
      </c>
      <c r="D29">
        <f t="shared" si="23"/>
        <v>0</v>
      </c>
      <c r="E29">
        <f t="shared" si="4"/>
        <v>0</v>
      </c>
      <c r="F29">
        <f t="shared" si="5"/>
        <v>0</v>
      </c>
      <c r="G29" s="9" t="e">
        <f t="shared" si="6"/>
        <v>#DIV/0!</v>
      </c>
      <c r="H29" s="9" t="e">
        <f t="shared" si="6"/>
        <v>#DIV/0!</v>
      </c>
      <c r="I29" s="9" t="e">
        <f t="shared" si="6"/>
        <v>#DIV/0!</v>
      </c>
      <c r="J29" s="9" t="e">
        <f t="shared" si="7"/>
        <v>#DIV/0!</v>
      </c>
      <c r="K29" s="9" t="e">
        <f t="shared" si="8"/>
        <v>#DIV/0!</v>
      </c>
      <c r="L29" s="9" t="e">
        <f t="shared" si="9"/>
        <v>#DIV/0!</v>
      </c>
      <c r="M29" t="e">
        <f t="shared" si="0"/>
        <v>#DIV/0!</v>
      </c>
      <c r="N29">
        <f t="shared" si="10"/>
        <v>0</v>
      </c>
      <c r="O29" t="e">
        <f t="shared" si="24"/>
        <v>#DIV/0!</v>
      </c>
      <c r="P29" t="e">
        <f t="shared" si="22"/>
        <v>#DIV/0!</v>
      </c>
      <c r="Q29" s="9" t="e">
        <f t="shared" si="1"/>
        <v>#DIV/0!</v>
      </c>
      <c r="R29" t="e">
        <f>VLOOKUP($B$1,dictionary!$A$3:$K$51,3,FALSE)*Q29</f>
        <v>#DIV/0!</v>
      </c>
      <c r="S29" t="e">
        <f>VLOOKUP($B$1,dictionary!$A$3:$K$51,4,FALSE)*Q29</f>
        <v>#DIV/0!</v>
      </c>
      <c r="T29" t="e">
        <f>VLOOKUP($B$1,dictionary!$A$3:$K$51,5,FALSE)*Q29</f>
        <v>#DIV/0!</v>
      </c>
      <c r="U29" t="e">
        <f>VLOOKUP($B$1,dictionary!$A$3:$K$51,6,FALSE)*Q29</f>
        <v>#DIV/0!</v>
      </c>
      <c r="V29" t="e">
        <f>VLOOKUP($B$1,dictionary!$A$3:$K$51,7,FALSE)*Q29</f>
        <v>#DIV/0!</v>
      </c>
      <c r="W29" t="e">
        <f>VLOOKUP($B$1,dictionary!$A$3:$K$51,8,FALSE)*Q29</f>
        <v>#DIV/0!</v>
      </c>
      <c r="X29" t="e">
        <f>VLOOKUP($B$1,dictionary!$A$3:$K$51,9,FALSE)*Q29</f>
        <v>#DIV/0!</v>
      </c>
      <c r="Y29" t="e">
        <f>VLOOKUP($B$1,dictionary!$A$3:$K$51,10,FALSE)*Q29</f>
        <v>#DIV/0!</v>
      </c>
      <c r="Z29" t="e">
        <f>VLOOKUP($B$1,dictionary!$A$3:$K$51,11,FALSE)*Q29</f>
        <v>#DIV/0!</v>
      </c>
      <c r="AA29" t="e">
        <f t="shared" si="2"/>
        <v>#DIV/0!</v>
      </c>
      <c r="AB29" t="e">
        <f t="shared" si="11"/>
        <v>#DIV/0!</v>
      </c>
      <c r="AC29" t="e">
        <f t="shared" si="12"/>
        <v>#DIV/0!</v>
      </c>
      <c r="AD29" t="e">
        <f t="shared" si="3"/>
        <v>#DIV/0!</v>
      </c>
      <c r="AE29" t="e">
        <f t="shared" si="13"/>
        <v>#DIV/0!</v>
      </c>
      <c r="AF29" t="e">
        <f t="shared" si="14"/>
        <v>#DIV/0!</v>
      </c>
      <c r="AG29" t="e">
        <f t="shared" si="15"/>
        <v>#DIV/0!</v>
      </c>
      <c r="AH29" t="e">
        <f t="shared" si="16"/>
        <v>#DIV/0!</v>
      </c>
      <c r="AI29" t="e">
        <f t="shared" si="17"/>
        <v>#DIV/0!</v>
      </c>
      <c r="AJ29" t="e">
        <f t="shared" si="18"/>
        <v>#DIV/0!</v>
      </c>
      <c r="AK29" t="e">
        <f t="shared" si="19"/>
        <v>#DIV/0!</v>
      </c>
      <c r="AL29" t="e">
        <f t="shared" si="20"/>
        <v>#DIV/0!</v>
      </c>
    </row>
    <row r="30" spans="1:38" x14ac:dyDescent="0.2">
      <c r="A30">
        <v>2047</v>
      </c>
      <c r="B30">
        <v>22</v>
      </c>
      <c r="C30">
        <f t="shared" si="21"/>
        <v>0</v>
      </c>
      <c r="D30">
        <f t="shared" si="23"/>
        <v>0</v>
      </c>
      <c r="E30">
        <f t="shared" si="4"/>
        <v>0</v>
      </c>
      <c r="F30">
        <f t="shared" si="5"/>
        <v>0</v>
      </c>
      <c r="G30" s="9" t="e">
        <f t="shared" si="6"/>
        <v>#DIV/0!</v>
      </c>
      <c r="H30" s="9" t="e">
        <f t="shared" si="6"/>
        <v>#DIV/0!</v>
      </c>
      <c r="I30" s="9" t="e">
        <f t="shared" si="6"/>
        <v>#DIV/0!</v>
      </c>
      <c r="J30" s="9" t="e">
        <f t="shared" si="7"/>
        <v>#DIV/0!</v>
      </c>
      <c r="K30" s="9" t="e">
        <f t="shared" si="8"/>
        <v>#DIV/0!</v>
      </c>
      <c r="L30" s="9" t="e">
        <f t="shared" si="9"/>
        <v>#DIV/0!</v>
      </c>
      <c r="M30" t="e">
        <f t="shared" si="0"/>
        <v>#DIV/0!</v>
      </c>
      <c r="N30">
        <f t="shared" si="10"/>
        <v>0</v>
      </c>
      <c r="O30" t="e">
        <f t="shared" si="24"/>
        <v>#DIV/0!</v>
      </c>
      <c r="P30" t="e">
        <f t="shared" si="22"/>
        <v>#DIV/0!</v>
      </c>
      <c r="Q30" s="9" t="e">
        <f t="shared" si="1"/>
        <v>#DIV/0!</v>
      </c>
      <c r="R30" t="e">
        <f>VLOOKUP($B$1,dictionary!$A$3:$K$51,3,FALSE)*Q30</f>
        <v>#DIV/0!</v>
      </c>
      <c r="S30" t="e">
        <f>VLOOKUP($B$1,dictionary!$A$3:$K$51,4,FALSE)*Q30</f>
        <v>#DIV/0!</v>
      </c>
      <c r="T30" t="e">
        <f>VLOOKUP($B$1,dictionary!$A$3:$K$51,5,FALSE)*Q30</f>
        <v>#DIV/0!</v>
      </c>
      <c r="U30" t="e">
        <f>VLOOKUP($B$1,dictionary!$A$3:$K$51,6,FALSE)*Q30</f>
        <v>#DIV/0!</v>
      </c>
      <c r="V30" t="e">
        <f>VLOOKUP($B$1,dictionary!$A$3:$K$51,7,FALSE)*Q30</f>
        <v>#DIV/0!</v>
      </c>
      <c r="W30" t="e">
        <f>VLOOKUP($B$1,dictionary!$A$3:$K$51,8,FALSE)*Q30</f>
        <v>#DIV/0!</v>
      </c>
      <c r="X30" t="e">
        <f>VLOOKUP($B$1,dictionary!$A$3:$K$51,9,FALSE)*Q30</f>
        <v>#DIV/0!</v>
      </c>
      <c r="Y30" t="e">
        <f>VLOOKUP($B$1,dictionary!$A$3:$K$51,10,FALSE)*Q30</f>
        <v>#DIV/0!</v>
      </c>
      <c r="Z30" t="e">
        <f>VLOOKUP($B$1,dictionary!$A$3:$K$51,11,FALSE)*Q30</f>
        <v>#DIV/0!</v>
      </c>
      <c r="AA30" t="e">
        <f t="shared" si="2"/>
        <v>#DIV/0!</v>
      </c>
      <c r="AB30" t="e">
        <f t="shared" si="11"/>
        <v>#DIV/0!</v>
      </c>
      <c r="AC30" t="e">
        <f t="shared" si="12"/>
        <v>#DIV/0!</v>
      </c>
      <c r="AD30" t="e">
        <f t="shared" si="3"/>
        <v>#DIV/0!</v>
      </c>
      <c r="AE30" t="e">
        <f t="shared" si="13"/>
        <v>#DIV/0!</v>
      </c>
      <c r="AF30" t="e">
        <f t="shared" si="14"/>
        <v>#DIV/0!</v>
      </c>
      <c r="AG30" t="e">
        <f t="shared" si="15"/>
        <v>#DIV/0!</v>
      </c>
      <c r="AH30" t="e">
        <f t="shared" si="16"/>
        <v>#DIV/0!</v>
      </c>
      <c r="AI30" t="e">
        <f t="shared" si="17"/>
        <v>#DIV/0!</v>
      </c>
      <c r="AJ30" t="e">
        <f t="shared" si="18"/>
        <v>#DIV/0!</v>
      </c>
      <c r="AK30" t="e">
        <f t="shared" si="19"/>
        <v>#DIV/0!</v>
      </c>
      <c r="AL30" t="e">
        <f t="shared" si="20"/>
        <v>#DIV/0!</v>
      </c>
    </row>
    <row r="31" spans="1:38" x14ac:dyDescent="0.2">
      <c r="A31">
        <v>2048</v>
      </c>
      <c r="B31">
        <v>23</v>
      </c>
      <c r="C31">
        <f t="shared" si="21"/>
        <v>0</v>
      </c>
      <c r="D31">
        <f t="shared" si="23"/>
        <v>0</v>
      </c>
      <c r="E31">
        <f t="shared" si="4"/>
        <v>0</v>
      </c>
      <c r="F31">
        <f t="shared" si="5"/>
        <v>0</v>
      </c>
      <c r="G31" s="9" t="e">
        <f t="shared" si="6"/>
        <v>#DIV/0!</v>
      </c>
      <c r="H31" s="9" t="e">
        <f t="shared" si="6"/>
        <v>#DIV/0!</v>
      </c>
      <c r="I31" s="9" t="e">
        <f t="shared" si="6"/>
        <v>#DIV/0!</v>
      </c>
      <c r="J31" s="9" t="e">
        <f t="shared" si="7"/>
        <v>#DIV/0!</v>
      </c>
      <c r="K31" s="9" t="e">
        <f t="shared" si="8"/>
        <v>#DIV/0!</v>
      </c>
      <c r="L31" s="9" t="e">
        <f t="shared" si="9"/>
        <v>#DIV/0!</v>
      </c>
      <c r="M31" t="e">
        <f t="shared" si="0"/>
        <v>#DIV/0!</v>
      </c>
      <c r="N31">
        <f t="shared" si="10"/>
        <v>0</v>
      </c>
      <c r="O31" t="e">
        <f t="shared" si="24"/>
        <v>#DIV/0!</v>
      </c>
      <c r="P31" t="e">
        <f t="shared" si="22"/>
        <v>#DIV/0!</v>
      </c>
      <c r="Q31" s="9" t="e">
        <f t="shared" si="1"/>
        <v>#DIV/0!</v>
      </c>
      <c r="R31" t="e">
        <f>VLOOKUP($B$1,dictionary!$A$3:$K$51,3,FALSE)*Q31</f>
        <v>#DIV/0!</v>
      </c>
      <c r="S31" t="e">
        <f>VLOOKUP($B$1,dictionary!$A$3:$K$51,4,FALSE)*Q31</f>
        <v>#DIV/0!</v>
      </c>
      <c r="T31" t="e">
        <f>VLOOKUP($B$1,dictionary!$A$3:$K$51,5,FALSE)*Q31</f>
        <v>#DIV/0!</v>
      </c>
      <c r="U31" t="e">
        <f>VLOOKUP($B$1,dictionary!$A$3:$K$51,6,FALSE)*Q31</f>
        <v>#DIV/0!</v>
      </c>
      <c r="V31" t="e">
        <f>VLOOKUP($B$1,dictionary!$A$3:$K$51,7,FALSE)*Q31</f>
        <v>#DIV/0!</v>
      </c>
      <c r="W31" t="e">
        <f>VLOOKUP($B$1,dictionary!$A$3:$K$51,8,FALSE)*Q31</f>
        <v>#DIV/0!</v>
      </c>
      <c r="X31" t="e">
        <f>VLOOKUP($B$1,dictionary!$A$3:$K$51,9,FALSE)*Q31</f>
        <v>#DIV/0!</v>
      </c>
      <c r="Y31" t="e">
        <f>VLOOKUP($B$1,dictionary!$A$3:$K$51,10,FALSE)*Q31</f>
        <v>#DIV/0!</v>
      </c>
      <c r="Z31" t="e">
        <f>VLOOKUP($B$1,dictionary!$A$3:$K$51,11,FALSE)*Q31</f>
        <v>#DIV/0!</v>
      </c>
      <c r="AA31" t="e">
        <f t="shared" si="2"/>
        <v>#DIV/0!</v>
      </c>
      <c r="AB31" t="e">
        <f t="shared" si="11"/>
        <v>#DIV/0!</v>
      </c>
      <c r="AC31" t="e">
        <f t="shared" si="12"/>
        <v>#DIV/0!</v>
      </c>
      <c r="AD31" t="e">
        <f t="shared" si="3"/>
        <v>#DIV/0!</v>
      </c>
      <c r="AE31" t="e">
        <f t="shared" si="13"/>
        <v>#DIV/0!</v>
      </c>
      <c r="AF31" t="e">
        <f t="shared" si="14"/>
        <v>#DIV/0!</v>
      </c>
      <c r="AG31" t="e">
        <f t="shared" si="15"/>
        <v>#DIV/0!</v>
      </c>
      <c r="AH31" t="e">
        <f t="shared" si="16"/>
        <v>#DIV/0!</v>
      </c>
      <c r="AI31" t="e">
        <f t="shared" si="17"/>
        <v>#DIV/0!</v>
      </c>
      <c r="AJ31" t="e">
        <f t="shared" si="18"/>
        <v>#DIV/0!</v>
      </c>
      <c r="AK31" t="e">
        <f t="shared" si="19"/>
        <v>#DIV/0!</v>
      </c>
      <c r="AL31" t="e">
        <f t="shared" si="20"/>
        <v>#DIV/0!</v>
      </c>
    </row>
    <row r="32" spans="1:38" x14ac:dyDescent="0.2">
      <c r="A32">
        <v>2049</v>
      </c>
      <c r="B32">
        <v>24</v>
      </c>
      <c r="C32">
        <f t="shared" si="21"/>
        <v>0</v>
      </c>
      <c r="D32">
        <f t="shared" si="23"/>
        <v>0</v>
      </c>
      <c r="E32">
        <f t="shared" si="4"/>
        <v>0</v>
      </c>
      <c r="F32">
        <f t="shared" si="5"/>
        <v>0</v>
      </c>
      <c r="G32" s="9" t="e">
        <f t="shared" si="6"/>
        <v>#DIV/0!</v>
      </c>
      <c r="H32" s="9" t="e">
        <f t="shared" si="6"/>
        <v>#DIV/0!</v>
      </c>
      <c r="I32" s="9" t="e">
        <f t="shared" si="6"/>
        <v>#DIV/0!</v>
      </c>
      <c r="J32" s="9" t="e">
        <f t="shared" si="7"/>
        <v>#DIV/0!</v>
      </c>
      <c r="K32" s="9" t="e">
        <f t="shared" si="8"/>
        <v>#DIV/0!</v>
      </c>
      <c r="L32" s="9" t="e">
        <f t="shared" si="9"/>
        <v>#DIV/0!</v>
      </c>
      <c r="M32" t="e">
        <f t="shared" si="0"/>
        <v>#DIV/0!</v>
      </c>
      <c r="N32">
        <f t="shared" si="10"/>
        <v>0</v>
      </c>
      <c r="O32" t="e">
        <f t="shared" si="24"/>
        <v>#DIV/0!</v>
      </c>
      <c r="P32" t="e">
        <f t="shared" si="22"/>
        <v>#DIV/0!</v>
      </c>
      <c r="Q32" s="9" t="e">
        <f t="shared" si="1"/>
        <v>#DIV/0!</v>
      </c>
      <c r="R32" t="e">
        <f>VLOOKUP($B$1,dictionary!$A$3:$K$51,3,FALSE)*Q32</f>
        <v>#DIV/0!</v>
      </c>
      <c r="S32" t="e">
        <f>VLOOKUP($B$1,dictionary!$A$3:$K$51,4,FALSE)*Q32</f>
        <v>#DIV/0!</v>
      </c>
      <c r="T32" t="e">
        <f>VLOOKUP($B$1,dictionary!$A$3:$K$51,5,FALSE)*Q32</f>
        <v>#DIV/0!</v>
      </c>
      <c r="U32" t="e">
        <f>VLOOKUP($B$1,dictionary!$A$3:$K$51,6,FALSE)*Q32</f>
        <v>#DIV/0!</v>
      </c>
      <c r="V32" t="e">
        <f>VLOOKUP($B$1,dictionary!$A$3:$K$51,7,FALSE)*Q32</f>
        <v>#DIV/0!</v>
      </c>
      <c r="W32" t="e">
        <f>VLOOKUP($B$1,dictionary!$A$3:$K$51,8,FALSE)*Q32</f>
        <v>#DIV/0!</v>
      </c>
      <c r="X32" t="e">
        <f>VLOOKUP($B$1,dictionary!$A$3:$K$51,9,FALSE)*Q32</f>
        <v>#DIV/0!</v>
      </c>
      <c r="Y32" t="e">
        <f>VLOOKUP($B$1,dictionary!$A$3:$K$51,10,FALSE)*Q32</f>
        <v>#DIV/0!</v>
      </c>
      <c r="Z32" t="e">
        <f>VLOOKUP($B$1,dictionary!$A$3:$K$51,11,FALSE)*Q32</f>
        <v>#DIV/0!</v>
      </c>
      <c r="AA32" t="e">
        <f t="shared" si="2"/>
        <v>#DIV/0!</v>
      </c>
      <c r="AB32" t="e">
        <f t="shared" si="11"/>
        <v>#DIV/0!</v>
      </c>
      <c r="AC32" t="e">
        <f t="shared" si="12"/>
        <v>#DIV/0!</v>
      </c>
      <c r="AD32" t="e">
        <f t="shared" si="3"/>
        <v>#DIV/0!</v>
      </c>
      <c r="AE32" t="e">
        <f t="shared" si="13"/>
        <v>#DIV/0!</v>
      </c>
      <c r="AF32" t="e">
        <f t="shared" si="14"/>
        <v>#DIV/0!</v>
      </c>
      <c r="AG32" t="e">
        <f t="shared" si="15"/>
        <v>#DIV/0!</v>
      </c>
      <c r="AH32" t="e">
        <f t="shared" si="16"/>
        <v>#DIV/0!</v>
      </c>
      <c r="AI32" t="e">
        <f t="shared" si="17"/>
        <v>#DIV/0!</v>
      </c>
      <c r="AJ32" t="e">
        <f t="shared" si="18"/>
        <v>#DIV/0!</v>
      </c>
      <c r="AK32" t="e">
        <f t="shared" si="19"/>
        <v>#DIV/0!</v>
      </c>
      <c r="AL32" t="e">
        <f t="shared" si="20"/>
        <v>#DIV/0!</v>
      </c>
    </row>
    <row r="33" spans="1:38" x14ac:dyDescent="0.2">
      <c r="A33">
        <v>2050</v>
      </c>
      <c r="B33">
        <v>25</v>
      </c>
      <c r="C33">
        <f t="shared" si="21"/>
        <v>0</v>
      </c>
      <c r="D33">
        <f t="shared" si="23"/>
        <v>0</v>
      </c>
      <c r="E33">
        <f t="shared" si="4"/>
        <v>0</v>
      </c>
      <c r="F33">
        <f t="shared" si="5"/>
        <v>0</v>
      </c>
      <c r="G33" s="9" t="e">
        <f t="shared" si="6"/>
        <v>#DIV/0!</v>
      </c>
      <c r="H33" s="9" t="e">
        <f t="shared" si="6"/>
        <v>#DIV/0!</v>
      </c>
      <c r="I33" s="9" t="e">
        <f t="shared" si="6"/>
        <v>#DIV/0!</v>
      </c>
      <c r="J33" s="9" t="e">
        <f t="shared" si="7"/>
        <v>#DIV/0!</v>
      </c>
      <c r="K33" s="9" t="e">
        <f t="shared" si="8"/>
        <v>#DIV/0!</v>
      </c>
      <c r="L33" s="9" t="e">
        <f t="shared" si="9"/>
        <v>#DIV/0!</v>
      </c>
      <c r="M33" t="e">
        <f t="shared" si="0"/>
        <v>#DIV/0!</v>
      </c>
      <c r="N33">
        <f t="shared" si="10"/>
        <v>0</v>
      </c>
      <c r="O33" t="e">
        <f t="shared" si="24"/>
        <v>#DIV/0!</v>
      </c>
      <c r="P33" t="e">
        <f t="shared" si="22"/>
        <v>#DIV/0!</v>
      </c>
      <c r="Q33" s="9" t="e">
        <f t="shared" si="1"/>
        <v>#DIV/0!</v>
      </c>
      <c r="R33" t="e">
        <f>VLOOKUP($B$1,dictionary!$A$3:$K$51,3,FALSE)*Q33</f>
        <v>#DIV/0!</v>
      </c>
      <c r="S33" t="e">
        <f>VLOOKUP($B$1,dictionary!$A$3:$K$51,4,FALSE)*Q33</f>
        <v>#DIV/0!</v>
      </c>
      <c r="T33" t="e">
        <f>VLOOKUP($B$1,dictionary!$A$3:$K$51,5,FALSE)*Q33</f>
        <v>#DIV/0!</v>
      </c>
      <c r="U33" t="e">
        <f>VLOOKUP($B$1,dictionary!$A$3:$K$51,6,FALSE)*Q33</f>
        <v>#DIV/0!</v>
      </c>
      <c r="V33" t="e">
        <f>VLOOKUP($B$1,dictionary!$A$3:$K$51,7,FALSE)*Q33</f>
        <v>#DIV/0!</v>
      </c>
      <c r="W33" t="e">
        <f>VLOOKUP($B$1,dictionary!$A$3:$K$51,8,FALSE)*Q33</f>
        <v>#DIV/0!</v>
      </c>
      <c r="X33" t="e">
        <f>VLOOKUP($B$1,dictionary!$A$3:$K$51,9,FALSE)*Q33</f>
        <v>#DIV/0!</v>
      </c>
      <c r="Y33" t="e">
        <f>VLOOKUP($B$1,dictionary!$A$3:$K$51,10,FALSE)*Q33</f>
        <v>#DIV/0!</v>
      </c>
      <c r="Z33" t="e">
        <f>VLOOKUP($B$1,dictionary!$A$3:$K$51,11,FALSE)*Q33</f>
        <v>#DIV/0!</v>
      </c>
      <c r="AA33" t="e">
        <f t="shared" si="2"/>
        <v>#DIV/0!</v>
      </c>
      <c r="AB33" t="e">
        <f t="shared" si="11"/>
        <v>#DIV/0!</v>
      </c>
      <c r="AC33" t="e">
        <f t="shared" si="12"/>
        <v>#DIV/0!</v>
      </c>
      <c r="AD33" t="e">
        <f t="shared" si="3"/>
        <v>#DIV/0!</v>
      </c>
      <c r="AE33" t="e">
        <f t="shared" si="13"/>
        <v>#DIV/0!</v>
      </c>
      <c r="AF33" t="e">
        <f t="shared" si="14"/>
        <v>#DIV/0!</v>
      </c>
      <c r="AG33" t="e">
        <f t="shared" si="15"/>
        <v>#DIV/0!</v>
      </c>
      <c r="AH33" t="e">
        <f t="shared" si="16"/>
        <v>#DIV/0!</v>
      </c>
      <c r="AI33" t="e">
        <f t="shared" si="17"/>
        <v>#DIV/0!</v>
      </c>
      <c r="AJ33" t="e">
        <f t="shared" si="18"/>
        <v>#DIV/0!</v>
      </c>
      <c r="AK33" t="e">
        <f t="shared" si="19"/>
        <v>#DIV/0!</v>
      </c>
      <c r="AL33" t="e">
        <f t="shared" si="20"/>
        <v>#DIV/0!</v>
      </c>
    </row>
    <row r="35" spans="1:38" x14ac:dyDescent="0.2">
      <c r="G35" s="2"/>
    </row>
    <row r="37" spans="1:38" x14ac:dyDescent="0.2">
      <c r="H37" s="2"/>
      <c r="I37" s="2"/>
    </row>
  </sheetData>
  <mergeCells count="1">
    <mergeCell ref="J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57</vt:i4>
      </vt:variant>
    </vt:vector>
  </HeadingPairs>
  <TitlesOfParts>
    <vt:vector size="57" baseType="lpstr">
      <vt:lpstr>info</vt:lpstr>
      <vt:lpstr>MAIN</vt:lpstr>
      <vt:lpstr>current</vt:lpstr>
      <vt:lpstr>consumptions per type</vt:lpstr>
      <vt:lpstr>dictionary</vt:lpstr>
      <vt:lpstr>efficiency</vt:lpstr>
      <vt:lpstr>re</vt:lpstr>
      <vt:lpstr>production</vt:lpstr>
      <vt:lpstr>emissions</vt:lpstr>
      <vt:lpstr>cost</vt:lpstr>
      <vt:lpstr>raw</vt:lpstr>
      <vt:lpstr>1</vt:lpstr>
      <vt:lpstr>1 (RU)</vt:lpstr>
      <vt:lpstr>2</vt:lpstr>
      <vt:lpstr>2 (RU)</vt:lpstr>
      <vt:lpstr>3</vt:lpstr>
      <vt:lpstr>3 (RU)</vt:lpstr>
      <vt:lpstr>4</vt:lpstr>
      <vt:lpstr>4 (RU)</vt:lpstr>
      <vt:lpstr>5</vt:lpstr>
      <vt:lpstr>5 (RU)</vt:lpstr>
      <vt:lpstr>6</vt:lpstr>
      <vt:lpstr>6 (RU)</vt:lpstr>
      <vt:lpstr>7</vt:lpstr>
      <vt:lpstr>7 (RU)</vt:lpstr>
      <vt:lpstr>8</vt:lpstr>
      <vt:lpstr>8 (RU)</vt:lpstr>
      <vt:lpstr>9</vt:lpstr>
      <vt:lpstr>9 (RU)</vt:lpstr>
      <vt:lpstr>10</vt:lpstr>
      <vt:lpstr>10 (RU)</vt:lpstr>
      <vt:lpstr>11</vt:lpstr>
      <vt:lpstr>11 (RU)</vt:lpstr>
      <vt:lpstr>12</vt:lpstr>
      <vt:lpstr>12 (RU)</vt:lpstr>
      <vt:lpstr>13</vt:lpstr>
      <vt:lpstr>13 (RU)</vt:lpstr>
      <vt:lpstr>14</vt:lpstr>
      <vt:lpstr>14 (RU)</vt:lpstr>
      <vt:lpstr>15</vt:lpstr>
      <vt:lpstr>15 (RU)</vt:lpstr>
      <vt:lpstr>16</vt:lpstr>
      <vt:lpstr>16 (RU)</vt:lpstr>
      <vt:lpstr>17</vt:lpstr>
      <vt:lpstr>17 (RU)</vt:lpstr>
      <vt:lpstr>18</vt:lpstr>
      <vt:lpstr>18 (RU)</vt:lpstr>
      <vt:lpstr>19</vt:lpstr>
      <vt:lpstr>19 (RU)</vt:lpstr>
      <vt:lpstr>20</vt:lpstr>
      <vt:lpstr>20 (RU)</vt:lpstr>
      <vt:lpstr>21</vt:lpstr>
      <vt:lpstr>21 (RU)</vt:lpstr>
      <vt:lpstr>22</vt:lpstr>
      <vt:lpstr>22 (RU)</vt:lpstr>
      <vt:lpstr>23</vt:lpstr>
      <vt:lpstr>23 (RU)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Edoardo Santagata</dc:creator>
  <cp:lastModifiedBy>Edoardo Santagata</cp:lastModifiedBy>
  <dcterms:created xsi:type="dcterms:W3CDTF">2025-01-19T02:45:49Z</dcterms:created>
  <dcterms:modified xsi:type="dcterms:W3CDTF">2026-02-09T13:57:05Z</dcterms:modified>
</cp:coreProperties>
</file>