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0dc92a69911169c4/Documents/Fac/Cours/UM/Stage M2/Dados/Traits/"/>
    </mc:Choice>
  </mc:AlternateContent>
  <xr:revisionPtr revIDLastSave="5" documentId="13_ncr:1_{BDDC334A-F5BB-4543-81A0-B5FE61B3A959}" xr6:coauthVersionLast="47" xr6:coauthVersionMax="47" xr10:uidLastSave="{FB597C9F-C0DB-43A9-B9C5-FC873A3B2850}"/>
  <bookViews>
    <workbookView xWindow="-120" yWindow="-120" windowWidth="25440" windowHeight="15270" xr2:uid="{00000000-000D-0000-FFFF-FFFF00000000}"/>
  </bookViews>
  <sheets>
    <sheet name="Sheet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6" i="1" s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L65" i="1" s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U3" i="1"/>
  <c r="U4" i="1"/>
  <c r="U5" i="1"/>
  <c r="U6" i="1"/>
  <c r="U7" i="1"/>
  <c r="U8" i="1"/>
  <c r="U9" i="1"/>
  <c r="V9" i="1" s="1"/>
  <c r="U10" i="1"/>
  <c r="U11" i="1"/>
  <c r="U12" i="1"/>
  <c r="U13" i="1"/>
  <c r="U14" i="1"/>
  <c r="U15" i="1"/>
  <c r="U16" i="1"/>
  <c r="U17" i="1"/>
  <c r="V17" i="1" s="1"/>
  <c r="U18" i="1"/>
  <c r="U19" i="1"/>
  <c r="W19" i="1" s="1"/>
  <c r="U20" i="1"/>
  <c r="U21" i="1"/>
  <c r="U22" i="1"/>
  <c r="U23" i="1"/>
  <c r="U24" i="1"/>
  <c r="U25" i="1"/>
  <c r="U26" i="1"/>
  <c r="U27" i="1"/>
  <c r="W27" i="1" s="1"/>
  <c r="U28" i="1"/>
  <c r="W28" i="1" s="1"/>
  <c r="U29" i="1"/>
  <c r="U30" i="1"/>
  <c r="U31" i="1"/>
  <c r="U32" i="1"/>
  <c r="U33" i="1"/>
  <c r="V33" i="1" s="1"/>
  <c r="U34" i="1"/>
  <c r="U35" i="1"/>
  <c r="U36" i="1"/>
  <c r="W36" i="1" s="1"/>
  <c r="U37" i="1"/>
  <c r="U38" i="1"/>
  <c r="U39" i="1"/>
  <c r="U40" i="1"/>
  <c r="U41" i="1"/>
  <c r="V41" i="1" s="1"/>
  <c r="U42" i="1"/>
  <c r="U43" i="1"/>
  <c r="U44" i="1"/>
  <c r="U45" i="1"/>
  <c r="U46" i="1"/>
  <c r="U47" i="1"/>
  <c r="U48" i="1"/>
  <c r="U49" i="1"/>
  <c r="V49" i="1" s="1"/>
  <c r="U50" i="1"/>
  <c r="U51" i="1"/>
  <c r="W51" i="1" s="1"/>
  <c r="U52" i="1"/>
  <c r="U53" i="1"/>
  <c r="U54" i="1"/>
  <c r="U55" i="1"/>
  <c r="U56" i="1"/>
  <c r="U57" i="1"/>
  <c r="V57" i="1" s="1"/>
  <c r="U58" i="1"/>
  <c r="U59" i="1"/>
  <c r="W59" i="1" s="1"/>
  <c r="U60" i="1"/>
  <c r="W60" i="1" s="1"/>
  <c r="U61" i="1"/>
  <c r="U62" i="1"/>
  <c r="U63" i="1"/>
  <c r="U64" i="1"/>
  <c r="U65" i="1"/>
  <c r="V65" i="1" s="1"/>
  <c r="U66" i="1"/>
  <c r="U67" i="1"/>
  <c r="U68" i="1"/>
  <c r="W68" i="1" s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V81" i="1" s="1"/>
  <c r="U82" i="1"/>
  <c r="U83" i="1"/>
  <c r="W83" i="1" s="1"/>
  <c r="U84" i="1"/>
  <c r="U85" i="1"/>
  <c r="U86" i="1"/>
  <c r="U87" i="1"/>
  <c r="U88" i="1"/>
  <c r="U89" i="1"/>
  <c r="V89" i="1" s="1"/>
  <c r="U90" i="1"/>
  <c r="U91" i="1"/>
  <c r="W91" i="1" s="1"/>
  <c r="U92" i="1"/>
  <c r="W92" i="1" s="1"/>
  <c r="U93" i="1"/>
  <c r="U94" i="1"/>
  <c r="U95" i="1"/>
  <c r="U96" i="1"/>
  <c r="U97" i="1"/>
  <c r="V97" i="1" s="1"/>
  <c r="U98" i="1"/>
  <c r="V98" i="1" s="1"/>
  <c r="U99" i="1"/>
  <c r="U100" i="1"/>
  <c r="W100" i="1" s="1"/>
  <c r="U101" i="1"/>
  <c r="U102" i="1"/>
  <c r="U103" i="1"/>
  <c r="U104" i="1"/>
  <c r="U105" i="1"/>
  <c r="V105" i="1" s="1"/>
  <c r="U106" i="1"/>
  <c r="V106" i="1" s="1"/>
  <c r="U107" i="1"/>
  <c r="U108" i="1"/>
  <c r="U109" i="1"/>
  <c r="U110" i="1"/>
  <c r="U111" i="1"/>
  <c r="U112" i="1"/>
  <c r="U113" i="1"/>
  <c r="V113" i="1" s="1"/>
  <c r="U114" i="1"/>
  <c r="V114" i="1" s="1"/>
  <c r="U115" i="1"/>
  <c r="W115" i="1" s="1"/>
  <c r="U116" i="1"/>
  <c r="U117" i="1"/>
  <c r="U118" i="1"/>
  <c r="U119" i="1"/>
  <c r="U120" i="1"/>
  <c r="U121" i="1"/>
  <c r="V121" i="1" s="1"/>
  <c r="U122" i="1"/>
  <c r="U123" i="1"/>
  <c r="W123" i="1" s="1"/>
  <c r="U124" i="1"/>
  <c r="W124" i="1" s="1"/>
  <c r="U125" i="1"/>
  <c r="U126" i="1"/>
  <c r="U127" i="1"/>
  <c r="U128" i="1"/>
  <c r="U129" i="1"/>
  <c r="V129" i="1" s="1"/>
  <c r="U130" i="1"/>
  <c r="U131" i="1"/>
  <c r="U132" i="1"/>
  <c r="W132" i="1" s="1"/>
  <c r="U133" i="1"/>
  <c r="U134" i="1"/>
  <c r="U135" i="1"/>
  <c r="U136" i="1"/>
  <c r="U137" i="1"/>
  <c r="V137" i="1" s="1"/>
  <c r="U138" i="1"/>
  <c r="U139" i="1"/>
  <c r="U140" i="1"/>
  <c r="U141" i="1"/>
  <c r="U142" i="1"/>
  <c r="U143" i="1"/>
  <c r="U144" i="1"/>
  <c r="U145" i="1"/>
  <c r="V145" i="1" s="1"/>
  <c r="U146" i="1"/>
  <c r="U147" i="1"/>
  <c r="W147" i="1" s="1"/>
  <c r="U148" i="1"/>
  <c r="U149" i="1"/>
  <c r="U150" i="1"/>
  <c r="U151" i="1"/>
  <c r="U152" i="1"/>
  <c r="U153" i="1"/>
  <c r="V153" i="1" s="1"/>
  <c r="U154" i="1"/>
  <c r="U155" i="1"/>
  <c r="W155" i="1" s="1"/>
  <c r="U156" i="1"/>
  <c r="W156" i="1" s="1"/>
  <c r="U157" i="1"/>
  <c r="U158" i="1"/>
  <c r="U159" i="1"/>
  <c r="U160" i="1"/>
  <c r="U161" i="1"/>
  <c r="U162" i="1"/>
  <c r="U163" i="1"/>
  <c r="U164" i="1"/>
  <c r="W164" i="1" s="1"/>
  <c r="U165" i="1"/>
  <c r="U166" i="1"/>
  <c r="U167" i="1"/>
  <c r="U16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O3" i="1"/>
  <c r="O4" i="1"/>
  <c r="O5" i="1"/>
  <c r="O6" i="1"/>
  <c r="W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W3" i="1"/>
  <c r="W4" i="1"/>
  <c r="W5" i="1"/>
  <c r="W7" i="1"/>
  <c r="W8" i="1"/>
  <c r="W11" i="1"/>
  <c r="W12" i="1"/>
  <c r="W13" i="1"/>
  <c r="W14" i="1"/>
  <c r="W15" i="1"/>
  <c r="W16" i="1"/>
  <c r="W20" i="1"/>
  <c r="W21" i="1"/>
  <c r="W22" i="1"/>
  <c r="W23" i="1"/>
  <c r="W24" i="1"/>
  <c r="W29" i="1"/>
  <c r="W30" i="1"/>
  <c r="W31" i="1"/>
  <c r="W32" i="1"/>
  <c r="W35" i="1"/>
  <c r="W37" i="1"/>
  <c r="W38" i="1"/>
  <c r="W39" i="1"/>
  <c r="W40" i="1"/>
  <c r="W43" i="1"/>
  <c r="W44" i="1"/>
  <c r="W45" i="1"/>
  <c r="W46" i="1"/>
  <c r="W47" i="1"/>
  <c r="W48" i="1"/>
  <c r="W52" i="1"/>
  <c r="W53" i="1"/>
  <c r="W54" i="1"/>
  <c r="W55" i="1"/>
  <c r="W56" i="1"/>
  <c r="W61" i="1"/>
  <c r="W62" i="1"/>
  <c r="W63" i="1"/>
  <c r="W64" i="1"/>
  <c r="W67" i="1"/>
  <c r="W69" i="1"/>
  <c r="W70" i="1"/>
  <c r="W71" i="1"/>
  <c r="W72" i="1"/>
  <c r="W75" i="1"/>
  <c r="W76" i="1"/>
  <c r="W77" i="1"/>
  <c r="W78" i="1"/>
  <c r="W79" i="1"/>
  <c r="W80" i="1"/>
  <c r="W84" i="1"/>
  <c r="W85" i="1"/>
  <c r="W86" i="1"/>
  <c r="W87" i="1"/>
  <c r="W88" i="1"/>
  <c r="W93" i="1"/>
  <c r="W94" i="1"/>
  <c r="W95" i="1"/>
  <c r="W96" i="1"/>
  <c r="W99" i="1"/>
  <c r="W101" i="1"/>
  <c r="W102" i="1"/>
  <c r="W103" i="1"/>
  <c r="W104" i="1"/>
  <c r="W107" i="1"/>
  <c r="W108" i="1"/>
  <c r="W109" i="1"/>
  <c r="W110" i="1"/>
  <c r="W111" i="1"/>
  <c r="W112" i="1"/>
  <c r="W116" i="1"/>
  <c r="W117" i="1"/>
  <c r="W118" i="1"/>
  <c r="W119" i="1"/>
  <c r="W120" i="1"/>
  <c r="W125" i="1"/>
  <c r="W126" i="1"/>
  <c r="W127" i="1"/>
  <c r="W128" i="1"/>
  <c r="W131" i="1"/>
  <c r="W133" i="1"/>
  <c r="W134" i="1"/>
  <c r="W135" i="1"/>
  <c r="W136" i="1"/>
  <c r="W139" i="1"/>
  <c r="W140" i="1"/>
  <c r="W141" i="1"/>
  <c r="W142" i="1"/>
  <c r="W143" i="1"/>
  <c r="W144" i="1"/>
  <c r="W148" i="1"/>
  <c r="W149" i="1"/>
  <c r="W150" i="1"/>
  <c r="W151" i="1"/>
  <c r="W152" i="1"/>
  <c r="W157" i="1"/>
  <c r="W158" i="1"/>
  <c r="W159" i="1"/>
  <c r="W160" i="1"/>
  <c r="W163" i="1"/>
  <c r="W165" i="1"/>
  <c r="W166" i="1"/>
  <c r="W167" i="1"/>
  <c r="W168" i="1"/>
  <c r="W2" i="1"/>
  <c r="Q117" i="1"/>
  <c r="P117" i="1"/>
  <c r="J117" i="1"/>
  <c r="I117" i="1"/>
  <c r="Q96" i="1"/>
  <c r="P96" i="1"/>
  <c r="J96" i="1"/>
  <c r="I96" i="1"/>
  <c r="Q16" i="1"/>
  <c r="P16" i="1"/>
  <c r="J16" i="1"/>
  <c r="I16" i="1"/>
  <c r="V3" i="1"/>
  <c r="V4" i="1"/>
  <c r="V5" i="1"/>
  <c r="V6" i="1"/>
  <c r="V7" i="1"/>
  <c r="V8" i="1"/>
  <c r="V11" i="1"/>
  <c r="V12" i="1"/>
  <c r="V13" i="1"/>
  <c r="V14" i="1"/>
  <c r="V15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35" i="1"/>
  <c r="V36" i="1"/>
  <c r="V37" i="1"/>
  <c r="V38" i="1"/>
  <c r="V39" i="1"/>
  <c r="V40" i="1"/>
  <c r="V43" i="1"/>
  <c r="V44" i="1"/>
  <c r="V45" i="1"/>
  <c r="V46" i="1"/>
  <c r="V47" i="1"/>
  <c r="V48" i="1"/>
  <c r="V51" i="1"/>
  <c r="V52" i="1"/>
  <c r="V53" i="1"/>
  <c r="V54" i="1"/>
  <c r="V55" i="1"/>
  <c r="V56" i="1"/>
  <c r="V60" i="1"/>
  <c r="V61" i="1"/>
  <c r="V62" i="1"/>
  <c r="V63" i="1"/>
  <c r="V64" i="1"/>
  <c r="V67" i="1"/>
  <c r="V68" i="1"/>
  <c r="V71" i="1"/>
  <c r="V72" i="1"/>
  <c r="V73" i="1"/>
  <c r="V75" i="1"/>
  <c r="V76" i="1"/>
  <c r="V77" i="1"/>
  <c r="V78" i="1"/>
  <c r="V79" i="1"/>
  <c r="V80" i="1"/>
  <c r="V83" i="1"/>
  <c r="V84" i="1"/>
  <c r="V85" i="1"/>
  <c r="V86" i="1"/>
  <c r="V87" i="1"/>
  <c r="V88" i="1"/>
  <c r="V91" i="1"/>
  <c r="V92" i="1"/>
  <c r="V93" i="1"/>
  <c r="V94" i="1"/>
  <c r="V95" i="1"/>
  <c r="V99" i="1"/>
  <c r="V100" i="1"/>
  <c r="V101" i="1"/>
  <c r="V102" i="1"/>
  <c r="V103" i="1"/>
  <c r="V104" i="1"/>
  <c r="V107" i="1"/>
  <c r="V108" i="1"/>
  <c r="V109" i="1"/>
  <c r="V110" i="1"/>
  <c r="V111" i="1"/>
  <c r="V112" i="1"/>
  <c r="V115" i="1"/>
  <c r="V116" i="1"/>
  <c r="V118" i="1"/>
  <c r="V119" i="1"/>
  <c r="V120" i="1"/>
  <c r="V123" i="1"/>
  <c r="V124" i="1"/>
  <c r="V125" i="1"/>
  <c r="V126" i="1"/>
  <c r="V127" i="1"/>
  <c r="V128" i="1"/>
  <c r="V131" i="1"/>
  <c r="V132" i="1"/>
  <c r="V133" i="1"/>
  <c r="V2" i="1"/>
  <c r="Q75" i="1"/>
  <c r="P84" i="1"/>
  <c r="Q155" i="1"/>
  <c r="P156" i="1"/>
  <c r="P155" i="1"/>
  <c r="J155" i="1"/>
  <c r="I155" i="1"/>
  <c r="P11" i="1"/>
  <c r="Q154" i="1"/>
  <c r="P154" i="1"/>
  <c r="J154" i="1"/>
  <c r="I154" i="1"/>
  <c r="Q151" i="1"/>
  <c r="P151" i="1"/>
  <c r="J151" i="1"/>
  <c r="I151" i="1"/>
  <c r="Q136" i="1"/>
  <c r="P136" i="1"/>
  <c r="J136" i="1"/>
  <c r="I136" i="1"/>
  <c r="L136" i="1" s="1"/>
  <c r="Q160" i="1"/>
  <c r="P160" i="1"/>
  <c r="J160" i="1"/>
  <c r="I160" i="1"/>
  <c r="Q142" i="1"/>
  <c r="P142" i="1"/>
  <c r="J142" i="1"/>
  <c r="I142" i="1"/>
  <c r="Q161" i="1"/>
  <c r="P161" i="1"/>
  <c r="J161" i="1"/>
  <c r="I161" i="1"/>
  <c r="Q152" i="1"/>
  <c r="P152" i="1"/>
  <c r="J152" i="1"/>
  <c r="I152" i="1"/>
  <c r="L152" i="1" s="1"/>
  <c r="Q146" i="1"/>
  <c r="P146" i="1"/>
  <c r="J146" i="1"/>
  <c r="I146" i="1"/>
  <c r="Q149" i="1"/>
  <c r="P150" i="1"/>
  <c r="P149" i="1"/>
  <c r="J149" i="1"/>
  <c r="I149" i="1"/>
  <c r="Q134" i="1"/>
  <c r="P134" i="1"/>
  <c r="J134" i="1"/>
  <c r="I134" i="1"/>
  <c r="Q158" i="1"/>
  <c r="P158" i="1"/>
  <c r="J158" i="1"/>
  <c r="I158" i="1"/>
  <c r="Q145" i="1"/>
  <c r="P145" i="1"/>
  <c r="J145" i="1"/>
  <c r="I145" i="1"/>
  <c r="Q143" i="1"/>
  <c r="P143" i="1"/>
  <c r="J143" i="1"/>
  <c r="I143" i="1"/>
  <c r="Q164" i="1"/>
  <c r="Q163" i="1"/>
  <c r="P163" i="1"/>
  <c r="J163" i="1"/>
  <c r="I163" i="1"/>
  <c r="Q141" i="1"/>
  <c r="Q157" i="1"/>
  <c r="P157" i="1"/>
  <c r="J157" i="1"/>
  <c r="I157" i="1"/>
  <c r="Q140" i="1"/>
  <c r="P140" i="1"/>
  <c r="J140" i="1"/>
  <c r="I140" i="1"/>
  <c r="Q139" i="1"/>
  <c r="P139" i="1"/>
  <c r="J139" i="1"/>
  <c r="I139" i="1"/>
  <c r="P141" i="1"/>
  <c r="J141" i="1"/>
  <c r="I141" i="1"/>
  <c r="Q156" i="1"/>
  <c r="J156" i="1"/>
  <c r="I156" i="1"/>
  <c r="L156" i="1" s="1"/>
  <c r="Q148" i="1"/>
  <c r="P148" i="1"/>
  <c r="J148" i="1"/>
  <c r="I148" i="1"/>
  <c r="Q165" i="1"/>
  <c r="P165" i="1"/>
  <c r="J166" i="1"/>
  <c r="J165" i="1"/>
  <c r="I165" i="1"/>
  <c r="Q167" i="1"/>
  <c r="P167" i="1"/>
  <c r="J167" i="1"/>
  <c r="I167" i="1"/>
  <c r="Q135" i="1"/>
  <c r="P135" i="1"/>
  <c r="J135" i="1"/>
  <c r="I135" i="1"/>
  <c r="Q137" i="1"/>
  <c r="Q138" i="1"/>
  <c r="P138" i="1"/>
  <c r="P137" i="1"/>
  <c r="J137" i="1"/>
  <c r="I137" i="1"/>
  <c r="Q166" i="1"/>
  <c r="P166" i="1"/>
  <c r="I166" i="1"/>
  <c r="Q159" i="1"/>
  <c r="P159" i="1"/>
  <c r="J159" i="1"/>
  <c r="I159" i="1"/>
  <c r="P164" i="1"/>
  <c r="J164" i="1"/>
  <c r="I164" i="1"/>
  <c r="Q144" i="1"/>
  <c r="P144" i="1"/>
  <c r="J144" i="1"/>
  <c r="I144" i="1"/>
  <c r="L144" i="1" s="1"/>
  <c r="Q162" i="1"/>
  <c r="P162" i="1"/>
  <c r="J162" i="1"/>
  <c r="I162" i="1"/>
  <c r="J168" i="1"/>
  <c r="Q147" i="1"/>
  <c r="P147" i="1"/>
  <c r="J147" i="1"/>
  <c r="I147" i="1"/>
  <c r="Q153" i="1"/>
  <c r="P153" i="1"/>
  <c r="J153" i="1"/>
  <c r="I153" i="1"/>
  <c r="J138" i="1"/>
  <c r="I138" i="1"/>
  <c r="Q168" i="1"/>
  <c r="P168" i="1"/>
  <c r="I168" i="1"/>
  <c r="Q150" i="1"/>
  <c r="J150" i="1"/>
  <c r="I150" i="1"/>
  <c r="Q82" i="1"/>
  <c r="J82" i="1"/>
  <c r="P82" i="1"/>
  <c r="I82" i="1"/>
  <c r="Q70" i="1"/>
  <c r="J70" i="1"/>
  <c r="P69" i="1"/>
  <c r="I69" i="1"/>
  <c r="P61" i="1"/>
  <c r="I61" i="1"/>
  <c r="L61" i="1" s="1"/>
  <c r="Q58" i="1"/>
  <c r="J58" i="1"/>
  <c r="P52" i="1"/>
  <c r="I52" i="1"/>
  <c r="P57" i="1"/>
  <c r="I57" i="1"/>
  <c r="P80" i="1"/>
  <c r="I80" i="1"/>
  <c r="Q95" i="1"/>
  <c r="Q94" i="1"/>
  <c r="J94" i="1"/>
  <c r="Q77" i="1"/>
  <c r="J77" i="1"/>
  <c r="Q84" i="1"/>
  <c r="J84" i="1"/>
  <c r="P88" i="1"/>
  <c r="I88" i="1"/>
  <c r="P74" i="1"/>
  <c r="I74" i="1"/>
  <c r="P95" i="1"/>
  <c r="I95" i="1"/>
  <c r="P85" i="1"/>
  <c r="I85" i="1"/>
  <c r="P78" i="1"/>
  <c r="I78" i="1"/>
  <c r="Q65" i="1"/>
  <c r="J65" i="1"/>
  <c r="P66" i="1"/>
  <c r="I66" i="1"/>
  <c r="P60" i="1"/>
  <c r="I60" i="1"/>
  <c r="Q57" i="1"/>
  <c r="J57" i="1"/>
  <c r="P72" i="1"/>
  <c r="P71" i="1"/>
  <c r="I71" i="1"/>
  <c r="L71" i="1" s="1"/>
  <c r="Q60" i="1"/>
  <c r="Q59" i="1"/>
  <c r="I59" i="1"/>
  <c r="Q74" i="1"/>
  <c r="J74" i="1"/>
  <c r="P89" i="1"/>
  <c r="I89" i="1"/>
  <c r="Q71" i="1"/>
  <c r="J71" i="1"/>
  <c r="P90" i="1"/>
  <c r="I90" i="1"/>
  <c r="P59" i="1"/>
  <c r="J59" i="1"/>
  <c r="L59" i="1" s="1"/>
  <c r="P53" i="1"/>
  <c r="I53" i="1"/>
  <c r="L53" i="1" s="1"/>
  <c r="P58" i="1"/>
  <c r="I58" i="1"/>
  <c r="Q62" i="1"/>
  <c r="J62" i="1"/>
  <c r="Q80" i="1"/>
  <c r="J80" i="1"/>
  <c r="Q61" i="1"/>
  <c r="J61" i="1"/>
  <c r="P83" i="1"/>
  <c r="I83" i="1"/>
  <c r="I84" i="1"/>
  <c r="P92" i="1"/>
  <c r="I92" i="1"/>
  <c r="P81" i="1"/>
  <c r="I81" i="1"/>
  <c r="Q69" i="1"/>
  <c r="J69" i="1"/>
  <c r="J60" i="1"/>
  <c r="J75" i="1"/>
  <c r="P64" i="1"/>
  <c r="I64" i="1"/>
  <c r="Q86" i="1"/>
  <c r="J86" i="1"/>
  <c r="Q83" i="1"/>
  <c r="J83" i="1"/>
  <c r="Q89" i="1"/>
  <c r="J89" i="1"/>
  <c r="J95" i="1"/>
  <c r="Q88" i="1"/>
  <c r="J88" i="1"/>
  <c r="P91" i="1"/>
  <c r="I91" i="1"/>
  <c r="Q73" i="1"/>
  <c r="J73" i="1"/>
  <c r="Q66" i="1"/>
  <c r="J66" i="1"/>
  <c r="P65" i="1"/>
  <c r="I65" i="1"/>
  <c r="Q93" i="1"/>
  <c r="J93" i="1"/>
  <c r="Q78" i="1"/>
  <c r="J78" i="1"/>
  <c r="Q53" i="1"/>
  <c r="J53" i="1"/>
  <c r="Q52" i="1"/>
  <c r="J52" i="1"/>
  <c r="Q68" i="1"/>
  <c r="I68" i="1"/>
  <c r="Q64" i="1"/>
  <c r="J64" i="1"/>
  <c r="Q72" i="1"/>
  <c r="J72" i="1"/>
  <c r="Q81" i="1"/>
  <c r="J81" i="1"/>
  <c r="L81" i="1" s="1"/>
  <c r="P79" i="1"/>
  <c r="I79" i="1"/>
  <c r="P62" i="1"/>
  <c r="I62" i="1"/>
  <c r="P77" i="1"/>
  <c r="I77" i="1"/>
  <c r="Q85" i="1"/>
  <c r="J85" i="1"/>
  <c r="P93" i="1"/>
  <c r="I93" i="1"/>
  <c r="P55" i="1"/>
  <c r="I55" i="1"/>
  <c r="P76" i="1"/>
  <c r="I76" i="1"/>
  <c r="P68" i="1"/>
  <c r="J68" i="1"/>
  <c r="P87" i="1"/>
  <c r="Q87" i="1"/>
  <c r="J87" i="1"/>
  <c r="P75" i="1"/>
  <c r="I75" i="1"/>
  <c r="Q54" i="1"/>
  <c r="J54" i="1"/>
  <c r="L54" i="1" s="1"/>
  <c r="P56" i="1"/>
  <c r="I56" i="1"/>
  <c r="P67" i="1"/>
  <c r="I67" i="1"/>
  <c r="Q55" i="1"/>
  <c r="J55" i="1"/>
  <c r="P86" i="1"/>
  <c r="I86" i="1"/>
  <c r="P63" i="1"/>
  <c r="I63" i="1"/>
  <c r="Q63" i="1"/>
  <c r="J63" i="1"/>
  <c r="P73" i="1"/>
  <c r="I73" i="1"/>
  <c r="Q91" i="1"/>
  <c r="Q90" i="1"/>
  <c r="J90" i="1"/>
  <c r="Q92" i="1"/>
  <c r="J92" i="1"/>
  <c r="P70" i="1"/>
  <c r="I70" i="1"/>
  <c r="P54" i="1"/>
  <c r="I54" i="1"/>
  <c r="Q79" i="1"/>
  <c r="J79" i="1"/>
  <c r="Q76" i="1"/>
  <c r="J76" i="1"/>
  <c r="I87" i="1"/>
  <c r="L87" i="1" s="1"/>
  <c r="I72" i="1"/>
  <c r="P94" i="1"/>
  <c r="I94" i="1"/>
  <c r="Q56" i="1"/>
  <c r="J56" i="1"/>
  <c r="Q67" i="1"/>
  <c r="J67" i="1"/>
  <c r="J91" i="1"/>
  <c r="P98" i="1"/>
  <c r="P115" i="1"/>
  <c r="I115" i="1"/>
  <c r="P129" i="1"/>
  <c r="P130" i="1"/>
  <c r="Q129" i="1"/>
  <c r="I129" i="1"/>
  <c r="Q123" i="1"/>
  <c r="J123" i="1"/>
  <c r="P123" i="1"/>
  <c r="I123" i="1"/>
  <c r="Q99" i="1"/>
  <c r="J99" i="1"/>
  <c r="P99" i="1"/>
  <c r="I99" i="1"/>
  <c r="Q105" i="1"/>
  <c r="J105" i="1"/>
  <c r="J129" i="1"/>
  <c r="Q111" i="1"/>
  <c r="J111" i="1"/>
  <c r="Q112" i="1"/>
  <c r="J112" i="1"/>
  <c r="P103" i="1"/>
  <c r="I103" i="1"/>
  <c r="P122" i="1"/>
  <c r="I122" i="1"/>
  <c r="Q109" i="1"/>
  <c r="J109" i="1"/>
  <c r="P133" i="1"/>
  <c r="P132" i="1"/>
  <c r="I132" i="1"/>
  <c r="P110" i="1"/>
  <c r="P109" i="1"/>
  <c r="I109" i="1"/>
  <c r="P128" i="1"/>
  <c r="I128" i="1"/>
  <c r="P111" i="1"/>
  <c r="I111" i="1"/>
  <c r="L111" i="1" s="1"/>
  <c r="Q122" i="1"/>
  <c r="J122" i="1"/>
  <c r="Q97" i="1"/>
  <c r="J97" i="1"/>
  <c r="Q128" i="1"/>
  <c r="J128" i="1"/>
  <c r="P97" i="1"/>
  <c r="I97" i="1"/>
  <c r="Q113" i="1"/>
  <c r="J113" i="1"/>
  <c r="Q115" i="1"/>
  <c r="J115" i="1"/>
  <c r="Q132" i="1"/>
  <c r="J132" i="1"/>
  <c r="I130" i="1"/>
  <c r="Q127" i="1"/>
  <c r="J127" i="1"/>
  <c r="P105" i="1"/>
  <c r="I105" i="1"/>
  <c r="I98" i="1"/>
  <c r="Q110" i="1"/>
  <c r="J110" i="1"/>
  <c r="I133" i="1"/>
  <c r="I110" i="1"/>
  <c r="Q120" i="1"/>
  <c r="J120" i="1"/>
  <c r="P131" i="1"/>
  <c r="I131" i="1"/>
  <c r="L131" i="1" s="1"/>
  <c r="P113" i="1"/>
  <c r="I113" i="1"/>
  <c r="Q130" i="1"/>
  <c r="J130" i="1"/>
  <c r="Q98" i="1"/>
  <c r="J98" i="1"/>
  <c r="Q133" i="1"/>
  <c r="J133" i="1"/>
  <c r="P120" i="1"/>
  <c r="I120" i="1"/>
  <c r="I121" i="1"/>
  <c r="Q131" i="1"/>
  <c r="J131" i="1"/>
  <c r="P112" i="1"/>
  <c r="I112" i="1"/>
  <c r="P118" i="1"/>
  <c r="I118" i="1"/>
  <c r="Q104" i="1"/>
  <c r="J104" i="1"/>
  <c r="Q118" i="1"/>
  <c r="J118" i="1"/>
  <c r="P104" i="1"/>
  <c r="I104" i="1"/>
  <c r="P127" i="1"/>
  <c r="I127" i="1"/>
  <c r="Q103" i="1"/>
  <c r="J103" i="1"/>
  <c r="Q107" i="1"/>
  <c r="J107" i="1"/>
  <c r="P121" i="1"/>
  <c r="Q125" i="1"/>
  <c r="J125" i="1"/>
  <c r="P102" i="1"/>
  <c r="I102" i="1"/>
  <c r="Q108" i="1"/>
  <c r="J108" i="1"/>
  <c r="P107" i="1"/>
  <c r="I107" i="1"/>
  <c r="Q106" i="1"/>
  <c r="J106" i="1"/>
  <c r="P106" i="1"/>
  <c r="I106" i="1"/>
  <c r="P100" i="1"/>
  <c r="I100" i="1"/>
  <c r="L100" i="1" s="1"/>
  <c r="P116" i="1"/>
  <c r="I116" i="1"/>
  <c r="Q100" i="1"/>
  <c r="J100" i="1"/>
  <c r="P114" i="1"/>
  <c r="I114" i="1"/>
  <c r="Q101" i="1"/>
  <c r="J101" i="1"/>
  <c r="Q116" i="1"/>
  <c r="J116" i="1"/>
  <c r="P125" i="1"/>
  <c r="I125" i="1"/>
  <c r="Q102" i="1"/>
  <c r="J102" i="1"/>
  <c r="P108" i="1"/>
  <c r="I108" i="1"/>
  <c r="P119" i="1"/>
  <c r="I119" i="1"/>
  <c r="Q121" i="1"/>
  <c r="J121" i="1"/>
  <c r="Q119" i="1"/>
  <c r="J119" i="1"/>
  <c r="P101" i="1"/>
  <c r="I101" i="1"/>
  <c r="Q114" i="1"/>
  <c r="J114" i="1"/>
  <c r="Q124" i="1"/>
  <c r="J124" i="1"/>
  <c r="P126" i="1"/>
  <c r="I126" i="1"/>
  <c r="L126" i="1" s="1"/>
  <c r="Q126" i="1"/>
  <c r="J126" i="1"/>
  <c r="P124" i="1"/>
  <c r="I124" i="1"/>
  <c r="L124" i="1" s="1"/>
  <c r="H132" i="1"/>
  <c r="P31" i="1"/>
  <c r="P41" i="1"/>
  <c r="P40" i="1"/>
  <c r="I41" i="1"/>
  <c r="I40" i="1"/>
  <c r="I39" i="1"/>
  <c r="Q24" i="1"/>
  <c r="J24" i="1"/>
  <c r="Q35" i="1"/>
  <c r="J35" i="1"/>
  <c r="P8" i="1"/>
  <c r="I8" i="1"/>
  <c r="Q40" i="1"/>
  <c r="J40" i="1"/>
  <c r="P24" i="1"/>
  <c r="P23" i="1"/>
  <c r="I23" i="1"/>
  <c r="Q48" i="1"/>
  <c r="J48" i="1"/>
  <c r="I24" i="1"/>
  <c r="P26" i="1"/>
  <c r="I26" i="1"/>
  <c r="Q20" i="1"/>
  <c r="J20" i="1"/>
  <c r="Q42" i="1"/>
  <c r="J42" i="1"/>
  <c r="P20" i="1"/>
  <c r="I20" i="1"/>
  <c r="P30" i="1"/>
  <c r="I30" i="1"/>
  <c r="Q23" i="1"/>
  <c r="J23" i="1"/>
  <c r="P35" i="1"/>
  <c r="I35" i="1"/>
  <c r="Q29" i="1"/>
  <c r="J29" i="1"/>
  <c r="Q4" i="1"/>
  <c r="Q3" i="1"/>
  <c r="J3" i="1"/>
  <c r="P51" i="1"/>
  <c r="I51" i="1"/>
  <c r="Q46" i="1"/>
  <c r="J46" i="1"/>
  <c r="I11" i="1"/>
  <c r="Q11" i="1"/>
  <c r="J11" i="1"/>
  <c r="Q45" i="1"/>
  <c r="J45" i="1"/>
  <c r="P46" i="1"/>
  <c r="I46" i="1"/>
  <c r="Q25" i="1"/>
  <c r="J25" i="1"/>
  <c r="Q26" i="1"/>
  <c r="J26" i="1"/>
  <c r="Q30" i="1"/>
  <c r="J30" i="1"/>
  <c r="P48" i="1"/>
  <c r="I48" i="1"/>
  <c r="P29" i="1"/>
  <c r="I29" i="1"/>
  <c r="Q51" i="1"/>
  <c r="J51" i="1"/>
  <c r="P34" i="1"/>
  <c r="I34" i="1"/>
  <c r="P45" i="1"/>
  <c r="I45" i="1"/>
  <c r="J8" i="1"/>
  <c r="P3" i="1"/>
  <c r="I3" i="1"/>
  <c r="Q44" i="1"/>
  <c r="J44" i="1"/>
  <c r="P44" i="1"/>
  <c r="I44" i="1"/>
  <c r="P25" i="1"/>
  <c r="I25" i="1"/>
  <c r="L25" i="1" s="1"/>
  <c r="Q34" i="1"/>
  <c r="J34" i="1"/>
  <c r="P42" i="1"/>
  <c r="I42" i="1"/>
  <c r="Q41" i="1"/>
  <c r="J41" i="1"/>
  <c r="Q31" i="1"/>
  <c r="J31" i="1"/>
  <c r="Q49" i="1"/>
  <c r="J49" i="1"/>
  <c r="P28" i="1"/>
  <c r="I28" i="1"/>
  <c r="P10" i="1"/>
  <c r="I10" i="1"/>
  <c r="Q10" i="1"/>
  <c r="J10" i="1"/>
  <c r="P4" i="1"/>
  <c r="I4" i="1"/>
  <c r="L4" i="1" s="1"/>
  <c r="Q28" i="1"/>
  <c r="J28" i="1"/>
  <c r="Q50" i="1"/>
  <c r="J50" i="1"/>
  <c r="I31" i="1"/>
  <c r="P37" i="1"/>
  <c r="P38" i="1"/>
  <c r="J38" i="1"/>
  <c r="I38" i="1"/>
  <c r="Q14" i="1"/>
  <c r="J14" i="1"/>
  <c r="Q12" i="1"/>
  <c r="J12" i="1"/>
  <c r="P12" i="1"/>
  <c r="I12" i="1"/>
  <c r="Q38" i="1"/>
  <c r="Q5" i="1"/>
  <c r="J5" i="1"/>
  <c r="P50" i="1"/>
  <c r="I50" i="1"/>
  <c r="P49" i="1"/>
  <c r="I49" i="1"/>
  <c r="Q37" i="1"/>
  <c r="J37" i="1"/>
  <c r="P33" i="1"/>
  <c r="I33" i="1"/>
  <c r="Q27" i="1"/>
  <c r="J27" i="1"/>
  <c r="Q33" i="1"/>
  <c r="J33" i="1"/>
  <c r="Q39" i="1"/>
  <c r="J39" i="1"/>
  <c r="Q21" i="1"/>
  <c r="J21" i="1"/>
  <c r="Q15" i="1"/>
  <c r="J15" i="1"/>
  <c r="P27" i="1"/>
  <c r="I27" i="1"/>
  <c r="P15" i="1"/>
  <c r="I15" i="1"/>
  <c r="P39" i="1"/>
  <c r="P21" i="1"/>
  <c r="I21" i="1"/>
  <c r="I37" i="1"/>
  <c r="P32" i="1"/>
  <c r="I32" i="1"/>
  <c r="Q32" i="1"/>
  <c r="J32" i="1"/>
  <c r="J4" i="1"/>
  <c r="P14" i="1"/>
  <c r="I14" i="1"/>
  <c r="L14" i="1" s="1"/>
  <c r="P5" i="1"/>
  <c r="I5" i="1"/>
  <c r="V59" i="1"/>
  <c r="V69" i="1"/>
  <c r="V70" i="1"/>
  <c r="V134" i="1"/>
  <c r="V135" i="1"/>
  <c r="V136" i="1"/>
  <c r="V139" i="1"/>
  <c r="V140" i="1"/>
  <c r="V141" i="1"/>
  <c r="V143" i="1"/>
  <c r="V144" i="1"/>
  <c r="V147" i="1"/>
  <c r="V148" i="1"/>
  <c r="V149" i="1"/>
  <c r="V150" i="1"/>
  <c r="V151" i="1"/>
  <c r="V152" i="1"/>
  <c r="V155" i="1"/>
  <c r="V156" i="1"/>
  <c r="V157" i="1"/>
  <c r="V158" i="1"/>
  <c r="V159" i="1"/>
  <c r="V160" i="1"/>
  <c r="V161" i="1"/>
  <c r="V163" i="1"/>
  <c r="V164" i="1"/>
  <c r="V165" i="1"/>
  <c r="V166" i="1"/>
  <c r="V167" i="1"/>
  <c r="V168" i="1"/>
  <c r="U2" i="1"/>
  <c r="L57" i="1"/>
  <c r="L69" i="1"/>
  <c r="L140" i="1"/>
  <c r="L159" i="1"/>
  <c r="P2" i="1"/>
  <c r="I2" i="1"/>
  <c r="Q2" i="1"/>
  <c r="J2" i="1"/>
  <c r="Q18" i="1"/>
  <c r="J18" i="1"/>
  <c r="Q17" i="1"/>
  <c r="J17" i="1"/>
  <c r="P19" i="1"/>
  <c r="I19" i="1"/>
  <c r="Q43" i="1"/>
  <c r="J43" i="1"/>
  <c r="P47" i="1"/>
  <c r="I47" i="1"/>
  <c r="P18" i="1"/>
  <c r="I18" i="1"/>
  <c r="Q19" i="1"/>
  <c r="J19" i="1"/>
  <c r="Q13" i="1"/>
  <c r="J13" i="1"/>
  <c r="Q47" i="1"/>
  <c r="J47" i="1"/>
  <c r="P22" i="1"/>
  <c r="I22" i="1"/>
  <c r="P9" i="1"/>
  <c r="I9" i="1"/>
  <c r="Q7" i="1"/>
  <c r="P7" i="1"/>
  <c r="I7" i="1"/>
  <c r="Q9" i="1"/>
  <c r="J9" i="1"/>
  <c r="P6" i="1"/>
  <c r="I6" i="1"/>
  <c r="P43" i="1"/>
  <c r="I43" i="1"/>
  <c r="J6" i="1"/>
  <c r="Q6" i="1"/>
  <c r="P17" i="1"/>
  <c r="I17" i="1"/>
  <c r="Q22" i="1"/>
  <c r="J22" i="1"/>
  <c r="Q8" i="1"/>
  <c r="J7" i="1"/>
  <c r="P13" i="1"/>
  <c r="I13" i="1"/>
  <c r="P36" i="1"/>
  <c r="Q36" i="1"/>
  <c r="O2" i="1"/>
  <c r="J36" i="1"/>
  <c r="I36" i="1"/>
  <c r="L67" i="1"/>
  <c r="L148" i="1"/>
  <c r="L161" i="1" l="1"/>
  <c r="L154" i="1"/>
  <c r="L17" i="1"/>
  <c r="L49" i="1"/>
  <c r="L58" i="1"/>
  <c r="V138" i="1"/>
  <c r="V130" i="1"/>
  <c r="V122" i="1"/>
  <c r="V90" i="1"/>
  <c r="V74" i="1"/>
  <c r="V66" i="1"/>
  <c r="V58" i="1"/>
  <c r="V50" i="1"/>
  <c r="V42" i="1"/>
  <c r="V34" i="1"/>
  <c r="V26" i="1"/>
  <c r="V18" i="1"/>
  <c r="V10" i="1"/>
  <c r="W162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9" i="1"/>
  <c r="V82" i="1"/>
  <c r="V162" i="1"/>
  <c r="V154" i="1"/>
  <c r="V146" i="1"/>
  <c r="L39" i="1"/>
  <c r="L24" i="1"/>
  <c r="L70" i="1"/>
  <c r="L62" i="1"/>
  <c r="L115" i="1"/>
  <c r="L18" i="1"/>
  <c r="L143" i="1"/>
  <c r="L158" i="1"/>
  <c r="L149" i="1"/>
  <c r="L55" i="1"/>
  <c r="L78" i="1"/>
  <c r="L9" i="1"/>
  <c r="L118" i="1"/>
  <c r="L66" i="1"/>
  <c r="L95" i="1"/>
  <c r="L160" i="1"/>
  <c r="L5" i="1"/>
  <c r="L77" i="1"/>
  <c r="V142" i="1"/>
  <c r="L22" i="1"/>
  <c r="L168" i="1"/>
  <c r="L64" i="1"/>
  <c r="L12" i="1"/>
  <c r="L13" i="1"/>
  <c r="L7" i="1"/>
  <c r="L32" i="1"/>
  <c r="L46" i="1"/>
  <c r="L147" i="1"/>
  <c r="L86" i="1"/>
  <c r="L85" i="1"/>
  <c r="L21" i="1"/>
  <c r="L128" i="1"/>
  <c r="L90" i="1"/>
  <c r="L23" i="1"/>
  <c r="L6" i="1"/>
  <c r="L11" i="1"/>
  <c r="L56" i="1"/>
  <c r="L167" i="1"/>
  <c r="L155" i="1"/>
  <c r="L36" i="1"/>
  <c r="L31" i="1"/>
  <c r="L30" i="1"/>
  <c r="L8" i="1"/>
  <c r="L163" i="1"/>
  <c r="L40" i="1"/>
  <c r="L73" i="1"/>
  <c r="L94" i="1"/>
  <c r="L84" i="1"/>
  <c r="L151" i="1"/>
  <c r="L28" i="1"/>
  <c r="L60" i="1"/>
  <c r="L38" i="1"/>
  <c r="L98" i="1"/>
  <c r="L122" i="1"/>
  <c r="L139" i="1"/>
  <c r="L47" i="1"/>
  <c r="L145" i="1"/>
  <c r="L50" i="1"/>
  <c r="L44" i="1"/>
  <c r="L41" i="1"/>
  <c r="L117" i="1"/>
  <c r="L125" i="1"/>
  <c r="L96" i="1"/>
  <c r="L97" i="1"/>
  <c r="L112" i="1"/>
  <c r="L68" i="1"/>
  <c r="L52" i="1"/>
  <c r="L138" i="1"/>
  <c r="L123" i="1"/>
  <c r="L15" i="1"/>
  <c r="V117" i="1"/>
  <c r="V96" i="1"/>
  <c r="L103" i="1"/>
  <c r="L104" i="1"/>
  <c r="L121" i="1"/>
  <c r="L133" i="1"/>
  <c r="L99" i="1"/>
  <c r="L37" i="1"/>
  <c r="L34" i="1"/>
  <c r="L129" i="1"/>
  <c r="L76" i="1"/>
  <c r="L92" i="1"/>
  <c r="L162" i="1"/>
  <c r="L43" i="1"/>
  <c r="L153" i="1"/>
  <c r="L80" i="1"/>
  <c r="L102" i="1"/>
  <c r="L120" i="1"/>
  <c r="L113" i="1"/>
  <c r="L110" i="1"/>
  <c r="L132" i="1"/>
  <c r="L109" i="1"/>
  <c r="L75" i="1"/>
  <c r="L146" i="1"/>
  <c r="L135" i="1"/>
  <c r="L33" i="1"/>
  <c r="L48" i="1"/>
  <c r="L127" i="1"/>
  <c r="L130" i="1"/>
  <c r="L137" i="1"/>
  <c r="L142" i="1"/>
  <c r="L42" i="1"/>
  <c r="L20" i="1"/>
  <c r="L101" i="1"/>
  <c r="L116" i="1"/>
  <c r="R2" i="1"/>
  <c r="L74" i="1"/>
  <c r="L165" i="1"/>
  <c r="L157" i="1"/>
  <c r="L141" i="1"/>
  <c r="L16" i="1"/>
  <c r="L105" i="1"/>
  <c r="L83" i="1"/>
  <c r="L164" i="1"/>
  <c r="L27" i="1"/>
  <c r="V16" i="1"/>
  <c r="L89" i="1"/>
  <c r="L45" i="1"/>
  <c r="L51" i="1"/>
  <c r="L35" i="1"/>
  <c r="L82" i="1"/>
  <c r="L91" i="1"/>
  <c r="L93" i="1"/>
  <c r="L72" i="1"/>
  <c r="L150" i="1"/>
  <c r="L79" i="1"/>
  <c r="L107" i="1"/>
  <c r="L166" i="1"/>
  <c r="L10" i="1"/>
  <c r="L19" i="1"/>
  <c r="L134" i="1"/>
  <c r="L88" i="1"/>
  <c r="L29" i="1"/>
  <c r="L114" i="1"/>
  <c r="K2" i="1"/>
  <c r="L2" i="1" s="1"/>
  <c r="L63" i="1"/>
  <c r="L119" i="1"/>
  <c r="L108" i="1"/>
  <c r="L106" i="1"/>
</calcChain>
</file>

<file path=xl/sharedStrings.xml><?xml version="1.0" encoding="utf-8"?>
<sst xmlns="http://schemas.openxmlformats.org/spreadsheetml/2006/main" count="1022" uniqueCount="390">
  <si>
    <t>plot_code</t>
  </si>
  <si>
    <t>sub_plot</t>
  </si>
  <si>
    <t>tree_tag</t>
  </si>
  <si>
    <t>family</t>
  </si>
  <si>
    <t>species</t>
  </si>
  <si>
    <t>code</t>
  </si>
  <si>
    <t>B_Tex</t>
  </si>
  <si>
    <t>OB_T</t>
  </si>
  <si>
    <t>IB_T</t>
  </si>
  <si>
    <t>TB_T</t>
  </si>
  <si>
    <t>DBH</t>
  </si>
  <si>
    <t>RB_T</t>
  </si>
  <si>
    <t>B_fresh_v</t>
  </si>
  <si>
    <t>B_dried_m</t>
  </si>
  <si>
    <t>B_fresh_m</t>
  </si>
  <si>
    <t>B_Den</t>
  </si>
  <si>
    <t>B_WC</t>
  </si>
  <si>
    <t>ESA04</t>
  </si>
  <si>
    <t>0022</t>
  </si>
  <si>
    <t>Fabaceae</t>
  </si>
  <si>
    <t>Tachigali paniculata</t>
  </si>
  <si>
    <t>ESA04-T0022</t>
  </si>
  <si>
    <t>0314</t>
  </si>
  <si>
    <t>ESA04-T0314</t>
  </si>
  <si>
    <t>0661</t>
  </si>
  <si>
    <t>ESA04-T0661</t>
  </si>
  <si>
    <t>0511</t>
  </si>
  <si>
    <t>ESA04-T0511</t>
  </si>
  <si>
    <t>0025</t>
  </si>
  <si>
    <t>ESA04-T0025</t>
  </si>
  <si>
    <t>0013</t>
  </si>
  <si>
    <t>Dilleniaceae</t>
  </si>
  <si>
    <t>Curatella americana</t>
  </si>
  <si>
    <t>ESA04-T0013</t>
  </si>
  <si>
    <t>0534</t>
  </si>
  <si>
    <t>ESA04-T0534</t>
  </si>
  <si>
    <t>0006</t>
  </si>
  <si>
    <t>ESA04-T0006</t>
  </si>
  <si>
    <t>0041</t>
  </si>
  <si>
    <t>0320</t>
  </si>
  <si>
    <t>ESA04-T0320</t>
  </si>
  <si>
    <t>0387</t>
  </si>
  <si>
    <t>Vochysiaceae</t>
  </si>
  <si>
    <t>Vochysia haenkeana</t>
  </si>
  <si>
    <t>ESA04-T0387</t>
  </si>
  <si>
    <t>0002</t>
  </si>
  <si>
    <t>ESA04-T0002</t>
  </si>
  <si>
    <t>0554</t>
  </si>
  <si>
    <t>ESA04-T0554</t>
  </si>
  <si>
    <t>0051</t>
  </si>
  <si>
    <t>3606</t>
  </si>
  <si>
    <t>ESA04-T3606</t>
  </si>
  <si>
    <t>0001</t>
  </si>
  <si>
    <t>Sapotaceae</t>
  </si>
  <si>
    <t>Pouteria ramiflora</t>
  </si>
  <si>
    <t>ESA04-T0001</t>
  </si>
  <si>
    <t>0003</t>
  </si>
  <si>
    <t>ESA04-T0003</t>
  </si>
  <si>
    <t>0009</t>
  </si>
  <si>
    <t>ESA04-T0009</t>
  </si>
  <si>
    <t>0623</t>
  </si>
  <si>
    <t>ESA04-T0623</t>
  </si>
  <si>
    <t>0032</t>
  </si>
  <si>
    <t>ESA04-T0032</t>
  </si>
  <si>
    <t>0015</t>
  </si>
  <si>
    <t>Myrtaceae</t>
  </si>
  <si>
    <t>Myrcia bella</t>
  </si>
  <si>
    <t>ESA04-T0015</t>
  </si>
  <si>
    <t>0244</t>
  </si>
  <si>
    <t>ESA04-T0244</t>
  </si>
  <si>
    <t>0670</t>
  </si>
  <si>
    <t>ESA04-T0670</t>
  </si>
  <si>
    <t>3946</t>
  </si>
  <si>
    <t>ESA04-T3946</t>
  </si>
  <si>
    <t>0619</t>
  </si>
  <si>
    <t>ESA04-T0619</t>
  </si>
  <si>
    <t>0172</t>
  </si>
  <si>
    <t>Qualea grandiflora</t>
  </si>
  <si>
    <t>ESA04-T0172</t>
  </si>
  <si>
    <t>0665</t>
  </si>
  <si>
    <t>ESA04-T0665</t>
  </si>
  <si>
    <t>0201</t>
  </si>
  <si>
    <t>ESA04-T0201</t>
  </si>
  <si>
    <t>0381</t>
  </si>
  <si>
    <t>ESA04-T0381</t>
  </si>
  <si>
    <t>0195</t>
  </si>
  <si>
    <t>ESA04-T0195</t>
  </si>
  <si>
    <t>0094</t>
  </si>
  <si>
    <t>Meliaceae</t>
  </si>
  <si>
    <t>Trichilia silvatica</t>
  </si>
  <si>
    <t>ESA04-T0094</t>
  </si>
  <si>
    <t>0155</t>
  </si>
  <si>
    <t>ESA04-T0155</t>
  </si>
  <si>
    <t>0323</t>
  </si>
  <si>
    <t>ESA04-T0323</t>
  </si>
  <si>
    <t>0564</t>
  </si>
  <si>
    <t>ESA04-T0564</t>
  </si>
  <si>
    <t>3600</t>
  </si>
  <si>
    <t>ESA04-T3600</t>
  </si>
  <si>
    <t>0115</t>
  </si>
  <si>
    <t>Qualea parviflora</t>
  </si>
  <si>
    <t>ESA04-T0115</t>
  </si>
  <si>
    <t>0166</t>
  </si>
  <si>
    <t>ESA04-T0166</t>
  </si>
  <si>
    <t>0678</t>
  </si>
  <si>
    <t>ESA04-T0678</t>
  </si>
  <si>
    <t>0223</t>
  </si>
  <si>
    <t>ESA04-T0223</t>
  </si>
  <si>
    <t>0636</t>
  </si>
  <si>
    <t>ESA04-T0636</t>
  </si>
  <si>
    <t>0150</t>
  </si>
  <si>
    <t>Annonaceae</t>
  </si>
  <si>
    <t>Xylopia aromatica</t>
  </si>
  <si>
    <t>ESA04-T0150</t>
  </si>
  <si>
    <t>3605</t>
  </si>
  <si>
    <t>ESA04-T3605</t>
  </si>
  <si>
    <t>3667</t>
  </si>
  <si>
    <t>ESA04-T3667</t>
  </si>
  <si>
    <t>0031</t>
  </si>
  <si>
    <t>ESA04-T0031</t>
  </si>
  <si>
    <t>0021</t>
  </si>
  <si>
    <t>Calophyllaceae</t>
  </si>
  <si>
    <t>Kielmeyera grandiflora</t>
  </si>
  <si>
    <t>ESA04-T0021</t>
  </si>
  <si>
    <t>0341</t>
  </si>
  <si>
    <t>ESA04-T0341</t>
  </si>
  <si>
    <t>0221</t>
  </si>
  <si>
    <t>ESA04-T0221</t>
  </si>
  <si>
    <t>0159</t>
  </si>
  <si>
    <t>ESA04-T0159</t>
  </si>
  <si>
    <t>0295</t>
  </si>
  <si>
    <t>ESA04-T0295</t>
  </si>
  <si>
    <t>ESA05</t>
  </si>
  <si>
    <t>0910</t>
  </si>
  <si>
    <t>ESA05-T0910</t>
  </si>
  <si>
    <t>0936</t>
  </si>
  <si>
    <t>ESA05-T0936</t>
  </si>
  <si>
    <t>0718</t>
  </si>
  <si>
    <t>ESA05-T0718</t>
  </si>
  <si>
    <t>0725</t>
  </si>
  <si>
    <t>ESA05-T0725</t>
  </si>
  <si>
    <t>0735</t>
  </si>
  <si>
    <t>ESA05-T0735</t>
  </si>
  <si>
    <t>1012</t>
  </si>
  <si>
    <t>ESA05-T1012</t>
  </si>
  <si>
    <t>1019</t>
  </si>
  <si>
    <t>ESA05-T1019</t>
  </si>
  <si>
    <t>1104</t>
  </si>
  <si>
    <t>ESA05-T1104</t>
  </si>
  <si>
    <t>0776</t>
  </si>
  <si>
    <t>ESA05-T0776</t>
  </si>
  <si>
    <t>1020</t>
  </si>
  <si>
    <t>ESA05-T1020</t>
  </si>
  <si>
    <t>0717</t>
  </si>
  <si>
    <t>ESA05-T0717</t>
  </si>
  <si>
    <t>0806</t>
  </si>
  <si>
    <t>ESA05-T0806</t>
  </si>
  <si>
    <t>0810</t>
  </si>
  <si>
    <t>ESA05-T0810</t>
  </si>
  <si>
    <t>0964</t>
  </si>
  <si>
    <t>ESA05-T0964</t>
  </si>
  <si>
    <t>1064</t>
  </si>
  <si>
    <t>ESA05-T1064</t>
  </si>
  <si>
    <t>0788</t>
  </si>
  <si>
    <t>ESA05-T0788</t>
  </si>
  <si>
    <t>0795</t>
  </si>
  <si>
    <t>ESA05-T0795</t>
  </si>
  <si>
    <t>0984</t>
  </si>
  <si>
    <t>ESA05-T0984</t>
  </si>
  <si>
    <t>0824</t>
  </si>
  <si>
    <t>ESA05-T0824</t>
  </si>
  <si>
    <t>0951</t>
  </si>
  <si>
    <t>ESA05-T0951</t>
  </si>
  <si>
    <t>0732</t>
  </si>
  <si>
    <t>ESA05-T0732</t>
  </si>
  <si>
    <t>0891</t>
  </si>
  <si>
    <t>ESA05-T0891</t>
  </si>
  <si>
    <t>0993</t>
  </si>
  <si>
    <t>ESA05-T0993</t>
  </si>
  <si>
    <t>0745</t>
  </si>
  <si>
    <t>ESA05-T0745</t>
  </si>
  <si>
    <t>0761</t>
  </si>
  <si>
    <t>ESA05-T0761</t>
  </si>
  <si>
    <t>0774</t>
  </si>
  <si>
    <t>ESA05-T0774</t>
  </si>
  <si>
    <t>3411</t>
  </si>
  <si>
    <t>ESA05-T3411</t>
  </si>
  <si>
    <t>0736</t>
  </si>
  <si>
    <t>ESA05-T0736</t>
  </si>
  <si>
    <t>1014</t>
  </si>
  <si>
    <t>ESA05-T1014</t>
  </si>
  <si>
    <t>0721</t>
  </si>
  <si>
    <t>Malpighiaceae</t>
  </si>
  <si>
    <t>Byrsonima coccolobifolia</t>
  </si>
  <si>
    <t>ESA05-T0721</t>
  </si>
  <si>
    <t>0995</t>
  </si>
  <si>
    <t>ESA05-T0995</t>
  </si>
  <si>
    <t>0871</t>
  </si>
  <si>
    <t>ESA05-T0871</t>
  </si>
  <si>
    <t>0842</t>
  </si>
  <si>
    <t>ESA05-T0842</t>
  </si>
  <si>
    <t>1096</t>
  </si>
  <si>
    <t>ESA05-T1096</t>
  </si>
  <si>
    <t>0799</t>
  </si>
  <si>
    <t>Rubiaceae</t>
  </si>
  <si>
    <t>Ferdinandusa elliptica</t>
  </si>
  <si>
    <t>ESA05-T0799</t>
  </si>
  <si>
    <t>0740</t>
  </si>
  <si>
    <t>ESA05-T0740</t>
  </si>
  <si>
    <t>0979</t>
  </si>
  <si>
    <t>ESA05-T0979</t>
  </si>
  <si>
    <t>0878</t>
  </si>
  <si>
    <t>ESA05-T0878</t>
  </si>
  <si>
    <t>0861</t>
  </si>
  <si>
    <t>ESA05-T0861</t>
  </si>
  <si>
    <t>0715</t>
  </si>
  <si>
    <t>Qualea multiflora</t>
  </si>
  <si>
    <t>ESA05-T0715</t>
  </si>
  <si>
    <t>0719</t>
  </si>
  <si>
    <t>ESA05-T0719</t>
  </si>
  <si>
    <t>0783</t>
  </si>
  <si>
    <t>ESA05-T0783</t>
  </si>
  <si>
    <t>0901</t>
  </si>
  <si>
    <t>ESA05-T0901</t>
  </si>
  <si>
    <t>1056</t>
  </si>
  <si>
    <t>ESA05-T1056</t>
  </si>
  <si>
    <t>ESA07</t>
  </si>
  <si>
    <t>1693</t>
  </si>
  <si>
    <t>ESA07-T1693</t>
  </si>
  <si>
    <t>1793</t>
  </si>
  <si>
    <t>ESA07-T1793</t>
  </si>
  <si>
    <t>1840</t>
  </si>
  <si>
    <t>ESA07-T1840</t>
  </si>
  <si>
    <t>1694</t>
  </si>
  <si>
    <t>ESA07-T1694</t>
  </si>
  <si>
    <t>1695</t>
  </si>
  <si>
    <t>ESA07-T1695</t>
  </si>
  <si>
    <t>1715</t>
  </si>
  <si>
    <t>ESA07-T1715</t>
  </si>
  <si>
    <t>1717</t>
  </si>
  <si>
    <t>ESA07-T1717</t>
  </si>
  <si>
    <t>1997</t>
  </si>
  <si>
    <t>ESA07-T1997</t>
  </si>
  <si>
    <t>1950</t>
  </si>
  <si>
    <t>ESA07-T1950</t>
  </si>
  <si>
    <t>2003</t>
  </si>
  <si>
    <t>ESA07-T2003</t>
  </si>
  <si>
    <t>1687</t>
  </si>
  <si>
    <t>ESA07-T1687</t>
  </si>
  <si>
    <t>1688</t>
  </si>
  <si>
    <t>ESA07-T1688</t>
  </si>
  <si>
    <t>ESA07-T1699</t>
  </si>
  <si>
    <t>1772</t>
  </si>
  <si>
    <t>ESA07-T1772</t>
  </si>
  <si>
    <t>1960</t>
  </si>
  <si>
    <t>ESA07-T1960</t>
  </si>
  <si>
    <t>1775</t>
  </si>
  <si>
    <t>ESA07-T1775</t>
  </si>
  <si>
    <t>1991</t>
  </si>
  <si>
    <t>ESA07-T1991</t>
  </si>
  <si>
    <t>2006</t>
  </si>
  <si>
    <t>ESA07-T2006</t>
  </si>
  <si>
    <t>1720</t>
  </si>
  <si>
    <t>ESA07-T1720</t>
  </si>
  <si>
    <t>1992</t>
  </si>
  <si>
    <t>ESA07-T1992</t>
  </si>
  <si>
    <t>1821</t>
  </si>
  <si>
    <t>ESA07-T1821</t>
  </si>
  <si>
    <t>1729</t>
  </si>
  <si>
    <t>ESA07-T1729</t>
  </si>
  <si>
    <t>1956</t>
  </si>
  <si>
    <t>ESA07-T1956</t>
  </si>
  <si>
    <t>1724</t>
  </si>
  <si>
    <t>ESA07-T1724</t>
  </si>
  <si>
    <t>1963</t>
  </si>
  <si>
    <t>ESA07-T1963</t>
  </si>
  <si>
    <t>1813</t>
  </si>
  <si>
    <t>ESA07-T1813</t>
  </si>
  <si>
    <t>1765</t>
  </si>
  <si>
    <t>ESA07-T1765</t>
  </si>
  <si>
    <t>3486</t>
  </si>
  <si>
    <t>ESA07-T3486</t>
  </si>
  <si>
    <t>1710</t>
  </si>
  <si>
    <t>Apocynaceae</t>
  </si>
  <si>
    <t>Hancornia speciosa</t>
  </si>
  <si>
    <t>ESA07-T1710</t>
  </si>
  <si>
    <t>1716</t>
  </si>
  <si>
    <t>ESA07-T1716</t>
  </si>
  <si>
    <t>1726</t>
  </si>
  <si>
    <t>ESA07-T1726</t>
  </si>
  <si>
    <t>1993</t>
  </si>
  <si>
    <t>ESA07-T1993</t>
  </si>
  <si>
    <t>ESA07-T2001</t>
  </si>
  <si>
    <t>1784</t>
  </si>
  <si>
    <t>Byrsonima verbascifolia</t>
  </si>
  <si>
    <t>ESA07-T1784</t>
  </si>
  <si>
    <t>1979</t>
  </si>
  <si>
    <t>ESA07-T1979</t>
  </si>
  <si>
    <t>1990</t>
  </si>
  <si>
    <t>ESA07-T1990</t>
  </si>
  <si>
    <t>1817</t>
  </si>
  <si>
    <t>ESA07-T1817</t>
  </si>
  <si>
    <t>1930</t>
  </si>
  <si>
    <t>ESA07-T1930</t>
  </si>
  <si>
    <t>ESA09</t>
  </si>
  <si>
    <t>2658</t>
  </si>
  <si>
    <t>ESA09-T2658</t>
  </si>
  <si>
    <t>2832</t>
  </si>
  <si>
    <t>ESA09-T2832</t>
  </si>
  <si>
    <t>2939</t>
  </si>
  <si>
    <t>ESA09-T2939</t>
  </si>
  <si>
    <t>2663</t>
  </si>
  <si>
    <t>ESA09-T2663</t>
  </si>
  <si>
    <t>2958</t>
  </si>
  <si>
    <t>ESA09-T2958</t>
  </si>
  <si>
    <t>2672</t>
  </si>
  <si>
    <t>ESA09-T2672</t>
  </si>
  <si>
    <t>2689</t>
  </si>
  <si>
    <t>ESA09-T2689</t>
  </si>
  <si>
    <t>2699</t>
  </si>
  <si>
    <t>ESA09-T2699</t>
  </si>
  <si>
    <t>2919</t>
  </si>
  <si>
    <t>ESA09-T2919</t>
  </si>
  <si>
    <t>3028</t>
  </si>
  <si>
    <t>ESA09-T3028</t>
  </si>
  <si>
    <t>2673</t>
  </si>
  <si>
    <t>ESA09-T2673</t>
  </si>
  <si>
    <t>2935</t>
  </si>
  <si>
    <t>ESA09-T2935</t>
  </si>
  <si>
    <t>2997</t>
  </si>
  <si>
    <t>ESA09-T2997</t>
  </si>
  <si>
    <t>2738</t>
  </si>
  <si>
    <t>ESA09-T2738</t>
  </si>
  <si>
    <t>3049</t>
  </si>
  <si>
    <t>ESA09-T3049</t>
  </si>
  <si>
    <t>2927</t>
  </si>
  <si>
    <t>ESA09-T2927</t>
  </si>
  <si>
    <t>3321</t>
  </si>
  <si>
    <t>ESA09-T3321</t>
  </si>
  <si>
    <t>2913</t>
  </si>
  <si>
    <t>ESA09-T2913</t>
  </si>
  <si>
    <t>2947</t>
  </si>
  <si>
    <t>ESA09-T2947</t>
  </si>
  <si>
    <t>3722</t>
  </si>
  <si>
    <t>ESA09-T3722</t>
  </si>
  <si>
    <t>2869</t>
  </si>
  <si>
    <t>ESA09-T2869</t>
  </si>
  <si>
    <t>2725</t>
  </si>
  <si>
    <t>ESA09-T2725</t>
  </si>
  <si>
    <t>2952</t>
  </si>
  <si>
    <t>ESA09-T2952</t>
  </si>
  <si>
    <t>3162</t>
  </si>
  <si>
    <t>ESA09-T3162</t>
  </si>
  <si>
    <t>2949</t>
  </si>
  <si>
    <t>ESA09-T2949</t>
  </si>
  <si>
    <t>2929</t>
  </si>
  <si>
    <t>Dimorphandra mollis</t>
  </si>
  <si>
    <t>ESA09-T2929</t>
  </si>
  <si>
    <t>3339</t>
  </si>
  <si>
    <t>ESA09-T3339</t>
  </si>
  <si>
    <t>3172</t>
  </si>
  <si>
    <t>ESA09-T3172</t>
  </si>
  <si>
    <t>3249</t>
  </si>
  <si>
    <t>ESA09-T3249</t>
  </si>
  <si>
    <t>3248</t>
  </si>
  <si>
    <t>ESA09-T3248</t>
  </si>
  <si>
    <t>2909</t>
  </si>
  <si>
    <t>ESA09-T2909</t>
  </si>
  <si>
    <t>3024</t>
  </si>
  <si>
    <t>ESA09-T3024</t>
  </si>
  <si>
    <t>3195</t>
  </si>
  <si>
    <t>ESA09-T3195</t>
  </si>
  <si>
    <t>2677</t>
  </si>
  <si>
    <t>ESA09-T2677</t>
  </si>
  <si>
    <t>2962</t>
  </si>
  <si>
    <t>ESA09-T2962</t>
  </si>
  <si>
    <t>corky</t>
  </si>
  <si>
    <t>fissured</t>
  </si>
  <si>
    <t>scally</t>
  </si>
  <si>
    <t>OB_v</t>
  </si>
  <si>
    <t>IB_v</t>
  </si>
  <si>
    <t>OB_dried_m</t>
  </si>
  <si>
    <t>IB_dried_m</t>
  </si>
  <si>
    <t>OB_fresh_m</t>
  </si>
  <si>
    <t>IB_fresh_m</t>
  </si>
  <si>
    <t xml:space="preserve">scally </t>
  </si>
  <si>
    <t>smooth</t>
  </si>
  <si>
    <t xml:space="preserve">corky </t>
  </si>
  <si>
    <t>ESA04-T0258</t>
  </si>
  <si>
    <t>ESA04-T0051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</si>
</sst>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0" fontId="5" fillId="0" borderId="1" xfId="0" applyFont="1" applyBorder="1"/>
    <xf numFmtId="0" fontId="6" fillId="0" borderId="1" xfId="0" applyFont="1" applyFill="1" applyBorder="1"/>
    <xf numFmtId="0" fontId="5" fillId="0" borderId="1" xfId="0" applyFont="1" applyFill="1" applyBorder="1"/>
    <xf numFmtId="0" fontId="0" fillId="0" borderId="1" xfId="0" applyBorder="1"/>
    <xf numFmtId="0" fontId="4" fillId="0" borderId="1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8"/>
  <sheetViews>
    <sheetView tabSelected="1" topLeftCell="F1" zoomScale="95" zoomScaleNormal="10" workbookViewId="0">
      <selection activeCell="L4" sqref="L4"/>
    </sheetView>
  </sheetViews>
  <sheetFormatPr baseColWidth="10" defaultColWidth="10.7109375" defaultRowHeight="15" x14ac:dyDescent="0.25"/>
  <cols>
    <col min="6" max="6" width="13.7109375" customWidth="1"/>
    <col min="13" max="13" width="10.7109375" style="3"/>
    <col min="14" max="15" width="10.7109375" style="1"/>
    <col min="19" max="21" width="10.7109375" style="1"/>
  </cols>
  <sheetData>
    <row r="1" spans="1:23" s="4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10</v>
      </c>
      <c r="I1" s="5" t="s">
        <v>7</v>
      </c>
      <c r="J1" s="5" t="s">
        <v>8</v>
      </c>
      <c r="K1" s="5" t="s">
        <v>9</v>
      </c>
      <c r="L1" s="5" t="s">
        <v>11</v>
      </c>
      <c r="M1" s="6" t="s">
        <v>383</v>
      </c>
      <c r="N1" s="7" t="s">
        <v>384</v>
      </c>
      <c r="O1" s="7" t="s">
        <v>14</v>
      </c>
      <c r="P1" s="5" t="s">
        <v>379</v>
      </c>
      <c r="Q1" s="5" t="s">
        <v>380</v>
      </c>
      <c r="R1" s="5" t="s">
        <v>12</v>
      </c>
      <c r="S1" s="7" t="s">
        <v>381</v>
      </c>
      <c r="T1" s="7" t="s">
        <v>382</v>
      </c>
      <c r="U1" s="7" t="s">
        <v>13</v>
      </c>
      <c r="V1" s="5" t="s">
        <v>15</v>
      </c>
      <c r="W1" s="5" t="s">
        <v>16</v>
      </c>
    </row>
    <row r="2" spans="1:23" x14ac:dyDescent="0.25">
      <c r="A2" s="8" t="s">
        <v>17</v>
      </c>
      <c r="B2" s="8">
        <v>1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376</v>
      </c>
      <c r="H2" s="8">
        <v>28.9</v>
      </c>
      <c r="I2" s="8">
        <f>(11.23+10.91+11.39)/3</f>
        <v>11.176666666666668</v>
      </c>
      <c r="J2" s="8">
        <f>(10.04+8.71+8.1)/3</f>
        <v>8.9500000000000011</v>
      </c>
      <c r="K2" s="8">
        <f>I2+J2</f>
        <v>20.126666666666669</v>
      </c>
      <c r="L2" s="8">
        <f>(K2/(H2*10))*100</f>
        <v>6.9642445213379478</v>
      </c>
      <c r="M2" s="9">
        <v>2.5099999999999998</v>
      </c>
      <c r="N2" s="10">
        <v>2.04</v>
      </c>
      <c r="O2" s="10">
        <f>M2+N2</f>
        <v>4.55</v>
      </c>
      <c r="P2" s="8">
        <f>2.8-0.45</f>
        <v>2.3499999999999996</v>
      </c>
      <c r="Q2" s="8">
        <f>1.82-0.05</f>
        <v>1.77</v>
      </c>
      <c r="R2" s="8">
        <f>P2+Q2</f>
        <v>4.1199999999999992</v>
      </c>
      <c r="S2" s="10">
        <v>0.67</v>
      </c>
      <c r="T2" s="10">
        <v>1.1399999999999999</v>
      </c>
      <c r="U2" s="10">
        <f>S2+T2</f>
        <v>1.81</v>
      </c>
      <c r="V2" s="8">
        <f>U2/R2</f>
        <v>0.43932038834951465</v>
      </c>
      <c r="W2" s="8">
        <f>((O2-U2)/U2)*100</f>
        <v>151.38121546961324</v>
      </c>
    </row>
    <row r="3" spans="1:23" s="2" customFormat="1" ht="16.5" customHeight="1" x14ac:dyDescent="0.25">
      <c r="A3" s="11" t="s">
        <v>17</v>
      </c>
      <c r="B3" s="11">
        <v>12</v>
      </c>
      <c r="C3" s="11" t="s">
        <v>22</v>
      </c>
      <c r="D3" s="11" t="s">
        <v>19</v>
      </c>
      <c r="E3" s="11" t="s">
        <v>20</v>
      </c>
      <c r="F3" s="12" t="s">
        <v>23</v>
      </c>
      <c r="G3" s="11" t="s">
        <v>376</v>
      </c>
      <c r="H3" s="11">
        <v>40</v>
      </c>
      <c r="I3" s="11">
        <f>(8.32+7.74+6.52)/3</f>
        <v>7.5266666666666673</v>
      </c>
      <c r="J3" s="11">
        <f>(7.03+6.46+5.902)/3</f>
        <v>6.4639999999999995</v>
      </c>
      <c r="K3" s="8">
        <f t="shared" ref="K3:K66" si="0">I3+J3</f>
        <v>13.990666666666666</v>
      </c>
      <c r="L3" s="11">
        <f>(K3/(H3*10))*100</f>
        <v>3.4976666666666665</v>
      </c>
      <c r="M3" s="9">
        <v>3.42</v>
      </c>
      <c r="N3" s="11">
        <v>2.96</v>
      </c>
      <c r="O3" s="10">
        <f t="shared" ref="O3:O66" si="1">M3+N3</f>
        <v>6.38</v>
      </c>
      <c r="P3" s="11">
        <f>3.51-0.05</f>
        <v>3.46</v>
      </c>
      <c r="Q3" s="11">
        <f>2.73-0.05</f>
        <v>2.68</v>
      </c>
      <c r="R3" s="8">
        <f t="shared" ref="R3:R66" si="2">P3+Q3</f>
        <v>6.1400000000000006</v>
      </c>
      <c r="S3" s="11">
        <v>1.99</v>
      </c>
      <c r="T3" s="11">
        <v>1.69</v>
      </c>
      <c r="U3" s="10">
        <f t="shared" ref="U3:U66" si="3">S3+T3</f>
        <v>3.6799999999999997</v>
      </c>
      <c r="V3" s="8">
        <f t="shared" ref="V3:V66" si="4">U3/R3</f>
        <v>0.59934853420195433</v>
      </c>
      <c r="W3" s="8">
        <f t="shared" ref="W3:W66" si="5">((O3-U3)/U3)*100</f>
        <v>73.369565217391326</v>
      </c>
    </row>
    <row r="4" spans="1:23" s="1" customFormat="1" x14ac:dyDescent="0.25">
      <c r="A4" s="10" t="s">
        <v>17</v>
      </c>
      <c r="B4" s="10">
        <v>23</v>
      </c>
      <c r="C4" s="10" t="s">
        <v>24</v>
      </c>
      <c r="D4" s="10" t="s">
        <v>19</v>
      </c>
      <c r="E4" s="10" t="s">
        <v>20</v>
      </c>
      <c r="F4" s="10" t="s">
        <v>25</v>
      </c>
      <c r="G4" s="10" t="s">
        <v>376</v>
      </c>
      <c r="H4" s="10">
        <v>36.4</v>
      </c>
      <c r="I4" s="10">
        <f>(17.24+17.8+18.25)/3</f>
        <v>17.763333333333332</v>
      </c>
      <c r="J4" s="10">
        <f>(2.76+3.02+3.52)/3</f>
        <v>3.0999999999999996</v>
      </c>
      <c r="K4" s="8">
        <f t="shared" si="0"/>
        <v>20.86333333333333</v>
      </c>
      <c r="L4" s="10">
        <f t="shared" ref="L3:L66" si="6">(K4/(H4*10))*100</f>
        <v>5.7316849816849809</v>
      </c>
      <c r="M4" s="9">
        <v>4.91</v>
      </c>
      <c r="N4" s="10">
        <v>0.8</v>
      </c>
      <c r="O4" s="10">
        <f t="shared" si="1"/>
        <v>5.71</v>
      </c>
      <c r="P4" s="10">
        <f>4.96-0.45</f>
        <v>4.51</v>
      </c>
      <c r="Q4" s="10">
        <f>0.75-0.05</f>
        <v>0.7</v>
      </c>
      <c r="R4" s="8">
        <f t="shared" si="2"/>
        <v>5.21</v>
      </c>
      <c r="S4" s="10">
        <v>3.08</v>
      </c>
      <c r="T4" s="10">
        <v>0.43</v>
      </c>
      <c r="U4" s="10">
        <f t="shared" si="3"/>
        <v>3.5100000000000002</v>
      </c>
      <c r="V4" s="8">
        <f t="shared" si="4"/>
        <v>0.6737044145873321</v>
      </c>
      <c r="W4" s="8">
        <f t="shared" si="5"/>
        <v>62.678062678062659</v>
      </c>
    </row>
    <row r="5" spans="1:23" x14ac:dyDescent="0.25">
      <c r="A5" s="8" t="s">
        <v>17</v>
      </c>
      <c r="B5" s="8">
        <v>18</v>
      </c>
      <c r="C5" s="8" t="s">
        <v>26</v>
      </c>
      <c r="D5" s="8" t="s">
        <v>19</v>
      </c>
      <c r="E5" s="8" t="s">
        <v>20</v>
      </c>
      <c r="F5" s="8" t="s">
        <v>27</v>
      </c>
      <c r="G5" s="8" t="s">
        <v>376</v>
      </c>
      <c r="H5" s="8">
        <v>33.799999999999997</v>
      </c>
      <c r="I5" s="8">
        <f>(9.92+9.81+11.63)/3</f>
        <v>10.453333333333333</v>
      </c>
      <c r="J5" s="8">
        <f>(6.81+6.76+5.55)/3</f>
        <v>6.373333333333334</v>
      </c>
      <c r="K5" s="8">
        <f t="shared" si="0"/>
        <v>16.826666666666668</v>
      </c>
      <c r="L5" s="8">
        <f t="shared" si="6"/>
        <v>4.9783037475345164</v>
      </c>
      <c r="M5" s="9">
        <v>3.25</v>
      </c>
      <c r="N5" s="10">
        <v>1.92</v>
      </c>
      <c r="O5" s="10">
        <f t="shared" si="1"/>
        <v>5.17</v>
      </c>
      <c r="P5" s="8">
        <f>3.6-0.05</f>
        <v>3.5500000000000003</v>
      </c>
      <c r="Q5" s="8">
        <f>1.65-0.05</f>
        <v>1.5999999999999999</v>
      </c>
      <c r="R5" s="8">
        <f t="shared" si="2"/>
        <v>5.15</v>
      </c>
      <c r="S5" s="10">
        <v>2.59</v>
      </c>
      <c r="T5" s="10">
        <v>1.08</v>
      </c>
      <c r="U5" s="10">
        <f t="shared" si="3"/>
        <v>3.67</v>
      </c>
      <c r="V5" s="8">
        <f t="shared" si="4"/>
        <v>0.71262135922330094</v>
      </c>
      <c r="W5" s="8">
        <f t="shared" si="5"/>
        <v>40.871934604904631</v>
      </c>
    </row>
    <row r="6" spans="1:23" x14ac:dyDescent="0.25">
      <c r="A6" s="8" t="s">
        <v>17</v>
      </c>
      <c r="B6" s="8">
        <v>1</v>
      </c>
      <c r="C6" s="8" t="s">
        <v>28</v>
      </c>
      <c r="D6" s="8" t="s">
        <v>19</v>
      </c>
      <c r="E6" s="8" t="s">
        <v>20</v>
      </c>
      <c r="F6" s="8" t="s">
        <v>29</v>
      </c>
      <c r="G6" s="8" t="s">
        <v>376</v>
      </c>
      <c r="H6" s="8">
        <v>27.5</v>
      </c>
      <c r="I6" s="8">
        <f>(23.42+23.7+23.08)/3</f>
        <v>23.400000000000002</v>
      </c>
      <c r="J6" s="8">
        <f>(8.4+7.21+8.72)/3</f>
        <v>8.11</v>
      </c>
      <c r="K6" s="8">
        <f t="shared" si="0"/>
        <v>31.51</v>
      </c>
      <c r="L6" s="8">
        <f t="shared" si="6"/>
        <v>11.458181818181819</v>
      </c>
      <c r="M6" s="9">
        <v>11.66</v>
      </c>
      <c r="N6" s="10">
        <v>6.95</v>
      </c>
      <c r="O6" s="10">
        <f t="shared" si="1"/>
        <v>18.61</v>
      </c>
      <c r="P6" s="8">
        <f>12.87-0.05</f>
        <v>12.819999999999999</v>
      </c>
      <c r="Q6" s="8">
        <f>6.03-0.05</f>
        <v>5.98</v>
      </c>
      <c r="R6" s="8">
        <f t="shared" si="2"/>
        <v>18.799999999999997</v>
      </c>
      <c r="S6" s="10">
        <v>9.15</v>
      </c>
      <c r="T6" s="10">
        <v>4.08</v>
      </c>
      <c r="U6" s="10">
        <f t="shared" si="3"/>
        <v>13.23</v>
      </c>
      <c r="V6" s="8">
        <f t="shared" si="4"/>
        <v>0.70372340425531932</v>
      </c>
      <c r="W6" s="8">
        <f t="shared" si="5"/>
        <v>40.665154950869223</v>
      </c>
    </row>
    <row r="7" spans="1:23" x14ac:dyDescent="0.25">
      <c r="A7" s="8" t="s">
        <v>17</v>
      </c>
      <c r="B7" s="8">
        <v>1</v>
      </c>
      <c r="C7" s="8" t="s">
        <v>30</v>
      </c>
      <c r="D7" s="8" t="s">
        <v>31</v>
      </c>
      <c r="E7" s="8" t="s">
        <v>32</v>
      </c>
      <c r="F7" s="8" t="s">
        <v>33</v>
      </c>
      <c r="G7" s="8" t="s">
        <v>376</v>
      </c>
      <c r="H7" s="8">
        <v>17.5</v>
      </c>
      <c r="I7" s="8">
        <f>(12.78+15.97+14.43)/3</f>
        <v>14.393333333333333</v>
      </c>
      <c r="J7" s="8">
        <f>(5.21+4.3+4.9)/3</f>
        <v>4.8033333333333337</v>
      </c>
      <c r="K7" s="8">
        <f t="shared" si="0"/>
        <v>19.196666666666665</v>
      </c>
      <c r="L7" s="8">
        <f t="shared" si="6"/>
        <v>10.969523809523809</v>
      </c>
      <c r="M7" s="9">
        <v>3.71</v>
      </c>
      <c r="N7" s="10">
        <v>1.99</v>
      </c>
      <c r="O7" s="10">
        <f t="shared" si="1"/>
        <v>5.7</v>
      </c>
      <c r="P7" s="8">
        <f>7.9-0.45</f>
        <v>7.45</v>
      </c>
      <c r="Q7" s="8">
        <f>1.75-0.05</f>
        <v>1.7</v>
      </c>
      <c r="R7" s="8">
        <f t="shared" si="2"/>
        <v>9.15</v>
      </c>
      <c r="S7" s="10">
        <v>2.8</v>
      </c>
      <c r="T7" s="10">
        <v>0.72</v>
      </c>
      <c r="U7" s="10">
        <f t="shared" si="3"/>
        <v>3.5199999999999996</v>
      </c>
      <c r="V7" s="8">
        <f t="shared" si="4"/>
        <v>0.38469945355191248</v>
      </c>
      <c r="W7" s="8">
        <f t="shared" si="5"/>
        <v>61.931818181818208</v>
      </c>
    </row>
    <row r="8" spans="1:23" s="2" customFormat="1" x14ac:dyDescent="0.25">
      <c r="A8" s="11" t="s">
        <v>17</v>
      </c>
      <c r="B8" s="11">
        <v>18</v>
      </c>
      <c r="C8" s="11" t="s">
        <v>34</v>
      </c>
      <c r="D8" s="11" t="s">
        <v>31</v>
      </c>
      <c r="E8" s="11" t="s">
        <v>32</v>
      </c>
      <c r="F8" s="12" t="s">
        <v>35</v>
      </c>
      <c r="G8" s="11" t="s">
        <v>376</v>
      </c>
      <c r="H8" s="11">
        <v>27.1</v>
      </c>
      <c r="I8" s="11">
        <f>(9+10.08+8.13)/3</f>
        <v>9.07</v>
      </c>
      <c r="J8" s="11">
        <f>(7+6.52+6.78)/3</f>
        <v>6.7666666666666666</v>
      </c>
      <c r="K8" s="8">
        <f t="shared" si="0"/>
        <v>15.836666666666666</v>
      </c>
      <c r="L8" s="11">
        <f t="shared" si="6"/>
        <v>5.8437884378843785</v>
      </c>
      <c r="M8" s="9">
        <v>2.62</v>
      </c>
      <c r="N8" s="11">
        <v>1.98</v>
      </c>
      <c r="O8" s="10">
        <f t="shared" si="1"/>
        <v>4.5999999999999996</v>
      </c>
      <c r="P8" s="11">
        <f>2.48-0.05</f>
        <v>2.4300000000000002</v>
      </c>
      <c r="Q8" s="11">
        <f>1.8-0.05</f>
        <v>1.75</v>
      </c>
      <c r="R8" s="8">
        <f t="shared" si="2"/>
        <v>4.18</v>
      </c>
      <c r="S8" s="11">
        <v>0.95</v>
      </c>
      <c r="T8" s="11">
        <v>1.31</v>
      </c>
      <c r="U8" s="10">
        <f t="shared" si="3"/>
        <v>2.2599999999999998</v>
      </c>
      <c r="V8" s="8">
        <f t="shared" si="4"/>
        <v>0.54066985645933008</v>
      </c>
      <c r="W8" s="8">
        <f t="shared" si="5"/>
        <v>103.53982300884957</v>
      </c>
    </row>
    <row r="9" spans="1:23" x14ac:dyDescent="0.25">
      <c r="A9" s="8" t="s">
        <v>17</v>
      </c>
      <c r="B9" s="8">
        <v>1</v>
      </c>
      <c r="C9" s="8" t="s">
        <v>36</v>
      </c>
      <c r="D9" s="8" t="s">
        <v>31</v>
      </c>
      <c r="E9" s="8" t="s">
        <v>32</v>
      </c>
      <c r="F9" s="8" t="s">
        <v>37</v>
      </c>
      <c r="G9" s="8" t="s">
        <v>376</v>
      </c>
      <c r="H9" s="8">
        <v>13</v>
      </c>
      <c r="I9" s="8">
        <f>(19.19+17.36+18.83)/3</f>
        <v>18.459999999999997</v>
      </c>
      <c r="J9" s="8">
        <f>(5.95+5.55+5.06)/3</f>
        <v>5.52</v>
      </c>
      <c r="K9" s="8">
        <f t="shared" si="0"/>
        <v>23.979999999999997</v>
      </c>
      <c r="L9" s="8">
        <f t="shared" si="6"/>
        <v>18.446153846153841</v>
      </c>
      <c r="M9" s="9">
        <v>3.12</v>
      </c>
      <c r="N9" s="10">
        <v>2.13</v>
      </c>
      <c r="O9" s="10">
        <f t="shared" si="1"/>
        <v>5.25</v>
      </c>
      <c r="P9" s="8">
        <f>10.06-0.45</f>
        <v>9.6100000000000012</v>
      </c>
      <c r="Q9" s="8">
        <f>2.07-0.05</f>
        <v>2.02</v>
      </c>
      <c r="R9" s="8">
        <f t="shared" si="2"/>
        <v>11.63</v>
      </c>
      <c r="S9" s="10">
        <v>2.75</v>
      </c>
      <c r="T9" s="10">
        <v>1.1000000000000001</v>
      </c>
      <c r="U9" s="10">
        <f t="shared" si="3"/>
        <v>3.85</v>
      </c>
      <c r="V9" s="8">
        <f t="shared" si="4"/>
        <v>0.33104041272570933</v>
      </c>
      <c r="W9" s="8">
        <f t="shared" si="5"/>
        <v>36.36363636363636</v>
      </c>
    </row>
    <row r="10" spans="1:23" x14ac:dyDescent="0.25">
      <c r="A10" s="8" t="s">
        <v>17</v>
      </c>
      <c r="B10" s="8">
        <v>2</v>
      </c>
      <c r="C10" s="8" t="s">
        <v>38</v>
      </c>
      <c r="D10" s="8" t="s">
        <v>31</v>
      </c>
      <c r="E10" s="8" t="s">
        <v>32</v>
      </c>
      <c r="F10" s="8" t="s">
        <v>51</v>
      </c>
      <c r="G10" s="8" t="s">
        <v>376</v>
      </c>
      <c r="H10" s="8">
        <v>10.3</v>
      </c>
      <c r="I10" s="8">
        <f>(5.92+4.26+6.3)/3</f>
        <v>5.4933333333333332</v>
      </c>
      <c r="J10" s="8">
        <f>(6.3+4.04+6.04)/3</f>
        <v>5.46</v>
      </c>
      <c r="K10" s="8">
        <f t="shared" si="0"/>
        <v>10.953333333333333</v>
      </c>
      <c r="L10" s="8">
        <f t="shared" si="6"/>
        <v>10.63430420711974</v>
      </c>
      <c r="M10" s="9">
        <v>0.92</v>
      </c>
      <c r="N10" s="10">
        <v>1.1499999999999999</v>
      </c>
      <c r="O10" s="10">
        <f t="shared" si="1"/>
        <v>2.0699999999999998</v>
      </c>
      <c r="P10" s="8">
        <f>2.09-0.05</f>
        <v>2.04</v>
      </c>
      <c r="Q10" s="8">
        <f>1.07-0.05</f>
        <v>1.02</v>
      </c>
      <c r="R10" s="8">
        <f t="shared" si="2"/>
        <v>3.06</v>
      </c>
      <c r="S10" s="10">
        <v>0.17</v>
      </c>
      <c r="T10" s="10">
        <v>0.65</v>
      </c>
      <c r="U10" s="10">
        <f t="shared" si="3"/>
        <v>0.82000000000000006</v>
      </c>
      <c r="V10" s="8">
        <f t="shared" si="4"/>
        <v>0.26797385620915032</v>
      </c>
      <c r="W10" s="8">
        <f t="shared" si="5"/>
        <v>152.43902439024387</v>
      </c>
    </row>
    <row r="11" spans="1:23" s="2" customFormat="1" x14ac:dyDescent="0.25">
      <c r="A11" s="11" t="s">
        <v>17</v>
      </c>
      <c r="B11" s="11">
        <v>12</v>
      </c>
      <c r="C11" s="11" t="s">
        <v>39</v>
      </c>
      <c r="D11" s="11" t="s">
        <v>31</v>
      </c>
      <c r="E11" s="11" t="s">
        <v>32</v>
      </c>
      <c r="F11" s="13" t="s">
        <v>40</v>
      </c>
      <c r="G11" s="11" t="s">
        <v>387</v>
      </c>
      <c r="H11" s="11">
        <v>16.2</v>
      </c>
      <c r="I11" s="11">
        <f>(7.56+6.54+7.65)/3</f>
        <v>7.25</v>
      </c>
      <c r="J11" s="11">
        <f>(12.2+11.8+9.71)/3</f>
        <v>11.236666666666666</v>
      </c>
      <c r="K11" s="8">
        <f t="shared" si="0"/>
        <v>18.486666666666665</v>
      </c>
      <c r="L11" s="11">
        <f t="shared" si="6"/>
        <v>11.411522633744854</v>
      </c>
      <c r="M11" s="9">
        <v>2.0099999999999998</v>
      </c>
      <c r="N11" s="11">
        <v>1.3</v>
      </c>
      <c r="O11" s="10">
        <f t="shared" si="1"/>
        <v>3.3099999999999996</v>
      </c>
      <c r="P11" s="11">
        <f>3.65-0.05</f>
        <v>3.6</v>
      </c>
      <c r="Q11" s="11">
        <f>3.25-0.05</f>
        <v>3.2</v>
      </c>
      <c r="R11" s="8">
        <f t="shared" si="2"/>
        <v>6.8000000000000007</v>
      </c>
      <c r="S11" s="11">
        <v>1.05</v>
      </c>
      <c r="T11" s="11">
        <v>0.92</v>
      </c>
      <c r="U11" s="10">
        <f t="shared" si="3"/>
        <v>1.9700000000000002</v>
      </c>
      <c r="V11" s="8">
        <f t="shared" si="4"/>
        <v>0.2897058823529412</v>
      </c>
      <c r="W11" s="8">
        <f t="shared" si="5"/>
        <v>68.020304568527877</v>
      </c>
    </row>
    <row r="12" spans="1:23" x14ac:dyDescent="0.25">
      <c r="A12" s="8" t="s">
        <v>17</v>
      </c>
      <c r="B12" s="8">
        <v>13</v>
      </c>
      <c r="C12" s="8" t="s">
        <v>41</v>
      </c>
      <c r="D12" s="8" t="s">
        <v>42</v>
      </c>
      <c r="E12" s="8" t="s">
        <v>43</v>
      </c>
      <c r="F12" s="8" t="s">
        <v>44</v>
      </c>
      <c r="G12" s="8" t="s">
        <v>386</v>
      </c>
      <c r="H12" s="8">
        <v>26.4</v>
      </c>
      <c r="I12" s="8">
        <f>(3.37+3.27+3.01)/3</f>
        <v>3.2166666666666668</v>
      </c>
      <c r="J12" s="8">
        <f>(6.02+5.87+6.6)/3</f>
        <v>6.163333333333334</v>
      </c>
      <c r="K12" s="8">
        <f t="shared" si="0"/>
        <v>9.3800000000000008</v>
      </c>
      <c r="L12" s="8">
        <f t="shared" si="6"/>
        <v>3.5530303030303032</v>
      </c>
      <c r="M12" s="9">
        <v>0.83</v>
      </c>
      <c r="N12" s="10">
        <v>2.7</v>
      </c>
      <c r="O12" s="10">
        <f t="shared" si="1"/>
        <v>3.5300000000000002</v>
      </c>
      <c r="P12" s="8">
        <f>0.81-0.05</f>
        <v>0.76</v>
      </c>
      <c r="Q12" s="8">
        <f>2.4-0.05</f>
        <v>2.35</v>
      </c>
      <c r="R12" s="8">
        <f t="shared" si="2"/>
        <v>3.1100000000000003</v>
      </c>
      <c r="S12" s="10">
        <v>0.31</v>
      </c>
      <c r="T12" s="10">
        <v>1.17</v>
      </c>
      <c r="U12" s="10">
        <f t="shared" si="3"/>
        <v>1.48</v>
      </c>
      <c r="V12" s="8">
        <f t="shared" si="4"/>
        <v>0.47588424437299032</v>
      </c>
      <c r="W12" s="8">
        <f t="shared" si="5"/>
        <v>138.51351351351354</v>
      </c>
    </row>
    <row r="13" spans="1:23" x14ac:dyDescent="0.25">
      <c r="A13" s="8" t="s">
        <v>17</v>
      </c>
      <c r="B13" s="8">
        <v>1</v>
      </c>
      <c r="C13" s="8" t="s">
        <v>45</v>
      </c>
      <c r="D13" s="8" t="s">
        <v>42</v>
      </c>
      <c r="E13" s="8" t="s">
        <v>43</v>
      </c>
      <c r="F13" s="8" t="s">
        <v>46</v>
      </c>
      <c r="G13" s="8" t="s">
        <v>377</v>
      </c>
      <c r="H13" s="8">
        <v>12.7</v>
      </c>
      <c r="I13" s="8">
        <f>(5.2+4.06+4.26)/3</f>
        <v>4.5066666666666668</v>
      </c>
      <c r="J13" s="8">
        <f>(5.59+5.85+5.45)/3</f>
        <v>5.63</v>
      </c>
      <c r="K13" s="8">
        <f t="shared" si="0"/>
        <v>10.136666666666667</v>
      </c>
      <c r="L13" s="8">
        <f t="shared" si="6"/>
        <v>7.9816272965879262</v>
      </c>
      <c r="M13" s="9">
        <v>0.37</v>
      </c>
      <c r="N13" s="10">
        <v>1.37</v>
      </c>
      <c r="O13" s="10">
        <f t="shared" si="1"/>
        <v>1.7400000000000002</v>
      </c>
      <c r="P13" s="8">
        <f>0.85-0.05</f>
        <v>0.79999999999999993</v>
      </c>
      <c r="Q13" s="8">
        <f>1.25-0.05</f>
        <v>1.2</v>
      </c>
      <c r="R13" s="8">
        <f t="shared" si="2"/>
        <v>2</v>
      </c>
      <c r="S13" s="10">
        <v>0.34</v>
      </c>
      <c r="T13" s="10">
        <v>0.51</v>
      </c>
      <c r="U13" s="10">
        <f t="shared" si="3"/>
        <v>0.85000000000000009</v>
      </c>
      <c r="V13" s="8">
        <f t="shared" si="4"/>
        <v>0.42500000000000004</v>
      </c>
      <c r="W13" s="8">
        <f t="shared" si="5"/>
        <v>104.70588235294119</v>
      </c>
    </row>
    <row r="14" spans="1:23" x14ac:dyDescent="0.25">
      <c r="A14" s="8" t="s">
        <v>17</v>
      </c>
      <c r="B14" s="8">
        <v>19</v>
      </c>
      <c r="C14" s="8" t="s">
        <v>47</v>
      </c>
      <c r="D14" s="8" t="s">
        <v>42</v>
      </c>
      <c r="E14" s="8" t="s">
        <v>43</v>
      </c>
      <c r="F14" s="8" t="s">
        <v>48</v>
      </c>
      <c r="G14" s="8" t="s">
        <v>385</v>
      </c>
      <c r="H14" s="8">
        <v>31.8</v>
      </c>
      <c r="I14" s="8">
        <f>(3.56+3.62+3.6)/3</f>
        <v>3.5933333333333333</v>
      </c>
      <c r="J14" s="8">
        <f>(7.79+10+7.89)/3</f>
        <v>8.56</v>
      </c>
      <c r="K14" s="8">
        <f t="shared" si="0"/>
        <v>12.153333333333334</v>
      </c>
      <c r="L14" s="8">
        <f t="shared" si="6"/>
        <v>3.8218029350104827</v>
      </c>
      <c r="M14" s="9">
        <v>2.42</v>
      </c>
      <c r="N14" s="10">
        <v>2.13</v>
      </c>
      <c r="O14" s="10">
        <f t="shared" si="1"/>
        <v>4.55</v>
      </c>
      <c r="P14" s="8">
        <f>5.15-0.05</f>
        <v>5.1000000000000005</v>
      </c>
      <c r="Q14" s="8">
        <f>1.93-0.05</f>
        <v>1.88</v>
      </c>
      <c r="R14" s="8">
        <f t="shared" si="2"/>
        <v>6.98</v>
      </c>
      <c r="S14" s="10">
        <v>2.09</v>
      </c>
      <c r="T14" s="10">
        <v>0.82</v>
      </c>
      <c r="U14" s="10">
        <f t="shared" si="3"/>
        <v>2.9099999999999997</v>
      </c>
      <c r="V14" s="8">
        <f t="shared" si="4"/>
        <v>0.41690544412607444</v>
      </c>
      <c r="W14" s="8">
        <f t="shared" si="5"/>
        <v>56.357388316151216</v>
      </c>
    </row>
    <row r="15" spans="1:23" x14ac:dyDescent="0.25">
      <c r="A15" s="8" t="s">
        <v>17</v>
      </c>
      <c r="B15" s="8">
        <v>2</v>
      </c>
      <c r="C15" s="8" t="s">
        <v>49</v>
      </c>
      <c r="D15" s="8" t="s">
        <v>42</v>
      </c>
      <c r="E15" s="8" t="s">
        <v>43</v>
      </c>
      <c r="F15" s="8" t="s">
        <v>389</v>
      </c>
      <c r="G15" s="8" t="s">
        <v>378</v>
      </c>
      <c r="H15" s="8">
        <v>12</v>
      </c>
      <c r="I15" s="8">
        <f>(2.33+2.89+2.28)/3</f>
        <v>2.5</v>
      </c>
      <c r="J15" s="8">
        <f>(6.21+7.02+6.91)/3</f>
        <v>6.7133333333333338</v>
      </c>
      <c r="K15" s="8">
        <f t="shared" si="0"/>
        <v>9.2133333333333347</v>
      </c>
      <c r="L15" s="8">
        <f t="shared" si="6"/>
        <v>7.6777777777777789</v>
      </c>
      <c r="M15" s="9">
        <v>0.36</v>
      </c>
      <c r="N15" s="10">
        <v>3.12</v>
      </c>
      <c r="O15" s="10">
        <f t="shared" si="1"/>
        <v>3.48</v>
      </c>
      <c r="P15" s="8">
        <f>0.81-0.05</f>
        <v>0.76</v>
      </c>
      <c r="Q15" s="8">
        <f>2.89-0.05</f>
        <v>2.8400000000000003</v>
      </c>
      <c r="R15" s="8">
        <f t="shared" si="2"/>
        <v>3.6000000000000005</v>
      </c>
      <c r="S15" s="10">
        <v>0.32</v>
      </c>
      <c r="T15" s="10">
        <v>1.02</v>
      </c>
      <c r="U15" s="10">
        <f t="shared" si="3"/>
        <v>1.34</v>
      </c>
      <c r="V15" s="8">
        <f t="shared" si="4"/>
        <v>0.37222222222222218</v>
      </c>
      <c r="W15" s="8">
        <f t="shared" si="5"/>
        <v>159.70149253731341</v>
      </c>
    </row>
    <row r="16" spans="1:23" s="1" customFormat="1" x14ac:dyDescent="0.25">
      <c r="A16" s="10" t="s">
        <v>17</v>
      </c>
      <c r="B16" s="10">
        <v>2</v>
      </c>
      <c r="C16" s="10" t="s">
        <v>50</v>
      </c>
      <c r="D16" s="10" t="s">
        <v>42</v>
      </c>
      <c r="E16" s="10" t="s">
        <v>43</v>
      </c>
      <c r="F16" s="10" t="s">
        <v>51</v>
      </c>
      <c r="G16" s="10" t="s">
        <v>386</v>
      </c>
      <c r="H16" s="10">
        <v>9.1</v>
      </c>
      <c r="I16" s="10">
        <f>(1.76+2.69+0.98)/3</f>
        <v>1.8099999999999998</v>
      </c>
      <c r="J16" s="10">
        <f>(3.23+6.57+7.1)/3</f>
        <v>5.6333333333333329</v>
      </c>
      <c r="K16" s="8">
        <f t="shared" si="0"/>
        <v>7.4433333333333325</v>
      </c>
      <c r="L16" s="10">
        <f>(K16/(H16*10))*100</f>
        <v>8.1794871794871788</v>
      </c>
      <c r="M16" s="9">
        <v>0.41</v>
      </c>
      <c r="N16" s="10">
        <v>2.69</v>
      </c>
      <c r="O16" s="10">
        <f t="shared" si="1"/>
        <v>3.1</v>
      </c>
      <c r="P16" s="10">
        <f>0.45-0.05</f>
        <v>0.4</v>
      </c>
      <c r="Q16" s="10">
        <f>2.46-0.05</f>
        <v>2.41</v>
      </c>
      <c r="R16" s="8">
        <f t="shared" si="2"/>
        <v>2.81</v>
      </c>
      <c r="S16" s="10">
        <v>0.1</v>
      </c>
      <c r="T16" s="10">
        <v>0.75</v>
      </c>
      <c r="U16" s="10">
        <f t="shared" si="3"/>
        <v>0.85</v>
      </c>
      <c r="V16" s="10">
        <f t="shared" si="4"/>
        <v>0.30249110320284694</v>
      </c>
      <c r="W16" s="8">
        <f t="shared" si="5"/>
        <v>264.70588235294116</v>
      </c>
    </row>
    <row r="17" spans="1:23" x14ac:dyDescent="0.25">
      <c r="A17" s="8" t="s">
        <v>17</v>
      </c>
      <c r="B17" s="8">
        <v>1</v>
      </c>
      <c r="C17" s="8" t="s">
        <v>52</v>
      </c>
      <c r="D17" s="8" t="s">
        <v>53</v>
      </c>
      <c r="E17" s="8" t="s">
        <v>54</v>
      </c>
      <c r="F17" s="8" t="s">
        <v>55</v>
      </c>
      <c r="G17" s="8" t="s">
        <v>376</v>
      </c>
      <c r="H17" s="8">
        <v>9.8000000000000007</v>
      </c>
      <c r="I17" s="8">
        <f>(14.02+10.5+13.42)/3</f>
        <v>12.646666666666667</v>
      </c>
      <c r="J17" s="8">
        <f>(4.99+6.24+6.14)/3</f>
        <v>5.79</v>
      </c>
      <c r="K17" s="8">
        <f t="shared" si="0"/>
        <v>18.436666666666667</v>
      </c>
      <c r="L17" s="8">
        <f t="shared" si="6"/>
        <v>18.812925170068027</v>
      </c>
      <c r="M17" s="9">
        <v>1.08</v>
      </c>
      <c r="N17" s="10">
        <v>1.58</v>
      </c>
      <c r="O17" s="10">
        <f t="shared" si="1"/>
        <v>2.66</v>
      </c>
      <c r="P17" s="8">
        <f>3-0.05</f>
        <v>2.95</v>
      </c>
      <c r="Q17" s="8">
        <f>1.48-0.05</f>
        <v>1.43</v>
      </c>
      <c r="R17" s="8">
        <f t="shared" si="2"/>
        <v>4.38</v>
      </c>
      <c r="S17" s="10">
        <v>0.94</v>
      </c>
      <c r="T17" s="10">
        <v>0.64</v>
      </c>
      <c r="U17" s="10">
        <f t="shared" si="3"/>
        <v>1.58</v>
      </c>
      <c r="V17" s="8">
        <f t="shared" si="4"/>
        <v>0.36073059360730597</v>
      </c>
      <c r="W17" s="8">
        <f t="shared" si="5"/>
        <v>68.35443037974683</v>
      </c>
    </row>
    <row r="18" spans="1:23" x14ac:dyDescent="0.25">
      <c r="A18" s="8" t="s">
        <v>17</v>
      </c>
      <c r="B18" s="8">
        <v>1</v>
      </c>
      <c r="C18" s="8" t="s">
        <v>56</v>
      </c>
      <c r="D18" s="8" t="s">
        <v>53</v>
      </c>
      <c r="E18" s="8" t="s">
        <v>54</v>
      </c>
      <c r="F18" s="8" t="s">
        <v>57</v>
      </c>
      <c r="G18" s="8" t="s">
        <v>376</v>
      </c>
      <c r="H18" s="8">
        <v>7.1</v>
      </c>
      <c r="I18" s="8">
        <f>(4.7+3.67+4.31)/3</f>
        <v>4.2266666666666666</v>
      </c>
      <c r="J18" s="8">
        <f>(7.16+6.99+5.66)/3</f>
        <v>6.6033333333333344</v>
      </c>
      <c r="K18" s="8">
        <f t="shared" si="0"/>
        <v>10.830000000000002</v>
      </c>
      <c r="L18" s="8">
        <f t="shared" si="6"/>
        <v>15.253521126760566</v>
      </c>
      <c r="M18" s="9">
        <v>0.73</v>
      </c>
      <c r="N18" s="10">
        <v>2.3199999999999998</v>
      </c>
      <c r="O18" s="10">
        <f t="shared" si="1"/>
        <v>3.05</v>
      </c>
      <c r="P18" s="8">
        <f>1.34-0.05</f>
        <v>1.29</v>
      </c>
      <c r="Q18" s="8">
        <f>2.12-0.05</f>
        <v>2.0700000000000003</v>
      </c>
      <c r="R18" s="8">
        <f t="shared" si="2"/>
        <v>3.3600000000000003</v>
      </c>
      <c r="S18" s="10">
        <v>0.59</v>
      </c>
      <c r="T18" s="10">
        <v>0.86</v>
      </c>
      <c r="U18" s="10">
        <f t="shared" si="3"/>
        <v>1.45</v>
      </c>
      <c r="V18" s="8">
        <f t="shared" si="4"/>
        <v>0.43154761904761901</v>
      </c>
      <c r="W18" s="8">
        <f t="shared" si="5"/>
        <v>110.34482758620689</v>
      </c>
    </row>
    <row r="19" spans="1:23" x14ac:dyDescent="0.25">
      <c r="A19" s="8" t="s">
        <v>17</v>
      </c>
      <c r="B19" s="8">
        <v>1</v>
      </c>
      <c r="C19" s="8" t="s">
        <v>58</v>
      </c>
      <c r="D19" s="8" t="s">
        <v>53</v>
      </c>
      <c r="E19" s="8" t="s">
        <v>54</v>
      </c>
      <c r="F19" s="8" t="s">
        <v>59</v>
      </c>
      <c r="G19" s="8" t="s">
        <v>376</v>
      </c>
      <c r="H19" s="8">
        <v>10.4</v>
      </c>
      <c r="I19" s="8">
        <f>(7+5.82+5.55)/3</f>
        <v>6.123333333333334</v>
      </c>
      <c r="J19" s="8">
        <f>(7.49+8.93+8.07)/3</f>
        <v>8.163333333333334</v>
      </c>
      <c r="K19" s="8">
        <f t="shared" si="0"/>
        <v>14.286666666666669</v>
      </c>
      <c r="L19" s="8">
        <f t="shared" si="6"/>
        <v>13.737179487179491</v>
      </c>
      <c r="M19" s="9">
        <v>0.92</v>
      </c>
      <c r="N19" s="10">
        <v>2.78</v>
      </c>
      <c r="O19" s="10">
        <f t="shared" si="1"/>
        <v>3.6999999999999997</v>
      </c>
      <c r="P19" s="8">
        <f>1.84-0.05</f>
        <v>1.79</v>
      </c>
      <c r="Q19" s="8">
        <f>2.59-0.05</f>
        <v>2.54</v>
      </c>
      <c r="R19" s="8">
        <f t="shared" si="2"/>
        <v>4.33</v>
      </c>
      <c r="S19" s="10">
        <v>0.8</v>
      </c>
      <c r="T19" s="10">
        <v>1.08</v>
      </c>
      <c r="U19" s="10">
        <f t="shared" si="3"/>
        <v>1.8800000000000001</v>
      </c>
      <c r="V19" s="8">
        <f t="shared" si="4"/>
        <v>0.43418013856812937</v>
      </c>
      <c r="W19" s="8">
        <f t="shared" si="5"/>
        <v>96.808510638297847</v>
      </c>
    </row>
    <row r="20" spans="1:23" s="1" customFormat="1" x14ac:dyDescent="0.25">
      <c r="A20" s="10" t="s">
        <v>17</v>
      </c>
      <c r="B20" s="10">
        <v>21</v>
      </c>
      <c r="C20" s="10" t="s">
        <v>60</v>
      </c>
      <c r="D20" s="10" t="s">
        <v>53</v>
      </c>
      <c r="E20" s="10" t="s">
        <v>54</v>
      </c>
      <c r="F20" s="10" t="s">
        <v>61</v>
      </c>
      <c r="G20" s="10" t="s">
        <v>376</v>
      </c>
      <c r="H20" s="10">
        <v>8.6999999999999993</v>
      </c>
      <c r="I20" s="10">
        <f>(4.36+4.29+5.29)/3</f>
        <v>4.6466666666666674</v>
      </c>
      <c r="J20" s="10">
        <f>(5.52+6.62+7.08)/3</f>
        <v>6.4066666666666663</v>
      </c>
      <c r="K20" s="8">
        <f t="shared" si="0"/>
        <v>11.053333333333335</v>
      </c>
      <c r="L20" s="10">
        <f t="shared" si="6"/>
        <v>12.704980842911878</v>
      </c>
      <c r="M20" s="9">
        <v>0.86</v>
      </c>
      <c r="N20" s="10">
        <v>3.05</v>
      </c>
      <c r="O20" s="10">
        <f t="shared" si="1"/>
        <v>3.9099999999999997</v>
      </c>
      <c r="P20" s="10">
        <f>1.42-0.05</f>
        <v>1.3699999999999999</v>
      </c>
      <c r="Q20" s="10">
        <f>2.79-0.05</f>
        <v>2.74</v>
      </c>
      <c r="R20" s="8">
        <f t="shared" si="2"/>
        <v>4.1100000000000003</v>
      </c>
      <c r="S20" s="10">
        <v>0.57999999999999996</v>
      </c>
      <c r="T20" s="10">
        <v>1.19</v>
      </c>
      <c r="U20" s="10">
        <f t="shared" si="3"/>
        <v>1.77</v>
      </c>
      <c r="V20" s="8">
        <f t="shared" si="4"/>
        <v>0.43065693430656932</v>
      </c>
      <c r="W20" s="8">
        <f t="shared" si="5"/>
        <v>120.90395480225986</v>
      </c>
    </row>
    <row r="21" spans="1:23" x14ac:dyDescent="0.25">
      <c r="A21" s="8" t="s">
        <v>17</v>
      </c>
      <c r="B21" s="8">
        <v>1</v>
      </c>
      <c r="C21" s="8" t="s">
        <v>62</v>
      </c>
      <c r="D21" s="8" t="s">
        <v>53</v>
      </c>
      <c r="E21" s="8" t="s">
        <v>54</v>
      </c>
      <c r="F21" s="8" t="s">
        <v>63</v>
      </c>
      <c r="G21" s="8" t="s">
        <v>376</v>
      </c>
      <c r="H21" s="8">
        <v>9</v>
      </c>
      <c r="I21" s="8">
        <f>(12.22+10.47+7.01)/3</f>
        <v>9.9</v>
      </c>
      <c r="J21" s="8">
        <f>(7.77+5.35+7.22)/3</f>
        <v>6.78</v>
      </c>
      <c r="K21" s="8">
        <f t="shared" si="0"/>
        <v>16.68</v>
      </c>
      <c r="L21" s="8">
        <f t="shared" si="6"/>
        <v>18.533333333333331</v>
      </c>
      <c r="M21" s="9">
        <v>3.4</v>
      </c>
      <c r="N21" s="10">
        <v>2.93</v>
      </c>
      <c r="O21" s="10">
        <f t="shared" si="1"/>
        <v>6.33</v>
      </c>
      <c r="P21" s="8">
        <f>6.55-0.05</f>
        <v>6.5</v>
      </c>
      <c r="Q21" s="8">
        <f>2.68-0.05</f>
        <v>2.6300000000000003</v>
      </c>
      <c r="R21" s="8">
        <f t="shared" si="2"/>
        <v>9.1300000000000008</v>
      </c>
      <c r="S21" s="10">
        <v>2.68</v>
      </c>
      <c r="T21" s="10">
        <v>1.25</v>
      </c>
      <c r="U21" s="10">
        <f t="shared" si="3"/>
        <v>3.93</v>
      </c>
      <c r="V21" s="8">
        <f t="shared" si="4"/>
        <v>0.43044906900328583</v>
      </c>
      <c r="W21" s="8">
        <f t="shared" si="5"/>
        <v>61.068702290076324</v>
      </c>
    </row>
    <row r="22" spans="1:23" x14ac:dyDescent="0.25">
      <c r="A22" s="8" t="s">
        <v>17</v>
      </c>
      <c r="B22" s="8">
        <v>1</v>
      </c>
      <c r="C22" s="8" t="s">
        <v>64</v>
      </c>
      <c r="D22" s="8" t="s">
        <v>65</v>
      </c>
      <c r="E22" s="8" t="s">
        <v>66</v>
      </c>
      <c r="F22" s="8" t="s">
        <v>67</v>
      </c>
      <c r="G22" s="8" t="s">
        <v>376</v>
      </c>
      <c r="H22" s="8">
        <v>9.6</v>
      </c>
      <c r="I22" s="8">
        <f>(9.55+9.83+6.74)/3</f>
        <v>8.7066666666666688</v>
      </c>
      <c r="J22" s="8">
        <f>(5.02+4.43+3.63)/3</f>
        <v>4.3599999999999994</v>
      </c>
      <c r="K22" s="8">
        <f t="shared" si="0"/>
        <v>13.066666666666668</v>
      </c>
      <c r="L22" s="8">
        <f t="shared" si="6"/>
        <v>13.611111111111112</v>
      </c>
      <c r="M22" s="9">
        <v>2.4</v>
      </c>
      <c r="N22" s="10">
        <v>2.4300000000000002</v>
      </c>
      <c r="O22" s="10">
        <f t="shared" si="1"/>
        <v>4.83</v>
      </c>
      <c r="P22" s="8">
        <f>3.25-0.05</f>
        <v>3.2</v>
      </c>
      <c r="Q22" s="8">
        <f>2.16-0.05</f>
        <v>2.1100000000000003</v>
      </c>
      <c r="R22" s="8">
        <f t="shared" si="2"/>
        <v>5.3100000000000005</v>
      </c>
      <c r="S22" s="10">
        <v>1.87</v>
      </c>
      <c r="T22" s="10">
        <v>1.3</v>
      </c>
      <c r="U22" s="10">
        <f t="shared" si="3"/>
        <v>3.17</v>
      </c>
      <c r="V22" s="8">
        <f t="shared" si="4"/>
        <v>0.59698681732580028</v>
      </c>
      <c r="W22" s="8">
        <f t="shared" si="5"/>
        <v>52.365930599369094</v>
      </c>
    </row>
    <row r="23" spans="1:23" s="1" customFormat="1" x14ac:dyDescent="0.25">
      <c r="A23" s="10" t="s">
        <v>17</v>
      </c>
      <c r="B23" s="10">
        <v>10</v>
      </c>
      <c r="C23" s="10" t="s">
        <v>68</v>
      </c>
      <c r="D23" s="10" t="s">
        <v>65</v>
      </c>
      <c r="E23" s="10" t="s">
        <v>66</v>
      </c>
      <c r="F23" s="10" t="s">
        <v>69</v>
      </c>
      <c r="G23" s="10" t="s">
        <v>376</v>
      </c>
      <c r="H23" s="10">
        <v>10.199999999999999</v>
      </c>
      <c r="I23" s="10">
        <f>(14.76+16.39+16.52)/3</f>
        <v>15.89</v>
      </c>
      <c r="J23" s="10">
        <f>(4.47+4.28+4.39)/3</f>
        <v>4.38</v>
      </c>
      <c r="K23" s="8">
        <f t="shared" si="0"/>
        <v>20.27</v>
      </c>
      <c r="L23" s="10">
        <f t="shared" si="6"/>
        <v>19.872549019607845</v>
      </c>
      <c r="M23" s="9">
        <v>3.09</v>
      </c>
      <c r="N23" s="10">
        <v>1.1100000000000001</v>
      </c>
      <c r="O23" s="10">
        <f t="shared" si="1"/>
        <v>4.2</v>
      </c>
      <c r="P23" s="10">
        <f>4.83-0.05</f>
        <v>4.78</v>
      </c>
      <c r="Q23" s="10">
        <f>1-0.05</f>
        <v>0.95</v>
      </c>
      <c r="R23" s="8">
        <f t="shared" si="2"/>
        <v>5.73</v>
      </c>
      <c r="S23" s="10">
        <v>2.5</v>
      </c>
      <c r="T23" s="10">
        <v>0.61</v>
      </c>
      <c r="U23" s="10">
        <f t="shared" si="3"/>
        <v>3.11</v>
      </c>
      <c r="V23" s="8">
        <f t="shared" si="4"/>
        <v>0.54275741710296677</v>
      </c>
      <c r="W23" s="8">
        <f t="shared" si="5"/>
        <v>35.048231511254031</v>
      </c>
    </row>
    <row r="24" spans="1:23" s="1" customFormat="1" x14ac:dyDescent="0.25">
      <c r="A24" s="10" t="s">
        <v>17</v>
      </c>
      <c r="B24" s="10">
        <v>24</v>
      </c>
      <c r="C24" s="10" t="s">
        <v>70</v>
      </c>
      <c r="D24" s="10" t="s">
        <v>65</v>
      </c>
      <c r="E24" s="10" t="s">
        <v>66</v>
      </c>
      <c r="F24" s="10" t="s">
        <v>71</v>
      </c>
      <c r="G24" s="10" t="s">
        <v>376</v>
      </c>
      <c r="H24" s="10">
        <v>10.1</v>
      </c>
      <c r="I24" s="10">
        <f>(15.85+15.8+14.3)/3</f>
        <v>15.316666666666668</v>
      </c>
      <c r="J24" s="10">
        <f>(4.71+5.71+4.26)/3</f>
        <v>4.8933333333333335</v>
      </c>
      <c r="K24" s="8">
        <f t="shared" si="0"/>
        <v>20.21</v>
      </c>
      <c r="L24" s="10">
        <f t="shared" si="6"/>
        <v>20.009900990099013</v>
      </c>
      <c r="M24" s="9">
        <v>3.89</v>
      </c>
      <c r="N24" s="10">
        <v>2.58</v>
      </c>
      <c r="O24" s="10">
        <f t="shared" si="1"/>
        <v>6.4700000000000006</v>
      </c>
      <c r="P24" s="10">
        <f>7.89-0.05</f>
        <v>7.84</v>
      </c>
      <c r="Q24" s="10">
        <f>2.29-0.05</f>
        <v>2.2400000000000002</v>
      </c>
      <c r="R24" s="8">
        <f t="shared" si="2"/>
        <v>10.08</v>
      </c>
      <c r="S24" s="10">
        <v>2.9</v>
      </c>
      <c r="T24" s="10">
        <v>1.34</v>
      </c>
      <c r="U24" s="10">
        <f t="shared" si="3"/>
        <v>4.24</v>
      </c>
      <c r="V24" s="8">
        <f t="shared" si="4"/>
        <v>0.42063492063492064</v>
      </c>
      <c r="W24" s="8">
        <f t="shared" si="5"/>
        <v>52.59433962264152</v>
      </c>
    </row>
    <row r="25" spans="1:23" s="1" customFormat="1" x14ac:dyDescent="0.25">
      <c r="A25" s="10" t="s">
        <v>17</v>
      </c>
      <c r="B25" s="10">
        <v>10</v>
      </c>
      <c r="C25" s="10" t="s">
        <v>72</v>
      </c>
      <c r="D25" s="10" t="s">
        <v>65</v>
      </c>
      <c r="E25" s="10" t="s">
        <v>66</v>
      </c>
      <c r="F25" s="10" t="s">
        <v>73</v>
      </c>
      <c r="G25" s="10" t="s">
        <v>376</v>
      </c>
      <c r="H25" s="10">
        <v>11.1</v>
      </c>
      <c r="I25" s="10">
        <f>(12.13+13.86+10.58)/3</f>
        <v>12.19</v>
      </c>
      <c r="J25" s="10">
        <f>(3.47+3.43+3.71)/3</f>
        <v>3.5366666666666666</v>
      </c>
      <c r="K25" s="8">
        <f t="shared" si="0"/>
        <v>15.726666666666667</v>
      </c>
      <c r="L25" s="10">
        <f t="shared" si="6"/>
        <v>14.168168168168169</v>
      </c>
      <c r="M25" s="9">
        <v>4.45</v>
      </c>
      <c r="N25" s="10">
        <v>1.04</v>
      </c>
      <c r="O25" s="10">
        <f t="shared" si="1"/>
        <v>5.49</v>
      </c>
      <c r="P25" s="10">
        <f>5.46-0.05</f>
        <v>5.41</v>
      </c>
      <c r="Q25" s="10">
        <f>0.93-0.05</f>
        <v>0.88</v>
      </c>
      <c r="R25" s="8">
        <f t="shared" si="2"/>
        <v>6.29</v>
      </c>
      <c r="S25" s="10">
        <v>3.6</v>
      </c>
      <c r="T25" s="10">
        <v>0.57999999999999996</v>
      </c>
      <c r="U25" s="10">
        <f t="shared" si="3"/>
        <v>4.18</v>
      </c>
      <c r="V25" s="8">
        <f t="shared" si="4"/>
        <v>0.66454689984101745</v>
      </c>
      <c r="W25" s="8">
        <f t="shared" si="5"/>
        <v>31.3397129186603</v>
      </c>
    </row>
    <row r="26" spans="1:23" s="1" customFormat="1" x14ac:dyDescent="0.25">
      <c r="A26" s="10" t="s">
        <v>17</v>
      </c>
      <c r="B26" s="10">
        <v>21</v>
      </c>
      <c r="C26" s="10" t="s">
        <v>74</v>
      </c>
      <c r="D26" s="10" t="s">
        <v>65</v>
      </c>
      <c r="E26" s="10" t="s">
        <v>66</v>
      </c>
      <c r="F26" s="10" t="s">
        <v>75</v>
      </c>
      <c r="G26" s="10" t="s">
        <v>376</v>
      </c>
      <c r="H26" s="10">
        <v>9.3000000000000007</v>
      </c>
      <c r="I26" s="10">
        <f>(11.06+11.41+11.63)/3</f>
        <v>11.366666666666667</v>
      </c>
      <c r="J26" s="10">
        <f>(5.32+5.61+5.42)/3</f>
        <v>5.45</v>
      </c>
      <c r="K26" s="8">
        <f t="shared" si="0"/>
        <v>16.816666666666666</v>
      </c>
      <c r="L26" s="10">
        <f t="shared" si="6"/>
        <v>18.082437275985662</v>
      </c>
      <c r="M26" s="9">
        <v>0.94</v>
      </c>
      <c r="N26" s="10">
        <v>2.44</v>
      </c>
      <c r="O26" s="10">
        <f t="shared" si="1"/>
        <v>3.38</v>
      </c>
      <c r="P26" s="10">
        <f>2.06-0.05</f>
        <v>2.0100000000000002</v>
      </c>
      <c r="Q26" s="10">
        <f>2.12-0.05</f>
        <v>2.0700000000000003</v>
      </c>
      <c r="R26" s="8">
        <f t="shared" si="2"/>
        <v>4.08</v>
      </c>
      <c r="S26" s="10">
        <v>0.83</v>
      </c>
      <c r="T26" s="10">
        <v>1.22</v>
      </c>
      <c r="U26" s="10">
        <f t="shared" si="3"/>
        <v>2.0499999999999998</v>
      </c>
      <c r="V26" s="8">
        <f t="shared" si="4"/>
        <v>0.50245098039215685</v>
      </c>
      <c r="W26" s="8">
        <f t="shared" si="5"/>
        <v>64.878048780487816</v>
      </c>
    </row>
    <row r="27" spans="1:23" x14ac:dyDescent="0.25">
      <c r="A27" s="8" t="s">
        <v>17</v>
      </c>
      <c r="B27" s="8">
        <v>8</v>
      </c>
      <c r="C27" s="8" t="s">
        <v>76</v>
      </c>
      <c r="D27" s="8" t="s">
        <v>42</v>
      </c>
      <c r="E27" s="8" t="s">
        <v>77</v>
      </c>
      <c r="F27" s="8" t="s">
        <v>78</v>
      </c>
      <c r="G27" s="8" t="s">
        <v>376</v>
      </c>
      <c r="H27" s="8">
        <v>9.5</v>
      </c>
      <c r="I27" s="8">
        <f>(7.02+6.4+6.47)/3</f>
        <v>6.63</v>
      </c>
      <c r="J27" s="8">
        <f>(2.38+2.41+2.44)/3</f>
        <v>2.41</v>
      </c>
      <c r="K27" s="8">
        <f t="shared" si="0"/>
        <v>9.0399999999999991</v>
      </c>
      <c r="L27" s="8">
        <f t="shared" si="6"/>
        <v>9.5157894736842099</v>
      </c>
      <c r="M27" s="9">
        <v>1.06</v>
      </c>
      <c r="N27" s="10">
        <v>0.76</v>
      </c>
      <c r="O27" s="10">
        <f t="shared" si="1"/>
        <v>1.82</v>
      </c>
      <c r="P27" s="8">
        <f>2-0.05</f>
        <v>1.95</v>
      </c>
      <c r="Q27" s="8">
        <f>0.7-0.05</f>
        <v>0.64999999999999991</v>
      </c>
      <c r="R27" s="8">
        <f t="shared" si="2"/>
        <v>2.5999999999999996</v>
      </c>
      <c r="S27" s="10">
        <v>0.78</v>
      </c>
      <c r="T27" s="10">
        <v>0.38</v>
      </c>
      <c r="U27" s="10">
        <f t="shared" si="3"/>
        <v>1.1600000000000001</v>
      </c>
      <c r="V27" s="8">
        <f t="shared" si="4"/>
        <v>0.44615384615384629</v>
      </c>
      <c r="W27" s="8">
        <f t="shared" si="5"/>
        <v>56.896551724137922</v>
      </c>
    </row>
    <row r="28" spans="1:23" x14ac:dyDescent="0.25">
      <c r="A28" s="8" t="s">
        <v>17</v>
      </c>
      <c r="B28" s="8">
        <v>24</v>
      </c>
      <c r="C28" s="8" t="s">
        <v>79</v>
      </c>
      <c r="D28" s="8" t="s">
        <v>42</v>
      </c>
      <c r="E28" s="8" t="s">
        <v>77</v>
      </c>
      <c r="F28" s="8" t="s">
        <v>80</v>
      </c>
      <c r="G28" s="8" t="s">
        <v>376</v>
      </c>
      <c r="H28" s="8">
        <v>13</v>
      </c>
      <c r="I28" s="8">
        <f>(20.16+15.35+17.11)/3</f>
        <v>17.54</v>
      </c>
      <c r="J28" s="8">
        <f>(5.14+4.45+4.68)/3</f>
        <v>4.7566666666666668</v>
      </c>
      <c r="K28" s="8">
        <f t="shared" si="0"/>
        <v>22.296666666666667</v>
      </c>
      <c r="L28" s="8">
        <f t="shared" si="6"/>
        <v>17.151282051282053</v>
      </c>
      <c r="M28" s="9">
        <v>3.36</v>
      </c>
      <c r="N28" s="10">
        <v>1.93</v>
      </c>
      <c r="O28" s="10">
        <f t="shared" si="1"/>
        <v>5.29</v>
      </c>
      <c r="P28" s="8">
        <f>7.3-0.05</f>
        <v>7.25</v>
      </c>
      <c r="Q28" s="8">
        <f>1.65-0.05</f>
        <v>1.5999999999999999</v>
      </c>
      <c r="R28" s="8">
        <f t="shared" si="2"/>
        <v>8.85</v>
      </c>
      <c r="S28" s="10">
        <v>2.8</v>
      </c>
      <c r="T28" s="10">
        <v>1.07</v>
      </c>
      <c r="U28" s="10">
        <f t="shared" si="3"/>
        <v>3.87</v>
      </c>
      <c r="V28" s="8">
        <f t="shared" si="4"/>
        <v>0.43728813559322038</v>
      </c>
      <c r="W28" s="8">
        <f t="shared" si="5"/>
        <v>36.692506459948312</v>
      </c>
    </row>
    <row r="29" spans="1:23" s="1" customFormat="1" x14ac:dyDescent="0.25">
      <c r="A29" s="10" t="s">
        <v>17</v>
      </c>
      <c r="B29" s="10">
        <v>9</v>
      </c>
      <c r="C29" s="10" t="s">
        <v>81</v>
      </c>
      <c r="D29" s="10" t="s">
        <v>42</v>
      </c>
      <c r="E29" s="10" t="s">
        <v>77</v>
      </c>
      <c r="F29" s="10" t="s">
        <v>82</v>
      </c>
      <c r="G29" s="10" t="s">
        <v>376</v>
      </c>
      <c r="H29" s="10">
        <v>7.9</v>
      </c>
      <c r="I29" s="10">
        <f>(12.73+11.94+9.89)/3</f>
        <v>11.520000000000001</v>
      </c>
      <c r="J29" s="10">
        <f>(3.85+3.95+4.02)/3</f>
        <v>3.94</v>
      </c>
      <c r="K29" s="8">
        <f t="shared" si="0"/>
        <v>15.46</v>
      </c>
      <c r="L29" s="10">
        <f t="shared" si="6"/>
        <v>19.569620253164558</v>
      </c>
      <c r="M29" s="9">
        <v>2.0699999999999998</v>
      </c>
      <c r="N29" s="10">
        <v>1.82</v>
      </c>
      <c r="O29" s="10">
        <f t="shared" si="1"/>
        <v>3.8899999999999997</v>
      </c>
      <c r="P29" s="10">
        <f>4.63-0.45</f>
        <v>4.18</v>
      </c>
      <c r="Q29" s="10">
        <f>1.6-0.05</f>
        <v>1.55</v>
      </c>
      <c r="R29" s="8">
        <f t="shared" si="2"/>
        <v>5.7299999999999995</v>
      </c>
      <c r="S29" s="10">
        <v>1.46</v>
      </c>
      <c r="T29" s="10">
        <v>0.99</v>
      </c>
      <c r="U29" s="10">
        <f t="shared" si="3"/>
        <v>2.4500000000000002</v>
      </c>
      <c r="V29" s="8">
        <f t="shared" si="4"/>
        <v>0.42757417102966849</v>
      </c>
      <c r="W29" s="8">
        <f t="shared" si="5"/>
        <v>58.775510204081606</v>
      </c>
    </row>
    <row r="30" spans="1:23" s="1" customFormat="1" x14ac:dyDescent="0.25">
      <c r="A30" s="10" t="s">
        <v>17</v>
      </c>
      <c r="B30" s="10">
        <v>13</v>
      </c>
      <c r="C30" s="10" t="s">
        <v>83</v>
      </c>
      <c r="D30" s="10" t="s">
        <v>42</v>
      </c>
      <c r="E30" s="10" t="s">
        <v>77</v>
      </c>
      <c r="F30" s="10" t="s">
        <v>84</v>
      </c>
      <c r="G30" s="10" t="s">
        <v>376</v>
      </c>
      <c r="H30" s="10">
        <v>6.5</v>
      </c>
      <c r="I30" s="10">
        <f>(16.76+16.06+18.34)/3</f>
        <v>17.053333333333331</v>
      </c>
      <c r="J30" s="10">
        <f>(3.7+4.11+3.96)/3</f>
        <v>3.9233333333333333</v>
      </c>
      <c r="K30" s="8">
        <f t="shared" si="0"/>
        <v>20.976666666666663</v>
      </c>
      <c r="L30" s="10">
        <f t="shared" si="6"/>
        <v>32.271794871794867</v>
      </c>
      <c r="M30" s="9">
        <v>2.9</v>
      </c>
      <c r="N30" s="10">
        <v>1.82</v>
      </c>
      <c r="O30" s="10">
        <f t="shared" si="1"/>
        <v>4.72</v>
      </c>
      <c r="P30" s="10">
        <f>5.9-0.05</f>
        <v>5.8500000000000005</v>
      </c>
      <c r="Q30" s="10">
        <f>1.54-0.05</f>
        <v>1.49</v>
      </c>
      <c r="R30" s="8">
        <f t="shared" si="2"/>
        <v>7.3400000000000007</v>
      </c>
      <c r="S30" s="10">
        <v>1.7</v>
      </c>
      <c r="T30" s="10">
        <v>1.02</v>
      </c>
      <c r="U30" s="10">
        <f t="shared" si="3"/>
        <v>2.7199999999999998</v>
      </c>
      <c r="V30" s="8">
        <f t="shared" si="4"/>
        <v>0.37057220708446859</v>
      </c>
      <c r="W30" s="8">
        <f t="shared" si="5"/>
        <v>73.529411764705884</v>
      </c>
    </row>
    <row r="31" spans="1:23" x14ac:dyDescent="0.25">
      <c r="A31" s="8" t="s">
        <v>17</v>
      </c>
      <c r="B31" s="8">
        <v>9</v>
      </c>
      <c r="C31" s="8" t="s">
        <v>85</v>
      </c>
      <c r="D31" s="8" t="s">
        <v>42</v>
      </c>
      <c r="E31" s="8" t="s">
        <v>77</v>
      </c>
      <c r="F31" s="8" t="s">
        <v>86</v>
      </c>
      <c r="G31" s="8" t="s">
        <v>376</v>
      </c>
      <c r="H31" s="8">
        <v>8.6</v>
      </c>
      <c r="I31" s="8">
        <f>(13.97+14.01+12.64)/3</f>
        <v>13.540000000000001</v>
      </c>
      <c r="J31" s="8">
        <f>(3.99+4.06+4.67+0)/3</f>
        <v>4.24</v>
      </c>
      <c r="K31" s="8">
        <f t="shared" si="0"/>
        <v>17.78</v>
      </c>
      <c r="L31" s="8">
        <f t="shared" si="6"/>
        <v>20.674418604651166</v>
      </c>
      <c r="M31" s="9">
        <v>1.76</v>
      </c>
      <c r="N31" s="10">
        <v>1.24</v>
      </c>
      <c r="O31" s="10">
        <f t="shared" si="1"/>
        <v>3</v>
      </c>
      <c r="P31" s="8">
        <f>3.64-0.05</f>
        <v>3.5900000000000003</v>
      </c>
      <c r="Q31" s="8">
        <f>1.07-0.05</f>
        <v>1.02</v>
      </c>
      <c r="R31" s="8">
        <f t="shared" si="2"/>
        <v>4.6100000000000003</v>
      </c>
      <c r="S31" s="10">
        <v>1.45</v>
      </c>
      <c r="T31" s="10">
        <v>0.63</v>
      </c>
      <c r="U31" s="10">
        <f t="shared" si="3"/>
        <v>2.08</v>
      </c>
      <c r="V31" s="8">
        <f t="shared" si="4"/>
        <v>0.4511930585683297</v>
      </c>
      <c r="W31" s="8">
        <f t="shared" si="5"/>
        <v>44.230769230769226</v>
      </c>
    </row>
    <row r="32" spans="1:23" x14ac:dyDescent="0.25">
      <c r="A32" s="8" t="s">
        <v>17</v>
      </c>
      <c r="B32" s="8">
        <v>5</v>
      </c>
      <c r="C32" s="8" t="s">
        <v>87</v>
      </c>
      <c r="D32" s="8" t="s">
        <v>88</v>
      </c>
      <c r="E32" s="8" t="s">
        <v>89</v>
      </c>
      <c r="F32" s="8" t="s">
        <v>90</v>
      </c>
      <c r="G32" s="8" t="s">
        <v>377</v>
      </c>
      <c r="H32" s="8">
        <v>16.899999999999999</v>
      </c>
      <c r="I32" s="8">
        <f>(1.32+1.39+1.63)/3</f>
        <v>1.4466666666666665</v>
      </c>
      <c r="J32" s="8">
        <f>(2.51+3.6+3.36)/3</f>
        <v>3.1566666666666663</v>
      </c>
      <c r="K32" s="8">
        <f t="shared" si="0"/>
        <v>4.6033333333333326</v>
      </c>
      <c r="L32" s="8">
        <f t="shared" si="6"/>
        <v>2.723865877712031</v>
      </c>
      <c r="M32" s="9">
        <v>0.25</v>
      </c>
      <c r="N32" s="10">
        <v>1.58</v>
      </c>
      <c r="O32" s="10">
        <f t="shared" si="1"/>
        <v>1.83</v>
      </c>
      <c r="P32" s="8">
        <f>0.33-0.05</f>
        <v>0.28000000000000003</v>
      </c>
      <c r="Q32" s="8">
        <f>1.44-0.05</f>
        <v>1.39</v>
      </c>
      <c r="R32" s="8">
        <f t="shared" si="2"/>
        <v>1.67</v>
      </c>
      <c r="S32" s="10">
        <v>0.19</v>
      </c>
      <c r="T32" s="10">
        <v>0.71</v>
      </c>
      <c r="U32" s="10">
        <f t="shared" si="3"/>
        <v>0.89999999999999991</v>
      </c>
      <c r="V32" s="8">
        <f t="shared" si="4"/>
        <v>0.53892215568862267</v>
      </c>
      <c r="W32" s="8">
        <f t="shared" si="5"/>
        <v>103.33333333333337</v>
      </c>
    </row>
    <row r="33" spans="1:23" x14ac:dyDescent="0.25">
      <c r="A33" s="8" t="s">
        <v>17</v>
      </c>
      <c r="B33" s="8">
        <v>8</v>
      </c>
      <c r="C33" s="8" t="s">
        <v>91</v>
      </c>
      <c r="D33" s="8" t="s">
        <v>88</v>
      </c>
      <c r="E33" s="8" t="s">
        <v>89</v>
      </c>
      <c r="F33" s="8" t="s">
        <v>92</v>
      </c>
      <c r="G33" s="8" t="s">
        <v>376</v>
      </c>
      <c r="H33" s="8">
        <v>13.2</v>
      </c>
      <c r="I33" s="8">
        <f>(2.04+1.93+2.12)/3</f>
        <v>2.0299999999999998</v>
      </c>
      <c r="J33" s="8">
        <f>(3.61+4.1+3.78)/3</f>
        <v>3.8299999999999996</v>
      </c>
      <c r="K33" s="8">
        <f t="shared" si="0"/>
        <v>5.8599999999999994</v>
      </c>
      <c r="L33" s="8">
        <f>(K33/(H33*10))*100</f>
        <v>4.4393939393939386</v>
      </c>
      <c r="M33" s="9">
        <v>0.26</v>
      </c>
      <c r="N33" s="10">
        <v>1.53</v>
      </c>
      <c r="O33" s="10">
        <f t="shared" si="1"/>
        <v>1.79</v>
      </c>
      <c r="P33" s="8">
        <f>0.34-0.05</f>
        <v>0.29000000000000004</v>
      </c>
      <c r="Q33" s="8">
        <f>1.61-0.05</f>
        <v>1.56</v>
      </c>
      <c r="R33" s="8">
        <f t="shared" si="2"/>
        <v>1.85</v>
      </c>
      <c r="S33" s="10">
        <v>0.18</v>
      </c>
      <c r="T33" s="10">
        <v>0.66</v>
      </c>
      <c r="U33" s="10">
        <f t="shared" si="3"/>
        <v>0.84000000000000008</v>
      </c>
      <c r="V33" s="8">
        <f t="shared" si="4"/>
        <v>0.45405405405405408</v>
      </c>
      <c r="W33" s="8">
        <f t="shared" si="5"/>
        <v>113.09523809523807</v>
      </c>
    </row>
    <row r="34" spans="1:23" s="1" customFormat="1" x14ac:dyDescent="0.25">
      <c r="A34" s="10" t="s">
        <v>17</v>
      </c>
      <c r="B34" s="10">
        <v>12</v>
      </c>
      <c r="C34" s="10" t="s">
        <v>93</v>
      </c>
      <c r="D34" s="10" t="s">
        <v>88</v>
      </c>
      <c r="E34" s="10" t="s">
        <v>89</v>
      </c>
      <c r="F34" s="10" t="s">
        <v>94</v>
      </c>
      <c r="G34" s="10" t="s">
        <v>378</v>
      </c>
      <c r="H34" s="10">
        <v>15.8</v>
      </c>
      <c r="I34" s="10">
        <f>(3.27+2.75+3.56)/3</f>
        <v>3.1933333333333334</v>
      </c>
      <c r="J34" s="10">
        <f>(3.79+4.4+4.22)/3</f>
        <v>4.1366666666666667</v>
      </c>
      <c r="K34" s="8">
        <f t="shared" si="0"/>
        <v>7.33</v>
      </c>
      <c r="L34" s="10">
        <f t="shared" si="6"/>
        <v>4.6392405063291138</v>
      </c>
      <c r="M34" s="9">
        <v>0.74</v>
      </c>
      <c r="N34" s="10">
        <v>1.66</v>
      </c>
      <c r="O34" s="10">
        <f t="shared" si="1"/>
        <v>2.4</v>
      </c>
      <c r="P34" s="10">
        <f>0.83-0.05</f>
        <v>0.77999999999999992</v>
      </c>
      <c r="Q34" s="10">
        <f>1.51-0.05</f>
        <v>1.46</v>
      </c>
      <c r="R34" s="8">
        <f t="shared" si="2"/>
        <v>2.2399999999999998</v>
      </c>
      <c r="S34" s="10">
        <v>0.44</v>
      </c>
      <c r="T34" s="10">
        <v>0.9</v>
      </c>
      <c r="U34" s="10">
        <f t="shared" si="3"/>
        <v>1.34</v>
      </c>
      <c r="V34" s="8">
        <f t="shared" si="4"/>
        <v>0.59821428571428581</v>
      </c>
      <c r="W34" s="8">
        <f t="shared" si="5"/>
        <v>79.104477611940283</v>
      </c>
    </row>
    <row r="35" spans="1:23" s="1" customFormat="1" x14ac:dyDescent="0.25">
      <c r="A35" s="10" t="s">
        <v>17</v>
      </c>
      <c r="B35" s="10">
        <v>19</v>
      </c>
      <c r="C35" s="10" t="s">
        <v>95</v>
      </c>
      <c r="D35" s="10" t="s">
        <v>88</v>
      </c>
      <c r="E35" s="10" t="s">
        <v>89</v>
      </c>
      <c r="F35" s="10" t="s">
        <v>96</v>
      </c>
      <c r="G35" s="10" t="s">
        <v>377</v>
      </c>
      <c r="H35" s="10">
        <v>20.6</v>
      </c>
      <c r="I35" s="10">
        <f>(1.26+1.12+1.01)/3</f>
        <v>1.1299999999999999</v>
      </c>
      <c r="J35" s="10">
        <f>(4.44+4.52+4.64)/3</f>
        <v>4.5333333333333341</v>
      </c>
      <c r="K35" s="8">
        <f t="shared" si="0"/>
        <v>5.663333333333334</v>
      </c>
      <c r="L35" s="10">
        <f t="shared" si="6"/>
        <v>2.7491909385113273</v>
      </c>
      <c r="M35" s="9">
        <v>0.2</v>
      </c>
      <c r="N35" s="10">
        <v>2.04</v>
      </c>
      <c r="O35" s="10">
        <f t="shared" si="1"/>
        <v>2.2400000000000002</v>
      </c>
      <c r="P35" s="10">
        <f>0.32-0.05</f>
        <v>0.27</v>
      </c>
      <c r="Q35" s="10">
        <f>1.93-0.05</f>
        <v>1.88</v>
      </c>
      <c r="R35" s="8">
        <f t="shared" si="2"/>
        <v>2.15</v>
      </c>
      <c r="S35" s="10">
        <v>0.13</v>
      </c>
      <c r="T35" s="10">
        <v>0.96</v>
      </c>
      <c r="U35" s="10">
        <f t="shared" si="3"/>
        <v>1.0899999999999999</v>
      </c>
      <c r="V35" s="8">
        <f t="shared" si="4"/>
        <v>0.50697674418604644</v>
      </c>
      <c r="W35" s="8">
        <f t="shared" si="5"/>
        <v>105.50458715596336</v>
      </c>
    </row>
    <row r="36" spans="1:23" x14ac:dyDescent="0.25">
      <c r="A36" s="8" t="s">
        <v>17</v>
      </c>
      <c r="B36" s="8">
        <v>1</v>
      </c>
      <c r="C36" s="8" t="s">
        <v>97</v>
      </c>
      <c r="D36" s="8" t="s">
        <v>88</v>
      </c>
      <c r="E36" s="8" t="s">
        <v>89</v>
      </c>
      <c r="F36" s="8" t="s">
        <v>98</v>
      </c>
      <c r="G36" s="8" t="s">
        <v>377</v>
      </c>
      <c r="H36" s="8">
        <v>9.4</v>
      </c>
      <c r="I36" s="8">
        <f>(1.38+2.75+3.44)/3</f>
        <v>2.5233333333333334</v>
      </c>
      <c r="J36" s="8">
        <f>(1.85+2.2+0.9)/3</f>
        <v>1.6500000000000004</v>
      </c>
      <c r="K36" s="8">
        <f t="shared" si="0"/>
        <v>4.1733333333333338</v>
      </c>
      <c r="L36" s="8">
        <f t="shared" si="6"/>
        <v>4.4397163120567376</v>
      </c>
      <c r="M36" s="9">
        <v>0.68</v>
      </c>
      <c r="N36" s="10">
        <v>0.77</v>
      </c>
      <c r="O36" s="10">
        <f t="shared" si="1"/>
        <v>1.4500000000000002</v>
      </c>
      <c r="P36" s="8">
        <f>0.78-0.05</f>
        <v>0.73</v>
      </c>
      <c r="Q36" s="8">
        <f>0.81-0.05</f>
        <v>0.76</v>
      </c>
      <c r="R36" s="8">
        <f t="shared" si="2"/>
        <v>1.49</v>
      </c>
      <c r="S36" s="10">
        <v>0.36</v>
      </c>
      <c r="T36" s="10">
        <v>0.32</v>
      </c>
      <c r="U36" s="10">
        <f t="shared" si="3"/>
        <v>0.67999999999999994</v>
      </c>
      <c r="V36" s="8">
        <f t="shared" si="4"/>
        <v>0.45637583892617445</v>
      </c>
      <c r="W36" s="8">
        <f t="shared" si="5"/>
        <v>113.2352941176471</v>
      </c>
    </row>
    <row r="37" spans="1:23" x14ac:dyDescent="0.25">
      <c r="A37" s="8" t="s">
        <v>17</v>
      </c>
      <c r="B37" s="8">
        <v>6</v>
      </c>
      <c r="C37" s="8" t="s">
        <v>99</v>
      </c>
      <c r="D37" s="8" t="s">
        <v>42</v>
      </c>
      <c r="E37" s="8" t="s">
        <v>100</v>
      </c>
      <c r="F37" s="8" t="s">
        <v>101</v>
      </c>
      <c r="G37" s="8" t="s">
        <v>376</v>
      </c>
      <c r="H37" s="8">
        <v>17.399999999999999</v>
      </c>
      <c r="I37" s="8">
        <f>(7.04+8.65+8.42)/3</f>
        <v>8.0366666666666671</v>
      </c>
      <c r="J37" s="8">
        <f>(3.55+3.33+3.49)/3</f>
        <v>3.456666666666667</v>
      </c>
      <c r="K37" s="8">
        <f t="shared" si="0"/>
        <v>11.493333333333334</v>
      </c>
      <c r="L37" s="8">
        <f>(K37/(H37*10))*100</f>
        <v>6.6053639846743302</v>
      </c>
      <c r="M37" s="9">
        <v>1.51</v>
      </c>
      <c r="N37" s="10">
        <v>0.59</v>
      </c>
      <c r="O37" s="10">
        <f t="shared" si="1"/>
        <v>2.1</v>
      </c>
      <c r="P37" s="8">
        <f>3.52-0.05</f>
        <v>3.47</v>
      </c>
      <c r="Q37" s="8">
        <f>0.52-0.05</f>
        <v>0.47000000000000003</v>
      </c>
      <c r="R37" s="8">
        <f t="shared" si="2"/>
        <v>3.9400000000000004</v>
      </c>
      <c r="S37" s="10">
        <v>0.98</v>
      </c>
      <c r="T37" s="10">
        <v>0.39</v>
      </c>
      <c r="U37" s="10">
        <f t="shared" si="3"/>
        <v>1.37</v>
      </c>
      <c r="V37" s="8">
        <f t="shared" si="4"/>
        <v>0.34771573604060912</v>
      </c>
      <c r="W37" s="8">
        <f t="shared" si="5"/>
        <v>53.284671532846708</v>
      </c>
    </row>
    <row r="38" spans="1:23" x14ac:dyDescent="0.25">
      <c r="A38" s="8" t="s">
        <v>17</v>
      </c>
      <c r="B38" s="8">
        <v>8</v>
      </c>
      <c r="C38" s="8" t="s">
        <v>102</v>
      </c>
      <c r="D38" s="8" t="s">
        <v>42</v>
      </c>
      <c r="E38" s="8" t="s">
        <v>100</v>
      </c>
      <c r="F38" s="8" t="s">
        <v>103</v>
      </c>
      <c r="G38" s="8" t="s">
        <v>376</v>
      </c>
      <c r="H38" s="8">
        <v>9.8000000000000007</v>
      </c>
      <c r="I38" s="8">
        <f>(3.78+3.14+3.39)/3</f>
        <v>3.436666666666667</v>
      </c>
      <c r="J38" s="8">
        <f>(13.8+8.4+6.79)/3</f>
        <v>9.663333333333334</v>
      </c>
      <c r="K38" s="8">
        <f t="shared" si="0"/>
        <v>13.100000000000001</v>
      </c>
      <c r="L38" s="8">
        <f>(K38/(H38*10))*100</f>
        <v>13.367346938775512</v>
      </c>
      <c r="M38" s="9">
        <v>1.1399999999999999</v>
      </c>
      <c r="N38" s="10">
        <v>1.17</v>
      </c>
      <c r="O38" s="10">
        <f t="shared" si="1"/>
        <v>2.3099999999999996</v>
      </c>
      <c r="P38" s="8">
        <f>2.25-0.05</f>
        <v>2.2000000000000002</v>
      </c>
      <c r="Q38" s="8">
        <f>0.98-0.05</f>
        <v>0.92999999999999994</v>
      </c>
      <c r="R38" s="8">
        <f t="shared" si="2"/>
        <v>3.13</v>
      </c>
      <c r="S38" s="10">
        <v>1</v>
      </c>
      <c r="T38" s="10">
        <v>0.66</v>
      </c>
      <c r="U38" s="10">
        <f t="shared" si="3"/>
        <v>1.6600000000000001</v>
      </c>
      <c r="V38" s="8">
        <f t="shared" si="4"/>
        <v>0.53035143769968063</v>
      </c>
      <c r="W38" s="8">
        <f t="shared" si="5"/>
        <v>39.156626506024061</v>
      </c>
    </row>
    <row r="39" spans="1:23" x14ac:dyDescent="0.25">
      <c r="A39" s="8" t="s">
        <v>17</v>
      </c>
      <c r="B39" s="8">
        <v>24</v>
      </c>
      <c r="C39" s="8" t="s">
        <v>104</v>
      </c>
      <c r="D39" s="8" t="s">
        <v>42</v>
      </c>
      <c r="E39" s="8" t="s">
        <v>100</v>
      </c>
      <c r="F39" s="8" t="s">
        <v>105</v>
      </c>
      <c r="G39" s="8" t="s">
        <v>376</v>
      </c>
      <c r="H39" s="8">
        <v>19.2</v>
      </c>
      <c r="I39" s="8">
        <f>(4.77+6.25+5.87)/3</f>
        <v>5.63</v>
      </c>
      <c r="J39" s="8">
        <f>(5.35+5.56+6.17)/3</f>
        <v>5.6933333333333325</v>
      </c>
      <c r="K39" s="8">
        <f t="shared" si="0"/>
        <v>11.323333333333332</v>
      </c>
      <c r="L39" s="8">
        <f t="shared" si="6"/>
        <v>5.8975694444444438</v>
      </c>
      <c r="M39" s="9">
        <v>0.71</v>
      </c>
      <c r="N39" s="10">
        <v>2.82</v>
      </c>
      <c r="O39" s="10">
        <f t="shared" si="1"/>
        <v>3.53</v>
      </c>
      <c r="P39" s="8">
        <f>1.09-0.05</f>
        <v>1.04</v>
      </c>
      <c r="Q39" s="8">
        <f>2.36-0.05</f>
        <v>2.31</v>
      </c>
      <c r="R39" s="8">
        <f t="shared" si="2"/>
        <v>3.35</v>
      </c>
      <c r="S39" s="10">
        <v>0.44</v>
      </c>
      <c r="T39" s="10">
        <v>1.65</v>
      </c>
      <c r="U39" s="10">
        <f t="shared" si="3"/>
        <v>2.09</v>
      </c>
      <c r="V39" s="8">
        <f t="shared" si="4"/>
        <v>0.62388059701492526</v>
      </c>
      <c r="W39" s="8">
        <f t="shared" si="5"/>
        <v>68.899521531100476</v>
      </c>
    </row>
    <row r="40" spans="1:23" s="1" customFormat="1" x14ac:dyDescent="0.25">
      <c r="A40" s="10" t="s">
        <v>17</v>
      </c>
      <c r="B40" s="10">
        <v>10</v>
      </c>
      <c r="C40" s="10" t="s">
        <v>106</v>
      </c>
      <c r="D40" s="10" t="s">
        <v>42</v>
      </c>
      <c r="E40" s="10" t="s">
        <v>100</v>
      </c>
      <c r="F40" s="10" t="s">
        <v>107</v>
      </c>
      <c r="G40" s="10" t="s">
        <v>376</v>
      </c>
      <c r="H40" s="10">
        <v>10.3</v>
      </c>
      <c r="I40" s="10">
        <f>(6.1+7.24+6.5)/3</f>
        <v>6.6133333333333333</v>
      </c>
      <c r="J40" s="10">
        <f>(6.41+4.81+4.59)/3</f>
        <v>5.27</v>
      </c>
      <c r="K40" s="8">
        <f t="shared" si="0"/>
        <v>11.883333333333333</v>
      </c>
      <c r="L40" s="10">
        <f t="shared" si="6"/>
        <v>11.537216828478963</v>
      </c>
      <c r="M40" s="9">
        <v>0.48</v>
      </c>
      <c r="N40" s="10">
        <v>4.03</v>
      </c>
      <c r="O40" s="10">
        <f t="shared" si="1"/>
        <v>4.51</v>
      </c>
      <c r="P40" s="10">
        <f>1.18-0.05</f>
        <v>1.1299999999999999</v>
      </c>
      <c r="Q40" s="10">
        <f>3.55-0.05</f>
        <v>3.5</v>
      </c>
      <c r="R40" s="8">
        <f t="shared" si="2"/>
        <v>4.63</v>
      </c>
      <c r="S40" s="10">
        <v>0.42</v>
      </c>
      <c r="T40" s="10">
        <v>2.34</v>
      </c>
      <c r="U40" s="10">
        <f t="shared" si="3"/>
        <v>2.76</v>
      </c>
      <c r="V40" s="8">
        <f t="shared" si="4"/>
        <v>0.59611231101511875</v>
      </c>
      <c r="W40" s="8">
        <f t="shared" si="5"/>
        <v>63.405797101449281</v>
      </c>
    </row>
    <row r="41" spans="1:23" s="1" customFormat="1" x14ac:dyDescent="0.25">
      <c r="A41" s="10" t="s">
        <v>17</v>
      </c>
      <c r="B41" s="10">
        <v>22</v>
      </c>
      <c r="C41" s="10" t="s">
        <v>108</v>
      </c>
      <c r="D41" s="10" t="s">
        <v>42</v>
      </c>
      <c r="E41" s="10" t="s">
        <v>100</v>
      </c>
      <c r="F41" s="10" t="s">
        <v>109</v>
      </c>
      <c r="G41" s="10" t="s">
        <v>376</v>
      </c>
      <c r="H41" s="10">
        <v>9.6</v>
      </c>
      <c r="I41" s="10">
        <f>(7.68+8.61+7.4)/3</f>
        <v>7.8966666666666656</v>
      </c>
      <c r="J41" s="10">
        <f>(4.98+4.11+4.82)/3</f>
        <v>4.6366666666666667</v>
      </c>
      <c r="K41" s="8">
        <f t="shared" si="0"/>
        <v>12.533333333333331</v>
      </c>
      <c r="L41" s="10">
        <f t="shared" si="6"/>
        <v>13.055555555555554</v>
      </c>
      <c r="M41" s="9">
        <v>1.1499999999999999</v>
      </c>
      <c r="N41" s="10">
        <v>2.2400000000000002</v>
      </c>
      <c r="O41" s="10">
        <f t="shared" si="1"/>
        <v>3.39</v>
      </c>
      <c r="P41" s="10">
        <f>3.07-0.05</f>
        <v>3.02</v>
      </c>
      <c r="Q41" s="10">
        <f>1.93-0.05</f>
        <v>1.88</v>
      </c>
      <c r="R41" s="8">
        <f t="shared" si="2"/>
        <v>4.9000000000000004</v>
      </c>
      <c r="S41" s="10">
        <v>0.97</v>
      </c>
      <c r="T41" s="10">
        <v>1.26</v>
      </c>
      <c r="U41" s="10">
        <f t="shared" si="3"/>
        <v>2.23</v>
      </c>
      <c r="V41" s="8">
        <f t="shared" si="4"/>
        <v>0.45510204081632649</v>
      </c>
      <c r="W41" s="8">
        <f t="shared" si="5"/>
        <v>52.017937219730946</v>
      </c>
    </row>
    <row r="42" spans="1:23" s="1" customFormat="1" x14ac:dyDescent="0.25">
      <c r="A42" s="10" t="s">
        <v>17</v>
      </c>
      <c r="B42" s="10">
        <v>7</v>
      </c>
      <c r="C42" s="10" t="s">
        <v>110</v>
      </c>
      <c r="D42" s="10" t="s">
        <v>111</v>
      </c>
      <c r="E42" s="10" t="s">
        <v>112</v>
      </c>
      <c r="F42" s="10" t="s">
        <v>113</v>
      </c>
      <c r="G42" s="10" t="s">
        <v>387</v>
      </c>
      <c r="H42" s="10">
        <v>9.8000000000000007</v>
      </c>
      <c r="I42" s="10">
        <f>(8.04+7.98+7.42)/3</f>
        <v>7.8133333333333326</v>
      </c>
      <c r="J42" s="10">
        <f>(4.7+3.95+3.95)/3</f>
        <v>4.2</v>
      </c>
      <c r="K42" s="8">
        <f t="shared" si="0"/>
        <v>12.013333333333332</v>
      </c>
      <c r="L42" s="10">
        <f t="shared" si="6"/>
        <v>12.258503401360542</v>
      </c>
      <c r="M42" s="9">
        <v>1.24</v>
      </c>
      <c r="N42" s="10">
        <v>1.61</v>
      </c>
      <c r="O42" s="10">
        <f t="shared" si="1"/>
        <v>2.85</v>
      </c>
      <c r="P42" s="10">
        <f>1.63-0.05</f>
        <v>1.5799999999999998</v>
      </c>
      <c r="Q42" s="10">
        <f>1.5-0.05</f>
        <v>1.45</v>
      </c>
      <c r="R42" s="8">
        <f t="shared" si="2"/>
        <v>3.03</v>
      </c>
      <c r="S42" s="10">
        <v>0.83</v>
      </c>
      <c r="T42" s="10">
        <v>0.65</v>
      </c>
      <c r="U42" s="10">
        <f t="shared" si="3"/>
        <v>1.48</v>
      </c>
      <c r="V42" s="8">
        <f t="shared" si="4"/>
        <v>0.48844884488448848</v>
      </c>
      <c r="W42" s="8">
        <f t="shared" si="5"/>
        <v>92.567567567567579</v>
      </c>
    </row>
    <row r="43" spans="1:23" x14ac:dyDescent="0.25">
      <c r="A43" s="8" t="s">
        <v>17</v>
      </c>
      <c r="B43" s="8">
        <v>1</v>
      </c>
      <c r="C43" s="8" t="s">
        <v>114</v>
      </c>
      <c r="D43" s="8" t="s">
        <v>111</v>
      </c>
      <c r="E43" s="8" t="s">
        <v>112</v>
      </c>
      <c r="F43" s="8" t="s">
        <v>115</v>
      </c>
      <c r="G43" s="8" t="s">
        <v>377</v>
      </c>
      <c r="H43" s="8">
        <v>8.1</v>
      </c>
      <c r="I43" s="8">
        <f>(2.56+2.54+2.54)/3</f>
        <v>2.5466666666666664</v>
      </c>
      <c r="J43" s="8">
        <f>(3.83+3.43+3.66)/3</f>
        <v>3.64</v>
      </c>
      <c r="K43" s="8">
        <f t="shared" si="0"/>
        <v>6.1866666666666665</v>
      </c>
      <c r="L43" s="8">
        <f t="shared" si="6"/>
        <v>7.6378600823045257</v>
      </c>
      <c r="M43" s="9">
        <v>0.25</v>
      </c>
      <c r="N43" s="10">
        <v>1.22</v>
      </c>
      <c r="O43" s="10">
        <f t="shared" si="1"/>
        <v>1.47</v>
      </c>
      <c r="P43" s="8">
        <f>0.36-0.05</f>
        <v>0.31</v>
      </c>
      <c r="Q43" s="8">
        <f>1.17-0.05</f>
        <v>1.1199999999999999</v>
      </c>
      <c r="R43" s="8">
        <f t="shared" si="2"/>
        <v>1.43</v>
      </c>
      <c r="S43" s="10">
        <v>0.19</v>
      </c>
      <c r="T43" s="10">
        <v>0.52</v>
      </c>
      <c r="U43" s="10">
        <f t="shared" si="3"/>
        <v>0.71</v>
      </c>
      <c r="V43" s="8">
        <f t="shared" si="4"/>
        <v>0.49650349650349651</v>
      </c>
      <c r="W43" s="8">
        <f t="shared" si="5"/>
        <v>107.04225352112677</v>
      </c>
    </row>
    <row r="44" spans="1:23" s="1" customFormat="1" x14ac:dyDescent="0.25">
      <c r="A44" s="10" t="s">
        <v>17</v>
      </c>
      <c r="B44" s="10">
        <v>11</v>
      </c>
      <c r="C44" s="14">
        <v>258</v>
      </c>
      <c r="D44" s="10" t="s">
        <v>111</v>
      </c>
      <c r="E44" s="10" t="s">
        <v>112</v>
      </c>
      <c r="F44" s="10" t="s">
        <v>388</v>
      </c>
      <c r="G44" s="10" t="s">
        <v>378</v>
      </c>
      <c r="H44" s="10">
        <v>11.6</v>
      </c>
      <c r="I44" s="10">
        <f>(5.45+6.91+5.92)/3</f>
        <v>6.0933333333333337</v>
      </c>
      <c r="J44" s="10">
        <f>(6.57+5.68+6.25)/3</f>
        <v>6.166666666666667</v>
      </c>
      <c r="K44" s="8">
        <f t="shared" si="0"/>
        <v>12.260000000000002</v>
      </c>
      <c r="L44" s="10">
        <f t="shared" si="6"/>
        <v>10.568965517241381</v>
      </c>
      <c r="M44" s="9">
        <v>0.61</v>
      </c>
      <c r="N44" s="10">
        <v>1.9</v>
      </c>
      <c r="O44" s="10">
        <f t="shared" si="1"/>
        <v>2.5099999999999998</v>
      </c>
      <c r="P44" s="10">
        <f>0.77-0.05</f>
        <v>0.72</v>
      </c>
      <c r="Q44" s="10">
        <f>1.81-0.05</f>
        <v>1.76</v>
      </c>
      <c r="R44" s="8">
        <f t="shared" si="2"/>
        <v>2.48</v>
      </c>
      <c r="S44" s="10">
        <v>0.49</v>
      </c>
      <c r="T44" s="10">
        <v>0.8</v>
      </c>
      <c r="U44" s="10">
        <f t="shared" si="3"/>
        <v>1.29</v>
      </c>
      <c r="V44" s="8">
        <f t="shared" si="4"/>
        <v>0.52016129032258063</v>
      </c>
      <c r="W44" s="8">
        <f t="shared" si="5"/>
        <v>94.573643410852696</v>
      </c>
    </row>
    <row r="45" spans="1:23" s="1" customFormat="1" x14ac:dyDescent="0.25">
      <c r="A45" s="10" t="s">
        <v>17</v>
      </c>
      <c r="B45" s="10">
        <v>18</v>
      </c>
      <c r="C45" s="10" t="s">
        <v>116</v>
      </c>
      <c r="D45" s="10" t="s">
        <v>111</v>
      </c>
      <c r="E45" s="10" t="s">
        <v>112</v>
      </c>
      <c r="F45" s="10" t="s">
        <v>117</v>
      </c>
      <c r="G45" s="10" t="s">
        <v>378</v>
      </c>
      <c r="H45" s="10">
        <v>6.5</v>
      </c>
      <c r="I45" s="10">
        <f>(2.2+2.64+2.54)/3</f>
        <v>2.46</v>
      </c>
      <c r="J45" s="10">
        <f>(5.43+5.46+4.89)/3</f>
        <v>5.2600000000000007</v>
      </c>
      <c r="K45" s="8">
        <f t="shared" si="0"/>
        <v>7.7200000000000006</v>
      </c>
      <c r="L45" s="10">
        <f t="shared" si="6"/>
        <v>11.876923076923077</v>
      </c>
      <c r="M45" s="9">
        <v>0.1</v>
      </c>
      <c r="N45" s="10">
        <v>1.47</v>
      </c>
      <c r="O45" s="10">
        <f t="shared" si="1"/>
        <v>1.57</v>
      </c>
      <c r="P45" s="10">
        <f>0.13-0.05</f>
        <v>0.08</v>
      </c>
      <c r="Q45" s="10">
        <f>1.57-0.05</f>
        <v>1.52</v>
      </c>
      <c r="R45" s="8">
        <f t="shared" si="2"/>
        <v>1.6</v>
      </c>
      <c r="S45" s="10">
        <v>0.05</v>
      </c>
      <c r="T45" s="10">
        <v>0.62</v>
      </c>
      <c r="U45" s="10">
        <f t="shared" si="3"/>
        <v>0.67</v>
      </c>
      <c r="V45" s="8">
        <f t="shared" si="4"/>
        <v>0.41875000000000001</v>
      </c>
      <c r="W45" s="8">
        <f t="shared" si="5"/>
        <v>134.32835820895522</v>
      </c>
    </row>
    <row r="46" spans="1:23" s="1" customFormat="1" x14ac:dyDescent="0.25">
      <c r="A46" s="10" t="s">
        <v>17</v>
      </c>
      <c r="B46" s="10">
        <v>1</v>
      </c>
      <c r="C46" s="10" t="s">
        <v>118</v>
      </c>
      <c r="D46" s="10" t="s">
        <v>111</v>
      </c>
      <c r="E46" s="10" t="s">
        <v>112</v>
      </c>
      <c r="F46" s="10" t="s">
        <v>119</v>
      </c>
      <c r="G46" s="10" t="s">
        <v>378</v>
      </c>
      <c r="H46" s="10">
        <v>8.4</v>
      </c>
      <c r="I46" s="10">
        <f>(4.6+5.02+7.57)/3</f>
        <v>5.7299999999999995</v>
      </c>
      <c r="J46" s="10">
        <f>(5.94+4.31+4.86)/3</f>
        <v>5.0366666666666662</v>
      </c>
      <c r="K46" s="8">
        <f t="shared" si="0"/>
        <v>10.766666666666666</v>
      </c>
      <c r="L46" s="10">
        <f t="shared" si="6"/>
        <v>12.817460317460316</v>
      </c>
      <c r="M46" s="9">
        <v>0.41</v>
      </c>
      <c r="N46" s="10">
        <v>1.39</v>
      </c>
      <c r="O46" s="10">
        <f t="shared" si="1"/>
        <v>1.7999999999999998</v>
      </c>
      <c r="P46" s="10">
        <f>0.84-0.05</f>
        <v>0.78999999999999992</v>
      </c>
      <c r="Q46" s="10">
        <f>1.32-0.05</f>
        <v>1.27</v>
      </c>
      <c r="R46" s="8">
        <f t="shared" si="2"/>
        <v>2.06</v>
      </c>
      <c r="S46" s="10">
        <v>0.31</v>
      </c>
      <c r="T46" s="10">
        <v>0.66</v>
      </c>
      <c r="U46" s="10">
        <f t="shared" si="3"/>
        <v>0.97</v>
      </c>
      <c r="V46" s="8">
        <f t="shared" si="4"/>
        <v>0.47087378640776695</v>
      </c>
      <c r="W46" s="8">
        <f t="shared" si="5"/>
        <v>85.567010309278331</v>
      </c>
    </row>
    <row r="47" spans="1:23" x14ac:dyDescent="0.25">
      <c r="A47" s="8" t="s">
        <v>17</v>
      </c>
      <c r="B47" s="8">
        <v>1</v>
      </c>
      <c r="C47" s="8" t="s">
        <v>120</v>
      </c>
      <c r="D47" s="8" t="s">
        <v>121</v>
      </c>
      <c r="E47" s="8" t="s">
        <v>122</v>
      </c>
      <c r="F47" s="8" t="s">
        <v>123</v>
      </c>
      <c r="G47" s="8" t="s">
        <v>378</v>
      </c>
      <c r="H47" s="8">
        <v>8.1</v>
      </c>
      <c r="I47" s="8">
        <f>(9.38+9.07+12.31)/3</f>
        <v>10.253333333333336</v>
      </c>
      <c r="J47" s="8">
        <f>(4.39+4.69+5.02)/3</f>
        <v>4.7</v>
      </c>
      <c r="K47" s="8">
        <f t="shared" si="0"/>
        <v>14.953333333333337</v>
      </c>
      <c r="L47" s="8">
        <f t="shared" si="6"/>
        <v>18.460905349794242</v>
      </c>
      <c r="M47" s="9">
        <v>1.57</v>
      </c>
      <c r="N47" s="10">
        <v>1.27</v>
      </c>
      <c r="O47" s="10">
        <f t="shared" si="1"/>
        <v>2.84</v>
      </c>
      <c r="P47" s="8">
        <f>4-0.05</f>
        <v>3.95</v>
      </c>
      <c r="Q47" s="8">
        <f>1.23-0.05</f>
        <v>1.18</v>
      </c>
      <c r="R47" s="8">
        <f t="shared" si="2"/>
        <v>5.13</v>
      </c>
      <c r="S47" s="10">
        <v>1.36</v>
      </c>
      <c r="T47" s="10">
        <v>0.5</v>
      </c>
      <c r="U47" s="10">
        <f t="shared" si="3"/>
        <v>1.86</v>
      </c>
      <c r="V47" s="8">
        <f t="shared" si="4"/>
        <v>0.36257309941520471</v>
      </c>
      <c r="W47" s="8">
        <f t="shared" si="5"/>
        <v>52.688172043010738</v>
      </c>
    </row>
    <row r="48" spans="1:23" s="1" customFormat="1" x14ac:dyDescent="0.25">
      <c r="A48" s="10" t="s">
        <v>17</v>
      </c>
      <c r="B48" s="10">
        <v>12</v>
      </c>
      <c r="C48" s="10" t="s">
        <v>124</v>
      </c>
      <c r="D48" s="10" t="s">
        <v>121</v>
      </c>
      <c r="E48" s="10" t="s">
        <v>122</v>
      </c>
      <c r="F48" s="10" t="s">
        <v>125</v>
      </c>
      <c r="G48" s="10" t="s">
        <v>376</v>
      </c>
      <c r="H48" s="10">
        <v>10</v>
      </c>
      <c r="I48" s="10">
        <f>(21.46+20.97+17.41)/3</f>
        <v>19.946666666666669</v>
      </c>
      <c r="J48" s="10">
        <f>(5.85+6.13+5.7+0)/3</f>
        <v>5.8933333333333335</v>
      </c>
      <c r="K48" s="8">
        <f t="shared" si="0"/>
        <v>25.840000000000003</v>
      </c>
      <c r="L48" s="10">
        <f t="shared" si="6"/>
        <v>25.840000000000003</v>
      </c>
      <c r="M48" s="9">
        <v>7.16</v>
      </c>
      <c r="N48" s="10">
        <v>3.8</v>
      </c>
      <c r="O48" s="10">
        <f t="shared" si="1"/>
        <v>10.96</v>
      </c>
      <c r="P48" s="10">
        <f>18.6-0.45</f>
        <v>18.150000000000002</v>
      </c>
      <c r="Q48" s="10">
        <f>3.75-0.05</f>
        <v>3.7</v>
      </c>
      <c r="R48" s="8">
        <f t="shared" si="2"/>
        <v>21.85</v>
      </c>
      <c r="S48" s="10">
        <v>5.05</v>
      </c>
      <c r="T48" s="10">
        <v>1.4</v>
      </c>
      <c r="U48" s="10">
        <f t="shared" si="3"/>
        <v>6.4499999999999993</v>
      </c>
      <c r="V48" s="8">
        <f t="shared" si="4"/>
        <v>0.29519450800915326</v>
      </c>
      <c r="W48" s="8">
        <f t="shared" si="5"/>
        <v>69.922480620155071</v>
      </c>
    </row>
    <row r="49" spans="1:23" x14ac:dyDescent="0.25">
      <c r="A49" s="8" t="s">
        <v>17</v>
      </c>
      <c r="B49" s="8">
        <v>9</v>
      </c>
      <c r="C49" s="8" t="s">
        <v>126</v>
      </c>
      <c r="D49" s="8" t="s">
        <v>121</v>
      </c>
      <c r="E49" s="8" t="s">
        <v>122</v>
      </c>
      <c r="F49" s="8" t="s">
        <v>127</v>
      </c>
      <c r="G49" s="8" t="s">
        <v>376</v>
      </c>
      <c r="H49" s="8">
        <v>7.8</v>
      </c>
      <c r="I49" s="8">
        <f>(21.94+21.15+19.63)/3</f>
        <v>20.906666666666666</v>
      </c>
      <c r="J49" s="8">
        <f>(4.71+4.22+4.89)/3</f>
        <v>4.6066666666666665</v>
      </c>
      <c r="K49" s="8">
        <f t="shared" si="0"/>
        <v>25.513333333333332</v>
      </c>
      <c r="L49" s="8">
        <f t="shared" si="6"/>
        <v>32.70940170940171</v>
      </c>
      <c r="M49" s="9">
        <v>3.1</v>
      </c>
      <c r="N49" s="10">
        <v>2.1</v>
      </c>
      <c r="O49" s="10">
        <f t="shared" si="1"/>
        <v>5.2</v>
      </c>
      <c r="P49" s="8">
        <f>11.75-0.05</f>
        <v>11.7</v>
      </c>
      <c r="Q49" s="8">
        <f>2.1-0.05</f>
        <v>2.0500000000000003</v>
      </c>
      <c r="R49" s="8">
        <f t="shared" si="2"/>
        <v>13.75</v>
      </c>
      <c r="S49" s="10">
        <v>2.72</v>
      </c>
      <c r="T49" s="10">
        <v>0.79</v>
      </c>
      <c r="U49" s="10">
        <f t="shared" si="3"/>
        <v>3.5100000000000002</v>
      </c>
      <c r="V49" s="8">
        <f t="shared" si="4"/>
        <v>0.25527272727272726</v>
      </c>
      <c r="W49" s="8">
        <f t="shared" si="5"/>
        <v>48.148148148148145</v>
      </c>
    </row>
    <row r="50" spans="1:23" x14ac:dyDescent="0.25">
      <c r="A50" s="8" t="s">
        <v>17</v>
      </c>
      <c r="B50" s="8">
        <v>8</v>
      </c>
      <c r="C50" s="8" t="s">
        <v>128</v>
      </c>
      <c r="D50" s="8" t="s">
        <v>121</v>
      </c>
      <c r="E50" s="8" t="s">
        <v>122</v>
      </c>
      <c r="F50" s="8" t="s">
        <v>129</v>
      </c>
      <c r="G50" s="8" t="s">
        <v>376</v>
      </c>
      <c r="H50" s="8">
        <v>9.3000000000000007</v>
      </c>
      <c r="I50" s="8">
        <f>(13.83+11.77+9.91)/3</f>
        <v>11.836666666666668</v>
      </c>
      <c r="J50" s="8">
        <f>(8.95+8.61+6.4)/3</f>
        <v>7.9866666666666672</v>
      </c>
      <c r="K50" s="8">
        <f t="shared" si="0"/>
        <v>19.823333333333334</v>
      </c>
      <c r="L50" s="8">
        <f t="shared" si="6"/>
        <v>21.315412186379927</v>
      </c>
      <c r="M50" s="9">
        <v>1.9</v>
      </c>
      <c r="N50" s="10">
        <v>2.92</v>
      </c>
      <c r="O50" s="10">
        <f t="shared" si="1"/>
        <v>4.82</v>
      </c>
      <c r="P50" s="8">
        <f>5.62-0.05</f>
        <v>5.57</v>
      </c>
      <c r="Q50" s="8">
        <f>2.88-0.05</f>
        <v>2.83</v>
      </c>
      <c r="R50" s="8">
        <f t="shared" si="2"/>
        <v>8.4</v>
      </c>
      <c r="S50" s="10">
        <v>1.69</v>
      </c>
      <c r="T50" s="10">
        <v>0.63</v>
      </c>
      <c r="U50" s="10">
        <f t="shared" si="3"/>
        <v>2.3199999999999998</v>
      </c>
      <c r="V50" s="8">
        <f t="shared" si="4"/>
        <v>0.27619047619047615</v>
      </c>
      <c r="W50" s="8">
        <f t="shared" si="5"/>
        <v>107.7586206896552</v>
      </c>
    </row>
    <row r="51" spans="1:23" s="1" customFormat="1" x14ac:dyDescent="0.25">
      <c r="A51" s="10" t="s">
        <v>17</v>
      </c>
      <c r="B51" s="10">
        <v>11</v>
      </c>
      <c r="C51" s="10" t="s">
        <v>130</v>
      </c>
      <c r="D51" s="10" t="s">
        <v>121</v>
      </c>
      <c r="E51" s="10" t="s">
        <v>122</v>
      </c>
      <c r="F51" s="10" t="s">
        <v>131</v>
      </c>
      <c r="G51" s="10" t="s">
        <v>376</v>
      </c>
      <c r="H51" s="10">
        <v>8.8000000000000007</v>
      </c>
      <c r="I51" s="10">
        <f>(14.73+22.62+12.52)/3</f>
        <v>16.623333333333335</v>
      </c>
      <c r="J51" s="10">
        <f>(6.31+7.17+6.89)/3</f>
        <v>6.79</v>
      </c>
      <c r="K51" s="8">
        <f t="shared" si="0"/>
        <v>23.413333333333334</v>
      </c>
      <c r="L51" s="10">
        <f t="shared" si="6"/>
        <v>26.606060606060606</v>
      </c>
      <c r="M51" s="9">
        <v>3.7</v>
      </c>
      <c r="N51" s="10">
        <v>2.34</v>
      </c>
      <c r="O51" s="10">
        <f t="shared" si="1"/>
        <v>6.04</v>
      </c>
      <c r="P51" s="10">
        <f>11.14-0.45</f>
        <v>10.690000000000001</v>
      </c>
      <c r="Q51" s="10">
        <f>2.27-0.05</f>
        <v>2.2200000000000002</v>
      </c>
      <c r="R51" s="8">
        <f t="shared" si="2"/>
        <v>12.910000000000002</v>
      </c>
      <c r="S51" s="10">
        <v>2.81</v>
      </c>
      <c r="T51" s="10">
        <v>0.97</v>
      </c>
      <c r="U51" s="10">
        <f t="shared" si="3"/>
        <v>3.7800000000000002</v>
      </c>
      <c r="V51" s="8">
        <f t="shared" si="4"/>
        <v>0.29279628195197521</v>
      </c>
      <c r="W51" s="8">
        <f t="shared" si="5"/>
        <v>59.788359788359777</v>
      </c>
    </row>
    <row r="52" spans="1:23" x14ac:dyDescent="0.25">
      <c r="A52" s="8" t="s">
        <v>132</v>
      </c>
      <c r="B52" s="8">
        <v>17</v>
      </c>
      <c r="C52" s="8" t="s">
        <v>133</v>
      </c>
      <c r="D52" s="8" t="s">
        <v>31</v>
      </c>
      <c r="E52" s="8" t="s">
        <v>32</v>
      </c>
      <c r="F52" s="8" t="s">
        <v>134</v>
      </c>
      <c r="G52" s="10" t="s">
        <v>376</v>
      </c>
      <c r="H52" s="10">
        <v>19.5</v>
      </c>
      <c r="I52" s="8">
        <f>(7.26+6.48+6.19)/3</f>
        <v>6.6433333333333335</v>
      </c>
      <c r="J52" s="8">
        <f>(4.93+5+5.34)/3</f>
        <v>5.09</v>
      </c>
      <c r="K52" s="8">
        <f t="shared" si="0"/>
        <v>11.733333333333334</v>
      </c>
      <c r="L52" s="10">
        <f t="shared" si="6"/>
        <v>6.0170940170940179</v>
      </c>
      <c r="M52" s="9">
        <v>1.38</v>
      </c>
      <c r="N52" s="10">
        <v>2.3199999999999998</v>
      </c>
      <c r="O52" s="10">
        <f t="shared" si="1"/>
        <v>3.6999999999999997</v>
      </c>
      <c r="P52" s="8">
        <f>3.03-0.05</f>
        <v>2.98</v>
      </c>
      <c r="Q52" s="8">
        <f>2.08-0.05</f>
        <v>2.0300000000000002</v>
      </c>
      <c r="R52" s="8">
        <f t="shared" si="2"/>
        <v>5.01</v>
      </c>
      <c r="S52" s="10">
        <v>1.1599999999999999</v>
      </c>
      <c r="T52" s="10">
        <v>1.03</v>
      </c>
      <c r="U52" s="10">
        <f t="shared" si="3"/>
        <v>2.19</v>
      </c>
      <c r="V52" s="8">
        <f t="shared" si="4"/>
        <v>0.43712574850299402</v>
      </c>
      <c r="W52" s="8">
        <f t="shared" si="5"/>
        <v>68.949771689497709</v>
      </c>
    </row>
    <row r="53" spans="1:23" x14ac:dyDescent="0.25">
      <c r="A53" s="8" t="s">
        <v>132</v>
      </c>
      <c r="B53" s="8">
        <v>18</v>
      </c>
      <c r="C53" s="8" t="s">
        <v>135</v>
      </c>
      <c r="D53" s="8" t="s">
        <v>31</v>
      </c>
      <c r="E53" s="8" t="s">
        <v>32</v>
      </c>
      <c r="F53" s="8" t="s">
        <v>136</v>
      </c>
      <c r="G53" s="10" t="s">
        <v>376</v>
      </c>
      <c r="H53" s="10">
        <v>27.8</v>
      </c>
      <c r="I53" s="8">
        <f>(10.28+14.84+13.18)/3</f>
        <v>12.766666666666666</v>
      </c>
      <c r="J53" s="8">
        <f>(5.31+5.56+5.28)/3</f>
        <v>5.3833333333333329</v>
      </c>
      <c r="K53" s="8">
        <f t="shared" si="0"/>
        <v>18.149999999999999</v>
      </c>
      <c r="L53" s="8">
        <f t="shared" si="6"/>
        <v>6.5287769784172651</v>
      </c>
      <c r="M53" s="9">
        <v>3.22</v>
      </c>
      <c r="N53" s="10">
        <v>2.6</v>
      </c>
      <c r="O53" s="10">
        <f t="shared" si="1"/>
        <v>5.82</v>
      </c>
      <c r="P53" s="8">
        <f>6.29-0.05</f>
        <v>6.24</v>
      </c>
      <c r="Q53" s="8">
        <f>2.21-0.05</f>
        <v>2.16</v>
      </c>
      <c r="R53" s="8">
        <f t="shared" si="2"/>
        <v>8.4</v>
      </c>
      <c r="S53" s="10">
        <v>2.35</v>
      </c>
      <c r="T53" s="10">
        <v>1.26</v>
      </c>
      <c r="U53" s="10">
        <f t="shared" si="3"/>
        <v>3.6100000000000003</v>
      </c>
      <c r="V53" s="8">
        <f t="shared" si="4"/>
        <v>0.42976190476190479</v>
      </c>
      <c r="W53" s="8">
        <f t="shared" si="5"/>
        <v>61.218836565096943</v>
      </c>
    </row>
    <row r="54" spans="1:23" x14ac:dyDescent="0.25">
      <c r="A54" s="8" t="s">
        <v>132</v>
      </c>
      <c r="B54" s="8">
        <v>1</v>
      </c>
      <c r="C54" s="8" t="s">
        <v>137</v>
      </c>
      <c r="D54" s="8" t="s">
        <v>31</v>
      </c>
      <c r="E54" s="8" t="s">
        <v>32</v>
      </c>
      <c r="F54" s="8" t="s">
        <v>138</v>
      </c>
      <c r="G54" s="10" t="s">
        <v>376</v>
      </c>
      <c r="H54" s="10">
        <v>15.1</v>
      </c>
      <c r="I54" s="8">
        <f>(12.26+12.25+12.43)/3</f>
        <v>12.313333333333333</v>
      </c>
      <c r="J54" s="8">
        <f>(4.47+4.34+4.16)/3</f>
        <v>4.3233333333333333</v>
      </c>
      <c r="K54" s="8">
        <f t="shared" si="0"/>
        <v>16.636666666666667</v>
      </c>
      <c r="L54" s="8">
        <f t="shared" si="6"/>
        <v>11.01766004415011</v>
      </c>
      <c r="M54" s="9">
        <v>1.85</v>
      </c>
      <c r="N54" s="10">
        <v>2.31</v>
      </c>
      <c r="O54" s="10">
        <f t="shared" si="1"/>
        <v>4.16</v>
      </c>
      <c r="P54" s="8">
        <f>5.29-0.05</f>
        <v>5.24</v>
      </c>
      <c r="Q54" s="8">
        <f>2.11-0.05</f>
        <v>2.06</v>
      </c>
      <c r="R54" s="8">
        <f t="shared" si="2"/>
        <v>7.3000000000000007</v>
      </c>
      <c r="S54" s="10">
        <v>1.46</v>
      </c>
      <c r="T54" s="10">
        <v>0.97</v>
      </c>
      <c r="U54" s="10">
        <f t="shared" si="3"/>
        <v>2.4299999999999997</v>
      </c>
      <c r="V54" s="8">
        <f t="shared" si="4"/>
        <v>0.33287671232876703</v>
      </c>
      <c r="W54" s="8">
        <f t="shared" si="5"/>
        <v>71.193415637860113</v>
      </c>
    </row>
    <row r="55" spans="1:23" x14ac:dyDescent="0.25">
      <c r="A55" s="8" t="s">
        <v>132</v>
      </c>
      <c r="B55" s="8">
        <v>4</v>
      </c>
      <c r="C55" s="8" t="s">
        <v>139</v>
      </c>
      <c r="D55" s="8" t="s">
        <v>31</v>
      </c>
      <c r="E55" s="8" t="s">
        <v>32</v>
      </c>
      <c r="F55" s="8" t="s">
        <v>140</v>
      </c>
      <c r="G55" s="10" t="s">
        <v>376</v>
      </c>
      <c r="H55" s="10">
        <v>9.9</v>
      </c>
      <c r="I55" s="8">
        <f>(7.09+6.71+3.82)/3</f>
        <v>5.873333333333334</v>
      </c>
      <c r="J55" s="8">
        <f>(2.53+3.03+2.93)/3</f>
        <v>2.83</v>
      </c>
      <c r="K55" s="8">
        <f t="shared" si="0"/>
        <v>8.7033333333333331</v>
      </c>
      <c r="L55" s="8">
        <f t="shared" si="6"/>
        <v>8.7912457912457906</v>
      </c>
      <c r="M55" s="9">
        <v>1.19</v>
      </c>
      <c r="N55" s="10">
        <v>1.75</v>
      </c>
      <c r="O55" s="10">
        <f t="shared" si="1"/>
        <v>2.94</v>
      </c>
      <c r="P55" s="8">
        <f>2.77-0.05</f>
        <v>2.72</v>
      </c>
      <c r="Q55" s="8">
        <f>1.75-0.05</f>
        <v>1.7</v>
      </c>
      <c r="R55" s="8">
        <f t="shared" si="2"/>
        <v>4.42</v>
      </c>
      <c r="S55" s="10">
        <v>0.66</v>
      </c>
      <c r="T55" s="10">
        <v>0.67</v>
      </c>
      <c r="U55" s="10">
        <f t="shared" si="3"/>
        <v>1.33</v>
      </c>
      <c r="V55" s="8">
        <f t="shared" si="4"/>
        <v>0.30090497737556565</v>
      </c>
      <c r="W55" s="8">
        <f t="shared" si="5"/>
        <v>121.05263157894734</v>
      </c>
    </row>
    <row r="56" spans="1:23" x14ac:dyDescent="0.25">
      <c r="A56" s="8" t="s">
        <v>132</v>
      </c>
      <c r="B56" s="8">
        <v>4</v>
      </c>
      <c r="C56" s="8" t="s">
        <v>141</v>
      </c>
      <c r="D56" s="8" t="s">
        <v>31</v>
      </c>
      <c r="E56" s="8" t="s">
        <v>32</v>
      </c>
      <c r="F56" s="8" t="s">
        <v>142</v>
      </c>
      <c r="G56" s="10" t="s">
        <v>377</v>
      </c>
      <c r="H56" s="10">
        <v>15.5</v>
      </c>
      <c r="I56" s="8">
        <f>(4.35+3.04+4.59)/3</f>
        <v>3.9933333333333336</v>
      </c>
      <c r="J56" s="8">
        <f>(7.14+7.11+8.2)/3</f>
        <v>7.4833333333333334</v>
      </c>
      <c r="K56" s="8">
        <f t="shared" si="0"/>
        <v>11.476666666666667</v>
      </c>
      <c r="L56" s="8">
        <f t="shared" si="6"/>
        <v>7.4043010752688172</v>
      </c>
      <c r="M56" s="9">
        <v>0.51</v>
      </c>
      <c r="N56" s="10">
        <v>2.27</v>
      </c>
      <c r="O56" s="10">
        <f t="shared" si="1"/>
        <v>2.7800000000000002</v>
      </c>
      <c r="P56" s="8">
        <f>1.2-0.05</f>
        <v>1.1499999999999999</v>
      </c>
      <c r="Q56" s="8">
        <f>1.87-0.05</f>
        <v>1.82</v>
      </c>
      <c r="R56" s="8">
        <f t="shared" si="2"/>
        <v>2.9699999999999998</v>
      </c>
      <c r="S56" s="10">
        <v>0.39</v>
      </c>
      <c r="T56" s="10">
        <v>1.1100000000000001</v>
      </c>
      <c r="U56" s="10">
        <f t="shared" si="3"/>
        <v>1.5</v>
      </c>
      <c r="V56" s="8">
        <f t="shared" si="4"/>
        <v>0.50505050505050508</v>
      </c>
      <c r="W56" s="8">
        <f t="shared" si="5"/>
        <v>85.333333333333343</v>
      </c>
    </row>
    <row r="57" spans="1:23" x14ac:dyDescent="0.25">
      <c r="A57" s="8" t="s">
        <v>132</v>
      </c>
      <c r="B57" s="8">
        <v>21</v>
      </c>
      <c r="C57" s="8" t="s">
        <v>143</v>
      </c>
      <c r="D57" s="8" t="s">
        <v>19</v>
      </c>
      <c r="E57" s="8" t="s">
        <v>20</v>
      </c>
      <c r="F57" s="8" t="s">
        <v>144</v>
      </c>
      <c r="G57" s="10" t="s">
        <v>376</v>
      </c>
      <c r="H57" s="10">
        <v>36.4</v>
      </c>
      <c r="I57" s="8">
        <f>(12.92+14.38+12.99)/3</f>
        <v>13.43</v>
      </c>
      <c r="J57" s="8">
        <f>(10.63+9.26+11.19)/3</f>
        <v>10.36</v>
      </c>
      <c r="K57" s="8">
        <f t="shared" si="0"/>
        <v>23.79</v>
      </c>
      <c r="L57" s="8">
        <f t="shared" si="6"/>
        <v>6.5357142857142847</v>
      </c>
      <c r="M57" s="9">
        <v>4.79</v>
      </c>
      <c r="N57" s="10">
        <v>6.6</v>
      </c>
      <c r="O57" s="10">
        <f t="shared" si="1"/>
        <v>11.39</v>
      </c>
      <c r="P57" s="8">
        <f>4.51-0.05</f>
        <v>4.46</v>
      </c>
      <c r="Q57" s="8">
        <f>5.91-0.05</f>
        <v>5.86</v>
      </c>
      <c r="R57" s="8">
        <f t="shared" si="2"/>
        <v>10.32</v>
      </c>
      <c r="S57" s="10">
        <v>3.22</v>
      </c>
      <c r="T57" s="10">
        <v>3.74</v>
      </c>
      <c r="U57" s="10">
        <f t="shared" si="3"/>
        <v>6.9600000000000009</v>
      </c>
      <c r="V57" s="8">
        <f t="shared" si="4"/>
        <v>0.67441860465116288</v>
      </c>
      <c r="W57" s="8">
        <f t="shared" si="5"/>
        <v>63.649425287356308</v>
      </c>
    </row>
    <row r="58" spans="1:23" x14ac:dyDescent="0.25">
      <c r="A58" s="8" t="s">
        <v>132</v>
      </c>
      <c r="B58" s="8">
        <v>21</v>
      </c>
      <c r="C58" s="8" t="s">
        <v>145</v>
      </c>
      <c r="D58" s="8" t="s">
        <v>19</v>
      </c>
      <c r="E58" s="8" t="s">
        <v>20</v>
      </c>
      <c r="F58" s="8" t="s">
        <v>146</v>
      </c>
      <c r="G58" s="10" t="s">
        <v>376</v>
      </c>
      <c r="H58" s="10">
        <v>27.9</v>
      </c>
      <c r="I58" s="8">
        <f>(4.56+4.73+3.91)/3</f>
        <v>4.3999999999999995</v>
      </c>
      <c r="J58" s="8">
        <f>(8.55+8.67+8.5)/3</f>
        <v>8.5733333333333324</v>
      </c>
      <c r="K58" s="8">
        <f t="shared" si="0"/>
        <v>12.973333333333333</v>
      </c>
      <c r="L58" s="8">
        <f t="shared" si="6"/>
        <v>4.6499402628434883</v>
      </c>
      <c r="M58" s="9">
        <v>0.9</v>
      </c>
      <c r="N58" s="10">
        <v>4.1500000000000004</v>
      </c>
      <c r="O58" s="10">
        <f t="shared" si="1"/>
        <v>5.0500000000000007</v>
      </c>
      <c r="P58" s="8">
        <f>1.01-0.05</f>
        <v>0.96</v>
      </c>
      <c r="Q58" s="8">
        <f>3.7-0.05</f>
        <v>3.6500000000000004</v>
      </c>
      <c r="R58" s="8">
        <f t="shared" si="2"/>
        <v>4.6100000000000003</v>
      </c>
      <c r="S58" s="10">
        <v>0.66</v>
      </c>
      <c r="T58" s="10">
        <v>2.0699999999999998</v>
      </c>
      <c r="U58" s="10">
        <f t="shared" si="3"/>
        <v>2.73</v>
      </c>
      <c r="V58" s="8">
        <f t="shared" si="4"/>
        <v>0.59219088937093267</v>
      </c>
      <c r="W58" s="8">
        <f t="shared" si="5"/>
        <v>84.981684981685007</v>
      </c>
    </row>
    <row r="59" spans="1:23" s="1" customFormat="1" x14ac:dyDescent="0.25">
      <c r="A59" s="10" t="s">
        <v>132</v>
      </c>
      <c r="B59" s="10">
        <v>25</v>
      </c>
      <c r="C59" s="10" t="s">
        <v>147</v>
      </c>
      <c r="D59" s="10" t="s">
        <v>19</v>
      </c>
      <c r="E59" s="10" t="s">
        <v>20</v>
      </c>
      <c r="F59" s="10" t="s">
        <v>148</v>
      </c>
      <c r="G59" s="10" t="s">
        <v>376</v>
      </c>
      <c r="H59" s="10">
        <v>24.7</v>
      </c>
      <c r="I59" s="10">
        <f>(10.76+9.74+7.4)/3</f>
        <v>9.2999999999999989</v>
      </c>
      <c r="J59" s="10">
        <f>(10.74+9.53+9.35)/3</f>
        <v>9.8733333333333331</v>
      </c>
      <c r="K59" s="8">
        <f t="shared" si="0"/>
        <v>19.173333333333332</v>
      </c>
      <c r="L59" s="10">
        <f t="shared" si="6"/>
        <v>7.7624831309041822</v>
      </c>
      <c r="M59" s="9">
        <v>3.89</v>
      </c>
      <c r="N59" s="10">
        <v>4.13</v>
      </c>
      <c r="O59" s="10">
        <f t="shared" si="1"/>
        <v>8.02</v>
      </c>
      <c r="P59" s="10">
        <f>3.66-0.05</f>
        <v>3.6100000000000003</v>
      </c>
      <c r="Q59" s="10">
        <f>3.65-0.05</f>
        <v>3.6</v>
      </c>
      <c r="R59" s="8">
        <f t="shared" si="2"/>
        <v>7.2100000000000009</v>
      </c>
      <c r="S59" s="10">
        <v>3.11</v>
      </c>
      <c r="T59" s="10">
        <v>2.35</v>
      </c>
      <c r="U59" s="10">
        <f t="shared" si="3"/>
        <v>5.46</v>
      </c>
      <c r="V59" s="10">
        <f t="shared" si="4"/>
        <v>0.75728155339805814</v>
      </c>
      <c r="W59" s="8">
        <f t="shared" si="5"/>
        <v>46.886446886446883</v>
      </c>
    </row>
    <row r="60" spans="1:23" x14ac:dyDescent="0.25">
      <c r="A60" s="8" t="s">
        <v>132</v>
      </c>
      <c r="B60" s="8">
        <v>6</v>
      </c>
      <c r="C60" s="8" t="s">
        <v>149</v>
      </c>
      <c r="D60" s="8" t="s">
        <v>19</v>
      </c>
      <c r="E60" s="8" t="s">
        <v>20</v>
      </c>
      <c r="F60" s="8" t="s">
        <v>150</v>
      </c>
      <c r="G60" s="10" t="s">
        <v>376</v>
      </c>
      <c r="H60" s="10">
        <v>21.2</v>
      </c>
      <c r="I60" s="8">
        <f>(8.83+8.01+5.9)/3</f>
        <v>7.580000000000001</v>
      </c>
      <c r="J60" s="8">
        <f>(9.54+10.94+10.43)/3</f>
        <v>10.303333333333333</v>
      </c>
      <c r="K60" s="8">
        <f t="shared" si="0"/>
        <v>17.883333333333333</v>
      </c>
      <c r="L60" s="8">
        <f t="shared" si="6"/>
        <v>8.4355345911949673</v>
      </c>
      <c r="M60" s="9">
        <v>3.11</v>
      </c>
      <c r="N60" s="10">
        <v>5.43</v>
      </c>
      <c r="O60" s="10">
        <f t="shared" si="1"/>
        <v>8.5399999999999991</v>
      </c>
      <c r="P60" s="8">
        <f>3.1-0.05</f>
        <v>3.0500000000000003</v>
      </c>
      <c r="Q60" s="8">
        <f>5.08-0.05</f>
        <v>5.03</v>
      </c>
      <c r="R60" s="8">
        <f t="shared" si="2"/>
        <v>8.08</v>
      </c>
      <c r="S60" s="10">
        <v>2.4700000000000002</v>
      </c>
      <c r="T60" s="10">
        <v>2.98</v>
      </c>
      <c r="U60" s="10">
        <f t="shared" si="3"/>
        <v>5.45</v>
      </c>
      <c r="V60" s="8">
        <f t="shared" si="4"/>
        <v>0.67450495049504955</v>
      </c>
      <c r="W60" s="8">
        <f t="shared" si="5"/>
        <v>56.69724770642199</v>
      </c>
    </row>
    <row r="61" spans="1:23" x14ac:dyDescent="0.25">
      <c r="A61" s="8" t="s">
        <v>132</v>
      </c>
      <c r="B61" s="8">
        <v>21</v>
      </c>
      <c r="C61" s="8" t="s">
        <v>151</v>
      </c>
      <c r="D61" s="8" t="s">
        <v>19</v>
      </c>
      <c r="E61" s="8" t="s">
        <v>20</v>
      </c>
      <c r="F61" s="8" t="s">
        <v>152</v>
      </c>
      <c r="G61" s="10" t="s">
        <v>376</v>
      </c>
      <c r="H61" s="10">
        <v>21.7</v>
      </c>
      <c r="I61" s="8">
        <f>(6.73+5.73+7)/3</f>
        <v>6.4866666666666672</v>
      </c>
      <c r="J61" s="8">
        <f>(9.64+9.15+9.21)/3</f>
        <v>9.3333333333333339</v>
      </c>
      <c r="K61" s="8">
        <f t="shared" si="0"/>
        <v>15.82</v>
      </c>
      <c r="L61" s="8">
        <f t="shared" si="6"/>
        <v>7.2903225806451619</v>
      </c>
      <c r="M61" s="9">
        <v>3.32</v>
      </c>
      <c r="N61" s="10">
        <v>4.93</v>
      </c>
      <c r="O61" s="10">
        <f t="shared" si="1"/>
        <v>8.25</v>
      </c>
      <c r="P61" s="8">
        <f>2.93-0.05</f>
        <v>2.8800000000000003</v>
      </c>
      <c r="Q61" s="8">
        <f>4.57-0.05</f>
        <v>4.5200000000000005</v>
      </c>
      <c r="R61" s="8">
        <f t="shared" si="2"/>
        <v>7.4</v>
      </c>
      <c r="S61" s="10">
        <v>2.62</v>
      </c>
      <c r="T61" s="10">
        <v>2.81</v>
      </c>
      <c r="U61" s="10">
        <f t="shared" si="3"/>
        <v>5.43</v>
      </c>
      <c r="V61" s="8">
        <f t="shared" si="4"/>
        <v>0.73378378378378373</v>
      </c>
      <c r="W61" s="8">
        <f t="shared" si="5"/>
        <v>51.933701657458577</v>
      </c>
    </row>
    <row r="62" spans="1:23" x14ac:dyDescent="0.25">
      <c r="A62" s="8" t="s">
        <v>132</v>
      </c>
      <c r="B62" s="8">
        <v>1</v>
      </c>
      <c r="C62" s="8" t="s">
        <v>153</v>
      </c>
      <c r="D62" s="8" t="s">
        <v>121</v>
      </c>
      <c r="E62" s="8" t="s">
        <v>122</v>
      </c>
      <c r="F62" s="8" t="s">
        <v>154</v>
      </c>
      <c r="G62" s="10" t="s">
        <v>376</v>
      </c>
      <c r="H62" s="10">
        <v>9.6</v>
      </c>
      <c r="I62" s="8">
        <f>(16.88+14.4+15.57)/3</f>
        <v>15.616666666666667</v>
      </c>
      <c r="J62" s="8">
        <f>(7.04+5.26+7.6)/3</f>
        <v>6.6333333333333329</v>
      </c>
      <c r="K62" s="8">
        <f t="shared" si="0"/>
        <v>22.25</v>
      </c>
      <c r="L62" s="8">
        <f t="shared" si="6"/>
        <v>23.177083333333336</v>
      </c>
      <c r="M62" s="9">
        <v>2.35</v>
      </c>
      <c r="N62" s="10">
        <v>1.3</v>
      </c>
      <c r="O62" s="10">
        <f t="shared" si="1"/>
        <v>3.6500000000000004</v>
      </c>
      <c r="P62" s="8">
        <f>6.45-0.05</f>
        <v>6.4</v>
      </c>
      <c r="Q62" s="8">
        <f>1.63-0.05</f>
        <v>1.5799999999999998</v>
      </c>
      <c r="R62" s="8">
        <f t="shared" si="2"/>
        <v>7.98</v>
      </c>
      <c r="S62" s="10">
        <v>1.91</v>
      </c>
      <c r="T62" s="10">
        <v>0.53</v>
      </c>
      <c r="U62" s="10">
        <f t="shared" si="3"/>
        <v>2.44</v>
      </c>
      <c r="V62" s="8">
        <f t="shared" si="4"/>
        <v>0.30576441102756891</v>
      </c>
      <c r="W62" s="8">
        <f t="shared" si="5"/>
        <v>49.590163934426243</v>
      </c>
    </row>
    <row r="63" spans="1:23" x14ac:dyDescent="0.25">
      <c r="A63" s="8" t="s">
        <v>132</v>
      </c>
      <c r="B63" s="8">
        <v>7</v>
      </c>
      <c r="C63" s="8" t="s">
        <v>155</v>
      </c>
      <c r="D63" s="8" t="s">
        <v>121</v>
      </c>
      <c r="E63" s="8" t="s">
        <v>122</v>
      </c>
      <c r="F63" s="8" t="s">
        <v>156</v>
      </c>
      <c r="G63" s="10" t="s">
        <v>376</v>
      </c>
      <c r="H63" s="10">
        <v>11.2</v>
      </c>
      <c r="I63" s="8">
        <f>(20.11+14.34+23.07)/3</f>
        <v>19.173333333333336</v>
      </c>
      <c r="J63" s="8">
        <f>(8.48+8.76+7.58)/3</f>
        <v>8.2733333333333334</v>
      </c>
      <c r="K63" s="8">
        <f t="shared" si="0"/>
        <v>27.446666666666669</v>
      </c>
      <c r="L63" s="8">
        <f t="shared" si="6"/>
        <v>24.505952380952383</v>
      </c>
      <c r="M63" s="9">
        <v>3.8</v>
      </c>
      <c r="N63" s="10">
        <v>4.29</v>
      </c>
      <c r="O63" s="10">
        <f t="shared" si="1"/>
        <v>8.09</v>
      </c>
      <c r="P63" s="8">
        <f>12.62-0.05</f>
        <v>12.569999999999999</v>
      </c>
      <c r="Q63" s="8">
        <f>4.26-0.05</f>
        <v>4.21</v>
      </c>
      <c r="R63" s="8">
        <f t="shared" si="2"/>
        <v>16.779999999999998</v>
      </c>
      <c r="S63" s="10">
        <v>3.11</v>
      </c>
      <c r="T63" s="10">
        <v>1.49</v>
      </c>
      <c r="U63" s="10">
        <f t="shared" si="3"/>
        <v>4.5999999999999996</v>
      </c>
      <c r="V63" s="8">
        <f t="shared" si="4"/>
        <v>0.27413587604290823</v>
      </c>
      <c r="W63" s="8">
        <f t="shared" si="5"/>
        <v>75.869565217391312</v>
      </c>
    </row>
    <row r="64" spans="1:23" x14ac:dyDescent="0.25">
      <c r="A64" s="8" t="s">
        <v>132</v>
      </c>
      <c r="B64" s="8">
        <v>8</v>
      </c>
      <c r="C64" s="8" t="s">
        <v>157</v>
      </c>
      <c r="D64" s="8" t="s">
        <v>121</v>
      </c>
      <c r="E64" s="8" t="s">
        <v>122</v>
      </c>
      <c r="F64" s="8" t="s">
        <v>158</v>
      </c>
      <c r="G64" s="10" t="s">
        <v>376</v>
      </c>
      <c r="H64" s="10">
        <v>10.199999999999999</v>
      </c>
      <c r="I64" s="8">
        <f>(9.43+8.51+9.41)/3</f>
        <v>9.1166666666666654</v>
      </c>
      <c r="J64" s="8">
        <f>(5.63+4.87+5.04)/3</f>
        <v>5.18</v>
      </c>
      <c r="K64" s="8">
        <f t="shared" si="0"/>
        <v>14.296666666666665</v>
      </c>
      <c r="L64" s="8">
        <f t="shared" si="6"/>
        <v>14.016339869281044</v>
      </c>
      <c r="M64" s="9">
        <v>1.28</v>
      </c>
      <c r="N64" s="10">
        <v>1.17</v>
      </c>
      <c r="O64" s="10">
        <f t="shared" si="1"/>
        <v>2.4500000000000002</v>
      </c>
      <c r="P64" s="8">
        <f>3.45-0.05</f>
        <v>3.4000000000000004</v>
      </c>
      <c r="Q64" s="8">
        <f>1.23-0.05</f>
        <v>1.18</v>
      </c>
      <c r="R64" s="8">
        <f t="shared" si="2"/>
        <v>4.58</v>
      </c>
      <c r="S64" s="10">
        <v>1.07</v>
      </c>
      <c r="T64" s="10">
        <v>0.5</v>
      </c>
      <c r="U64" s="10">
        <f t="shared" si="3"/>
        <v>1.57</v>
      </c>
      <c r="V64" s="8">
        <f t="shared" si="4"/>
        <v>0.34279475982532753</v>
      </c>
      <c r="W64" s="8">
        <f t="shared" si="5"/>
        <v>56.050955414012748</v>
      </c>
    </row>
    <row r="65" spans="1:23" x14ac:dyDescent="0.25">
      <c r="A65" s="8" t="s">
        <v>132</v>
      </c>
      <c r="B65" s="8">
        <v>19</v>
      </c>
      <c r="C65" s="8" t="s">
        <v>159</v>
      </c>
      <c r="D65" s="8" t="s">
        <v>121</v>
      </c>
      <c r="E65" s="8" t="s">
        <v>122</v>
      </c>
      <c r="F65" s="8" t="s">
        <v>160</v>
      </c>
      <c r="G65" s="10" t="s">
        <v>376</v>
      </c>
      <c r="H65" s="10">
        <v>11.8</v>
      </c>
      <c r="I65" s="8">
        <f>(10.64+10.05+10.77)/3</f>
        <v>10.486666666666666</v>
      </c>
      <c r="J65" s="8">
        <f>(5.43+6.52+6.23)/3</f>
        <v>6.06</v>
      </c>
      <c r="K65" s="8">
        <f t="shared" si="0"/>
        <v>16.546666666666667</v>
      </c>
      <c r="L65" s="8">
        <f t="shared" si="6"/>
        <v>14.022598870056497</v>
      </c>
      <c r="M65" s="9">
        <v>2.08</v>
      </c>
      <c r="N65" s="10">
        <v>2.5099999999999998</v>
      </c>
      <c r="O65" s="10">
        <f t="shared" si="1"/>
        <v>4.59</v>
      </c>
      <c r="P65" s="8">
        <f>6.69-0.05</f>
        <v>6.6400000000000006</v>
      </c>
      <c r="Q65" s="8">
        <f>2.46-0.05</f>
        <v>2.41</v>
      </c>
      <c r="R65" s="8">
        <f t="shared" si="2"/>
        <v>9.0500000000000007</v>
      </c>
      <c r="S65" s="10">
        <v>1.61</v>
      </c>
      <c r="T65" s="10">
        <v>1</v>
      </c>
      <c r="U65" s="10">
        <f t="shared" si="3"/>
        <v>2.6100000000000003</v>
      </c>
      <c r="V65" s="8">
        <f t="shared" si="4"/>
        <v>0.28839779005524863</v>
      </c>
      <c r="W65" s="8">
        <f t="shared" si="5"/>
        <v>75.86206896551721</v>
      </c>
    </row>
    <row r="66" spans="1:23" x14ac:dyDescent="0.25">
      <c r="A66" s="8" t="s">
        <v>132</v>
      </c>
      <c r="B66" s="8">
        <v>23</v>
      </c>
      <c r="C66" s="8" t="s">
        <v>161</v>
      </c>
      <c r="D66" s="8" t="s">
        <v>121</v>
      </c>
      <c r="E66" s="8" t="s">
        <v>122</v>
      </c>
      <c r="F66" s="8" t="s">
        <v>162</v>
      </c>
      <c r="G66" s="10" t="s">
        <v>376</v>
      </c>
      <c r="H66" s="10">
        <v>13</v>
      </c>
      <c r="I66" s="8">
        <f>(17.91+16.65+18.3)/3</f>
        <v>17.62</v>
      </c>
      <c r="J66" s="8">
        <f>(5.06+5.35+6.03)/3</f>
        <v>5.48</v>
      </c>
      <c r="K66" s="8">
        <f t="shared" si="0"/>
        <v>23.1</v>
      </c>
      <c r="L66" s="8">
        <f t="shared" si="6"/>
        <v>17.76923076923077</v>
      </c>
      <c r="M66" s="9">
        <v>2.38</v>
      </c>
      <c r="N66" s="10">
        <v>1.86</v>
      </c>
      <c r="O66" s="10">
        <f t="shared" si="1"/>
        <v>4.24</v>
      </c>
      <c r="P66" s="8">
        <f>9.46-0.05</f>
        <v>9.41</v>
      </c>
      <c r="Q66" s="8">
        <f>2-0.05</f>
        <v>1.95</v>
      </c>
      <c r="R66" s="8">
        <f t="shared" si="2"/>
        <v>11.36</v>
      </c>
      <c r="S66" s="10">
        <v>0.65</v>
      </c>
      <c r="T66" s="10">
        <v>0.7</v>
      </c>
      <c r="U66" s="10">
        <f t="shared" si="3"/>
        <v>1.35</v>
      </c>
      <c r="V66" s="8">
        <f t="shared" si="4"/>
        <v>0.11883802816901409</v>
      </c>
      <c r="W66" s="8">
        <f t="shared" si="5"/>
        <v>214.07407407407408</v>
      </c>
    </row>
    <row r="67" spans="1:23" x14ac:dyDescent="0.25">
      <c r="A67" s="8" t="s">
        <v>132</v>
      </c>
      <c r="B67" s="8">
        <v>7</v>
      </c>
      <c r="C67" s="8" t="s">
        <v>163</v>
      </c>
      <c r="D67" s="8" t="s">
        <v>42</v>
      </c>
      <c r="E67" s="8" t="s">
        <v>43</v>
      </c>
      <c r="F67" s="8" t="s">
        <v>164</v>
      </c>
      <c r="G67" s="10" t="s">
        <v>386</v>
      </c>
      <c r="H67" s="10">
        <v>13.8</v>
      </c>
      <c r="I67" s="8">
        <f>(1.6+1.5+1.46)/3</f>
        <v>1.5200000000000002</v>
      </c>
      <c r="J67" s="8">
        <f>(4.96+5.34+5.28)/3</f>
        <v>5.1933333333333342</v>
      </c>
      <c r="K67" s="8">
        <f t="shared" ref="K67:K130" si="7">I67+J67</f>
        <v>6.7133333333333347</v>
      </c>
      <c r="L67" s="8">
        <f t="shared" ref="L67:L130" si="8">(K67/(H67*10))*100</f>
        <v>4.8647342995169085</v>
      </c>
      <c r="M67" s="9">
        <v>0.18</v>
      </c>
      <c r="N67" s="10">
        <v>2.59</v>
      </c>
      <c r="O67" s="10">
        <f t="shared" ref="O67:O130" si="9">M67+N67</f>
        <v>2.77</v>
      </c>
      <c r="P67" s="8">
        <f>0.33-0.05</f>
        <v>0.28000000000000003</v>
      </c>
      <c r="Q67" s="8">
        <f>2.52-0.05</f>
        <v>2.4700000000000002</v>
      </c>
      <c r="R67" s="8">
        <f t="shared" ref="R67:R130" si="10">P67+Q67</f>
        <v>2.75</v>
      </c>
      <c r="S67" s="10">
        <v>0.14000000000000001</v>
      </c>
      <c r="T67" s="10">
        <v>0.87</v>
      </c>
      <c r="U67" s="10">
        <f t="shared" ref="U67:U130" si="11">S67+T67</f>
        <v>1.01</v>
      </c>
      <c r="V67" s="8">
        <f t="shared" ref="V67:V130" si="12">U67/R67</f>
        <v>0.36727272727272725</v>
      </c>
      <c r="W67" s="8">
        <f t="shared" ref="W67:W130" si="13">((O67-U67)/U67)*100</f>
        <v>174.25742574257427</v>
      </c>
    </row>
    <row r="68" spans="1:23" x14ac:dyDescent="0.25">
      <c r="A68" s="8" t="s">
        <v>132</v>
      </c>
      <c r="B68" s="8">
        <v>7</v>
      </c>
      <c r="C68" s="8" t="s">
        <v>165</v>
      </c>
      <c r="D68" s="8" t="s">
        <v>42</v>
      </c>
      <c r="E68" s="8" t="s">
        <v>43</v>
      </c>
      <c r="F68" s="8" t="s">
        <v>166</v>
      </c>
      <c r="G68" s="10" t="s">
        <v>378</v>
      </c>
      <c r="H68" s="10">
        <v>13.4</v>
      </c>
      <c r="I68" s="8">
        <f>(1.65+1.57+1.8)/3</f>
        <v>1.6733333333333331</v>
      </c>
      <c r="J68" s="8">
        <f>(6.91+6.97+6.75)/3</f>
        <v>6.876666666666666</v>
      </c>
      <c r="K68" s="8">
        <f t="shared" si="7"/>
        <v>8.5499999999999989</v>
      </c>
      <c r="L68" s="8">
        <f t="shared" si="8"/>
        <v>6.3805970149253728</v>
      </c>
      <c r="M68" s="9">
        <v>0.1</v>
      </c>
      <c r="N68" s="10">
        <v>4.22</v>
      </c>
      <c r="O68" s="10">
        <f t="shared" si="9"/>
        <v>4.3199999999999994</v>
      </c>
      <c r="P68" s="8">
        <f>3.95-0.05</f>
        <v>3.9000000000000004</v>
      </c>
      <c r="Q68" s="8">
        <f>0.25-0.05</f>
        <v>0.2</v>
      </c>
      <c r="R68" s="8">
        <f t="shared" si="10"/>
        <v>4.1000000000000005</v>
      </c>
      <c r="S68" s="10">
        <v>7.0000000000000007E-2</v>
      </c>
      <c r="T68" s="10">
        <v>1.38</v>
      </c>
      <c r="U68" s="10">
        <f t="shared" si="11"/>
        <v>1.45</v>
      </c>
      <c r="V68" s="8">
        <f t="shared" si="12"/>
        <v>0.35365853658536578</v>
      </c>
      <c r="W68" s="8">
        <f t="shared" si="13"/>
        <v>197.93103448275858</v>
      </c>
    </row>
    <row r="69" spans="1:23" s="1" customFormat="1" x14ac:dyDescent="0.25">
      <c r="A69" s="10" t="s">
        <v>132</v>
      </c>
      <c r="B69" s="10">
        <v>20</v>
      </c>
      <c r="C69" s="10" t="s">
        <v>167</v>
      </c>
      <c r="D69" s="10" t="s">
        <v>42</v>
      </c>
      <c r="E69" s="10" t="s">
        <v>43</v>
      </c>
      <c r="F69" s="10" t="s">
        <v>168</v>
      </c>
      <c r="G69" s="10" t="s">
        <v>386</v>
      </c>
      <c r="H69" s="10">
        <v>19.3</v>
      </c>
      <c r="I69" s="10">
        <f>(2.61+2.71+2.86)/3</f>
        <v>2.7266666666666666</v>
      </c>
      <c r="J69" s="10">
        <f>(5.11+4.57+5.04)/3</f>
        <v>4.9066666666666663</v>
      </c>
      <c r="K69" s="8">
        <f t="shared" si="7"/>
        <v>7.6333333333333329</v>
      </c>
      <c r="L69" s="10">
        <f t="shared" si="8"/>
        <v>3.9550949913644211</v>
      </c>
      <c r="M69" s="9">
        <v>0.5</v>
      </c>
      <c r="N69" s="10">
        <v>2.4</v>
      </c>
      <c r="O69" s="10">
        <f t="shared" si="9"/>
        <v>2.9</v>
      </c>
      <c r="P69" s="10">
        <f>0.49-0.05</f>
        <v>0.44</v>
      </c>
      <c r="Q69" s="10">
        <f>2.11-0.05</f>
        <v>2.06</v>
      </c>
      <c r="R69" s="8">
        <f t="shared" si="10"/>
        <v>2.5</v>
      </c>
      <c r="S69" s="10">
        <v>0.23</v>
      </c>
      <c r="T69" s="10">
        <v>0.94</v>
      </c>
      <c r="U69" s="10">
        <f t="shared" si="11"/>
        <v>1.17</v>
      </c>
      <c r="V69" s="8">
        <f t="shared" si="12"/>
        <v>0.46799999999999997</v>
      </c>
      <c r="W69" s="8">
        <f t="shared" si="13"/>
        <v>147.86324786324786</v>
      </c>
    </row>
    <row r="70" spans="1:23" x14ac:dyDescent="0.25">
      <c r="A70" s="8" t="s">
        <v>132</v>
      </c>
      <c r="B70" s="8">
        <v>11</v>
      </c>
      <c r="C70" s="8" t="s">
        <v>169</v>
      </c>
      <c r="D70" s="8" t="s">
        <v>42</v>
      </c>
      <c r="E70" s="8" t="s">
        <v>43</v>
      </c>
      <c r="F70" s="8" t="s">
        <v>170</v>
      </c>
      <c r="G70" s="10" t="s">
        <v>378</v>
      </c>
      <c r="H70" s="10">
        <v>14.9</v>
      </c>
      <c r="I70" s="8">
        <f>(1.89+1.81+1.82)/3</f>
        <v>1.84</v>
      </c>
      <c r="J70" s="8">
        <f>(6.98+5.62+7.29)/3</f>
        <v>6.63</v>
      </c>
      <c r="K70" s="8">
        <f t="shared" si="7"/>
        <v>8.4700000000000006</v>
      </c>
      <c r="L70" s="8">
        <f t="shared" si="8"/>
        <v>5.6845637583892623</v>
      </c>
      <c r="M70" s="9">
        <v>0.23</v>
      </c>
      <c r="N70" s="10">
        <v>3.83</v>
      </c>
      <c r="O70" s="10">
        <f t="shared" si="9"/>
        <v>4.0600000000000005</v>
      </c>
      <c r="P70" s="8">
        <f>0.56-0.05</f>
        <v>0.51</v>
      </c>
      <c r="Q70" s="8">
        <f>3.48-0.05</f>
        <v>3.43</v>
      </c>
      <c r="R70" s="8">
        <f t="shared" si="10"/>
        <v>3.9400000000000004</v>
      </c>
      <c r="S70" s="10">
        <v>0.23</v>
      </c>
      <c r="T70" s="10">
        <v>1.42</v>
      </c>
      <c r="U70" s="10">
        <f t="shared" si="11"/>
        <v>1.65</v>
      </c>
      <c r="V70" s="8">
        <f t="shared" si="12"/>
        <v>0.4187817258883248</v>
      </c>
      <c r="W70" s="8">
        <f t="shared" si="13"/>
        <v>146.06060606060612</v>
      </c>
    </row>
    <row r="71" spans="1:23" x14ac:dyDescent="0.25">
      <c r="A71" s="8" t="s">
        <v>132</v>
      </c>
      <c r="B71" s="8">
        <v>18</v>
      </c>
      <c r="C71" s="8" t="s">
        <v>171</v>
      </c>
      <c r="D71" s="8" t="s">
        <v>65</v>
      </c>
      <c r="E71" s="8" t="s">
        <v>66</v>
      </c>
      <c r="F71" s="8" t="s">
        <v>172</v>
      </c>
      <c r="G71" s="10" t="s">
        <v>377</v>
      </c>
      <c r="H71" s="10">
        <v>15</v>
      </c>
      <c r="I71" s="8">
        <f>(9.59+8.57+8.7)/3</f>
        <v>8.9533333333333331</v>
      </c>
      <c r="J71" s="8">
        <f>(5.05+5.56+5.13)/3</f>
        <v>5.2466666666666661</v>
      </c>
      <c r="K71" s="8">
        <f t="shared" si="7"/>
        <v>14.2</v>
      </c>
      <c r="L71" s="8">
        <f t="shared" si="8"/>
        <v>9.4666666666666668</v>
      </c>
      <c r="M71" s="9">
        <v>3.59</v>
      </c>
      <c r="N71" s="10">
        <v>2.02</v>
      </c>
      <c r="O71" s="10">
        <f t="shared" si="9"/>
        <v>5.6099999999999994</v>
      </c>
      <c r="P71" s="8">
        <f>4.32-0.05</f>
        <v>4.2700000000000005</v>
      </c>
      <c r="Q71" s="8">
        <f>1.82-0.05</f>
        <v>1.77</v>
      </c>
      <c r="R71" s="8">
        <f t="shared" si="10"/>
        <v>6.0400000000000009</v>
      </c>
      <c r="S71" s="10">
        <v>2.37</v>
      </c>
      <c r="T71" s="10">
        <v>1.1200000000000001</v>
      </c>
      <c r="U71" s="10">
        <f t="shared" si="11"/>
        <v>3.49</v>
      </c>
      <c r="V71" s="8">
        <f t="shared" si="12"/>
        <v>0.57781456953642374</v>
      </c>
      <c r="W71" s="8">
        <f t="shared" si="13"/>
        <v>60.744985673352417</v>
      </c>
    </row>
    <row r="72" spans="1:23" x14ac:dyDescent="0.25">
      <c r="A72" s="8" t="s">
        <v>132</v>
      </c>
      <c r="B72" s="8">
        <v>4</v>
      </c>
      <c r="C72" s="8" t="s">
        <v>173</v>
      </c>
      <c r="D72" s="8" t="s">
        <v>65</v>
      </c>
      <c r="E72" s="8" t="s">
        <v>66</v>
      </c>
      <c r="F72" s="8" t="s">
        <v>174</v>
      </c>
      <c r="G72" s="10" t="s">
        <v>377</v>
      </c>
      <c r="H72" s="10">
        <v>9.6999999999999993</v>
      </c>
      <c r="I72" s="8">
        <f>(4.08+4.29+4.79)/3</f>
        <v>4.3866666666666667</v>
      </c>
      <c r="J72" s="8">
        <f>(3.71+3.79+3.67)/3</f>
        <v>3.7233333333333332</v>
      </c>
      <c r="K72" s="8">
        <f t="shared" si="7"/>
        <v>8.11</v>
      </c>
      <c r="L72" s="8">
        <f t="shared" si="8"/>
        <v>8.36082474226804</v>
      </c>
      <c r="M72" s="9">
        <v>2.5099999999999998</v>
      </c>
      <c r="N72" s="10">
        <v>1.32</v>
      </c>
      <c r="O72" s="10">
        <f t="shared" si="9"/>
        <v>3.83</v>
      </c>
      <c r="P72" s="8">
        <f>2.57-0.05</f>
        <v>2.52</v>
      </c>
      <c r="Q72" s="8">
        <f>1.11-0.05</f>
        <v>1.06</v>
      </c>
      <c r="R72" s="8">
        <f t="shared" si="10"/>
        <v>3.58</v>
      </c>
      <c r="S72" s="10">
        <v>1.67</v>
      </c>
      <c r="T72" s="10">
        <v>0.75</v>
      </c>
      <c r="U72" s="10">
        <f t="shared" si="11"/>
        <v>2.42</v>
      </c>
      <c r="V72" s="8">
        <f t="shared" si="12"/>
        <v>0.67597765363128492</v>
      </c>
      <c r="W72" s="8">
        <f t="shared" si="13"/>
        <v>58.264462809917362</v>
      </c>
    </row>
    <row r="73" spans="1:23" x14ac:dyDescent="0.25">
      <c r="A73" s="8" t="s">
        <v>132</v>
      </c>
      <c r="B73" s="8">
        <v>16</v>
      </c>
      <c r="C73" s="8" t="s">
        <v>175</v>
      </c>
      <c r="D73" s="8" t="s">
        <v>65</v>
      </c>
      <c r="E73" s="8" t="s">
        <v>66</v>
      </c>
      <c r="F73" s="8" t="s">
        <v>176</v>
      </c>
      <c r="G73" s="10" t="s">
        <v>378</v>
      </c>
      <c r="H73" s="10">
        <v>13.7</v>
      </c>
      <c r="I73" s="8">
        <f>(10.97+11.36+15.28)/3</f>
        <v>12.536666666666667</v>
      </c>
      <c r="J73" s="8">
        <f>(5.82+4.92+4.89)/3</f>
        <v>5.21</v>
      </c>
      <c r="K73" s="8">
        <f t="shared" si="7"/>
        <v>17.746666666666666</v>
      </c>
      <c r="L73" s="8">
        <f t="shared" si="8"/>
        <v>12.953771289537713</v>
      </c>
      <c r="M73" s="9">
        <v>1.19</v>
      </c>
      <c r="N73" s="10">
        <v>1.81</v>
      </c>
      <c r="O73" s="10">
        <f t="shared" si="9"/>
        <v>3</v>
      </c>
      <c r="P73" s="8">
        <f>2.18-0.05</f>
        <v>2.1300000000000003</v>
      </c>
      <c r="Q73" s="8">
        <f>1.67-0.05</f>
        <v>1.6199999999999999</v>
      </c>
      <c r="R73" s="8">
        <f t="shared" si="10"/>
        <v>3.75</v>
      </c>
      <c r="S73" s="10">
        <v>0.92</v>
      </c>
      <c r="T73" s="10">
        <v>1.01</v>
      </c>
      <c r="U73" s="10">
        <f t="shared" si="11"/>
        <v>1.9300000000000002</v>
      </c>
      <c r="V73" s="8">
        <f t="shared" si="12"/>
        <v>0.51466666666666672</v>
      </c>
      <c r="W73" s="8">
        <f t="shared" si="13"/>
        <v>55.440414507772005</v>
      </c>
    </row>
    <row r="74" spans="1:23" x14ac:dyDescent="0.25">
      <c r="A74" s="8" t="s">
        <v>132</v>
      </c>
      <c r="B74" s="8">
        <v>20</v>
      </c>
      <c r="C74" s="8" t="s">
        <v>177</v>
      </c>
      <c r="D74" s="8" t="s">
        <v>65</v>
      </c>
      <c r="E74" s="8" t="s">
        <v>66</v>
      </c>
      <c r="F74" s="8" t="s">
        <v>178</v>
      </c>
      <c r="G74" s="10" t="s">
        <v>377</v>
      </c>
      <c r="H74" s="10">
        <v>12.6</v>
      </c>
      <c r="I74" s="8">
        <f>(8.86+8.7+12.3)/3</f>
        <v>9.9533333333333331</v>
      </c>
      <c r="J74" s="8">
        <f>(6.43+7.18+6.36)/3</f>
        <v>6.6566666666666663</v>
      </c>
      <c r="K74" s="8">
        <f t="shared" si="7"/>
        <v>16.61</v>
      </c>
      <c r="L74" s="8">
        <f t="shared" si="8"/>
        <v>13.182539682539682</v>
      </c>
      <c r="M74" s="9">
        <v>3.57</v>
      </c>
      <c r="N74" s="10">
        <v>2.5299999999999998</v>
      </c>
      <c r="O74" s="10">
        <f t="shared" si="9"/>
        <v>6.1</v>
      </c>
      <c r="P74" s="8">
        <f>3.93-0.05</f>
        <v>3.8800000000000003</v>
      </c>
      <c r="Q74" s="8">
        <f>2.34-0.05</f>
        <v>2.29</v>
      </c>
      <c r="R74" s="8">
        <f t="shared" si="10"/>
        <v>6.17</v>
      </c>
      <c r="S74" s="10">
        <v>2.5299999999999998</v>
      </c>
      <c r="T74" s="10">
        <v>1.34</v>
      </c>
      <c r="U74" s="10">
        <f t="shared" si="11"/>
        <v>3.87</v>
      </c>
      <c r="V74" s="8">
        <f t="shared" si="12"/>
        <v>0.62722852512155591</v>
      </c>
      <c r="W74" s="8">
        <f t="shared" si="13"/>
        <v>57.622739018087842</v>
      </c>
    </row>
    <row r="75" spans="1:23" x14ac:dyDescent="0.25">
      <c r="A75" s="8" t="s">
        <v>132</v>
      </c>
      <c r="B75" s="8">
        <v>6</v>
      </c>
      <c r="C75" s="8" t="s">
        <v>179</v>
      </c>
      <c r="D75" s="8" t="s">
        <v>65</v>
      </c>
      <c r="E75" s="8" t="s">
        <v>66</v>
      </c>
      <c r="F75" s="8" t="s">
        <v>180</v>
      </c>
      <c r="G75" s="10" t="s">
        <v>378</v>
      </c>
      <c r="H75" s="10">
        <v>13.6</v>
      </c>
      <c r="I75" s="8">
        <f>(15.51+12.68+16.77)/3</f>
        <v>14.986666666666665</v>
      </c>
      <c r="J75" s="8">
        <f>(6.09+6.55+5.99)/3</f>
        <v>6.2100000000000009</v>
      </c>
      <c r="K75" s="8">
        <f t="shared" si="7"/>
        <v>21.196666666666665</v>
      </c>
      <c r="L75" s="8">
        <f t="shared" si="8"/>
        <v>15.58578431372549</v>
      </c>
      <c r="M75" s="9">
        <v>4.95</v>
      </c>
      <c r="N75" s="10">
        <v>1.91</v>
      </c>
      <c r="O75" s="10">
        <f t="shared" si="9"/>
        <v>6.86</v>
      </c>
      <c r="P75" s="8">
        <f>6.08-0.05</f>
        <v>6.03</v>
      </c>
      <c r="Q75" s="8">
        <f>5.1-0.05</f>
        <v>5.05</v>
      </c>
      <c r="R75" s="8">
        <f t="shared" si="10"/>
        <v>11.08</v>
      </c>
      <c r="S75" s="10">
        <v>4.03</v>
      </c>
      <c r="T75" s="10">
        <v>1.02</v>
      </c>
      <c r="U75" s="10">
        <f t="shared" si="11"/>
        <v>5.0500000000000007</v>
      </c>
      <c r="V75" s="8">
        <f t="shared" si="12"/>
        <v>0.45577617328519859</v>
      </c>
      <c r="W75" s="8">
        <f t="shared" si="13"/>
        <v>35.841584158415827</v>
      </c>
    </row>
    <row r="76" spans="1:23" x14ac:dyDescent="0.25">
      <c r="A76" s="8" t="s">
        <v>132</v>
      </c>
      <c r="B76" s="8">
        <v>6</v>
      </c>
      <c r="C76" s="8" t="s">
        <v>181</v>
      </c>
      <c r="D76" s="8" t="s">
        <v>53</v>
      </c>
      <c r="E76" s="8" t="s">
        <v>54</v>
      </c>
      <c r="F76" s="8" t="s">
        <v>182</v>
      </c>
      <c r="G76" s="10" t="s">
        <v>377</v>
      </c>
      <c r="H76" s="10">
        <v>11.2</v>
      </c>
      <c r="I76" s="8">
        <f>(9.83+11.59+11)/3</f>
        <v>10.806666666666667</v>
      </c>
      <c r="J76" s="8">
        <f>(6.24+7.11+6.97)/3</f>
        <v>6.7733333333333334</v>
      </c>
      <c r="K76" s="8">
        <f t="shared" si="7"/>
        <v>17.579999999999998</v>
      </c>
      <c r="L76" s="8">
        <f t="shared" si="8"/>
        <v>15.696428571428569</v>
      </c>
      <c r="M76" s="9">
        <v>1.89</v>
      </c>
      <c r="N76" s="10">
        <v>3.2</v>
      </c>
      <c r="O76" s="10">
        <f t="shared" si="9"/>
        <v>5.09</v>
      </c>
      <c r="P76" s="8">
        <f>4.42-0.05</f>
        <v>4.37</v>
      </c>
      <c r="Q76" s="8">
        <f>2.95-0.05</f>
        <v>2.9000000000000004</v>
      </c>
      <c r="R76" s="8">
        <f t="shared" si="10"/>
        <v>7.2700000000000005</v>
      </c>
      <c r="S76" s="10">
        <v>1.39</v>
      </c>
      <c r="T76" s="10">
        <v>1.21</v>
      </c>
      <c r="U76" s="10">
        <f t="shared" si="11"/>
        <v>2.5999999999999996</v>
      </c>
      <c r="V76" s="8">
        <f t="shared" si="12"/>
        <v>0.35763411279229707</v>
      </c>
      <c r="W76" s="8">
        <f t="shared" si="13"/>
        <v>95.769230769230802</v>
      </c>
    </row>
    <row r="77" spans="1:23" x14ac:dyDescent="0.25">
      <c r="A77" s="8" t="s">
        <v>132</v>
      </c>
      <c r="B77" s="8">
        <v>6</v>
      </c>
      <c r="C77" s="8" t="s">
        <v>183</v>
      </c>
      <c r="D77" s="8" t="s">
        <v>53</v>
      </c>
      <c r="E77" s="8" t="s">
        <v>54</v>
      </c>
      <c r="F77" s="8" t="s">
        <v>184</v>
      </c>
      <c r="G77" s="10" t="s">
        <v>377</v>
      </c>
      <c r="H77" s="10">
        <v>8</v>
      </c>
      <c r="I77" s="8">
        <f>(10.36+7.89+10)/3</f>
        <v>9.4166666666666661</v>
      </c>
      <c r="J77" s="8">
        <f>(6.04+5.43+6.1)/3</f>
        <v>5.8566666666666665</v>
      </c>
      <c r="K77" s="8">
        <f t="shared" si="7"/>
        <v>15.273333333333333</v>
      </c>
      <c r="L77" s="8">
        <f t="shared" si="8"/>
        <v>19.091666666666669</v>
      </c>
      <c r="M77" s="9">
        <v>1.01</v>
      </c>
      <c r="N77" s="10">
        <v>2.2799999999999998</v>
      </c>
      <c r="O77" s="10">
        <f t="shared" si="9"/>
        <v>3.29</v>
      </c>
      <c r="P77" s="8">
        <f>2.39-0.05</f>
        <v>2.3400000000000003</v>
      </c>
      <c r="Q77" s="8">
        <f>2.21-0.05</f>
        <v>2.16</v>
      </c>
      <c r="R77" s="8">
        <f t="shared" si="10"/>
        <v>4.5</v>
      </c>
      <c r="S77" s="10">
        <v>0.71</v>
      </c>
      <c r="T77" s="10">
        <v>0.76</v>
      </c>
      <c r="U77" s="10">
        <f t="shared" si="11"/>
        <v>1.47</v>
      </c>
      <c r="V77" s="8">
        <f t="shared" si="12"/>
        <v>0.32666666666666666</v>
      </c>
      <c r="W77" s="8">
        <f t="shared" si="13"/>
        <v>123.80952380952381</v>
      </c>
    </row>
    <row r="78" spans="1:23" x14ac:dyDescent="0.25">
      <c r="A78" s="8" t="s">
        <v>132</v>
      </c>
      <c r="B78" s="8">
        <v>6</v>
      </c>
      <c r="C78" s="8" t="s">
        <v>185</v>
      </c>
      <c r="D78" s="8" t="s">
        <v>53</v>
      </c>
      <c r="E78" s="8" t="s">
        <v>54</v>
      </c>
      <c r="F78" s="8" t="s">
        <v>186</v>
      </c>
      <c r="G78" s="10" t="s">
        <v>377</v>
      </c>
      <c r="H78" s="10">
        <v>9.1999999999999993</v>
      </c>
      <c r="I78" s="8">
        <f>(9.04+8.81+11.1)/3</f>
        <v>9.65</v>
      </c>
      <c r="J78" s="8">
        <f>(7.87+8.14+8.05)/3</f>
        <v>8.0200000000000014</v>
      </c>
      <c r="K78" s="8">
        <f t="shared" si="7"/>
        <v>17.670000000000002</v>
      </c>
      <c r="L78" s="8">
        <f t="shared" si="8"/>
        <v>19.206521739130437</v>
      </c>
      <c r="M78" s="9">
        <v>2.6</v>
      </c>
      <c r="N78" s="10">
        <v>4.53</v>
      </c>
      <c r="O78" s="10">
        <f t="shared" si="9"/>
        <v>7.1300000000000008</v>
      </c>
      <c r="P78" s="8">
        <f>4.64-0.05</f>
        <v>4.59</v>
      </c>
      <c r="Q78" s="8">
        <f>4.16-0.05</f>
        <v>4.1100000000000003</v>
      </c>
      <c r="R78" s="8">
        <f t="shared" si="10"/>
        <v>8.6999999999999993</v>
      </c>
      <c r="S78" s="10">
        <v>1.92</v>
      </c>
      <c r="T78" s="10">
        <v>1.71</v>
      </c>
      <c r="U78" s="10">
        <f t="shared" si="11"/>
        <v>3.63</v>
      </c>
      <c r="V78" s="8">
        <f t="shared" si="12"/>
        <v>0.41724137931034483</v>
      </c>
      <c r="W78" s="8">
        <f t="shared" si="13"/>
        <v>96.418732782369176</v>
      </c>
    </row>
    <row r="79" spans="1:23" x14ac:dyDescent="0.25">
      <c r="A79" s="8" t="s">
        <v>132</v>
      </c>
      <c r="B79" s="8">
        <v>5</v>
      </c>
      <c r="C79" s="8" t="s">
        <v>187</v>
      </c>
      <c r="D79" s="8" t="s">
        <v>53</v>
      </c>
      <c r="E79" s="8" t="s">
        <v>54</v>
      </c>
      <c r="F79" s="8" t="s">
        <v>188</v>
      </c>
      <c r="G79" s="10" t="s">
        <v>376</v>
      </c>
      <c r="H79" s="10">
        <v>8.8000000000000007</v>
      </c>
      <c r="I79" s="8">
        <f>(6.74+9.88+8.58)/3</f>
        <v>8.4</v>
      </c>
      <c r="J79" s="8">
        <f>(4.85+5.44+4.83)/3</f>
        <v>5.04</v>
      </c>
      <c r="K79" s="8">
        <f t="shared" si="7"/>
        <v>13.440000000000001</v>
      </c>
      <c r="L79" s="8">
        <f t="shared" si="8"/>
        <v>15.272727272727273</v>
      </c>
      <c r="M79" s="9">
        <v>0.82</v>
      </c>
      <c r="N79" s="10">
        <v>1.77</v>
      </c>
      <c r="O79" s="10">
        <f t="shared" si="9"/>
        <v>2.59</v>
      </c>
      <c r="P79" s="8">
        <f>1.37-0.05</f>
        <v>1.32</v>
      </c>
      <c r="Q79" s="8">
        <f>1.8-0.05</f>
        <v>1.75</v>
      </c>
      <c r="R79" s="8">
        <f t="shared" si="10"/>
        <v>3.0700000000000003</v>
      </c>
      <c r="S79" s="10">
        <v>0.64</v>
      </c>
      <c r="T79" s="10">
        <v>0.63</v>
      </c>
      <c r="U79" s="10">
        <f t="shared" si="11"/>
        <v>1.27</v>
      </c>
      <c r="V79" s="8">
        <f t="shared" si="12"/>
        <v>0.41368078175895762</v>
      </c>
      <c r="W79" s="8">
        <f t="shared" si="13"/>
        <v>103.93700787401573</v>
      </c>
    </row>
    <row r="80" spans="1:23" x14ac:dyDescent="0.25">
      <c r="A80" s="8" t="s">
        <v>132</v>
      </c>
      <c r="B80" s="8">
        <v>21</v>
      </c>
      <c r="C80" s="8" t="s">
        <v>189</v>
      </c>
      <c r="D80" s="8" t="s">
        <v>53</v>
      </c>
      <c r="E80" s="8" t="s">
        <v>54</v>
      </c>
      <c r="F80" s="8" t="s">
        <v>190</v>
      </c>
      <c r="G80" s="10" t="s">
        <v>377</v>
      </c>
      <c r="H80" s="10">
        <v>6.9</v>
      </c>
      <c r="I80" s="8">
        <f>(5.48+8.51+9.51)/3</f>
        <v>7.833333333333333</v>
      </c>
      <c r="J80" s="8">
        <f>(5.92+6.21+6.33)/3</f>
        <v>6.1533333333333333</v>
      </c>
      <c r="K80" s="8">
        <f t="shared" si="7"/>
        <v>13.986666666666666</v>
      </c>
      <c r="L80" s="8">
        <f t="shared" si="8"/>
        <v>20.270531400966181</v>
      </c>
      <c r="M80" s="9">
        <v>0.76</v>
      </c>
      <c r="N80" s="10">
        <v>1.75</v>
      </c>
      <c r="O80" s="10">
        <f t="shared" si="9"/>
        <v>2.5099999999999998</v>
      </c>
      <c r="P80" s="8">
        <f>1.52-0.05</f>
        <v>1.47</v>
      </c>
      <c r="Q80" s="8">
        <f>1.65-0.05</f>
        <v>1.5999999999999999</v>
      </c>
      <c r="R80" s="8">
        <f t="shared" si="10"/>
        <v>3.07</v>
      </c>
      <c r="S80" s="10">
        <v>0.54</v>
      </c>
      <c r="T80" s="10">
        <v>0.66</v>
      </c>
      <c r="U80" s="10">
        <f t="shared" si="11"/>
        <v>1.2000000000000002</v>
      </c>
      <c r="V80" s="8">
        <f t="shared" si="12"/>
        <v>0.39087947882736163</v>
      </c>
      <c r="W80" s="8">
        <f t="shared" si="13"/>
        <v>109.16666666666661</v>
      </c>
    </row>
    <row r="81" spans="1:23" x14ac:dyDescent="0.25">
      <c r="A81" s="8" t="s">
        <v>132</v>
      </c>
      <c r="B81" s="8">
        <v>2</v>
      </c>
      <c r="C81" s="8" t="s">
        <v>191</v>
      </c>
      <c r="D81" s="8" t="s">
        <v>192</v>
      </c>
      <c r="E81" s="8" t="s">
        <v>193</v>
      </c>
      <c r="F81" s="8" t="s">
        <v>194</v>
      </c>
      <c r="G81" s="8" t="s">
        <v>378</v>
      </c>
      <c r="H81" s="10">
        <v>11.6</v>
      </c>
      <c r="I81" s="8">
        <f>(8.41+9.89+12.09)/3</f>
        <v>10.130000000000001</v>
      </c>
      <c r="J81" s="8">
        <f>(8.24+8.28+7.57)/3</f>
        <v>8.0299999999999994</v>
      </c>
      <c r="K81" s="8">
        <f t="shared" si="7"/>
        <v>18.16</v>
      </c>
      <c r="L81" s="8">
        <f t="shared" si="8"/>
        <v>15.655172413793103</v>
      </c>
      <c r="M81" s="9">
        <v>1.64</v>
      </c>
      <c r="N81" s="10">
        <v>2.75</v>
      </c>
      <c r="O81" s="10">
        <f t="shared" si="9"/>
        <v>4.3899999999999997</v>
      </c>
      <c r="P81" s="8">
        <f>2.98-0.05</f>
        <v>2.93</v>
      </c>
      <c r="Q81" s="8">
        <f>2.51-0.05</f>
        <v>2.46</v>
      </c>
      <c r="R81" s="8">
        <f t="shared" si="10"/>
        <v>5.3900000000000006</v>
      </c>
      <c r="S81" s="10">
        <v>1.18</v>
      </c>
      <c r="T81" s="10">
        <v>1.21</v>
      </c>
      <c r="U81" s="10">
        <f t="shared" si="11"/>
        <v>2.3899999999999997</v>
      </c>
      <c r="V81" s="8">
        <f t="shared" si="12"/>
        <v>0.44341372912801474</v>
      </c>
      <c r="W81" s="8">
        <f t="shared" si="13"/>
        <v>83.68200836820084</v>
      </c>
    </row>
    <row r="82" spans="1:23" s="1" customFormat="1" x14ac:dyDescent="0.25">
      <c r="A82" s="10" t="s">
        <v>132</v>
      </c>
      <c r="B82" s="10">
        <v>21</v>
      </c>
      <c r="C82" s="10" t="s">
        <v>195</v>
      </c>
      <c r="D82" s="10" t="s">
        <v>192</v>
      </c>
      <c r="E82" s="10" t="s">
        <v>193</v>
      </c>
      <c r="F82" s="10" t="s">
        <v>196</v>
      </c>
      <c r="G82" s="10" t="s">
        <v>377</v>
      </c>
      <c r="H82" s="10">
        <v>12.5</v>
      </c>
      <c r="I82" s="10">
        <f>(10.92+8.77+9.85)/3</f>
        <v>9.8466666666666658</v>
      </c>
      <c r="J82" s="10">
        <f>(4.78+6.05+6.01)/3</f>
        <v>5.6133333333333333</v>
      </c>
      <c r="K82" s="8">
        <f t="shared" si="7"/>
        <v>15.459999999999999</v>
      </c>
      <c r="L82" s="10">
        <f t="shared" si="8"/>
        <v>12.368</v>
      </c>
      <c r="M82" s="9">
        <v>2.4700000000000002</v>
      </c>
      <c r="N82" s="10">
        <v>0.97</v>
      </c>
      <c r="O82" s="10">
        <f t="shared" si="9"/>
        <v>3.4400000000000004</v>
      </c>
      <c r="P82" s="10">
        <f>3.17-0.05</f>
        <v>3.12</v>
      </c>
      <c r="Q82" s="10">
        <f>0.91-0.05</f>
        <v>0.86</v>
      </c>
      <c r="R82" s="8">
        <f t="shared" si="10"/>
        <v>3.98</v>
      </c>
      <c r="S82" s="10">
        <v>2.23</v>
      </c>
      <c r="T82" s="10">
        <v>0.49</v>
      </c>
      <c r="U82" s="10">
        <f t="shared" si="11"/>
        <v>2.7199999999999998</v>
      </c>
      <c r="V82" s="8">
        <f t="shared" si="12"/>
        <v>0.68341708542713564</v>
      </c>
      <c r="W82" s="8">
        <f t="shared" si="13"/>
        <v>26.470588235294144</v>
      </c>
    </row>
    <row r="83" spans="1:23" x14ac:dyDescent="0.25">
      <c r="A83" s="8" t="s">
        <v>132</v>
      </c>
      <c r="B83" s="8">
        <v>14</v>
      </c>
      <c r="C83" s="8" t="s">
        <v>197</v>
      </c>
      <c r="D83" s="8" t="s">
        <v>192</v>
      </c>
      <c r="E83" s="8" t="s">
        <v>193</v>
      </c>
      <c r="F83" s="8" t="s">
        <v>198</v>
      </c>
      <c r="G83" s="8" t="s">
        <v>377</v>
      </c>
      <c r="H83" s="10">
        <v>13.3</v>
      </c>
      <c r="I83" s="8">
        <f>(6.71+6.97+7.48)/3</f>
        <v>7.0533333333333337</v>
      </c>
      <c r="J83" s="8">
        <f>(6.99+6.46+6.99)/3</f>
        <v>6.8133333333333326</v>
      </c>
      <c r="K83" s="8">
        <f t="shared" si="7"/>
        <v>13.866666666666667</v>
      </c>
      <c r="L83" s="8">
        <f t="shared" si="8"/>
        <v>10.426065162907268</v>
      </c>
      <c r="M83" s="9">
        <v>1.22</v>
      </c>
      <c r="N83" s="10">
        <v>3.01</v>
      </c>
      <c r="O83" s="10">
        <f t="shared" si="9"/>
        <v>4.2299999999999995</v>
      </c>
      <c r="P83" s="8">
        <f>1.82-0.05</f>
        <v>1.77</v>
      </c>
      <c r="Q83" s="8">
        <f>2.87-0.05</f>
        <v>2.8200000000000003</v>
      </c>
      <c r="R83" s="8">
        <f t="shared" si="10"/>
        <v>4.59</v>
      </c>
      <c r="S83" s="10">
        <v>0.97</v>
      </c>
      <c r="T83" s="10">
        <v>1.53</v>
      </c>
      <c r="U83" s="10">
        <f t="shared" si="11"/>
        <v>2.5</v>
      </c>
      <c r="V83" s="8">
        <f t="shared" si="12"/>
        <v>0.54466230936819171</v>
      </c>
      <c r="W83" s="8">
        <f t="shared" si="13"/>
        <v>69.199999999999989</v>
      </c>
    </row>
    <row r="84" spans="1:23" x14ac:dyDescent="0.25">
      <c r="A84" s="8" t="s">
        <v>132</v>
      </c>
      <c r="B84" s="8">
        <v>13</v>
      </c>
      <c r="C84" s="8" t="s">
        <v>199</v>
      </c>
      <c r="D84" s="8" t="s">
        <v>192</v>
      </c>
      <c r="E84" s="8" t="s">
        <v>193</v>
      </c>
      <c r="F84" s="8" t="s">
        <v>200</v>
      </c>
      <c r="G84" s="8" t="s">
        <v>377</v>
      </c>
      <c r="H84" s="10">
        <v>10.3</v>
      </c>
      <c r="I84" s="8">
        <f>(10.07+8.8+8.83)/3</f>
        <v>9.2333333333333343</v>
      </c>
      <c r="J84" s="8">
        <f>(9.66+8.85+9.48)/3</f>
        <v>9.33</v>
      </c>
      <c r="K84" s="8">
        <f t="shared" si="7"/>
        <v>18.563333333333333</v>
      </c>
      <c r="L84" s="8">
        <f t="shared" si="8"/>
        <v>18.022653721682847</v>
      </c>
      <c r="M84" s="9">
        <v>1.17</v>
      </c>
      <c r="N84" s="10">
        <v>3.55</v>
      </c>
      <c r="O84" s="10">
        <f t="shared" si="9"/>
        <v>4.72</v>
      </c>
      <c r="P84" s="8">
        <f>2.25-0.05</f>
        <v>2.2000000000000002</v>
      </c>
      <c r="Q84" s="8">
        <f>3.24-0.05</f>
        <v>3.1900000000000004</v>
      </c>
      <c r="R84" s="8">
        <f t="shared" si="10"/>
        <v>5.3900000000000006</v>
      </c>
      <c r="S84" s="10">
        <v>0.88</v>
      </c>
      <c r="T84" s="10">
        <v>1.69</v>
      </c>
      <c r="U84" s="10">
        <f t="shared" si="11"/>
        <v>2.57</v>
      </c>
      <c r="V84" s="8">
        <f t="shared" si="12"/>
        <v>0.47680890538033388</v>
      </c>
      <c r="W84" s="8">
        <f t="shared" si="13"/>
        <v>83.657587548638134</v>
      </c>
    </row>
    <row r="85" spans="1:23" x14ac:dyDescent="0.25">
      <c r="A85" s="8" t="s">
        <v>132</v>
      </c>
      <c r="B85" s="8">
        <v>25</v>
      </c>
      <c r="C85" s="8" t="s">
        <v>201</v>
      </c>
      <c r="D85" s="8" t="s">
        <v>192</v>
      </c>
      <c r="E85" s="8" t="s">
        <v>193</v>
      </c>
      <c r="F85" s="8" t="s">
        <v>202</v>
      </c>
      <c r="G85" s="8" t="s">
        <v>377</v>
      </c>
      <c r="H85" s="10">
        <v>13.4</v>
      </c>
      <c r="I85" s="8">
        <f>(7.85+7.88+7.14)/3</f>
        <v>7.623333333333334</v>
      </c>
      <c r="J85" s="8">
        <f>(2.03+2.59+1.85)/3</f>
        <v>2.1566666666666663</v>
      </c>
      <c r="K85" s="8">
        <f t="shared" si="7"/>
        <v>9.7800000000000011</v>
      </c>
      <c r="L85" s="8">
        <f t="shared" si="8"/>
        <v>7.298507462686568</v>
      </c>
      <c r="M85" s="9">
        <v>1.58</v>
      </c>
      <c r="N85" s="10">
        <v>0.66</v>
      </c>
      <c r="O85" s="10">
        <f t="shared" si="9"/>
        <v>2.2400000000000002</v>
      </c>
      <c r="P85" s="8">
        <f>2.63-0.05</f>
        <v>2.58</v>
      </c>
      <c r="Q85" s="8">
        <f>0.67-0.05</f>
        <v>0.62</v>
      </c>
      <c r="R85" s="8">
        <f t="shared" si="10"/>
        <v>3.2</v>
      </c>
      <c r="S85" s="10">
        <v>1.1399999999999999</v>
      </c>
      <c r="T85" s="10">
        <v>0.3</v>
      </c>
      <c r="U85" s="10">
        <f t="shared" si="11"/>
        <v>1.44</v>
      </c>
      <c r="V85" s="8">
        <f t="shared" si="12"/>
        <v>0.44999999999999996</v>
      </c>
      <c r="W85" s="8">
        <f t="shared" si="13"/>
        <v>55.555555555555578</v>
      </c>
    </row>
    <row r="86" spans="1:23" x14ac:dyDescent="0.25">
      <c r="A86" s="8" t="s">
        <v>132</v>
      </c>
      <c r="B86" s="8">
        <v>7</v>
      </c>
      <c r="C86" s="8" t="s">
        <v>203</v>
      </c>
      <c r="D86" s="8" t="s">
        <v>204</v>
      </c>
      <c r="E86" s="8" t="s">
        <v>205</v>
      </c>
      <c r="F86" s="8" t="s">
        <v>206</v>
      </c>
      <c r="G86" s="8" t="s">
        <v>378</v>
      </c>
      <c r="H86" s="10">
        <v>20.3</v>
      </c>
      <c r="I86" s="8">
        <f>(19.38+16.96+17.43)/3</f>
        <v>17.923333333333336</v>
      </c>
      <c r="J86" s="8">
        <f>(8.16+8.5+8.24)/3</f>
        <v>8.2999999999999989</v>
      </c>
      <c r="K86" s="8">
        <f t="shared" si="7"/>
        <v>26.223333333333336</v>
      </c>
      <c r="L86" s="8">
        <f t="shared" si="8"/>
        <v>12.917898193760264</v>
      </c>
      <c r="M86" s="9">
        <v>3.93</v>
      </c>
      <c r="N86" s="10">
        <v>3.14</v>
      </c>
      <c r="O86" s="10">
        <f t="shared" si="9"/>
        <v>7.07</v>
      </c>
      <c r="P86" s="8">
        <f>9.73-0.05</f>
        <v>9.68</v>
      </c>
      <c r="Q86" s="8">
        <f>2.84-0.05</f>
        <v>2.79</v>
      </c>
      <c r="R86" s="8">
        <f t="shared" si="10"/>
        <v>12.469999999999999</v>
      </c>
      <c r="S86" s="10">
        <v>3.03</v>
      </c>
      <c r="T86" s="10">
        <v>1.1299999999999999</v>
      </c>
      <c r="U86" s="10">
        <f t="shared" si="11"/>
        <v>4.16</v>
      </c>
      <c r="V86" s="8">
        <f t="shared" si="12"/>
        <v>0.33360064153969532</v>
      </c>
      <c r="W86" s="8">
        <f t="shared" si="13"/>
        <v>69.951923076923066</v>
      </c>
    </row>
    <row r="87" spans="1:23" x14ac:dyDescent="0.25">
      <c r="A87" s="8" t="s">
        <v>132</v>
      </c>
      <c r="B87" s="8">
        <v>5</v>
      </c>
      <c r="C87" s="8" t="s">
        <v>207</v>
      </c>
      <c r="D87" s="8" t="s">
        <v>204</v>
      </c>
      <c r="E87" s="8" t="s">
        <v>205</v>
      </c>
      <c r="F87" s="8" t="s">
        <v>208</v>
      </c>
      <c r="G87" s="8" t="s">
        <v>378</v>
      </c>
      <c r="H87" s="10">
        <v>12.5</v>
      </c>
      <c r="I87" s="8">
        <f>(24.23+26.9+26.88)/3</f>
        <v>26.00333333333333</v>
      </c>
      <c r="J87" s="8">
        <f>(9.57+7.09+5.96)/3</f>
        <v>7.54</v>
      </c>
      <c r="K87" s="8">
        <f t="shared" si="7"/>
        <v>33.543333333333329</v>
      </c>
      <c r="L87" s="8">
        <f t="shared" si="8"/>
        <v>26.834666666666664</v>
      </c>
      <c r="M87" s="9">
        <v>4.99</v>
      </c>
      <c r="N87" s="10">
        <v>3.13</v>
      </c>
      <c r="O87" s="10">
        <f t="shared" si="9"/>
        <v>8.120000000000001</v>
      </c>
      <c r="P87" s="8">
        <f>12.13-0.05</f>
        <v>12.08</v>
      </c>
      <c r="Q87" s="8">
        <f>3.4-0.05</f>
        <v>3.35</v>
      </c>
      <c r="R87" s="8">
        <f t="shared" si="10"/>
        <v>15.43</v>
      </c>
      <c r="S87" s="10">
        <v>3.55</v>
      </c>
      <c r="T87" s="10">
        <v>1.0900000000000001</v>
      </c>
      <c r="U87" s="10">
        <f t="shared" si="11"/>
        <v>4.6399999999999997</v>
      </c>
      <c r="V87" s="8">
        <f t="shared" si="12"/>
        <v>0.30071289695398573</v>
      </c>
      <c r="W87" s="8">
        <f t="shared" si="13"/>
        <v>75.000000000000028</v>
      </c>
    </row>
    <row r="88" spans="1:23" x14ac:dyDescent="0.25">
      <c r="A88" s="8" t="s">
        <v>132</v>
      </c>
      <c r="B88" s="8">
        <v>20</v>
      </c>
      <c r="C88" s="8" t="s">
        <v>209</v>
      </c>
      <c r="D88" s="8" t="s">
        <v>204</v>
      </c>
      <c r="E88" s="8" t="s">
        <v>205</v>
      </c>
      <c r="F88" s="8" t="s">
        <v>210</v>
      </c>
      <c r="G88" s="8" t="s">
        <v>377</v>
      </c>
      <c r="H88" s="10">
        <v>11.6</v>
      </c>
      <c r="I88" s="8">
        <f>(11.41+13.36+9.87)/3</f>
        <v>11.546666666666667</v>
      </c>
      <c r="J88" s="8">
        <f>(7.53+6.27+6.72)/3</f>
        <v>6.84</v>
      </c>
      <c r="K88" s="8">
        <f t="shared" si="7"/>
        <v>18.386666666666667</v>
      </c>
      <c r="L88" s="8">
        <f t="shared" si="8"/>
        <v>15.850574712643677</v>
      </c>
      <c r="M88" s="9">
        <v>1.82</v>
      </c>
      <c r="N88" s="10">
        <v>3.38</v>
      </c>
      <c r="O88" s="10">
        <f t="shared" si="9"/>
        <v>5.2</v>
      </c>
      <c r="P88" s="8">
        <f>4.71-0.05</f>
        <v>4.66</v>
      </c>
      <c r="Q88" s="8">
        <f>3.19-0.05</f>
        <v>3.14</v>
      </c>
      <c r="R88" s="8">
        <f t="shared" si="10"/>
        <v>7.8000000000000007</v>
      </c>
      <c r="S88" s="10">
        <v>1.33</v>
      </c>
      <c r="T88" s="10">
        <v>0.92</v>
      </c>
      <c r="U88" s="10">
        <f t="shared" si="11"/>
        <v>2.25</v>
      </c>
      <c r="V88" s="8">
        <f t="shared" si="12"/>
        <v>0.28846153846153844</v>
      </c>
      <c r="W88" s="8">
        <f t="shared" si="13"/>
        <v>131.11111111111111</v>
      </c>
    </row>
    <row r="89" spans="1:23" x14ac:dyDescent="0.25">
      <c r="A89" s="8" t="s">
        <v>132</v>
      </c>
      <c r="B89" s="8">
        <v>14</v>
      </c>
      <c r="C89" s="8" t="s">
        <v>211</v>
      </c>
      <c r="D89" s="8" t="s">
        <v>204</v>
      </c>
      <c r="E89" s="8" t="s">
        <v>205</v>
      </c>
      <c r="F89" s="8" t="s">
        <v>212</v>
      </c>
      <c r="G89" s="8" t="s">
        <v>378</v>
      </c>
      <c r="H89" s="10">
        <v>10.4</v>
      </c>
      <c r="I89" s="8">
        <f>(9.93+11.03+12.94)/3</f>
        <v>11.299999999999999</v>
      </c>
      <c r="J89" s="8">
        <f>(4.25+4.21+4.55)/3</f>
        <v>4.3366666666666669</v>
      </c>
      <c r="K89" s="8">
        <f t="shared" si="7"/>
        <v>15.636666666666667</v>
      </c>
      <c r="L89" s="8">
        <f t="shared" si="8"/>
        <v>15.035256410256409</v>
      </c>
      <c r="M89" s="9">
        <v>2.08</v>
      </c>
      <c r="N89" s="10">
        <v>1.0900000000000001</v>
      </c>
      <c r="O89" s="10">
        <f t="shared" si="9"/>
        <v>3.17</v>
      </c>
      <c r="P89" s="8">
        <f>5.2-0.05</f>
        <v>5.15</v>
      </c>
      <c r="Q89" s="8">
        <f>1.04-0.05</f>
        <v>0.99</v>
      </c>
      <c r="R89" s="8">
        <f t="shared" si="10"/>
        <v>6.1400000000000006</v>
      </c>
      <c r="S89" s="10">
        <v>1.46</v>
      </c>
      <c r="T89" s="10">
        <v>0.34</v>
      </c>
      <c r="U89" s="10">
        <f t="shared" si="11"/>
        <v>1.8</v>
      </c>
      <c r="V89" s="8">
        <f t="shared" si="12"/>
        <v>0.29315960912052114</v>
      </c>
      <c r="W89" s="8">
        <f t="shared" si="13"/>
        <v>76.111111111111114</v>
      </c>
    </row>
    <row r="90" spans="1:23" x14ac:dyDescent="0.25">
      <c r="A90" s="8" t="s">
        <v>132</v>
      </c>
      <c r="B90" s="8">
        <v>14</v>
      </c>
      <c r="C90" s="8" t="s">
        <v>213</v>
      </c>
      <c r="D90" s="8" t="s">
        <v>204</v>
      </c>
      <c r="E90" s="8" t="s">
        <v>205</v>
      </c>
      <c r="F90" s="8" t="s">
        <v>214</v>
      </c>
      <c r="G90" s="8" t="s">
        <v>378</v>
      </c>
      <c r="H90" s="10">
        <v>19.399999999999999</v>
      </c>
      <c r="I90" s="8">
        <f>(14.67+14.28+13.72)/3</f>
        <v>14.223333333333334</v>
      </c>
      <c r="J90" s="8">
        <f>(6.9+7.21+6.41)/3</f>
        <v>6.84</v>
      </c>
      <c r="K90" s="8">
        <f t="shared" si="7"/>
        <v>21.063333333333333</v>
      </c>
      <c r="L90" s="8">
        <f t="shared" si="8"/>
        <v>10.857388316151201</v>
      </c>
      <c r="M90" s="9">
        <v>2.1800000000000002</v>
      </c>
      <c r="N90" s="10">
        <v>1.96</v>
      </c>
      <c r="O90" s="10">
        <f t="shared" si="9"/>
        <v>4.1400000000000006</v>
      </c>
      <c r="P90" s="8">
        <f>6.23-0.05</f>
        <v>6.1800000000000006</v>
      </c>
      <c r="Q90" s="8">
        <f>1.9-0.05</f>
        <v>1.8499999999999999</v>
      </c>
      <c r="R90" s="8">
        <f t="shared" si="10"/>
        <v>8.0300000000000011</v>
      </c>
      <c r="S90" s="10">
        <v>1.53</v>
      </c>
      <c r="T90" s="10">
        <v>0.55000000000000004</v>
      </c>
      <c r="U90" s="10">
        <f t="shared" si="11"/>
        <v>2.08</v>
      </c>
      <c r="V90" s="8">
        <f t="shared" si="12"/>
        <v>0.25902864259028641</v>
      </c>
      <c r="W90" s="8">
        <f t="shared" si="13"/>
        <v>99.038461538461561</v>
      </c>
    </row>
    <row r="91" spans="1:23" x14ac:dyDescent="0.25">
      <c r="A91" s="8" t="s">
        <v>132</v>
      </c>
      <c r="B91" s="8">
        <v>1</v>
      </c>
      <c r="C91" s="8" t="s">
        <v>215</v>
      </c>
      <c r="D91" s="8" t="s">
        <v>42</v>
      </c>
      <c r="E91" s="8" t="s">
        <v>216</v>
      </c>
      <c r="F91" s="8" t="s">
        <v>217</v>
      </c>
      <c r="G91" s="8" t="s">
        <v>377</v>
      </c>
      <c r="H91" s="10">
        <v>15</v>
      </c>
      <c r="I91" s="8">
        <f>(6.75+6.28+6.53)/3</f>
        <v>6.5200000000000005</v>
      </c>
      <c r="J91" s="8">
        <f>(3.09+3.62+3.42)/3</f>
        <v>3.3766666666666665</v>
      </c>
      <c r="K91" s="8">
        <f t="shared" si="7"/>
        <v>9.8966666666666665</v>
      </c>
      <c r="L91" s="8">
        <f t="shared" si="8"/>
        <v>6.5977777777777771</v>
      </c>
      <c r="M91" s="9">
        <v>0.95</v>
      </c>
      <c r="N91" s="10">
        <v>1.21</v>
      </c>
      <c r="O91" s="10">
        <f t="shared" si="9"/>
        <v>2.16</v>
      </c>
      <c r="P91" s="8">
        <f>1.88-0.05</f>
        <v>1.8299999999999998</v>
      </c>
      <c r="Q91" s="8">
        <f>1.01-0.05</f>
        <v>0.96</v>
      </c>
      <c r="R91" s="8">
        <f t="shared" si="10"/>
        <v>2.79</v>
      </c>
      <c r="S91" s="10">
        <v>0.68</v>
      </c>
      <c r="T91" s="10">
        <v>0.66</v>
      </c>
      <c r="U91" s="10">
        <f t="shared" si="11"/>
        <v>1.34</v>
      </c>
      <c r="V91" s="8">
        <f t="shared" si="12"/>
        <v>0.48028673835125452</v>
      </c>
      <c r="W91" s="8">
        <f t="shared" si="13"/>
        <v>61.194029850746269</v>
      </c>
    </row>
    <row r="92" spans="1:23" x14ac:dyDescent="0.25">
      <c r="A92" s="8" t="s">
        <v>132</v>
      </c>
      <c r="B92" s="8">
        <v>1</v>
      </c>
      <c r="C92" s="8" t="s">
        <v>218</v>
      </c>
      <c r="D92" s="8" t="s">
        <v>42</v>
      </c>
      <c r="E92" s="8" t="s">
        <v>216</v>
      </c>
      <c r="F92" s="8" t="s">
        <v>219</v>
      </c>
      <c r="G92" s="8" t="s">
        <v>377</v>
      </c>
      <c r="H92" s="10">
        <v>12.8</v>
      </c>
      <c r="I92" s="8">
        <f>(7.47+7.01+6.7)/3</f>
        <v>7.06</v>
      </c>
      <c r="J92" s="8">
        <f>(6.13+5.81+6.11)/3</f>
        <v>6.0166666666666666</v>
      </c>
      <c r="K92" s="8">
        <f t="shared" si="7"/>
        <v>13.076666666666666</v>
      </c>
      <c r="L92" s="8">
        <f t="shared" si="8"/>
        <v>10.216145833333332</v>
      </c>
      <c r="M92" s="9">
        <v>0.74</v>
      </c>
      <c r="N92" s="10">
        <v>2.69</v>
      </c>
      <c r="O92" s="10">
        <f t="shared" si="9"/>
        <v>3.4299999999999997</v>
      </c>
      <c r="P92" s="8">
        <f>1.79-0.05</f>
        <v>1.74</v>
      </c>
      <c r="Q92" s="8">
        <f>2.38-0.05</f>
        <v>2.33</v>
      </c>
      <c r="R92" s="8">
        <f t="shared" si="10"/>
        <v>4.07</v>
      </c>
      <c r="S92" s="10">
        <v>0.56999999999999995</v>
      </c>
      <c r="T92" s="10">
        <v>1.27</v>
      </c>
      <c r="U92" s="10">
        <f t="shared" si="11"/>
        <v>1.8399999999999999</v>
      </c>
      <c r="V92" s="8">
        <f t="shared" si="12"/>
        <v>0.452088452088452</v>
      </c>
      <c r="W92" s="8">
        <f t="shared" si="13"/>
        <v>86.41304347826086</v>
      </c>
    </row>
    <row r="93" spans="1:23" x14ac:dyDescent="0.25">
      <c r="A93" s="8" t="s">
        <v>132</v>
      </c>
      <c r="B93" s="8">
        <v>6</v>
      </c>
      <c r="C93" s="8" t="s">
        <v>220</v>
      </c>
      <c r="D93" s="8" t="s">
        <v>42</v>
      </c>
      <c r="E93" s="8" t="s">
        <v>216</v>
      </c>
      <c r="F93" s="8" t="s">
        <v>221</v>
      </c>
      <c r="G93" s="8" t="s">
        <v>376</v>
      </c>
      <c r="H93" s="10">
        <v>13.8</v>
      </c>
      <c r="I93" s="8">
        <f>(6.62+6.27+5.64)/3</f>
        <v>6.1766666666666667</v>
      </c>
      <c r="J93" s="8">
        <f>(5.3+5.57+4.57)/3</f>
        <v>5.1466666666666674</v>
      </c>
      <c r="K93" s="8">
        <f t="shared" si="7"/>
        <v>11.323333333333334</v>
      </c>
      <c r="L93" s="8">
        <f t="shared" si="8"/>
        <v>8.2053140096618371</v>
      </c>
      <c r="M93" s="9">
        <v>0.91</v>
      </c>
      <c r="N93" s="10">
        <v>3</v>
      </c>
      <c r="O93" s="10">
        <f t="shared" si="9"/>
        <v>3.91</v>
      </c>
      <c r="P93" s="8">
        <f>1.79-0.05</f>
        <v>1.74</v>
      </c>
      <c r="Q93" s="8">
        <f>2.72-0.05</f>
        <v>2.6700000000000004</v>
      </c>
      <c r="R93" s="8">
        <f t="shared" si="10"/>
        <v>4.41</v>
      </c>
      <c r="S93" s="10">
        <v>0.56000000000000005</v>
      </c>
      <c r="T93" s="10">
        <v>1.57</v>
      </c>
      <c r="U93" s="10">
        <f t="shared" si="11"/>
        <v>2.13</v>
      </c>
      <c r="V93" s="8">
        <f t="shared" si="12"/>
        <v>0.48299319727891155</v>
      </c>
      <c r="W93" s="8">
        <f t="shared" si="13"/>
        <v>83.56807511737091</v>
      </c>
    </row>
    <row r="94" spans="1:23" x14ac:dyDescent="0.25">
      <c r="A94" s="8" t="s">
        <v>132</v>
      </c>
      <c r="B94" s="8">
        <v>16</v>
      </c>
      <c r="C94" s="8" t="s">
        <v>222</v>
      </c>
      <c r="D94" s="8" t="s">
        <v>42</v>
      </c>
      <c r="E94" s="8" t="s">
        <v>216</v>
      </c>
      <c r="F94" s="8" t="s">
        <v>223</v>
      </c>
      <c r="G94" s="8" t="s">
        <v>377</v>
      </c>
      <c r="H94" s="10">
        <v>9.9</v>
      </c>
      <c r="I94" s="8">
        <f>(7.39+6.98+7.09)/3</f>
        <v>7.1533333333333333</v>
      </c>
      <c r="J94" s="8">
        <f>(5.06+5.38+5.55)/3</f>
        <v>5.3299999999999992</v>
      </c>
      <c r="K94" s="8">
        <f t="shared" si="7"/>
        <v>12.483333333333333</v>
      </c>
      <c r="L94" s="8">
        <f t="shared" si="8"/>
        <v>12.609427609427609</v>
      </c>
      <c r="M94" s="9">
        <v>2.57</v>
      </c>
      <c r="N94" s="10">
        <v>2.27</v>
      </c>
      <c r="O94" s="10">
        <f t="shared" si="9"/>
        <v>4.84</v>
      </c>
      <c r="P94" s="8">
        <f>3.27-0.05</f>
        <v>3.22</v>
      </c>
      <c r="Q94" s="8">
        <f>2.1-0.05</f>
        <v>2.0500000000000003</v>
      </c>
      <c r="R94" s="8">
        <f t="shared" si="10"/>
        <v>5.2700000000000005</v>
      </c>
      <c r="S94" s="10">
        <v>1.81</v>
      </c>
      <c r="T94" s="10">
        <v>1.17</v>
      </c>
      <c r="U94" s="10">
        <f t="shared" si="11"/>
        <v>2.98</v>
      </c>
      <c r="V94" s="8">
        <f t="shared" si="12"/>
        <v>0.56546489563567359</v>
      </c>
      <c r="W94" s="8">
        <f t="shared" si="13"/>
        <v>62.416107382550337</v>
      </c>
    </row>
    <row r="95" spans="1:23" x14ac:dyDescent="0.25">
      <c r="A95" s="8" t="s">
        <v>132</v>
      </c>
      <c r="B95" s="8">
        <v>22</v>
      </c>
      <c r="C95" s="8" t="s">
        <v>224</v>
      </c>
      <c r="D95" s="8" t="s">
        <v>42</v>
      </c>
      <c r="E95" s="8" t="s">
        <v>216</v>
      </c>
      <c r="F95" s="8" t="s">
        <v>225</v>
      </c>
      <c r="G95" s="10" t="s">
        <v>376</v>
      </c>
      <c r="H95" s="10">
        <v>10.1</v>
      </c>
      <c r="I95" s="8">
        <f>(5.52+3.94+4.78)/3</f>
        <v>4.7466666666666661</v>
      </c>
      <c r="J95" s="8">
        <f>(5.3+5.54+5.15)/3</f>
        <v>5.33</v>
      </c>
      <c r="K95" s="8">
        <f t="shared" si="7"/>
        <v>10.076666666666666</v>
      </c>
      <c r="L95" s="8">
        <f t="shared" si="8"/>
        <v>9.9768976897689772</v>
      </c>
      <c r="M95" s="9">
        <v>0.42</v>
      </c>
      <c r="N95" s="10">
        <v>1.67</v>
      </c>
      <c r="O95" s="10">
        <f t="shared" si="9"/>
        <v>2.09</v>
      </c>
      <c r="P95" s="8">
        <f>0.92-0.05</f>
        <v>0.87</v>
      </c>
      <c r="Q95" s="8">
        <f>1.48-0.05</f>
        <v>1.43</v>
      </c>
      <c r="R95" s="8">
        <f t="shared" si="10"/>
        <v>2.2999999999999998</v>
      </c>
      <c r="S95" s="10">
        <v>0.28000000000000003</v>
      </c>
      <c r="T95" s="10">
        <v>0.79</v>
      </c>
      <c r="U95" s="10">
        <f t="shared" si="11"/>
        <v>1.07</v>
      </c>
      <c r="V95" s="8">
        <f t="shared" si="12"/>
        <v>0.46521739130434792</v>
      </c>
      <c r="W95" s="8">
        <f t="shared" si="13"/>
        <v>95.327102803738299</v>
      </c>
    </row>
    <row r="96" spans="1:23" s="1" customFormat="1" x14ac:dyDescent="0.25">
      <c r="A96" s="10" t="s">
        <v>226</v>
      </c>
      <c r="B96" s="10">
        <v>1</v>
      </c>
      <c r="C96" s="10" t="s">
        <v>227</v>
      </c>
      <c r="D96" s="10" t="s">
        <v>31</v>
      </c>
      <c r="E96" s="10" t="s">
        <v>32</v>
      </c>
      <c r="F96" s="10" t="s">
        <v>228</v>
      </c>
      <c r="G96" s="10" t="s">
        <v>376</v>
      </c>
      <c r="H96" s="10">
        <v>15.1</v>
      </c>
      <c r="I96" s="10">
        <f>(15.77+15.95+13.84)/3</f>
        <v>15.186666666666667</v>
      </c>
      <c r="J96" s="10">
        <f>(5.54+5.64+5.97)/3</f>
        <v>5.7166666666666659</v>
      </c>
      <c r="K96" s="8">
        <f t="shared" si="7"/>
        <v>20.903333333333332</v>
      </c>
      <c r="L96" s="10">
        <f t="shared" si="8"/>
        <v>13.843267108167771</v>
      </c>
      <c r="M96" s="9">
        <v>3.83</v>
      </c>
      <c r="N96" s="10">
        <v>3.34</v>
      </c>
      <c r="O96" s="10">
        <f t="shared" si="9"/>
        <v>7.17</v>
      </c>
      <c r="P96" s="10">
        <f>9.15-0.05</f>
        <v>9.1</v>
      </c>
      <c r="Q96" s="10">
        <f>3.53-0.05</f>
        <v>3.48</v>
      </c>
      <c r="R96" s="8">
        <f t="shared" si="10"/>
        <v>12.58</v>
      </c>
      <c r="S96" s="10">
        <v>3.41</v>
      </c>
      <c r="T96" s="10">
        <v>1.37</v>
      </c>
      <c r="U96" s="10">
        <f t="shared" si="11"/>
        <v>4.78</v>
      </c>
      <c r="V96" s="10">
        <f t="shared" si="12"/>
        <v>0.37996820349761529</v>
      </c>
      <c r="W96" s="8">
        <f t="shared" si="13"/>
        <v>49.999999999999986</v>
      </c>
    </row>
    <row r="97" spans="1:23" s="1" customFormat="1" x14ac:dyDescent="0.25">
      <c r="A97" s="10" t="s">
        <v>226</v>
      </c>
      <c r="B97" s="10">
        <v>8</v>
      </c>
      <c r="C97" s="10" t="s">
        <v>229</v>
      </c>
      <c r="D97" s="10" t="s">
        <v>31</v>
      </c>
      <c r="E97" s="10" t="s">
        <v>32</v>
      </c>
      <c r="F97" s="10" t="s">
        <v>230</v>
      </c>
      <c r="G97" s="10" t="s">
        <v>376</v>
      </c>
      <c r="H97" s="10">
        <v>27.9</v>
      </c>
      <c r="I97" s="10">
        <f>(13.63+15.12+14.65)/3</f>
        <v>14.466666666666667</v>
      </c>
      <c r="J97" s="10">
        <f>(7.02+6.12+7.39)/3</f>
        <v>6.8433333333333337</v>
      </c>
      <c r="K97" s="8">
        <f t="shared" si="7"/>
        <v>21.310000000000002</v>
      </c>
      <c r="L97" s="10">
        <f t="shared" si="8"/>
        <v>7.6379928315412196</v>
      </c>
      <c r="M97" s="9">
        <v>4.57</v>
      </c>
      <c r="N97" s="10">
        <v>2.56</v>
      </c>
      <c r="O97" s="10">
        <f t="shared" si="9"/>
        <v>7.1300000000000008</v>
      </c>
      <c r="P97" s="10">
        <f>13.08-0.05</f>
        <v>13.03</v>
      </c>
      <c r="Q97" s="10">
        <f>2.36-0.05</f>
        <v>2.31</v>
      </c>
      <c r="R97" s="8">
        <f t="shared" si="10"/>
        <v>15.34</v>
      </c>
      <c r="S97" s="10">
        <v>3.97</v>
      </c>
      <c r="T97" s="10">
        <v>0.99</v>
      </c>
      <c r="U97" s="10">
        <f t="shared" si="11"/>
        <v>4.96</v>
      </c>
      <c r="V97" s="8">
        <f t="shared" si="12"/>
        <v>0.32333767926988266</v>
      </c>
      <c r="W97" s="8">
        <f t="shared" si="13"/>
        <v>43.750000000000014</v>
      </c>
    </row>
    <row r="98" spans="1:23" s="1" customFormat="1" x14ac:dyDescent="0.25">
      <c r="A98" s="10" t="s">
        <v>226</v>
      </c>
      <c r="B98" s="10">
        <v>11</v>
      </c>
      <c r="C98" s="10" t="s">
        <v>231</v>
      </c>
      <c r="D98" s="10" t="s">
        <v>31</v>
      </c>
      <c r="E98" s="10" t="s">
        <v>32</v>
      </c>
      <c r="F98" s="10" t="s">
        <v>232</v>
      </c>
      <c r="G98" s="10" t="s">
        <v>387</v>
      </c>
      <c r="H98" s="10">
        <v>21.5</v>
      </c>
      <c r="I98" s="10">
        <f>(29.7+30.19+26.75)/3</f>
        <v>28.88</v>
      </c>
      <c r="J98" s="10">
        <f>(18.33+15.16+14.85)/3</f>
        <v>16.113333333333333</v>
      </c>
      <c r="K98" s="8">
        <f t="shared" si="7"/>
        <v>44.993333333333332</v>
      </c>
      <c r="L98" s="10">
        <f t="shared" si="8"/>
        <v>20.927131782945736</v>
      </c>
      <c r="M98" s="9">
        <v>13.03</v>
      </c>
      <c r="N98" s="10">
        <v>5.56</v>
      </c>
      <c r="O98" s="10">
        <f t="shared" si="9"/>
        <v>18.59</v>
      </c>
      <c r="P98" s="10">
        <f>46-0.05</f>
        <v>45.95</v>
      </c>
      <c r="Q98" s="10">
        <f>17.96-0.05</f>
        <v>17.91</v>
      </c>
      <c r="R98" s="8">
        <f t="shared" si="10"/>
        <v>63.86</v>
      </c>
      <c r="S98" s="10">
        <v>11.06</v>
      </c>
      <c r="T98" s="10">
        <v>4.46</v>
      </c>
      <c r="U98" s="10">
        <f t="shared" si="11"/>
        <v>15.52</v>
      </c>
      <c r="V98" s="8">
        <f t="shared" si="12"/>
        <v>0.24303163169433134</v>
      </c>
      <c r="W98" s="8">
        <f t="shared" si="13"/>
        <v>19.78092783505155</v>
      </c>
    </row>
    <row r="99" spans="1:23" s="1" customFormat="1" x14ac:dyDescent="0.25">
      <c r="A99" s="10" t="s">
        <v>226</v>
      </c>
      <c r="B99" s="10">
        <v>1</v>
      </c>
      <c r="C99" s="10" t="s">
        <v>233</v>
      </c>
      <c r="D99" s="10" t="s">
        <v>31</v>
      </c>
      <c r="E99" s="10" t="s">
        <v>32</v>
      </c>
      <c r="F99" s="10" t="s">
        <v>234</v>
      </c>
      <c r="G99" s="10" t="s">
        <v>376</v>
      </c>
      <c r="H99" s="10">
        <v>16.3</v>
      </c>
      <c r="I99" s="10">
        <f>(15.91+15.02+15.65)/3</f>
        <v>15.526666666666666</v>
      </c>
      <c r="J99" s="10">
        <f>(3.67+4.32+3.78)/3</f>
        <v>3.9233333333333333</v>
      </c>
      <c r="K99" s="8">
        <f t="shared" si="7"/>
        <v>19.45</v>
      </c>
      <c r="L99" s="10">
        <f t="shared" si="8"/>
        <v>11.932515337423313</v>
      </c>
      <c r="M99" s="9">
        <v>2.92</v>
      </c>
      <c r="N99" s="10">
        <v>2.04</v>
      </c>
      <c r="O99" s="10">
        <f t="shared" si="9"/>
        <v>4.96</v>
      </c>
      <c r="P99" s="10">
        <f>9.16-0.05</f>
        <v>9.11</v>
      </c>
      <c r="Q99" s="10">
        <f>1.91-0.05</f>
        <v>1.8599999999999999</v>
      </c>
      <c r="R99" s="8">
        <f t="shared" si="10"/>
        <v>10.969999999999999</v>
      </c>
      <c r="S99" s="10">
        <v>2.4900000000000002</v>
      </c>
      <c r="T99" s="10">
        <v>0.81</v>
      </c>
      <c r="U99" s="10">
        <f t="shared" si="11"/>
        <v>3.3000000000000003</v>
      </c>
      <c r="V99" s="8">
        <f t="shared" si="12"/>
        <v>0.30082041932543307</v>
      </c>
      <c r="W99" s="8">
        <f t="shared" si="13"/>
        <v>50.303030303030297</v>
      </c>
    </row>
    <row r="100" spans="1:23" s="1" customFormat="1" x14ac:dyDescent="0.25">
      <c r="A100" s="10" t="s">
        <v>226</v>
      </c>
      <c r="B100" s="10">
        <v>1</v>
      </c>
      <c r="C100" s="10" t="s">
        <v>235</v>
      </c>
      <c r="D100" s="10" t="s">
        <v>31</v>
      </c>
      <c r="E100" s="10" t="s">
        <v>32</v>
      </c>
      <c r="F100" s="10" t="s">
        <v>236</v>
      </c>
      <c r="G100" s="10" t="s">
        <v>376</v>
      </c>
      <c r="H100" s="10">
        <v>18.399999999999999</v>
      </c>
      <c r="I100" s="10">
        <f>(23.96+21.67+22.95)/3</f>
        <v>22.86</v>
      </c>
      <c r="J100" s="10">
        <f>(5.53+4.76+5.12)/3</f>
        <v>5.1366666666666667</v>
      </c>
      <c r="K100" s="8">
        <f t="shared" si="7"/>
        <v>27.996666666666666</v>
      </c>
      <c r="L100" s="10">
        <f t="shared" si="8"/>
        <v>15.215579710144928</v>
      </c>
      <c r="M100" s="9">
        <v>8.52</v>
      </c>
      <c r="N100" s="10">
        <v>3.55</v>
      </c>
      <c r="O100" s="10">
        <f t="shared" si="9"/>
        <v>12.07</v>
      </c>
      <c r="P100" s="10">
        <f>22.36-0.05</f>
        <v>22.31</v>
      </c>
      <c r="Q100" s="10">
        <f>3.34-0.05</f>
        <v>3.29</v>
      </c>
      <c r="R100" s="8">
        <f t="shared" si="10"/>
        <v>25.599999999999998</v>
      </c>
      <c r="S100" s="10">
        <v>6.19</v>
      </c>
      <c r="T100" s="10">
        <v>1.53</v>
      </c>
      <c r="U100" s="10">
        <f t="shared" si="11"/>
        <v>7.7200000000000006</v>
      </c>
      <c r="V100" s="8">
        <f t="shared" si="12"/>
        <v>0.30156250000000007</v>
      </c>
      <c r="W100" s="8">
        <f t="shared" si="13"/>
        <v>56.347150259067348</v>
      </c>
    </row>
    <row r="101" spans="1:23" s="1" customFormat="1" x14ac:dyDescent="0.25">
      <c r="A101" s="10" t="s">
        <v>226</v>
      </c>
      <c r="B101" s="10">
        <v>2</v>
      </c>
      <c r="C101" s="10" t="s">
        <v>237</v>
      </c>
      <c r="D101" s="10" t="s">
        <v>53</v>
      </c>
      <c r="E101" s="10" t="s">
        <v>54</v>
      </c>
      <c r="F101" s="10" t="s">
        <v>238</v>
      </c>
      <c r="G101" s="10" t="s">
        <v>376</v>
      </c>
      <c r="H101" s="10">
        <v>8</v>
      </c>
      <c r="I101" s="10">
        <f>(8.31+9.87+9.88)/3</f>
        <v>9.3533333333333335</v>
      </c>
      <c r="J101" s="10">
        <f>(6.37+5.39+5.93)/3</f>
        <v>5.8966666666666656</v>
      </c>
      <c r="K101" s="8">
        <f t="shared" si="7"/>
        <v>15.25</v>
      </c>
      <c r="L101" s="10">
        <f t="shared" si="8"/>
        <v>19.0625</v>
      </c>
      <c r="M101" s="9">
        <v>2.04</v>
      </c>
      <c r="N101" s="10">
        <v>2.4700000000000002</v>
      </c>
      <c r="O101" s="10">
        <f t="shared" si="9"/>
        <v>4.51</v>
      </c>
      <c r="P101" s="10">
        <f>4.82-0.05</f>
        <v>4.7700000000000005</v>
      </c>
      <c r="Q101" s="10">
        <f>2.27-0.05</f>
        <v>2.2200000000000002</v>
      </c>
      <c r="R101" s="8">
        <f t="shared" si="10"/>
        <v>6.99</v>
      </c>
      <c r="S101" s="10">
        <v>1.74</v>
      </c>
      <c r="T101" s="10">
        <v>0.97</v>
      </c>
      <c r="U101" s="10">
        <f t="shared" si="11"/>
        <v>2.71</v>
      </c>
      <c r="V101" s="8">
        <f t="shared" si="12"/>
        <v>0.38769670958512159</v>
      </c>
      <c r="W101" s="8">
        <f t="shared" si="13"/>
        <v>66.420664206642073</v>
      </c>
    </row>
    <row r="102" spans="1:23" s="1" customFormat="1" x14ac:dyDescent="0.25">
      <c r="A102" s="10" t="s">
        <v>226</v>
      </c>
      <c r="B102" s="10">
        <v>2</v>
      </c>
      <c r="C102" s="10" t="s">
        <v>239</v>
      </c>
      <c r="D102" s="10" t="s">
        <v>53</v>
      </c>
      <c r="E102" s="10" t="s">
        <v>54</v>
      </c>
      <c r="F102" s="10" t="s">
        <v>240</v>
      </c>
      <c r="G102" s="10" t="s">
        <v>378</v>
      </c>
      <c r="H102" s="10">
        <v>8.6999999999999993</v>
      </c>
      <c r="I102" s="10">
        <f>(9.6+11.02+13.01)/3</f>
        <v>11.209999999999999</v>
      </c>
      <c r="J102" s="10">
        <f>(4.6+5.8+6.23)/3</f>
        <v>5.543333333333333</v>
      </c>
      <c r="K102" s="8">
        <f t="shared" si="7"/>
        <v>16.75333333333333</v>
      </c>
      <c r="L102" s="10">
        <f t="shared" si="8"/>
        <v>19.256704980842908</v>
      </c>
      <c r="M102" s="9">
        <v>2.35</v>
      </c>
      <c r="N102" s="10">
        <v>2.2000000000000002</v>
      </c>
      <c r="O102" s="10">
        <f t="shared" si="9"/>
        <v>4.5500000000000007</v>
      </c>
      <c r="P102" s="10">
        <f>4.94-0.05</f>
        <v>4.8900000000000006</v>
      </c>
      <c r="Q102" s="10">
        <f>1.99-0.05</f>
        <v>1.94</v>
      </c>
      <c r="R102" s="8">
        <f t="shared" si="10"/>
        <v>6.83</v>
      </c>
      <c r="S102" s="10">
        <v>2.0099999999999998</v>
      </c>
      <c r="T102" s="10">
        <v>0.84</v>
      </c>
      <c r="U102" s="10">
        <f t="shared" si="11"/>
        <v>2.8499999999999996</v>
      </c>
      <c r="V102" s="8">
        <f t="shared" si="12"/>
        <v>0.41727672035139085</v>
      </c>
      <c r="W102" s="8">
        <f t="shared" si="13"/>
        <v>59.649122807017584</v>
      </c>
    </row>
    <row r="103" spans="1:23" s="1" customFormat="1" x14ac:dyDescent="0.25">
      <c r="A103" s="10" t="s">
        <v>226</v>
      </c>
      <c r="B103" s="10">
        <v>23</v>
      </c>
      <c r="C103" s="10" t="s">
        <v>241</v>
      </c>
      <c r="D103" s="10" t="s">
        <v>53</v>
      </c>
      <c r="E103" s="10" t="s">
        <v>54</v>
      </c>
      <c r="F103" s="10" t="s">
        <v>242</v>
      </c>
      <c r="G103" s="10" t="s">
        <v>378</v>
      </c>
      <c r="H103" s="10">
        <v>9.1</v>
      </c>
      <c r="I103" s="10">
        <f>(9.97+11.86+11.67)/3</f>
        <v>11.166666666666666</v>
      </c>
      <c r="J103" s="10">
        <f>(5.65+6.14+6.38)/3</f>
        <v>6.0566666666666658</v>
      </c>
      <c r="K103" s="8">
        <f t="shared" si="7"/>
        <v>17.223333333333333</v>
      </c>
      <c r="L103" s="10">
        <f t="shared" si="8"/>
        <v>18.926739926739927</v>
      </c>
      <c r="M103" s="9">
        <v>2.88</v>
      </c>
      <c r="N103" s="10">
        <v>3.38</v>
      </c>
      <c r="O103" s="10">
        <f t="shared" si="9"/>
        <v>6.26</v>
      </c>
      <c r="P103" s="10">
        <f>6.31-0.05</f>
        <v>6.26</v>
      </c>
      <c r="Q103" s="10">
        <f>3.15-0.05</f>
        <v>3.1</v>
      </c>
      <c r="R103" s="8">
        <f t="shared" si="10"/>
        <v>9.36</v>
      </c>
      <c r="S103" s="10">
        <v>2.25</v>
      </c>
      <c r="T103" s="10">
        <v>1.1599999999999999</v>
      </c>
      <c r="U103" s="10">
        <f t="shared" si="11"/>
        <v>3.41</v>
      </c>
      <c r="V103" s="8">
        <f t="shared" si="12"/>
        <v>0.36431623931623935</v>
      </c>
      <c r="W103" s="8">
        <f t="shared" si="13"/>
        <v>83.577712609970661</v>
      </c>
    </row>
    <row r="104" spans="1:23" s="1" customFormat="1" x14ac:dyDescent="0.25">
      <c r="A104" s="10" t="s">
        <v>226</v>
      </c>
      <c r="B104" s="10">
        <v>21</v>
      </c>
      <c r="C104" s="10" t="s">
        <v>243</v>
      </c>
      <c r="D104" s="10" t="s">
        <v>53</v>
      </c>
      <c r="E104" s="10" t="s">
        <v>54</v>
      </c>
      <c r="F104" s="10" t="s">
        <v>244</v>
      </c>
      <c r="G104" s="10" t="s">
        <v>378</v>
      </c>
      <c r="H104" s="10">
        <v>10.3</v>
      </c>
      <c r="I104" s="10">
        <f>(6.44+6.82+7.51)/3</f>
        <v>6.9233333333333347</v>
      </c>
      <c r="J104" s="10">
        <f>(6.09+7.79+8.2)/3</f>
        <v>7.3599999999999994</v>
      </c>
      <c r="K104" s="8">
        <f t="shared" si="7"/>
        <v>14.283333333333335</v>
      </c>
      <c r="L104" s="10">
        <f t="shared" si="8"/>
        <v>13.867313915857608</v>
      </c>
      <c r="M104" s="9">
        <v>2.0699999999999998</v>
      </c>
      <c r="N104" s="10">
        <v>2.15</v>
      </c>
      <c r="O104" s="10">
        <f t="shared" si="9"/>
        <v>4.22</v>
      </c>
      <c r="P104" s="10">
        <f>3.35-0.05</f>
        <v>3.3000000000000003</v>
      </c>
      <c r="Q104" s="10">
        <f>1.96-0.05</f>
        <v>1.91</v>
      </c>
      <c r="R104" s="8">
        <f t="shared" si="10"/>
        <v>5.21</v>
      </c>
      <c r="S104" s="10">
        <v>1.77</v>
      </c>
      <c r="T104" s="10">
        <v>0.73</v>
      </c>
      <c r="U104" s="10">
        <f t="shared" si="11"/>
        <v>2.5</v>
      </c>
      <c r="V104" s="8">
        <f t="shared" si="12"/>
        <v>0.47984644913627639</v>
      </c>
      <c r="W104" s="8">
        <f t="shared" si="13"/>
        <v>68.8</v>
      </c>
    </row>
    <row r="105" spans="1:23" s="1" customFormat="1" x14ac:dyDescent="0.25">
      <c r="A105" s="10" t="s">
        <v>226</v>
      </c>
      <c r="B105" s="10">
        <v>24</v>
      </c>
      <c r="C105" s="10" t="s">
        <v>245</v>
      </c>
      <c r="D105" s="10" t="s">
        <v>53</v>
      </c>
      <c r="E105" s="10" t="s">
        <v>54</v>
      </c>
      <c r="F105" s="10" t="s">
        <v>246</v>
      </c>
      <c r="G105" s="10" t="s">
        <v>376</v>
      </c>
      <c r="H105" s="10">
        <v>10.3</v>
      </c>
      <c r="I105" s="10">
        <f>(13.61+8.79+12.67)/3</f>
        <v>11.69</v>
      </c>
      <c r="J105" s="10">
        <f>(5.12+5.61+5.7)/3</f>
        <v>5.4766666666666666</v>
      </c>
      <c r="K105" s="8">
        <f t="shared" si="7"/>
        <v>17.166666666666664</v>
      </c>
      <c r="L105" s="10">
        <f t="shared" si="8"/>
        <v>16.666666666666664</v>
      </c>
      <c r="M105" s="9">
        <v>2.66</v>
      </c>
      <c r="N105" s="10">
        <v>1.37</v>
      </c>
      <c r="O105" s="10">
        <f t="shared" si="9"/>
        <v>4.03</v>
      </c>
      <c r="P105" s="10">
        <f>6.18-0.05</f>
        <v>6.13</v>
      </c>
      <c r="Q105" s="10">
        <f>1.31-0.05</f>
        <v>1.26</v>
      </c>
      <c r="R105" s="8">
        <f t="shared" si="10"/>
        <v>7.39</v>
      </c>
      <c r="S105" s="10">
        <v>2.46</v>
      </c>
      <c r="T105" s="10">
        <v>0.47</v>
      </c>
      <c r="U105" s="10">
        <f t="shared" si="11"/>
        <v>2.9299999999999997</v>
      </c>
      <c r="V105" s="8">
        <f t="shared" si="12"/>
        <v>0.39648173207036536</v>
      </c>
      <c r="W105" s="8">
        <f t="shared" si="13"/>
        <v>37.542662116040972</v>
      </c>
    </row>
    <row r="106" spans="1:23" s="1" customFormat="1" x14ac:dyDescent="0.25">
      <c r="A106" s="10" t="s">
        <v>226</v>
      </c>
      <c r="B106" s="10">
        <v>1</v>
      </c>
      <c r="C106" s="10" t="s">
        <v>247</v>
      </c>
      <c r="D106" s="10" t="s">
        <v>121</v>
      </c>
      <c r="E106" s="10" t="s">
        <v>122</v>
      </c>
      <c r="F106" s="10" t="s">
        <v>248</v>
      </c>
      <c r="G106" s="10" t="s">
        <v>376</v>
      </c>
      <c r="H106" s="10">
        <v>12.8</v>
      </c>
      <c r="I106" s="10">
        <f>(29.4+34.74+30.75)/3</f>
        <v>31.63</v>
      </c>
      <c r="J106" s="10">
        <f>(4.8+4.47+4.66)/3</f>
        <v>4.6433333333333335</v>
      </c>
      <c r="K106" s="8">
        <f t="shared" si="7"/>
        <v>36.273333333333333</v>
      </c>
      <c r="L106" s="10">
        <f t="shared" si="8"/>
        <v>28.338541666666668</v>
      </c>
      <c r="M106" s="9">
        <v>7.94</v>
      </c>
      <c r="N106" s="10">
        <v>2.0299999999999998</v>
      </c>
      <c r="O106" s="10">
        <f t="shared" si="9"/>
        <v>9.9700000000000006</v>
      </c>
      <c r="P106" s="10">
        <f>27.05-0.05</f>
        <v>27</v>
      </c>
      <c r="Q106" s="10">
        <f>1.84-0.05</f>
        <v>1.79</v>
      </c>
      <c r="R106" s="8">
        <f t="shared" si="10"/>
        <v>28.79</v>
      </c>
      <c r="S106" s="10">
        <v>6.9</v>
      </c>
      <c r="T106" s="10">
        <v>0.8</v>
      </c>
      <c r="U106" s="10">
        <f t="shared" si="11"/>
        <v>7.7</v>
      </c>
      <c r="V106" s="8">
        <f t="shared" si="12"/>
        <v>0.26745397707537338</v>
      </c>
      <c r="W106" s="8">
        <f t="shared" si="13"/>
        <v>29.480519480519483</v>
      </c>
    </row>
    <row r="107" spans="1:23" s="1" customFormat="1" x14ac:dyDescent="0.25">
      <c r="A107" s="10" t="s">
        <v>226</v>
      </c>
      <c r="B107" s="10">
        <v>1</v>
      </c>
      <c r="C107" s="10" t="s">
        <v>249</v>
      </c>
      <c r="D107" s="10" t="s">
        <v>121</v>
      </c>
      <c r="E107" s="10" t="s">
        <v>122</v>
      </c>
      <c r="F107" s="10" t="s">
        <v>250</v>
      </c>
      <c r="G107" s="10" t="s">
        <v>376</v>
      </c>
      <c r="H107" s="10">
        <v>8.6999999999999993</v>
      </c>
      <c r="I107" s="10">
        <f>(14.55+15.32+10.8)/3</f>
        <v>13.556666666666667</v>
      </c>
      <c r="J107" s="10">
        <f>(6.9+6.47+6.97)/3</f>
        <v>6.78</v>
      </c>
      <c r="K107" s="8">
        <f t="shared" si="7"/>
        <v>20.336666666666666</v>
      </c>
      <c r="L107" s="10">
        <f t="shared" si="8"/>
        <v>23.375478927203062</v>
      </c>
      <c r="M107" s="9">
        <v>2.2999999999999998</v>
      </c>
      <c r="N107" s="10">
        <v>1.87</v>
      </c>
      <c r="O107" s="10">
        <f t="shared" si="9"/>
        <v>4.17</v>
      </c>
      <c r="P107" s="10">
        <f>8.5-0.05</f>
        <v>8.4499999999999993</v>
      </c>
      <c r="Q107" s="10">
        <f>1.92-0.05</f>
        <v>1.8699999999999999</v>
      </c>
      <c r="R107" s="8">
        <f t="shared" si="10"/>
        <v>10.319999999999999</v>
      </c>
      <c r="S107" s="10">
        <v>1.89</v>
      </c>
      <c r="T107" s="10">
        <v>0.73</v>
      </c>
      <c r="U107" s="10">
        <f t="shared" si="11"/>
        <v>2.62</v>
      </c>
      <c r="V107" s="8">
        <f t="shared" si="12"/>
        <v>0.25387596899224812</v>
      </c>
      <c r="W107" s="8">
        <f t="shared" si="13"/>
        <v>59.160305343511446</v>
      </c>
    </row>
    <row r="108" spans="1:23" s="1" customFormat="1" x14ac:dyDescent="0.25">
      <c r="A108" s="10" t="s">
        <v>226</v>
      </c>
      <c r="B108" s="10">
        <v>1</v>
      </c>
      <c r="C108" s="14">
        <v>1699</v>
      </c>
      <c r="D108" s="10" t="s">
        <v>121</v>
      </c>
      <c r="E108" s="10" t="s">
        <v>122</v>
      </c>
      <c r="F108" s="10" t="s">
        <v>251</v>
      </c>
      <c r="G108" s="10" t="s">
        <v>376</v>
      </c>
      <c r="H108" s="10">
        <v>11.1</v>
      </c>
      <c r="I108" s="10">
        <f>(18.58+18.4+22.3)/3</f>
        <v>19.760000000000002</v>
      </c>
      <c r="J108" s="10">
        <f>(8.39+9.33+9.99)/3</f>
        <v>9.2366666666666664</v>
      </c>
      <c r="K108" s="8">
        <f t="shared" si="7"/>
        <v>28.99666666666667</v>
      </c>
      <c r="L108" s="10">
        <f t="shared" si="8"/>
        <v>26.123123123123126</v>
      </c>
      <c r="M108" s="9">
        <v>4.05</v>
      </c>
      <c r="N108" s="10">
        <v>4.09</v>
      </c>
      <c r="O108" s="10">
        <f t="shared" si="9"/>
        <v>8.14</v>
      </c>
      <c r="P108" s="10">
        <f>14.97-0.05</f>
        <v>14.92</v>
      </c>
      <c r="Q108" s="10">
        <f>3.93-0.05</f>
        <v>3.8800000000000003</v>
      </c>
      <c r="R108" s="8">
        <f t="shared" si="10"/>
        <v>18.8</v>
      </c>
      <c r="S108" s="10">
        <v>3.55</v>
      </c>
      <c r="T108" s="10">
        <v>1.56</v>
      </c>
      <c r="U108" s="10">
        <f t="shared" si="11"/>
        <v>5.1099999999999994</v>
      </c>
      <c r="V108" s="8">
        <f t="shared" si="12"/>
        <v>0.27180851063829781</v>
      </c>
      <c r="W108" s="8">
        <f t="shared" si="13"/>
        <v>59.295499021526446</v>
      </c>
    </row>
    <row r="109" spans="1:23" s="1" customFormat="1" x14ac:dyDescent="0.25">
      <c r="A109" s="10" t="s">
        <v>226</v>
      </c>
      <c r="B109" s="10">
        <v>7</v>
      </c>
      <c r="C109" s="10" t="s">
        <v>252</v>
      </c>
      <c r="D109" s="10" t="s">
        <v>121</v>
      </c>
      <c r="E109" s="10" t="s">
        <v>122</v>
      </c>
      <c r="F109" s="10" t="s">
        <v>253</v>
      </c>
      <c r="G109" s="10" t="s">
        <v>376</v>
      </c>
      <c r="H109" s="10">
        <v>11.9</v>
      </c>
      <c r="I109" s="10">
        <f>(13.08+12+10.71)/3</f>
        <v>11.93</v>
      </c>
      <c r="J109" s="10">
        <f>(8.08+7.48+7.98)/3</f>
        <v>7.8466666666666667</v>
      </c>
      <c r="K109" s="8">
        <f t="shared" si="7"/>
        <v>19.776666666666667</v>
      </c>
      <c r="L109" s="10">
        <f t="shared" si="8"/>
        <v>16.61904761904762</v>
      </c>
      <c r="M109" s="9">
        <v>2.63</v>
      </c>
      <c r="N109" s="10">
        <v>3.47</v>
      </c>
      <c r="O109" s="10">
        <f t="shared" si="9"/>
        <v>6.1</v>
      </c>
      <c r="P109" s="10">
        <f>10.7-0.05</f>
        <v>10.649999999999999</v>
      </c>
      <c r="Q109" s="10">
        <f>3.39-0.05</f>
        <v>3.3400000000000003</v>
      </c>
      <c r="R109" s="8">
        <f t="shared" si="10"/>
        <v>13.989999999999998</v>
      </c>
      <c r="S109" s="10">
        <v>2.14</v>
      </c>
      <c r="T109" s="10">
        <v>1.38</v>
      </c>
      <c r="U109" s="10">
        <f t="shared" si="11"/>
        <v>3.52</v>
      </c>
      <c r="V109" s="8">
        <f t="shared" si="12"/>
        <v>0.25160829163688353</v>
      </c>
      <c r="W109" s="8">
        <f t="shared" si="13"/>
        <v>73.295454545454533</v>
      </c>
    </row>
    <row r="110" spans="1:23" s="1" customFormat="1" x14ac:dyDescent="0.25">
      <c r="A110" s="10" t="s">
        <v>226</v>
      </c>
      <c r="B110" s="10">
        <v>21</v>
      </c>
      <c r="C110" s="10" t="s">
        <v>254</v>
      </c>
      <c r="D110" s="10" t="s">
        <v>121</v>
      </c>
      <c r="E110" s="10" t="s">
        <v>122</v>
      </c>
      <c r="F110" s="10" t="s">
        <v>255</v>
      </c>
      <c r="G110" s="10" t="s">
        <v>376</v>
      </c>
      <c r="H110" s="10">
        <v>11.1</v>
      </c>
      <c r="I110" s="10">
        <f>(16.58+19.64+12.9)/3</f>
        <v>16.373333333333331</v>
      </c>
      <c r="J110" s="10">
        <f>(8.82+9.22+7.98)/3</f>
        <v>8.6733333333333338</v>
      </c>
      <c r="K110" s="8">
        <f t="shared" si="7"/>
        <v>25.046666666666667</v>
      </c>
      <c r="L110" s="10">
        <f t="shared" si="8"/>
        <v>22.564564564564566</v>
      </c>
      <c r="M110" s="9">
        <v>4.2300000000000004</v>
      </c>
      <c r="N110" s="10">
        <v>5.82</v>
      </c>
      <c r="O110" s="10">
        <f t="shared" si="9"/>
        <v>10.050000000000001</v>
      </c>
      <c r="P110" s="10">
        <f>12.25-0.05</f>
        <v>12.2</v>
      </c>
      <c r="Q110" s="10">
        <f>5.66-0.05</f>
        <v>5.61</v>
      </c>
      <c r="R110" s="8">
        <f t="shared" si="10"/>
        <v>17.809999999999999</v>
      </c>
      <c r="S110" s="10">
        <v>3.77</v>
      </c>
      <c r="T110" s="10">
        <v>2.31</v>
      </c>
      <c r="U110" s="10">
        <f t="shared" si="11"/>
        <v>6.08</v>
      </c>
      <c r="V110" s="8">
        <f t="shared" si="12"/>
        <v>0.34138124649073559</v>
      </c>
      <c r="W110" s="8">
        <f t="shared" si="13"/>
        <v>65.296052631578959</v>
      </c>
    </row>
    <row r="111" spans="1:23" s="1" customFormat="1" x14ac:dyDescent="0.25">
      <c r="A111" s="10" t="s">
        <v>226</v>
      </c>
      <c r="B111" s="10">
        <v>7</v>
      </c>
      <c r="C111" s="10" t="s">
        <v>256</v>
      </c>
      <c r="D111" s="10" t="s">
        <v>42</v>
      </c>
      <c r="E111" s="10" t="s">
        <v>43</v>
      </c>
      <c r="F111" s="10" t="s">
        <v>257</v>
      </c>
      <c r="G111" s="10" t="s">
        <v>378</v>
      </c>
      <c r="H111" s="10">
        <v>34.9</v>
      </c>
      <c r="I111" s="10">
        <f>(4.78+4.28+4.03)/3</f>
        <v>4.3633333333333333</v>
      </c>
      <c r="J111" s="10">
        <f>(7.55+7.92+5.14)/3</f>
        <v>6.87</v>
      </c>
      <c r="K111" s="8">
        <f t="shared" si="7"/>
        <v>11.233333333333334</v>
      </c>
      <c r="L111" s="10">
        <f t="shared" si="8"/>
        <v>3.2187201528175744</v>
      </c>
      <c r="M111" s="9">
        <v>0.63</v>
      </c>
      <c r="N111" s="10">
        <v>1.84</v>
      </c>
      <c r="O111" s="10">
        <f t="shared" si="9"/>
        <v>2.4700000000000002</v>
      </c>
      <c r="P111" s="10">
        <f>1.23-0.05</f>
        <v>1.18</v>
      </c>
      <c r="Q111" s="10">
        <f>1.99-0.05</f>
        <v>1.94</v>
      </c>
      <c r="R111" s="8">
        <f t="shared" si="10"/>
        <v>3.12</v>
      </c>
      <c r="S111" s="10">
        <v>0.54</v>
      </c>
      <c r="T111" s="10">
        <v>0.78</v>
      </c>
      <c r="U111" s="10">
        <f t="shared" si="11"/>
        <v>1.32</v>
      </c>
      <c r="V111" s="8">
        <f t="shared" si="12"/>
        <v>0.42307692307692307</v>
      </c>
      <c r="W111" s="8">
        <f t="shared" si="13"/>
        <v>87.121212121212139</v>
      </c>
    </row>
    <row r="112" spans="1:23" s="1" customFormat="1" x14ac:dyDescent="0.25">
      <c r="A112" s="10" t="s">
        <v>226</v>
      </c>
      <c r="B112" s="10">
        <v>23</v>
      </c>
      <c r="C112" s="10" t="s">
        <v>258</v>
      </c>
      <c r="D112" s="10" t="s">
        <v>42</v>
      </c>
      <c r="E112" s="10" t="s">
        <v>43</v>
      </c>
      <c r="F112" s="10" t="s">
        <v>259</v>
      </c>
      <c r="G112" s="10" t="s">
        <v>377</v>
      </c>
      <c r="H112" s="10">
        <v>21.9</v>
      </c>
      <c r="I112" s="10">
        <f>(2.2+2.11+2.05)/3</f>
        <v>2.12</v>
      </c>
      <c r="J112" s="10">
        <f>(4.1+4.47+4.1)/3</f>
        <v>4.2233333333333336</v>
      </c>
      <c r="K112" s="8">
        <f t="shared" si="7"/>
        <v>6.3433333333333337</v>
      </c>
      <c r="L112" s="10">
        <f t="shared" si="8"/>
        <v>2.8964992389649926</v>
      </c>
      <c r="M112" s="9">
        <v>0.37</v>
      </c>
      <c r="N112" s="10">
        <v>2.14</v>
      </c>
      <c r="O112" s="10">
        <f t="shared" si="9"/>
        <v>2.5100000000000002</v>
      </c>
      <c r="P112" s="10">
        <f>0.73-0.05</f>
        <v>0.67999999999999994</v>
      </c>
      <c r="Q112" s="10">
        <f>1.97-0.05</f>
        <v>1.92</v>
      </c>
      <c r="R112" s="8">
        <f t="shared" si="10"/>
        <v>2.5999999999999996</v>
      </c>
      <c r="S112" s="10">
        <v>0.37</v>
      </c>
      <c r="T112" s="10">
        <v>0.79</v>
      </c>
      <c r="U112" s="10">
        <f t="shared" si="11"/>
        <v>1.1600000000000001</v>
      </c>
      <c r="V112" s="8">
        <f t="shared" si="12"/>
        <v>0.44615384615384629</v>
      </c>
      <c r="W112" s="8">
        <f t="shared" si="13"/>
        <v>116.37931034482759</v>
      </c>
    </row>
    <row r="113" spans="1:23" s="1" customFormat="1" x14ac:dyDescent="0.25">
      <c r="A113" s="10" t="s">
        <v>226</v>
      </c>
      <c r="B113" s="10">
        <v>24</v>
      </c>
      <c r="C113" s="10" t="s">
        <v>260</v>
      </c>
      <c r="D113" s="10" t="s">
        <v>42</v>
      </c>
      <c r="E113" s="10" t="s">
        <v>43</v>
      </c>
      <c r="F113" s="10" t="s">
        <v>261</v>
      </c>
      <c r="G113" s="10" t="s">
        <v>378</v>
      </c>
      <c r="H113" s="10">
        <v>25.3</v>
      </c>
      <c r="I113" s="10">
        <f>(2.36+2.07+2.39)/3</f>
        <v>2.2733333333333334</v>
      </c>
      <c r="J113" s="10">
        <f>(5.92+5.82+6.35)/3</f>
        <v>6.03</v>
      </c>
      <c r="K113" s="8">
        <f t="shared" si="7"/>
        <v>8.3033333333333346</v>
      </c>
      <c r="L113" s="10">
        <f t="shared" si="8"/>
        <v>3.2819499341238476</v>
      </c>
      <c r="M113" s="9">
        <v>0.91</v>
      </c>
      <c r="N113" s="10">
        <v>3.27</v>
      </c>
      <c r="O113" s="10">
        <f t="shared" si="9"/>
        <v>4.18</v>
      </c>
      <c r="P113" s="10">
        <f>1.46-0.05</f>
        <v>1.41</v>
      </c>
      <c r="Q113" s="10">
        <f>3.05-0.05</f>
        <v>3</v>
      </c>
      <c r="R113" s="8">
        <f t="shared" si="10"/>
        <v>4.41</v>
      </c>
      <c r="S113" s="10">
        <v>0.83</v>
      </c>
      <c r="T113" s="10">
        <v>1.2</v>
      </c>
      <c r="U113" s="10">
        <f t="shared" si="11"/>
        <v>2.0299999999999998</v>
      </c>
      <c r="V113" s="8">
        <f t="shared" si="12"/>
        <v>0.46031746031746024</v>
      </c>
      <c r="W113" s="8">
        <f t="shared" si="13"/>
        <v>105.9113300492611</v>
      </c>
    </row>
    <row r="114" spans="1:23" s="1" customFormat="1" x14ac:dyDescent="0.25">
      <c r="A114" s="10" t="s">
        <v>226</v>
      </c>
      <c r="B114" s="10">
        <v>2</v>
      </c>
      <c r="C114" s="10" t="s">
        <v>262</v>
      </c>
      <c r="D114" s="10" t="s">
        <v>65</v>
      </c>
      <c r="E114" s="10" t="s">
        <v>66</v>
      </c>
      <c r="F114" s="10" t="s">
        <v>263</v>
      </c>
      <c r="G114" s="10" t="s">
        <v>378</v>
      </c>
      <c r="H114" s="10">
        <v>11.1</v>
      </c>
      <c r="I114" s="10">
        <f>(10.66+7.05+5.3)/3</f>
        <v>7.6700000000000008</v>
      </c>
      <c r="J114" s="10">
        <f>(5.23+5.47+5.23)/3</f>
        <v>5.31</v>
      </c>
      <c r="K114" s="8">
        <f t="shared" si="7"/>
        <v>12.98</v>
      </c>
      <c r="L114" s="10">
        <f t="shared" si="8"/>
        <v>11.693693693693694</v>
      </c>
      <c r="M114" s="9">
        <v>3.25</v>
      </c>
      <c r="N114" s="10">
        <v>2.89</v>
      </c>
      <c r="O114" s="10">
        <f t="shared" si="9"/>
        <v>6.1400000000000006</v>
      </c>
      <c r="P114" s="10">
        <f>4.54-0.05</f>
        <v>4.49</v>
      </c>
      <c r="Q114" s="10">
        <f>2.51-0.05</f>
        <v>2.46</v>
      </c>
      <c r="R114" s="8">
        <f t="shared" si="10"/>
        <v>6.95</v>
      </c>
      <c r="S114" s="10">
        <v>2.5</v>
      </c>
      <c r="T114" s="10">
        <v>1.69</v>
      </c>
      <c r="U114" s="10">
        <f t="shared" si="11"/>
        <v>4.1899999999999995</v>
      </c>
      <c r="V114" s="8">
        <f t="shared" si="12"/>
        <v>0.60287769784172651</v>
      </c>
      <c r="W114" s="8">
        <f t="shared" si="13"/>
        <v>46.539379474940368</v>
      </c>
    </row>
    <row r="115" spans="1:23" s="1" customFormat="1" x14ac:dyDescent="0.25">
      <c r="A115" s="10" t="s">
        <v>226</v>
      </c>
      <c r="B115" s="10">
        <v>23</v>
      </c>
      <c r="C115" s="10" t="s">
        <v>264</v>
      </c>
      <c r="D115" s="10" t="s">
        <v>65</v>
      </c>
      <c r="E115" s="10" t="s">
        <v>66</v>
      </c>
      <c r="F115" s="10" t="s">
        <v>265</v>
      </c>
      <c r="G115" s="10" t="s">
        <v>378</v>
      </c>
      <c r="H115" s="10">
        <v>9.9</v>
      </c>
      <c r="I115" s="10">
        <f>(12.11+13.71+13.67)/3</f>
        <v>13.163333333333334</v>
      </c>
      <c r="J115" s="10">
        <f>(4.19+3.87+4.37)/3</f>
        <v>4.1433333333333335</v>
      </c>
      <c r="K115" s="8">
        <f t="shared" si="7"/>
        <v>17.306666666666668</v>
      </c>
      <c r="L115" s="10">
        <f t="shared" si="8"/>
        <v>17.481481481481485</v>
      </c>
      <c r="M115" s="9">
        <v>1.59</v>
      </c>
      <c r="N115" s="10">
        <v>0.92</v>
      </c>
      <c r="O115" s="10">
        <f t="shared" si="9"/>
        <v>2.5100000000000002</v>
      </c>
      <c r="P115" s="10">
        <f>2.52-0.05</f>
        <v>2.4700000000000002</v>
      </c>
      <c r="Q115" s="10">
        <f>0.84-0.05</f>
        <v>0.78999999999999992</v>
      </c>
      <c r="R115" s="8">
        <f t="shared" si="10"/>
        <v>3.2600000000000002</v>
      </c>
      <c r="S115" s="10">
        <v>1.36</v>
      </c>
      <c r="T115" s="10">
        <v>0.51</v>
      </c>
      <c r="U115" s="10">
        <f t="shared" si="11"/>
        <v>1.87</v>
      </c>
      <c r="V115" s="10">
        <f t="shared" si="12"/>
        <v>0.57361963190184051</v>
      </c>
      <c r="W115" s="8">
        <f t="shared" si="13"/>
        <v>34.224598930481285</v>
      </c>
    </row>
    <row r="116" spans="1:23" s="1" customFormat="1" x14ac:dyDescent="0.25">
      <c r="A116" s="10" t="s">
        <v>226</v>
      </c>
      <c r="B116" s="10">
        <v>10</v>
      </c>
      <c r="C116" s="10" t="s">
        <v>266</v>
      </c>
      <c r="D116" s="10" t="s">
        <v>65</v>
      </c>
      <c r="E116" s="10" t="s">
        <v>66</v>
      </c>
      <c r="F116" s="10" t="s">
        <v>267</v>
      </c>
      <c r="G116" s="10" t="s">
        <v>376</v>
      </c>
      <c r="H116" s="10">
        <v>10.1</v>
      </c>
      <c r="I116" s="10">
        <f>(11.9+12.87+12.3)/3</f>
        <v>12.356666666666667</v>
      </c>
      <c r="J116" s="10">
        <f>(4.24+4.69+3.57)/3</f>
        <v>4.166666666666667</v>
      </c>
      <c r="K116" s="8">
        <f t="shared" si="7"/>
        <v>16.523333333333333</v>
      </c>
      <c r="L116" s="10">
        <f t="shared" si="8"/>
        <v>16.35973597359736</v>
      </c>
      <c r="M116" s="9">
        <v>4.33</v>
      </c>
      <c r="N116" s="10">
        <v>2.09</v>
      </c>
      <c r="O116" s="10">
        <f t="shared" si="9"/>
        <v>6.42</v>
      </c>
      <c r="P116" s="10">
        <f>7.5-0.05</f>
        <v>7.45</v>
      </c>
      <c r="Q116" s="10">
        <f>1.87-0.05</f>
        <v>1.82</v>
      </c>
      <c r="R116" s="8">
        <f t="shared" si="10"/>
        <v>9.27</v>
      </c>
      <c r="S116" s="10">
        <v>3.82</v>
      </c>
      <c r="T116" s="10">
        <v>1.1100000000000001</v>
      </c>
      <c r="U116" s="10">
        <f t="shared" si="11"/>
        <v>4.93</v>
      </c>
      <c r="V116" s="8">
        <f t="shared" si="12"/>
        <v>0.53182308522114352</v>
      </c>
      <c r="W116" s="8">
        <f t="shared" si="13"/>
        <v>30.223123732251526</v>
      </c>
    </row>
    <row r="117" spans="1:23" s="1" customFormat="1" x14ac:dyDescent="0.25">
      <c r="A117" s="10" t="s">
        <v>226</v>
      </c>
      <c r="B117" s="10">
        <v>3</v>
      </c>
      <c r="C117" s="10" t="s">
        <v>268</v>
      </c>
      <c r="D117" s="10" t="s">
        <v>65</v>
      </c>
      <c r="E117" s="10" t="s">
        <v>66</v>
      </c>
      <c r="F117" s="10" t="s">
        <v>269</v>
      </c>
      <c r="G117" s="10" t="s">
        <v>376</v>
      </c>
      <c r="H117" s="10">
        <v>12.9</v>
      </c>
      <c r="I117" s="10">
        <f>(11.62+10.75+11.25)/3</f>
        <v>11.206666666666665</v>
      </c>
      <c r="J117" s="10">
        <f>(9.41+9.82+9.74)/3</f>
        <v>9.6566666666666663</v>
      </c>
      <c r="K117" s="8">
        <f t="shared" si="7"/>
        <v>20.86333333333333</v>
      </c>
      <c r="L117" s="10">
        <f t="shared" si="8"/>
        <v>16.173126614987076</v>
      </c>
      <c r="M117" s="9">
        <v>2</v>
      </c>
      <c r="N117" s="10">
        <v>2.56</v>
      </c>
      <c r="O117" s="10">
        <f t="shared" si="9"/>
        <v>4.5600000000000005</v>
      </c>
      <c r="P117" s="10">
        <f>3.37-0.05</f>
        <v>3.3200000000000003</v>
      </c>
      <c r="Q117" s="10">
        <f>2.46-0.05</f>
        <v>2.41</v>
      </c>
      <c r="R117" s="8">
        <f t="shared" si="10"/>
        <v>5.73</v>
      </c>
      <c r="S117" s="10">
        <v>1.38</v>
      </c>
      <c r="T117" s="10">
        <v>1.32</v>
      </c>
      <c r="U117" s="10">
        <f t="shared" si="11"/>
        <v>2.7</v>
      </c>
      <c r="V117" s="10">
        <f t="shared" si="12"/>
        <v>0.47120418848167539</v>
      </c>
      <c r="W117" s="8">
        <f t="shared" si="13"/>
        <v>68.8888888888889</v>
      </c>
    </row>
    <row r="118" spans="1:23" s="1" customFormat="1" x14ac:dyDescent="0.25">
      <c r="A118" s="10" t="s">
        <v>226</v>
      </c>
      <c r="B118" s="10">
        <v>21</v>
      </c>
      <c r="C118" s="10" t="s">
        <v>270</v>
      </c>
      <c r="D118" s="10" t="s">
        <v>65</v>
      </c>
      <c r="E118" s="10" t="s">
        <v>66</v>
      </c>
      <c r="F118" s="10" t="s">
        <v>271</v>
      </c>
      <c r="G118" s="10" t="s">
        <v>376</v>
      </c>
      <c r="H118" s="10">
        <v>11.8</v>
      </c>
      <c r="I118" s="10">
        <f>(11.69+13.38+11.95)/3</f>
        <v>12.339999999999998</v>
      </c>
      <c r="J118" s="10">
        <f>(5.38+5.63+5.17)/3</f>
        <v>5.3933333333333335</v>
      </c>
      <c r="K118" s="8">
        <f t="shared" si="7"/>
        <v>17.733333333333331</v>
      </c>
      <c r="L118" s="10">
        <f t="shared" si="8"/>
        <v>15.028248587570619</v>
      </c>
      <c r="M118" s="9">
        <v>2.64</v>
      </c>
      <c r="N118" s="10">
        <v>1.43</v>
      </c>
      <c r="O118" s="10">
        <f t="shared" si="9"/>
        <v>4.07</v>
      </c>
      <c r="P118" s="10">
        <f>3.32-0.05</f>
        <v>3.27</v>
      </c>
      <c r="Q118" s="10">
        <f>1.27-0.05</f>
        <v>1.22</v>
      </c>
      <c r="R118" s="8">
        <f t="shared" si="10"/>
        <v>4.49</v>
      </c>
      <c r="S118" s="10">
        <v>2.19</v>
      </c>
      <c r="T118" s="10">
        <v>0.73</v>
      </c>
      <c r="U118" s="10">
        <f t="shared" si="11"/>
        <v>2.92</v>
      </c>
      <c r="V118" s="8">
        <f t="shared" si="12"/>
        <v>0.65033407572383073</v>
      </c>
      <c r="W118" s="8">
        <f t="shared" si="13"/>
        <v>39.383561643835627</v>
      </c>
    </row>
    <row r="119" spans="1:23" s="1" customFormat="1" x14ac:dyDescent="0.25">
      <c r="A119" s="10" t="s">
        <v>226</v>
      </c>
      <c r="B119" s="10">
        <v>3</v>
      </c>
      <c r="C119" s="10" t="s">
        <v>272</v>
      </c>
      <c r="D119" s="10" t="s">
        <v>192</v>
      </c>
      <c r="E119" s="10" t="s">
        <v>193</v>
      </c>
      <c r="F119" s="10" t="s">
        <v>273</v>
      </c>
      <c r="G119" s="10" t="s">
        <v>376</v>
      </c>
      <c r="H119" s="10">
        <v>12</v>
      </c>
      <c r="I119" s="10">
        <f>(8.17+7.84+9.83)/3</f>
        <v>8.6133333333333315</v>
      </c>
      <c r="J119" s="10">
        <f>(6.32+4.44+6.44)/3</f>
        <v>5.7333333333333343</v>
      </c>
      <c r="K119" s="8">
        <f t="shared" si="7"/>
        <v>14.346666666666666</v>
      </c>
      <c r="L119" s="10">
        <f t="shared" si="8"/>
        <v>11.955555555555556</v>
      </c>
      <c r="M119" s="9">
        <v>4.8899999999999997</v>
      </c>
      <c r="N119" s="10">
        <v>2.36</v>
      </c>
      <c r="O119" s="10">
        <f t="shared" si="9"/>
        <v>7.25</v>
      </c>
      <c r="P119" s="10">
        <f>7.62-0.05</f>
        <v>7.57</v>
      </c>
      <c r="Q119" s="10">
        <f>2.17-0.05</f>
        <v>2.12</v>
      </c>
      <c r="R119" s="8">
        <f t="shared" si="10"/>
        <v>9.6900000000000013</v>
      </c>
      <c r="S119" s="10">
        <v>3.78</v>
      </c>
      <c r="T119" s="10">
        <v>0.97</v>
      </c>
      <c r="U119" s="10">
        <f t="shared" si="11"/>
        <v>4.75</v>
      </c>
      <c r="V119" s="8">
        <f t="shared" si="12"/>
        <v>0.49019607843137247</v>
      </c>
      <c r="W119" s="8">
        <f t="shared" si="13"/>
        <v>52.631578947368418</v>
      </c>
    </row>
    <row r="120" spans="1:23" s="1" customFormat="1" x14ac:dyDescent="0.25">
      <c r="A120" s="10" t="s">
        <v>226</v>
      </c>
      <c r="B120" s="10">
        <v>21</v>
      </c>
      <c r="C120" s="10" t="s">
        <v>274</v>
      </c>
      <c r="D120" s="10" t="s">
        <v>192</v>
      </c>
      <c r="E120" s="10" t="s">
        <v>193</v>
      </c>
      <c r="F120" s="10" t="s">
        <v>275</v>
      </c>
      <c r="G120" s="10" t="s">
        <v>377</v>
      </c>
      <c r="H120" s="10">
        <v>9.9</v>
      </c>
      <c r="I120" s="10">
        <f>(7.93+7.69+8.4)/3</f>
        <v>8.0066666666666677</v>
      </c>
      <c r="J120" s="10">
        <f>(7.56+7.08+7.57)/3</f>
        <v>7.4033333333333333</v>
      </c>
      <c r="K120" s="8">
        <f t="shared" si="7"/>
        <v>15.41</v>
      </c>
      <c r="L120" s="10">
        <f t="shared" si="8"/>
        <v>15.565656565656566</v>
      </c>
      <c r="M120" s="9">
        <v>1.49</v>
      </c>
      <c r="N120" s="10">
        <v>2.48</v>
      </c>
      <c r="O120" s="10">
        <f t="shared" si="9"/>
        <v>3.9699999999999998</v>
      </c>
      <c r="P120" s="10">
        <f>2.85-0.05</f>
        <v>2.8000000000000003</v>
      </c>
      <c r="Q120" s="10">
        <f>2.27-0.05</f>
        <v>2.2200000000000002</v>
      </c>
      <c r="R120" s="8">
        <f t="shared" si="10"/>
        <v>5.0200000000000005</v>
      </c>
      <c r="S120" s="10">
        <v>1.28</v>
      </c>
      <c r="T120" s="10">
        <v>1.01</v>
      </c>
      <c r="U120" s="10">
        <f t="shared" si="11"/>
        <v>2.29</v>
      </c>
      <c r="V120" s="8">
        <f t="shared" si="12"/>
        <v>0.45617529880478086</v>
      </c>
      <c r="W120" s="8">
        <f t="shared" si="13"/>
        <v>73.362445414847144</v>
      </c>
    </row>
    <row r="121" spans="1:23" s="1" customFormat="1" x14ac:dyDescent="0.25">
      <c r="A121" s="10" t="s">
        <v>226</v>
      </c>
      <c r="B121" s="10">
        <v>10</v>
      </c>
      <c r="C121" s="10" t="s">
        <v>276</v>
      </c>
      <c r="D121" s="10" t="s">
        <v>192</v>
      </c>
      <c r="E121" s="10" t="s">
        <v>193</v>
      </c>
      <c r="F121" s="10" t="s">
        <v>277</v>
      </c>
      <c r="G121" s="10" t="s">
        <v>378</v>
      </c>
      <c r="H121" s="10">
        <v>11.8</v>
      </c>
      <c r="I121" s="10">
        <f>(10.99+9.12+8.62)/3</f>
        <v>9.5766666666666662</v>
      </c>
      <c r="J121" s="10">
        <f>(7.46+6.39+7.06)/3</f>
        <v>6.97</v>
      </c>
      <c r="K121" s="8">
        <f t="shared" si="7"/>
        <v>16.546666666666667</v>
      </c>
      <c r="L121" s="10">
        <f t="shared" si="8"/>
        <v>14.022598870056497</v>
      </c>
      <c r="M121" s="9">
        <v>1.4</v>
      </c>
      <c r="N121" s="10">
        <v>2.56</v>
      </c>
      <c r="O121" s="10">
        <f t="shared" si="9"/>
        <v>3.96</v>
      </c>
      <c r="P121" s="10">
        <f>2.16-0.05</f>
        <v>2.1100000000000003</v>
      </c>
      <c r="Q121" s="10">
        <f>2.28-0.05</f>
        <v>2.23</v>
      </c>
      <c r="R121" s="8">
        <f t="shared" si="10"/>
        <v>4.34</v>
      </c>
      <c r="S121" s="10">
        <v>1.06</v>
      </c>
      <c r="T121" s="10">
        <v>1.1299999999999999</v>
      </c>
      <c r="U121" s="10">
        <f t="shared" si="11"/>
        <v>2.19</v>
      </c>
      <c r="V121" s="8">
        <f t="shared" si="12"/>
        <v>0.50460829493087556</v>
      </c>
      <c r="W121" s="8">
        <f t="shared" si="13"/>
        <v>80.821917808219183</v>
      </c>
    </row>
    <row r="122" spans="1:23" s="1" customFormat="1" x14ac:dyDescent="0.25">
      <c r="A122" s="10" t="s">
        <v>226</v>
      </c>
      <c r="B122" s="10">
        <v>7</v>
      </c>
      <c r="C122" s="10" t="s">
        <v>278</v>
      </c>
      <c r="D122" s="10" t="s">
        <v>192</v>
      </c>
      <c r="E122" s="10" t="s">
        <v>193</v>
      </c>
      <c r="F122" s="10" t="s">
        <v>279</v>
      </c>
      <c r="G122" s="10" t="s">
        <v>378</v>
      </c>
      <c r="H122" s="10">
        <v>9.8000000000000007</v>
      </c>
      <c r="I122" s="10">
        <f>(7.72+8.63+7.76)/3</f>
        <v>8.0366666666666671</v>
      </c>
      <c r="J122" s="10">
        <f>(6.49+6.73+6.23)/3</f>
        <v>6.4833333333333343</v>
      </c>
      <c r="K122" s="8">
        <f t="shared" si="7"/>
        <v>14.520000000000001</v>
      </c>
      <c r="L122" s="10">
        <f t="shared" si="8"/>
        <v>14.816326530612244</v>
      </c>
      <c r="M122" s="9">
        <v>3.83</v>
      </c>
      <c r="N122" s="10">
        <v>2.61</v>
      </c>
      <c r="O122" s="10">
        <f t="shared" si="9"/>
        <v>6.4399999999999995</v>
      </c>
      <c r="P122" s="10">
        <f>6.07-0.05</f>
        <v>6.0200000000000005</v>
      </c>
      <c r="Q122" s="10">
        <f>2.39-0.05</f>
        <v>2.3400000000000003</v>
      </c>
      <c r="R122" s="8">
        <f t="shared" si="10"/>
        <v>8.3600000000000012</v>
      </c>
      <c r="S122" s="10">
        <v>3.14</v>
      </c>
      <c r="T122" s="10">
        <v>1.1200000000000001</v>
      </c>
      <c r="U122" s="10">
        <f t="shared" si="11"/>
        <v>4.26</v>
      </c>
      <c r="V122" s="8">
        <f t="shared" si="12"/>
        <v>0.50956937799043056</v>
      </c>
      <c r="W122" s="8">
        <f t="shared" si="13"/>
        <v>51.173708920187785</v>
      </c>
    </row>
    <row r="123" spans="1:23" s="1" customFormat="1" x14ac:dyDescent="0.25">
      <c r="A123" s="10" t="s">
        <v>226</v>
      </c>
      <c r="B123" s="10">
        <v>14</v>
      </c>
      <c r="C123" s="10" t="s">
        <v>280</v>
      </c>
      <c r="D123" s="10" t="s">
        <v>192</v>
      </c>
      <c r="E123" s="10" t="s">
        <v>193</v>
      </c>
      <c r="F123" s="10" t="s">
        <v>281</v>
      </c>
      <c r="G123" s="10" t="s">
        <v>378</v>
      </c>
      <c r="H123" s="10">
        <v>8.6</v>
      </c>
      <c r="I123" s="10">
        <f>(6.01+5.9+6.28)/3</f>
        <v>6.0633333333333335</v>
      </c>
      <c r="J123" s="10">
        <f>(4.05+3.84+2.18)/3</f>
        <v>3.3566666666666669</v>
      </c>
      <c r="K123" s="8">
        <f t="shared" si="7"/>
        <v>9.42</v>
      </c>
      <c r="L123" s="10">
        <f t="shared" si="8"/>
        <v>10.953488372093023</v>
      </c>
      <c r="M123" s="9">
        <v>2.15</v>
      </c>
      <c r="N123" s="10">
        <v>1.17</v>
      </c>
      <c r="O123" s="10">
        <f t="shared" si="9"/>
        <v>3.32</v>
      </c>
      <c r="P123" s="10">
        <f>3.1-0.05</f>
        <v>3.0500000000000003</v>
      </c>
      <c r="Q123" s="10">
        <f>1.06-0.05</f>
        <v>1.01</v>
      </c>
      <c r="R123" s="8">
        <f t="shared" si="10"/>
        <v>4.0600000000000005</v>
      </c>
      <c r="S123" s="10">
        <v>1.75</v>
      </c>
      <c r="T123" s="10">
        <v>0.53</v>
      </c>
      <c r="U123" s="10">
        <f t="shared" si="11"/>
        <v>2.2800000000000002</v>
      </c>
      <c r="V123" s="8">
        <f t="shared" si="12"/>
        <v>0.56157635467980294</v>
      </c>
      <c r="W123" s="8">
        <f t="shared" si="13"/>
        <v>45.614035087719273</v>
      </c>
    </row>
    <row r="124" spans="1:23" s="1" customFormat="1" x14ac:dyDescent="0.25">
      <c r="A124" s="10" t="s">
        <v>226</v>
      </c>
      <c r="B124" s="10">
        <v>2</v>
      </c>
      <c r="C124" s="10" t="s">
        <v>282</v>
      </c>
      <c r="D124" s="10" t="s">
        <v>283</v>
      </c>
      <c r="E124" s="10" t="s">
        <v>284</v>
      </c>
      <c r="F124" s="10" t="s">
        <v>285</v>
      </c>
      <c r="G124" s="10" t="s">
        <v>377</v>
      </c>
      <c r="H124" s="10">
        <v>11.2</v>
      </c>
      <c r="I124" s="10">
        <f>(7.46+6.56+6.26)/3</f>
        <v>6.7600000000000007</v>
      </c>
      <c r="J124" s="10">
        <f>(8.63+7.1+6)/3</f>
        <v>7.2433333333333332</v>
      </c>
      <c r="K124" s="8">
        <f t="shared" si="7"/>
        <v>14.003333333333334</v>
      </c>
      <c r="L124" s="10">
        <f t="shared" si="8"/>
        <v>12.502976190476192</v>
      </c>
      <c r="M124" s="9">
        <v>3.36</v>
      </c>
      <c r="N124" s="10">
        <v>3.28</v>
      </c>
      <c r="O124" s="10">
        <f t="shared" si="9"/>
        <v>6.64</v>
      </c>
      <c r="P124" s="10">
        <f>4.11-0.05</f>
        <v>4.0600000000000005</v>
      </c>
      <c r="Q124" s="10">
        <f>3.15-0.05</f>
        <v>3.1</v>
      </c>
      <c r="R124" s="8">
        <f t="shared" si="10"/>
        <v>7.16</v>
      </c>
      <c r="S124" s="10">
        <v>2.33</v>
      </c>
      <c r="T124" s="10">
        <v>1.1399999999999999</v>
      </c>
      <c r="U124" s="10">
        <f t="shared" si="11"/>
        <v>3.4699999999999998</v>
      </c>
      <c r="V124" s="8">
        <f t="shared" si="12"/>
        <v>0.48463687150837986</v>
      </c>
      <c r="W124" s="8">
        <f t="shared" si="13"/>
        <v>91.354466858789635</v>
      </c>
    </row>
    <row r="125" spans="1:23" s="1" customFormat="1" x14ac:dyDescent="0.25">
      <c r="A125" s="10" t="s">
        <v>226</v>
      </c>
      <c r="B125" s="10">
        <v>2</v>
      </c>
      <c r="C125" s="10" t="s">
        <v>286</v>
      </c>
      <c r="D125" s="10" t="s">
        <v>283</v>
      </c>
      <c r="E125" s="10" t="s">
        <v>284</v>
      </c>
      <c r="F125" s="10" t="s">
        <v>287</v>
      </c>
      <c r="G125" s="10" t="s">
        <v>378</v>
      </c>
      <c r="H125" s="10">
        <v>16.100000000000001</v>
      </c>
      <c r="I125" s="10">
        <f>(5.43+4.95+5.6)/3</f>
        <v>5.3266666666666662</v>
      </c>
      <c r="J125" s="10">
        <f>(14.72+15.3+13.39)/3</f>
        <v>14.47</v>
      </c>
      <c r="K125" s="8">
        <f t="shared" si="7"/>
        <v>19.796666666666667</v>
      </c>
      <c r="L125" s="10">
        <f t="shared" si="8"/>
        <v>12.296066252587993</v>
      </c>
      <c r="M125" s="9">
        <v>1.89</v>
      </c>
      <c r="N125" s="10">
        <v>5.91</v>
      </c>
      <c r="O125" s="10">
        <f t="shared" si="9"/>
        <v>7.8</v>
      </c>
      <c r="P125" s="10">
        <f>2.9-0.05</f>
        <v>2.85</v>
      </c>
      <c r="Q125" s="10">
        <f>5.77-0.05</f>
        <v>5.72</v>
      </c>
      <c r="R125" s="8">
        <f t="shared" si="10"/>
        <v>8.57</v>
      </c>
      <c r="S125" s="10">
        <v>1.32</v>
      </c>
      <c r="T125" s="10">
        <v>2.62</v>
      </c>
      <c r="U125" s="10">
        <f t="shared" si="11"/>
        <v>3.9400000000000004</v>
      </c>
      <c r="V125" s="8">
        <f t="shared" si="12"/>
        <v>0.45974329054842478</v>
      </c>
      <c r="W125" s="8">
        <f t="shared" si="13"/>
        <v>97.9695431472081</v>
      </c>
    </row>
    <row r="126" spans="1:23" s="1" customFormat="1" x14ac:dyDescent="0.25">
      <c r="A126" s="10" t="s">
        <v>226</v>
      </c>
      <c r="B126" s="10">
        <v>3</v>
      </c>
      <c r="C126" s="10" t="s">
        <v>288</v>
      </c>
      <c r="D126" s="10" t="s">
        <v>283</v>
      </c>
      <c r="E126" s="10" t="s">
        <v>284</v>
      </c>
      <c r="F126" s="10" t="s">
        <v>289</v>
      </c>
      <c r="G126" s="10" t="s">
        <v>378</v>
      </c>
      <c r="H126" s="10">
        <v>15.1</v>
      </c>
      <c r="I126" s="10">
        <f>(4.24+6.12+5.16)/3</f>
        <v>5.1733333333333329</v>
      </c>
      <c r="J126" s="10">
        <f>(9.68+9.55+10.95)/3</f>
        <v>10.06</v>
      </c>
      <c r="K126" s="8">
        <f t="shared" si="7"/>
        <v>15.233333333333334</v>
      </c>
      <c r="L126" s="10">
        <f t="shared" si="8"/>
        <v>10.088300220750552</v>
      </c>
      <c r="M126" s="9">
        <v>1.47</v>
      </c>
      <c r="N126" s="10">
        <v>3.95</v>
      </c>
      <c r="O126" s="10">
        <f t="shared" si="9"/>
        <v>5.42</v>
      </c>
      <c r="P126" s="10">
        <f>2.11-0.05</f>
        <v>2.06</v>
      </c>
      <c r="Q126" s="10">
        <f>3.65-0.05</f>
        <v>3.6</v>
      </c>
      <c r="R126" s="8">
        <f t="shared" si="10"/>
        <v>5.66</v>
      </c>
      <c r="S126" s="10">
        <v>1.21</v>
      </c>
      <c r="T126" s="10">
        <v>1.73</v>
      </c>
      <c r="U126" s="10">
        <f t="shared" si="11"/>
        <v>2.94</v>
      </c>
      <c r="V126" s="8">
        <f t="shared" si="12"/>
        <v>0.51943462897526504</v>
      </c>
      <c r="W126" s="8">
        <f t="shared" si="13"/>
        <v>84.353741496598644</v>
      </c>
    </row>
    <row r="127" spans="1:23" s="1" customFormat="1" x14ac:dyDescent="0.25">
      <c r="A127" s="10" t="s">
        <v>226</v>
      </c>
      <c r="B127" s="10">
        <v>23</v>
      </c>
      <c r="C127" s="10" t="s">
        <v>290</v>
      </c>
      <c r="D127" s="10" t="s">
        <v>283</v>
      </c>
      <c r="E127" s="10" t="s">
        <v>284</v>
      </c>
      <c r="F127" s="10" t="s">
        <v>291</v>
      </c>
      <c r="G127" s="10" t="s">
        <v>376</v>
      </c>
      <c r="H127" s="10">
        <v>13.6</v>
      </c>
      <c r="I127" s="10">
        <f>(5.87+6+6.21)/3</f>
        <v>6.0266666666666673</v>
      </c>
      <c r="J127" s="10">
        <f>(7.38+5.01+8.68)/3</f>
        <v>7.0233333333333334</v>
      </c>
      <c r="K127" s="8">
        <f t="shared" si="7"/>
        <v>13.05</v>
      </c>
      <c r="L127" s="10">
        <f t="shared" si="8"/>
        <v>9.5955882352941178</v>
      </c>
      <c r="M127" s="9">
        <v>1.46</v>
      </c>
      <c r="N127" s="10">
        <v>1.71</v>
      </c>
      <c r="O127" s="10">
        <f t="shared" si="9"/>
        <v>3.17</v>
      </c>
      <c r="P127" s="10">
        <f>2.29-0.05</f>
        <v>2.2400000000000002</v>
      </c>
      <c r="Q127" s="10">
        <f>1.65-0.05</f>
        <v>1.5999999999999999</v>
      </c>
      <c r="R127" s="8">
        <f t="shared" si="10"/>
        <v>3.84</v>
      </c>
      <c r="S127" s="10">
        <v>1.29</v>
      </c>
      <c r="T127" s="10">
        <v>1.5</v>
      </c>
      <c r="U127" s="10">
        <f t="shared" si="11"/>
        <v>2.79</v>
      </c>
      <c r="V127" s="8">
        <f t="shared" si="12"/>
        <v>0.7265625</v>
      </c>
      <c r="W127" s="8">
        <f t="shared" si="13"/>
        <v>13.62007168458781</v>
      </c>
    </row>
    <row r="128" spans="1:23" s="1" customFormat="1" x14ac:dyDescent="0.25">
      <c r="A128" s="10" t="s">
        <v>226</v>
      </c>
      <c r="B128" s="10">
        <v>24</v>
      </c>
      <c r="C128" s="14">
        <v>2001</v>
      </c>
      <c r="D128" s="10" t="s">
        <v>283</v>
      </c>
      <c r="E128" s="10" t="s">
        <v>284</v>
      </c>
      <c r="F128" s="10" t="s">
        <v>292</v>
      </c>
      <c r="G128" s="10" t="s">
        <v>376</v>
      </c>
      <c r="H128" s="10">
        <v>25.3</v>
      </c>
      <c r="I128" s="10">
        <f>(4.71+4.62+2.93)/3</f>
        <v>4.0866666666666669</v>
      </c>
      <c r="J128" s="10">
        <f>(10.03+8.95+8.94)/3</f>
        <v>9.3066666666666649</v>
      </c>
      <c r="K128" s="8">
        <f t="shared" si="7"/>
        <v>13.393333333333331</v>
      </c>
      <c r="L128" s="10">
        <f t="shared" si="8"/>
        <v>5.2938076416337276</v>
      </c>
      <c r="M128" s="9">
        <v>1.1100000000000001</v>
      </c>
      <c r="N128" s="10">
        <v>3.81</v>
      </c>
      <c r="O128" s="10">
        <f t="shared" si="9"/>
        <v>4.92</v>
      </c>
      <c r="P128" s="10">
        <f>1.72-0.05</f>
        <v>1.67</v>
      </c>
      <c r="Q128" s="10">
        <f>3.67-0.05</f>
        <v>3.62</v>
      </c>
      <c r="R128" s="8">
        <f t="shared" si="10"/>
        <v>5.29</v>
      </c>
      <c r="S128" s="10">
        <v>1.01</v>
      </c>
      <c r="T128" s="10">
        <v>1.45</v>
      </c>
      <c r="U128" s="10">
        <f t="shared" si="11"/>
        <v>2.46</v>
      </c>
      <c r="V128" s="8">
        <f t="shared" si="12"/>
        <v>0.46502835538752363</v>
      </c>
      <c r="W128" s="8">
        <f t="shared" si="13"/>
        <v>100</v>
      </c>
    </row>
    <row r="129" spans="1:23" s="1" customFormat="1" x14ac:dyDescent="0.25">
      <c r="A129" s="10" t="s">
        <v>226</v>
      </c>
      <c r="B129" s="10">
        <v>7</v>
      </c>
      <c r="C129" s="10" t="s">
        <v>293</v>
      </c>
      <c r="D129" s="10" t="s">
        <v>192</v>
      </c>
      <c r="E129" s="10" t="s">
        <v>294</v>
      </c>
      <c r="F129" s="10" t="s">
        <v>295</v>
      </c>
      <c r="G129" s="10" t="s">
        <v>378</v>
      </c>
      <c r="H129" s="10">
        <v>10.8</v>
      </c>
      <c r="I129" s="10">
        <f>(8.2+7.49+7.93)/3</f>
        <v>7.8733333333333322</v>
      </c>
      <c r="J129" s="10">
        <f>(4.34+3.6+3.34)/3</f>
        <v>3.76</v>
      </c>
      <c r="K129" s="8">
        <f t="shared" si="7"/>
        <v>11.633333333333333</v>
      </c>
      <c r="L129" s="10">
        <f t="shared" si="8"/>
        <v>10.771604938271604</v>
      </c>
      <c r="M129" s="9">
        <v>4.55</v>
      </c>
      <c r="N129" s="10">
        <v>1.56</v>
      </c>
      <c r="O129" s="10">
        <f t="shared" si="9"/>
        <v>6.1099999999999994</v>
      </c>
      <c r="P129" s="10">
        <f>4.83-0.05</f>
        <v>4.78</v>
      </c>
      <c r="Q129" s="10">
        <f>1.5-0.05</f>
        <v>1.45</v>
      </c>
      <c r="R129" s="8">
        <f t="shared" si="10"/>
        <v>6.23</v>
      </c>
      <c r="S129" s="10">
        <v>3.65</v>
      </c>
      <c r="T129" s="10">
        <v>0.61</v>
      </c>
      <c r="U129" s="10">
        <f t="shared" si="11"/>
        <v>4.26</v>
      </c>
      <c r="V129" s="8">
        <f t="shared" si="12"/>
        <v>0.68378812199036909</v>
      </c>
      <c r="W129" s="8">
        <f t="shared" si="13"/>
        <v>43.427230046948353</v>
      </c>
    </row>
    <row r="130" spans="1:23" s="1" customFormat="1" x14ac:dyDescent="0.25">
      <c r="A130" s="10" t="s">
        <v>226</v>
      </c>
      <c r="B130" s="10">
        <v>22</v>
      </c>
      <c r="C130" s="10" t="s">
        <v>296</v>
      </c>
      <c r="D130" s="10" t="s">
        <v>192</v>
      </c>
      <c r="E130" s="10" t="s">
        <v>294</v>
      </c>
      <c r="F130" s="10" t="s">
        <v>297</v>
      </c>
      <c r="G130" s="10" t="s">
        <v>377</v>
      </c>
      <c r="H130" s="10">
        <v>10</v>
      </c>
      <c r="I130" s="10">
        <f>(7.92+7.76+8.19)/3</f>
        <v>7.9566666666666661</v>
      </c>
      <c r="J130" s="10">
        <f>(7.7+6.68+7.22)/3</f>
        <v>7.1999999999999993</v>
      </c>
      <c r="K130" s="8">
        <f t="shared" si="7"/>
        <v>15.156666666666666</v>
      </c>
      <c r="L130" s="10">
        <f t="shared" si="8"/>
        <v>15.156666666666666</v>
      </c>
      <c r="M130" s="9">
        <v>4.55</v>
      </c>
      <c r="N130" s="10">
        <v>2.94</v>
      </c>
      <c r="O130" s="10">
        <f t="shared" si="9"/>
        <v>7.49</v>
      </c>
      <c r="P130" s="10">
        <f>5.26-0.05</f>
        <v>5.21</v>
      </c>
      <c r="Q130" s="10">
        <f>2.7-0.05</f>
        <v>2.6500000000000004</v>
      </c>
      <c r="R130" s="8">
        <f t="shared" si="10"/>
        <v>7.86</v>
      </c>
      <c r="S130" s="10">
        <v>3.21</v>
      </c>
      <c r="T130" s="10">
        <v>1.24</v>
      </c>
      <c r="U130" s="10">
        <f t="shared" si="11"/>
        <v>4.45</v>
      </c>
      <c r="V130" s="8">
        <f t="shared" si="12"/>
        <v>0.5661577608142494</v>
      </c>
      <c r="W130" s="8">
        <f t="shared" si="13"/>
        <v>68.31460674157303</v>
      </c>
    </row>
    <row r="131" spans="1:23" s="1" customFormat="1" x14ac:dyDescent="0.25">
      <c r="A131" s="10" t="s">
        <v>226</v>
      </c>
      <c r="B131" s="10">
        <v>23</v>
      </c>
      <c r="C131" s="10" t="s">
        <v>298</v>
      </c>
      <c r="D131" s="10" t="s">
        <v>192</v>
      </c>
      <c r="E131" s="10" t="s">
        <v>294</v>
      </c>
      <c r="F131" s="10" t="s">
        <v>299</v>
      </c>
      <c r="G131" s="10" t="s">
        <v>378</v>
      </c>
      <c r="H131" s="10">
        <v>12.8</v>
      </c>
      <c r="I131" s="10">
        <f>(5.46+5.27+5.974)/3</f>
        <v>5.5680000000000005</v>
      </c>
      <c r="J131" s="10">
        <f>(11.48+11.36+12.11)/3</f>
        <v>11.65</v>
      </c>
      <c r="K131" s="8">
        <f t="shared" ref="K131:K168" si="14">I131+J131</f>
        <v>17.218</v>
      </c>
      <c r="L131" s="10">
        <f t="shared" ref="L131:L168" si="15">(K131/(H131*10))*100</f>
        <v>13.4515625</v>
      </c>
      <c r="M131" s="9">
        <v>0.23</v>
      </c>
      <c r="N131" s="10">
        <v>3.45</v>
      </c>
      <c r="O131" s="10">
        <f t="shared" ref="O131:O168" si="16">M131+N131</f>
        <v>3.68</v>
      </c>
      <c r="P131" s="10">
        <f>0.46-0.05</f>
        <v>0.41000000000000003</v>
      </c>
      <c r="Q131" s="10">
        <f>3.43-0.05</f>
        <v>3.3800000000000003</v>
      </c>
      <c r="R131" s="8">
        <f t="shared" ref="R131:R168" si="17">P131+Q131</f>
        <v>3.7900000000000005</v>
      </c>
      <c r="S131" s="10">
        <v>0.23</v>
      </c>
      <c r="T131" s="10">
        <v>1.1100000000000001</v>
      </c>
      <c r="U131" s="10">
        <f t="shared" ref="U131:U168" si="18">S131+T131</f>
        <v>1.34</v>
      </c>
      <c r="V131" s="8">
        <f t="shared" ref="V131:V168" si="19">U131/R131</f>
        <v>0.35356200527704484</v>
      </c>
      <c r="W131" s="8">
        <f t="shared" ref="W131:W168" si="20">((O131-U131)/U131)*100</f>
        <v>174.62686567164175</v>
      </c>
    </row>
    <row r="132" spans="1:23" s="1" customFormat="1" x14ac:dyDescent="0.25">
      <c r="A132" s="10" t="s">
        <v>226</v>
      </c>
      <c r="B132" s="10">
        <v>10</v>
      </c>
      <c r="C132" s="10" t="s">
        <v>300</v>
      </c>
      <c r="D132" s="10" t="s">
        <v>192</v>
      </c>
      <c r="E132" s="10" t="s">
        <v>294</v>
      </c>
      <c r="F132" s="10" t="s">
        <v>301</v>
      </c>
      <c r="G132" s="10" t="s">
        <v>378</v>
      </c>
      <c r="H132" s="10">
        <f>(10.4+8.9)/2</f>
        <v>9.65</v>
      </c>
      <c r="I132" s="10">
        <f>(5.16+5.34+4.07)/3</f>
        <v>4.8566666666666665</v>
      </c>
      <c r="J132" s="10">
        <f>(7.4+7.2+7.45)/3</f>
        <v>7.3500000000000005</v>
      </c>
      <c r="K132" s="8">
        <f t="shared" si="14"/>
        <v>12.206666666666667</v>
      </c>
      <c r="L132" s="10">
        <f t="shared" si="15"/>
        <v>12.649395509499136</v>
      </c>
      <c r="M132" s="9">
        <v>0.57999999999999996</v>
      </c>
      <c r="N132" s="10">
        <v>2.48</v>
      </c>
      <c r="O132" s="10">
        <f t="shared" si="16"/>
        <v>3.06</v>
      </c>
      <c r="P132" s="10">
        <f>0.97-0.05</f>
        <v>0.91999999999999993</v>
      </c>
      <c r="Q132" s="10">
        <f>2.41-0.05</f>
        <v>2.3600000000000003</v>
      </c>
      <c r="R132" s="8">
        <f t="shared" si="17"/>
        <v>3.2800000000000002</v>
      </c>
      <c r="S132" s="10">
        <v>0.51</v>
      </c>
      <c r="T132" s="10">
        <v>0.89</v>
      </c>
      <c r="U132" s="10">
        <f t="shared" si="18"/>
        <v>1.4</v>
      </c>
      <c r="V132" s="8">
        <f t="shared" si="19"/>
        <v>0.42682926829268286</v>
      </c>
      <c r="W132" s="8">
        <f t="shared" si="20"/>
        <v>118.5714285714286</v>
      </c>
    </row>
    <row r="133" spans="1:23" s="1" customFormat="1" x14ac:dyDescent="0.25">
      <c r="A133" s="10" t="s">
        <v>226</v>
      </c>
      <c r="B133" s="10">
        <v>19</v>
      </c>
      <c r="C133" s="10" t="s">
        <v>302</v>
      </c>
      <c r="D133" s="10" t="s">
        <v>192</v>
      </c>
      <c r="E133" s="10" t="s">
        <v>294</v>
      </c>
      <c r="F133" s="10" t="s">
        <v>303</v>
      </c>
      <c r="G133" s="10" t="s">
        <v>378</v>
      </c>
      <c r="H133" s="10">
        <v>10</v>
      </c>
      <c r="I133" s="10">
        <f>(6.71+5.5+5.4)/3</f>
        <v>5.87</v>
      </c>
      <c r="J133" s="10">
        <f>(7.43+7.86+6.88)/3</f>
        <v>7.39</v>
      </c>
      <c r="K133" s="8">
        <f t="shared" si="14"/>
        <v>13.26</v>
      </c>
      <c r="L133" s="10">
        <f t="shared" si="15"/>
        <v>13.26</v>
      </c>
      <c r="M133" s="9">
        <v>0.9</v>
      </c>
      <c r="N133" s="10">
        <v>2.35</v>
      </c>
      <c r="O133" s="10">
        <f t="shared" si="16"/>
        <v>3.25</v>
      </c>
      <c r="P133" s="10">
        <f>1.31-0.05</f>
        <v>1.26</v>
      </c>
      <c r="Q133" s="10">
        <f>2.35-0.05</f>
        <v>2.3000000000000003</v>
      </c>
      <c r="R133" s="8">
        <f t="shared" si="17"/>
        <v>3.5600000000000005</v>
      </c>
      <c r="S133" s="10">
        <v>0.81</v>
      </c>
      <c r="T133" s="10">
        <v>0.99</v>
      </c>
      <c r="U133" s="10">
        <f t="shared" si="18"/>
        <v>1.8</v>
      </c>
      <c r="V133" s="8">
        <f t="shared" si="19"/>
        <v>0.50561797752808979</v>
      </c>
      <c r="W133" s="8">
        <f t="shared" si="20"/>
        <v>80.555555555555543</v>
      </c>
    </row>
    <row r="134" spans="1:23" s="1" customFormat="1" x14ac:dyDescent="0.25">
      <c r="A134" s="10" t="s">
        <v>304</v>
      </c>
      <c r="B134" s="10">
        <v>1</v>
      </c>
      <c r="C134" s="10" t="s">
        <v>305</v>
      </c>
      <c r="D134" s="10" t="s">
        <v>19</v>
      </c>
      <c r="E134" s="10" t="s">
        <v>20</v>
      </c>
      <c r="F134" s="10" t="s">
        <v>306</v>
      </c>
      <c r="G134" s="8" t="s">
        <v>376</v>
      </c>
      <c r="H134" s="8">
        <v>25.5</v>
      </c>
      <c r="I134" s="10">
        <f>(10.15+11.22+9.81)/3</f>
        <v>10.393333333333333</v>
      </c>
      <c r="J134" s="10">
        <f>(11.18+12.28+10.36)/3</f>
        <v>11.273333333333333</v>
      </c>
      <c r="K134" s="8">
        <f t="shared" si="14"/>
        <v>21.666666666666664</v>
      </c>
      <c r="L134" s="10">
        <f t="shared" si="15"/>
        <v>8.4967320261437891</v>
      </c>
      <c r="M134" s="9">
        <v>5.22</v>
      </c>
      <c r="N134" s="10">
        <v>3.47</v>
      </c>
      <c r="O134" s="10">
        <f t="shared" si="16"/>
        <v>8.69</v>
      </c>
      <c r="P134" s="10">
        <f>5.38-0.05</f>
        <v>5.33</v>
      </c>
      <c r="Q134" s="10">
        <f>3.23-0.05</f>
        <v>3.18</v>
      </c>
      <c r="R134" s="8">
        <f t="shared" si="17"/>
        <v>8.51</v>
      </c>
      <c r="S134" s="10">
        <v>4.5199999999999996</v>
      </c>
      <c r="T134" s="10">
        <v>1.66</v>
      </c>
      <c r="U134" s="10">
        <f t="shared" si="18"/>
        <v>6.18</v>
      </c>
      <c r="V134" s="8">
        <f t="shared" si="19"/>
        <v>0.72620446533490013</v>
      </c>
      <c r="W134" s="8">
        <f t="shared" si="20"/>
        <v>40.614886731391586</v>
      </c>
    </row>
    <row r="135" spans="1:23" x14ac:dyDescent="0.25">
      <c r="A135" s="8" t="s">
        <v>304</v>
      </c>
      <c r="B135" s="8">
        <v>7</v>
      </c>
      <c r="C135" s="8" t="s">
        <v>307</v>
      </c>
      <c r="D135" s="8" t="s">
        <v>19</v>
      </c>
      <c r="E135" s="8" t="s">
        <v>20</v>
      </c>
      <c r="F135" s="8" t="s">
        <v>308</v>
      </c>
      <c r="G135" s="8" t="s">
        <v>377</v>
      </c>
      <c r="H135" s="8">
        <v>28.8</v>
      </c>
      <c r="I135" s="8">
        <f>(16.57+18.79+22.8)/3</f>
        <v>19.386666666666667</v>
      </c>
      <c r="J135" s="8">
        <f>(8.9+8.86+9.3)/3</f>
        <v>9.02</v>
      </c>
      <c r="K135" s="8">
        <f t="shared" si="14"/>
        <v>28.406666666666666</v>
      </c>
      <c r="L135" s="8">
        <f t="shared" si="15"/>
        <v>9.8634259259259256</v>
      </c>
      <c r="M135" s="9">
        <v>6.43</v>
      </c>
      <c r="N135" s="10">
        <v>4.7300000000000004</v>
      </c>
      <c r="O135" s="10">
        <f t="shared" si="16"/>
        <v>11.16</v>
      </c>
      <c r="P135" s="8">
        <f>6.46-0.05</f>
        <v>6.41</v>
      </c>
      <c r="Q135" s="8">
        <f>4.32-0.05</f>
        <v>4.2700000000000005</v>
      </c>
      <c r="R135" s="8">
        <f t="shared" si="17"/>
        <v>10.68</v>
      </c>
      <c r="S135" s="10">
        <v>5.6</v>
      </c>
      <c r="T135" s="10">
        <v>2.48</v>
      </c>
      <c r="U135" s="10">
        <f t="shared" si="18"/>
        <v>8.08</v>
      </c>
      <c r="V135" s="8">
        <f t="shared" si="19"/>
        <v>0.75655430711610494</v>
      </c>
      <c r="W135" s="8">
        <f t="shared" si="20"/>
        <v>38.118811881188122</v>
      </c>
    </row>
    <row r="136" spans="1:23" x14ac:dyDescent="0.25">
      <c r="A136" s="8" t="s">
        <v>304</v>
      </c>
      <c r="B136" s="8">
        <v>10</v>
      </c>
      <c r="C136" s="8" t="s">
        <v>309</v>
      </c>
      <c r="D136" s="8" t="s">
        <v>19</v>
      </c>
      <c r="E136" s="8" t="s">
        <v>20</v>
      </c>
      <c r="F136" s="8" t="s">
        <v>310</v>
      </c>
      <c r="G136" s="8" t="s">
        <v>377</v>
      </c>
      <c r="H136" s="8">
        <v>31.2</v>
      </c>
      <c r="I136" s="8">
        <f>(9.48+9.47+9.23)/3</f>
        <v>9.3933333333333344</v>
      </c>
      <c r="J136" s="8">
        <f>(5.62+7.71+5.34)/3</f>
        <v>6.2233333333333336</v>
      </c>
      <c r="K136" s="8">
        <f t="shared" si="14"/>
        <v>15.616666666666667</v>
      </c>
      <c r="L136" s="8">
        <f t="shared" si="15"/>
        <v>5.0053418803418808</v>
      </c>
      <c r="M136" s="9">
        <v>2.67</v>
      </c>
      <c r="N136" s="10">
        <v>1.34</v>
      </c>
      <c r="O136" s="10">
        <f t="shared" si="16"/>
        <v>4.01</v>
      </c>
      <c r="P136" s="8">
        <f>2.7-0.05</f>
        <v>2.6500000000000004</v>
      </c>
      <c r="Q136" s="8">
        <f>1.57-0.05</f>
        <v>1.52</v>
      </c>
      <c r="R136" s="8">
        <f t="shared" si="17"/>
        <v>4.17</v>
      </c>
      <c r="S136" s="10">
        <v>2.48</v>
      </c>
      <c r="T136" s="10">
        <v>0.74</v>
      </c>
      <c r="U136" s="10">
        <f t="shared" si="18"/>
        <v>3.2199999999999998</v>
      </c>
      <c r="V136" s="8">
        <f t="shared" si="19"/>
        <v>0.77218225419664266</v>
      </c>
      <c r="W136" s="8">
        <f t="shared" si="20"/>
        <v>24.534161490683232</v>
      </c>
    </row>
    <row r="137" spans="1:23" x14ac:dyDescent="0.25">
      <c r="A137" s="8" t="s">
        <v>304</v>
      </c>
      <c r="B137" s="8">
        <v>1</v>
      </c>
      <c r="C137" s="8" t="s">
        <v>311</v>
      </c>
      <c r="D137" s="8" t="s">
        <v>19</v>
      </c>
      <c r="E137" s="8" t="s">
        <v>20</v>
      </c>
      <c r="F137" s="8" t="s">
        <v>312</v>
      </c>
      <c r="G137" s="8" t="s">
        <v>376</v>
      </c>
      <c r="H137" s="8">
        <v>24.9</v>
      </c>
      <c r="I137" s="8">
        <f>(10.87+14.7+9.33)/3</f>
        <v>11.633333333333333</v>
      </c>
      <c r="J137" s="8">
        <f>(13.5+14.18+13.08)/3</f>
        <v>13.586666666666666</v>
      </c>
      <c r="K137" s="8">
        <f t="shared" si="14"/>
        <v>25.22</v>
      </c>
      <c r="L137" s="8">
        <f t="shared" si="15"/>
        <v>10.128514056224899</v>
      </c>
      <c r="M137" s="9">
        <v>3.96</v>
      </c>
      <c r="N137" s="10">
        <v>5.21</v>
      </c>
      <c r="O137" s="10">
        <f t="shared" si="16"/>
        <v>9.17</v>
      </c>
      <c r="P137" s="8">
        <f>4-0.05</f>
        <v>3.95</v>
      </c>
      <c r="Q137" s="8">
        <f>4.88-0.05</f>
        <v>4.83</v>
      </c>
      <c r="R137" s="8">
        <f t="shared" si="17"/>
        <v>8.7800000000000011</v>
      </c>
      <c r="S137" s="10">
        <v>3.42</v>
      </c>
      <c r="T137" s="10">
        <v>1.71</v>
      </c>
      <c r="U137" s="10">
        <f t="shared" si="18"/>
        <v>5.13</v>
      </c>
      <c r="V137" s="8">
        <f t="shared" si="19"/>
        <v>0.58428246013667418</v>
      </c>
      <c r="W137" s="8">
        <f t="shared" si="20"/>
        <v>78.752436647173496</v>
      </c>
    </row>
    <row r="138" spans="1:23" x14ac:dyDescent="0.25">
      <c r="A138" s="8" t="s">
        <v>304</v>
      </c>
      <c r="B138" s="8">
        <v>10</v>
      </c>
      <c r="C138" s="8" t="s">
        <v>313</v>
      </c>
      <c r="D138" s="8" t="s">
        <v>19</v>
      </c>
      <c r="E138" s="8" t="s">
        <v>20</v>
      </c>
      <c r="F138" s="8" t="s">
        <v>314</v>
      </c>
      <c r="G138" s="8" t="s">
        <v>377</v>
      </c>
      <c r="H138" s="8">
        <v>25.5</v>
      </c>
      <c r="I138" s="8">
        <f>(8.85+9.83+7.83)/3</f>
        <v>8.836666666666666</v>
      </c>
      <c r="J138" s="8">
        <f>(9.62+10.16+8.13)/3</f>
        <v>9.3033333333333346</v>
      </c>
      <c r="K138" s="8">
        <f t="shared" si="14"/>
        <v>18.14</v>
      </c>
      <c r="L138" s="8">
        <f t="shared" si="15"/>
        <v>7.113725490196078</v>
      </c>
      <c r="M138" s="9">
        <v>3.15</v>
      </c>
      <c r="N138" s="10">
        <v>3.85</v>
      </c>
      <c r="O138" s="10">
        <f t="shared" si="16"/>
        <v>7</v>
      </c>
      <c r="P138" s="8">
        <f>3.16-0.05</f>
        <v>3.1100000000000003</v>
      </c>
      <c r="Q138" s="8">
        <f>3.35-0.05</f>
        <v>3.3000000000000003</v>
      </c>
      <c r="R138" s="8">
        <f t="shared" si="17"/>
        <v>6.41</v>
      </c>
      <c r="S138" s="10">
        <v>2.65</v>
      </c>
      <c r="T138" s="10">
        <v>2.09</v>
      </c>
      <c r="U138" s="10">
        <f t="shared" si="18"/>
        <v>4.74</v>
      </c>
      <c r="V138" s="8">
        <f t="shared" si="19"/>
        <v>0.73946957878315134</v>
      </c>
      <c r="W138" s="8">
        <f t="shared" si="20"/>
        <v>47.679324894514764</v>
      </c>
    </row>
    <row r="139" spans="1:23" x14ac:dyDescent="0.25">
      <c r="A139" s="8" t="s">
        <v>304</v>
      </c>
      <c r="B139" s="8">
        <v>1</v>
      </c>
      <c r="C139" s="8" t="s">
        <v>315</v>
      </c>
      <c r="D139" s="8" t="s">
        <v>121</v>
      </c>
      <c r="E139" s="8" t="s">
        <v>122</v>
      </c>
      <c r="F139" s="8" t="s">
        <v>316</v>
      </c>
      <c r="G139" s="8" t="s">
        <v>376</v>
      </c>
      <c r="H139" s="8">
        <v>8.6999999999999993</v>
      </c>
      <c r="I139" s="8">
        <f>(8.84+12.07+9.52)/3</f>
        <v>10.143333333333333</v>
      </c>
      <c r="J139" s="8">
        <f>(7.21+6.63+6.92)/3</f>
        <v>6.919999999999999</v>
      </c>
      <c r="K139" s="8">
        <f t="shared" si="14"/>
        <v>17.063333333333333</v>
      </c>
      <c r="L139" s="8">
        <f t="shared" si="15"/>
        <v>19.61302681992337</v>
      </c>
      <c r="M139" s="9">
        <v>3.22</v>
      </c>
      <c r="N139" s="10">
        <v>3.05</v>
      </c>
      <c r="O139" s="10">
        <f t="shared" si="16"/>
        <v>6.27</v>
      </c>
      <c r="P139" s="8">
        <f>7.24-0.05</f>
        <v>7.19</v>
      </c>
      <c r="Q139" s="8">
        <f>3.18-0.05</f>
        <v>3.1300000000000003</v>
      </c>
      <c r="R139" s="8">
        <f t="shared" si="17"/>
        <v>10.32</v>
      </c>
      <c r="S139" s="10">
        <v>2.8</v>
      </c>
      <c r="T139" s="10">
        <v>1.38</v>
      </c>
      <c r="U139" s="10">
        <f t="shared" si="18"/>
        <v>4.18</v>
      </c>
      <c r="V139" s="8">
        <f t="shared" si="19"/>
        <v>0.40503875968992242</v>
      </c>
      <c r="W139" s="8">
        <f t="shared" si="20"/>
        <v>50</v>
      </c>
    </row>
    <row r="140" spans="1:23" s="1" customFormat="1" x14ac:dyDescent="0.25">
      <c r="A140" s="10" t="s">
        <v>304</v>
      </c>
      <c r="B140" s="10">
        <v>2</v>
      </c>
      <c r="C140" s="10" t="s">
        <v>317</v>
      </c>
      <c r="D140" s="10" t="s">
        <v>121</v>
      </c>
      <c r="E140" s="10" t="s">
        <v>122</v>
      </c>
      <c r="F140" s="10" t="s">
        <v>318</v>
      </c>
      <c r="G140" s="10" t="s">
        <v>376</v>
      </c>
      <c r="H140" s="10">
        <v>13.6</v>
      </c>
      <c r="I140" s="10">
        <f>(13.56+11.97+13.29)/3</f>
        <v>12.94</v>
      </c>
      <c r="J140" s="10">
        <f>(9.67+9.93+9.52)/3</f>
        <v>9.706666666666667</v>
      </c>
      <c r="K140" s="8">
        <f t="shared" si="14"/>
        <v>22.646666666666668</v>
      </c>
      <c r="L140" s="10">
        <f t="shared" si="15"/>
        <v>16.651960784313726</v>
      </c>
      <c r="M140" s="9">
        <v>6.39</v>
      </c>
      <c r="N140" s="10">
        <v>2.8</v>
      </c>
      <c r="O140" s="10">
        <f t="shared" si="16"/>
        <v>9.19</v>
      </c>
      <c r="P140" s="10">
        <f>10.03-0.05</f>
        <v>9.9799999999999986</v>
      </c>
      <c r="Q140" s="10">
        <f>6.72-0.05</f>
        <v>6.67</v>
      </c>
      <c r="R140" s="8">
        <f t="shared" si="17"/>
        <v>16.649999999999999</v>
      </c>
      <c r="S140" s="10">
        <v>2.4500000000000002</v>
      </c>
      <c r="T140" s="10">
        <v>2.3199999999999998</v>
      </c>
      <c r="U140" s="10">
        <f t="shared" si="18"/>
        <v>4.7699999999999996</v>
      </c>
      <c r="V140" s="8">
        <f t="shared" si="19"/>
        <v>0.2864864864864865</v>
      </c>
      <c r="W140" s="8">
        <f t="shared" si="20"/>
        <v>92.662473794549271</v>
      </c>
    </row>
    <row r="141" spans="1:23" s="1" customFormat="1" x14ac:dyDescent="0.25">
      <c r="A141" s="10" t="s">
        <v>304</v>
      </c>
      <c r="B141" s="10">
        <v>2</v>
      </c>
      <c r="C141" s="10" t="s">
        <v>319</v>
      </c>
      <c r="D141" s="10" t="s">
        <v>121</v>
      </c>
      <c r="E141" s="10" t="s">
        <v>122</v>
      </c>
      <c r="F141" s="10" t="s">
        <v>320</v>
      </c>
      <c r="G141" s="10" t="s">
        <v>376</v>
      </c>
      <c r="H141" s="10">
        <v>9.1999999999999993</v>
      </c>
      <c r="I141" s="10">
        <f>(15.87+17.34+16.24)/3</f>
        <v>16.483333333333334</v>
      </c>
      <c r="J141" s="10">
        <f>(7.35+7.7+7.19)/3</f>
        <v>7.413333333333334</v>
      </c>
      <c r="K141" s="8">
        <f t="shared" si="14"/>
        <v>23.896666666666668</v>
      </c>
      <c r="L141" s="10">
        <f t="shared" si="15"/>
        <v>25.974637681159425</v>
      </c>
      <c r="M141" s="9">
        <v>3.1</v>
      </c>
      <c r="N141" s="10">
        <v>3.25</v>
      </c>
      <c r="O141" s="10">
        <f t="shared" si="16"/>
        <v>6.35</v>
      </c>
      <c r="P141" s="10">
        <f>10.75-0.05</f>
        <v>10.7</v>
      </c>
      <c r="Q141" s="10">
        <f>3.23-0.05</f>
        <v>3.18</v>
      </c>
      <c r="R141" s="8">
        <f t="shared" si="17"/>
        <v>13.879999999999999</v>
      </c>
      <c r="S141" s="10">
        <v>2.67</v>
      </c>
      <c r="T141" s="10">
        <v>1.26</v>
      </c>
      <c r="U141" s="10">
        <f t="shared" si="18"/>
        <v>3.9299999999999997</v>
      </c>
      <c r="V141" s="8">
        <f t="shared" si="19"/>
        <v>0.2831412103746398</v>
      </c>
      <c r="W141" s="8">
        <f t="shared" si="20"/>
        <v>61.577608142493645</v>
      </c>
    </row>
    <row r="142" spans="1:23" x14ac:dyDescent="0.25">
      <c r="A142" s="8" t="s">
        <v>304</v>
      </c>
      <c r="B142" s="8">
        <v>9</v>
      </c>
      <c r="C142" s="8" t="s">
        <v>321</v>
      </c>
      <c r="D142" s="8" t="s">
        <v>121</v>
      </c>
      <c r="E142" s="8" t="s">
        <v>122</v>
      </c>
      <c r="F142" s="8" t="s">
        <v>322</v>
      </c>
      <c r="G142" s="8" t="s">
        <v>376</v>
      </c>
      <c r="H142" s="8">
        <v>11.1</v>
      </c>
      <c r="I142" s="8">
        <f>(15.87+14.85+14.82)/3</f>
        <v>15.18</v>
      </c>
      <c r="J142" s="8">
        <f>(9.1+9.15+10.27)/3</f>
        <v>9.5066666666666659</v>
      </c>
      <c r="K142" s="8">
        <f t="shared" si="14"/>
        <v>24.686666666666667</v>
      </c>
      <c r="L142" s="8">
        <f t="shared" si="15"/>
        <v>22.24024024024024</v>
      </c>
      <c r="M142" s="9">
        <v>2.6</v>
      </c>
      <c r="N142" s="10">
        <v>3.32</v>
      </c>
      <c r="O142" s="10">
        <f t="shared" si="16"/>
        <v>5.92</v>
      </c>
      <c r="P142" s="8">
        <f>6.72-0.05</f>
        <v>6.67</v>
      </c>
      <c r="Q142" s="8">
        <f>3.48-0.05</f>
        <v>3.43</v>
      </c>
      <c r="R142" s="8">
        <f t="shared" si="17"/>
        <v>10.1</v>
      </c>
      <c r="S142" s="10">
        <v>2.21</v>
      </c>
      <c r="T142" s="10">
        <v>1.25</v>
      </c>
      <c r="U142" s="10">
        <f t="shared" si="18"/>
        <v>3.46</v>
      </c>
      <c r="V142" s="8">
        <f t="shared" si="19"/>
        <v>0.3425742574257426</v>
      </c>
      <c r="W142" s="8">
        <f t="shared" si="20"/>
        <v>71.098265895953759</v>
      </c>
    </row>
    <row r="143" spans="1:23" x14ac:dyDescent="0.25">
      <c r="A143" s="8" t="s">
        <v>304</v>
      </c>
      <c r="B143" s="8">
        <v>13</v>
      </c>
      <c r="C143" s="8" t="s">
        <v>323</v>
      </c>
      <c r="D143" s="8" t="s">
        <v>121</v>
      </c>
      <c r="E143" s="8" t="s">
        <v>122</v>
      </c>
      <c r="F143" s="8" t="s">
        <v>324</v>
      </c>
      <c r="G143" s="8" t="s">
        <v>376</v>
      </c>
      <c r="H143" s="8">
        <v>13.6</v>
      </c>
      <c r="I143" s="8">
        <f>(20.51+21.07+17.65)/3</f>
        <v>19.743333333333332</v>
      </c>
      <c r="J143" s="8">
        <f>(2.74+3.93+2.16)/3</f>
        <v>2.9433333333333334</v>
      </c>
      <c r="K143" s="8">
        <f t="shared" si="14"/>
        <v>22.686666666666667</v>
      </c>
      <c r="L143" s="8">
        <f t="shared" si="15"/>
        <v>16.681372549019606</v>
      </c>
      <c r="M143" s="9">
        <v>2.5</v>
      </c>
      <c r="N143" s="10">
        <v>0.63</v>
      </c>
      <c r="O143" s="10">
        <f t="shared" si="16"/>
        <v>3.13</v>
      </c>
      <c r="P143" s="8">
        <f>8.5-0.05</f>
        <v>8.4499999999999993</v>
      </c>
      <c r="Q143" s="8">
        <f>0.62-0.05</f>
        <v>0.56999999999999995</v>
      </c>
      <c r="R143" s="8">
        <f t="shared" si="17"/>
        <v>9.02</v>
      </c>
      <c r="S143" s="10">
        <v>1.82</v>
      </c>
      <c r="T143" s="10">
        <v>0.27</v>
      </c>
      <c r="U143" s="10">
        <f t="shared" si="18"/>
        <v>2.09</v>
      </c>
      <c r="V143" s="8">
        <f t="shared" si="19"/>
        <v>0.23170731707317072</v>
      </c>
      <c r="W143" s="8">
        <f t="shared" si="20"/>
        <v>49.760765550239242</v>
      </c>
    </row>
    <row r="144" spans="1:23" x14ac:dyDescent="0.25">
      <c r="A144" s="8" t="s">
        <v>304</v>
      </c>
      <c r="B144" s="8">
        <v>1</v>
      </c>
      <c r="C144" s="8" t="s">
        <v>325</v>
      </c>
      <c r="D144" s="8" t="s">
        <v>53</v>
      </c>
      <c r="E144" s="8" t="s">
        <v>54</v>
      </c>
      <c r="F144" s="8" t="s">
        <v>326</v>
      </c>
      <c r="G144" s="8" t="s">
        <v>377</v>
      </c>
      <c r="H144" s="8">
        <v>8.1999999999999993</v>
      </c>
      <c r="I144" s="8">
        <f>(10.84+7.11+8.06)/3</f>
        <v>8.67</v>
      </c>
      <c r="J144" s="8">
        <f>(5.65+5.67+3.35)/3</f>
        <v>4.8899999999999997</v>
      </c>
      <c r="K144" s="8">
        <f t="shared" si="14"/>
        <v>13.559999999999999</v>
      </c>
      <c r="L144" s="8">
        <f t="shared" si="15"/>
        <v>16.536585365853657</v>
      </c>
      <c r="M144" s="9">
        <v>1.0900000000000001</v>
      </c>
      <c r="N144" s="10">
        <v>1.1100000000000001</v>
      </c>
      <c r="O144" s="10">
        <f t="shared" si="16"/>
        <v>2.2000000000000002</v>
      </c>
      <c r="P144" s="8">
        <f>2.57-0.05</f>
        <v>2.52</v>
      </c>
      <c r="Q144" s="8">
        <f>1.04-0.05</f>
        <v>0.99</v>
      </c>
      <c r="R144" s="8">
        <f t="shared" si="17"/>
        <v>3.51</v>
      </c>
      <c r="S144" s="10">
        <v>0.87</v>
      </c>
      <c r="T144" s="10">
        <v>0.41</v>
      </c>
      <c r="U144" s="10">
        <f t="shared" si="18"/>
        <v>1.28</v>
      </c>
      <c r="V144" s="8">
        <f t="shared" si="19"/>
        <v>0.36467236467236469</v>
      </c>
      <c r="W144" s="8">
        <f t="shared" si="20"/>
        <v>71.875000000000014</v>
      </c>
    </row>
    <row r="145" spans="1:23" x14ac:dyDescent="0.25">
      <c r="A145" s="8" t="s">
        <v>304</v>
      </c>
      <c r="B145" s="8">
        <v>10</v>
      </c>
      <c r="C145" s="8" t="s">
        <v>327</v>
      </c>
      <c r="D145" s="8" t="s">
        <v>53</v>
      </c>
      <c r="E145" s="8" t="s">
        <v>54</v>
      </c>
      <c r="F145" s="8" t="s">
        <v>328</v>
      </c>
      <c r="G145" s="8" t="s">
        <v>377</v>
      </c>
      <c r="H145" s="8">
        <v>8.1</v>
      </c>
      <c r="I145" s="8">
        <f>(8.86+8.66+8.41)/3</f>
        <v>8.6433333333333326</v>
      </c>
      <c r="J145" s="8">
        <f>(7.19+7.24+7)/3</f>
        <v>7.1433333333333335</v>
      </c>
      <c r="K145" s="8">
        <f t="shared" si="14"/>
        <v>15.786666666666665</v>
      </c>
      <c r="L145" s="8">
        <f t="shared" si="15"/>
        <v>19.489711934156375</v>
      </c>
      <c r="M145" s="9">
        <v>1.02</v>
      </c>
      <c r="N145" s="10">
        <v>2.02</v>
      </c>
      <c r="O145" s="10">
        <f t="shared" si="16"/>
        <v>3.04</v>
      </c>
      <c r="P145" s="8">
        <f>1.72-0.05</f>
        <v>1.67</v>
      </c>
      <c r="Q145" s="8">
        <f>1.91-0.05</f>
        <v>1.8599999999999999</v>
      </c>
      <c r="R145" s="8">
        <f t="shared" si="17"/>
        <v>3.53</v>
      </c>
      <c r="S145" s="10">
        <v>0.9</v>
      </c>
      <c r="T145" s="10">
        <v>0.84</v>
      </c>
      <c r="U145" s="10">
        <f t="shared" si="18"/>
        <v>1.74</v>
      </c>
      <c r="V145" s="8">
        <f t="shared" si="19"/>
        <v>0.49291784702549579</v>
      </c>
      <c r="W145" s="8">
        <f t="shared" si="20"/>
        <v>74.712643678160916</v>
      </c>
    </row>
    <row r="146" spans="1:23" x14ac:dyDescent="0.25">
      <c r="A146" s="8" t="s">
        <v>304</v>
      </c>
      <c r="B146" s="8">
        <v>12</v>
      </c>
      <c r="C146" s="8" t="s">
        <v>329</v>
      </c>
      <c r="D146" s="8" t="s">
        <v>53</v>
      </c>
      <c r="E146" s="8" t="s">
        <v>54</v>
      </c>
      <c r="F146" s="8" t="s">
        <v>330</v>
      </c>
      <c r="G146" s="8" t="s">
        <v>377</v>
      </c>
      <c r="H146" s="8">
        <v>16.7</v>
      </c>
      <c r="I146" s="8">
        <f>(4.85+8.17+6.8)/3</f>
        <v>6.6066666666666665</v>
      </c>
      <c r="J146" s="8">
        <f>(9.54+9+9.4)/3</f>
        <v>9.3133333333333326</v>
      </c>
      <c r="K146" s="8">
        <f t="shared" si="14"/>
        <v>15.919999999999998</v>
      </c>
      <c r="L146" s="8">
        <f t="shared" si="15"/>
        <v>9.5329341317365248</v>
      </c>
      <c r="M146" s="9">
        <v>2.0499999999999998</v>
      </c>
      <c r="N146" s="10">
        <v>5.44</v>
      </c>
      <c r="O146" s="10">
        <f t="shared" si="16"/>
        <v>7.49</v>
      </c>
      <c r="P146" s="8">
        <f>4.11-0.05</f>
        <v>4.0600000000000005</v>
      </c>
      <c r="Q146" s="8">
        <f>4.9-0.05</f>
        <v>4.8500000000000005</v>
      </c>
      <c r="R146" s="8">
        <f t="shared" si="17"/>
        <v>8.91</v>
      </c>
      <c r="S146" s="10">
        <v>1.78</v>
      </c>
      <c r="T146" s="10">
        <v>2.3199999999999998</v>
      </c>
      <c r="U146" s="10">
        <f t="shared" si="18"/>
        <v>4.0999999999999996</v>
      </c>
      <c r="V146" s="8">
        <f t="shared" si="19"/>
        <v>0.46015712682379345</v>
      </c>
      <c r="W146" s="8">
        <f t="shared" si="20"/>
        <v>82.682926829268311</v>
      </c>
    </row>
    <row r="147" spans="1:23" x14ac:dyDescent="0.25">
      <c r="A147" s="8" t="s">
        <v>304</v>
      </c>
      <c r="B147" s="8">
        <v>3</v>
      </c>
      <c r="C147" s="8" t="s">
        <v>331</v>
      </c>
      <c r="D147" s="8" t="s">
        <v>53</v>
      </c>
      <c r="E147" s="8" t="s">
        <v>54</v>
      </c>
      <c r="F147" s="8" t="s">
        <v>332</v>
      </c>
      <c r="G147" s="8" t="s">
        <v>377</v>
      </c>
      <c r="H147" s="8">
        <v>11.4</v>
      </c>
      <c r="I147" s="8">
        <f>(14.01+17.32+7.53)/3</f>
        <v>12.953333333333333</v>
      </c>
      <c r="J147" s="8">
        <f>(7.12+6.98+6.73)/3</f>
        <v>6.9433333333333342</v>
      </c>
      <c r="K147" s="8">
        <f t="shared" si="14"/>
        <v>19.896666666666668</v>
      </c>
      <c r="L147" s="8">
        <f t="shared" si="15"/>
        <v>17.453216374269008</v>
      </c>
      <c r="M147" s="9">
        <v>1.85</v>
      </c>
      <c r="N147" s="10">
        <v>2.41</v>
      </c>
      <c r="O147" s="10">
        <f t="shared" si="16"/>
        <v>4.26</v>
      </c>
      <c r="P147" s="8">
        <f>3.95-0.05</f>
        <v>3.9000000000000004</v>
      </c>
      <c r="Q147" s="8">
        <f>2.26-0.05</f>
        <v>2.21</v>
      </c>
      <c r="R147" s="8">
        <f t="shared" si="17"/>
        <v>6.11</v>
      </c>
      <c r="S147" s="10">
        <v>1.58</v>
      </c>
      <c r="T147" s="10">
        <v>0.89</v>
      </c>
      <c r="U147" s="10">
        <f t="shared" si="18"/>
        <v>2.4700000000000002</v>
      </c>
      <c r="V147" s="8">
        <f t="shared" si="19"/>
        <v>0.4042553191489362</v>
      </c>
      <c r="W147" s="8">
        <f t="shared" si="20"/>
        <v>72.469635627530337</v>
      </c>
    </row>
    <row r="148" spans="1:23" x14ac:dyDescent="0.25">
      <c r="A148" s="8" t="s">
        <v>304</v>
      </c>
      <c r="B148" s="8">
        <v>14</v>
      </c>
      <c r="C148" s="8" t="s">
        <v>333</v>
      </c>
      <c r="D148" s="8" t="s">
        <v>53</v>
      </c>
      <c r="E148" s="8" t="s">
        <v>54</v>
      </c>
      <c r="F148" s="8" t="s">
        <v>334</v>
      </c>
      <c r="G148" s="8" t="s">
        <v>377</v>
      </c>
      <c r="H148" s="8">
        <v>13.2</v>
      </c>
      <c r="I148" s="8">
        <f>(10+13.33+9.35)/3</f>
        <v>10.893333333333333</v>
      </c>
      <c r="J148" s="8">
        <f>(9.43+8.99+9.32)/3</f>
        <v>9.2466666666666679</v>
      </c>
      <c r="K148" s="8">
        <f t="shared" si="14"/>
        <v>20.14</v>
      </c>
      <c r="L148" s="8">
        <f t="shared" si="15"/>
        <v>15.257575757575758</v>
      </c>
      <c r="M148" s="9">
        <v>2.37</v>
      </c>
      <c r="N148" s="10">
        <v>4.88</v>
      </c>
      <c r="O148" s="10">
        <f t="shared" si="16"/>
        <v>7.25</v>
      </c>
      <c r="P148" s="8">
        <f>4.74-0.05</f>
        <v>4.6900000000000004</v>
      </c>
      <c r="Q148" s="8">
        <f>4.78-0.05</f>
        <v>4.7300000000000004</v>
      </c>
      <c r="R148" s="8">
        <f t="shared" si="17"/>
        <v>9.4200000000000017</v>
      </c>
      <c r="S148" s="10">
        <v>1.89</v>
      </c>
      <c r="T148" s="10">
        <v>1.95</v>
      </c>
      <c r="U148" s="10">
        <f t="shared" si="18"/>
        <v>3.84</v>
      </c>
      <c r="V148" s="8">
        <f t="shared" si="19"/>
        <v>0.40764331210191074</v>
      </c>
      <c r="W148" s="8">
        <f t="shared" si="20"/>
        <v>88.802083333333343</v>
      </c>
    </row>
    <row r="149" spans="1:23" x14ac:dyDescent="0.25">
      <c r="A149" s="8" t="s">
        <v>304</v>
      </c>
      <c r="B149" s="8">
        <v>9</v>
      </c>
      <c r="C149" s="8" t="s">
        <v>335</v>
      </c>
      <c r="D149" s="8" t="s">
        <v>42</v>
      </c>
      <c r="E149" s="8" t="s">
        <v>43</v>
      </c>
      <c r="F149" s="8" t="s">
        <v>336</v>
      </c>
      <c r="G149" s="8" t="s">
        <v>378</v>
      </c>
      <c r="H149" s="8">
        <v>40.299999999999997</v>
      </c>
      <c r="I149" s="8">
        <f>(7.94+8.87+8.86)/3</f>
        <v>8.5566666666666666</v>
      </c>
      <c r="J149" s="8">
        <f>(9.51+8.69+7.72)/3</f>
        <v>8.6399999999999988</v>
      </c>
      <c r="K149" s="8">
        <f t="shared" si="14"/>
        <v>17.196666666666665</v>
      </c>
      <c r="L149" s="8">
        <f t="shared" si="15"/>
        <v>4.2671629445822994</v>
      </c>
      <c r="M149" s="9">
        <v>2.0299999999999998</v>
      </c>
      <c r="N149" s="10">
        <v>1.98</v>
      </c>
      <c r="O149" s="10">
        <f t="shared" si="16"/>
        <v>4.01</v>
      </c>
      <c r="P149" s="8">
        <f>3.39-0.05</f>
        <v>3.3400000000000003</v>
      </c>
      <c r="Q149" s="8">
        <f>2.03-0.05</f>
        <v>1.9799999999999998</v>
      </c>
      <c r="R149" s="8">
        <f t="shared" si="17"/>
        <v>5.32</v>
      </c>
      <c r="S149" s="10">
        <v>1.93</v>
      </c>
      <c r="T149" s="10">
        <v>0.96</v>
      </c>
      <c r="U149" s="10">
        <f t="shared" si="18"/>
        <v>2.8899999999999997</v>
      </c>
      <c r="V149" s="8">
        <f t="shared" si="19"/>
        <v>0.54323308270676685</v>
      </c>
      <c r="W149" s="8">
        <f t="shared" si="20"/>
        <v>38.754325259515575</v>
      </c>
    </row>
    <row r="150" spans="1:23" x14ac:dyDescent="0.25">
      <c r="A150" s="8" t="s">
        <v>304</v>
      </c>
      <c r="B150" s="8">
        <v>24</v>
      </c>
      <c r="C150" s="8" t="s">
        <v>337</v>
      </c>
      <c r="D150" s="8" t="s">
        <v>42</v>
      </c>
      <c r="E150" s="8" t="s">
        <v>43</v>
      </c>
      <c r="F150" s="8" t="s">
        <v>338</v>
      </c>
      <c r="G150" s="8" t="s">
        <v>378</v>
      </c>
      <c r="H150" s="8">
        <v>13.3</v>
      </c>
      <c r="I150" s="8">
        <f>(2.49+2.21+1.94)/3</f>
        <v>2.2133333333333334</v>
      </c>
      <c r="J150" s="8">
        <f>(6.11+6.5+5.86)/3</f>
        <v>6.1566666666666663</v>
      </c>
      <c r="K150" s="8">
        <f t="shared" si="14"/>
        <v>8.3699999999999992</v>
      </c>
      <c r="L150" s="8">
        <f t="shared" si="15"/>
        <v>6.2932330827067657</v>
      </c>
      <c r="M150" s="9">
        <v>0.87</v>
      </c>
      <c r="N150" s="10">
        <v>3.02</v>
      </c>
      <c r="O150" s="10">
        <f t="shared" si="16"/>
        <v>3.89</v>
      </c>
      <c r="P150" s="8">
        <f>0.93-0.05</f>
        <v>0.88</v>
      </c>
      <c r="Q150" s="8">
        <f>2.88-0.05</f>
        <v>2.83</v>
      </c>
      <c r="R150" s="8">
        <f t="shared" si="17"/>
        <v>3.71</v>
      </c>
      <c r="S150" s="10">
        <v>0.28000000000000003</v>
      </c>
      <c r="T150" s="10">
        <v>1.02</v>
      </c>
      <c r="U150" s="10">
        <f t="shared" si="18"/>
        <v>1.3</v>
      </c>
      <c r="V150" s="8">
        <f t="shared" si="19"/>
        <v>0.35040431266846361</v>
      </c>
      <c r="W150" s="8">
        <f t="shared" si="20"/>
        <v>199.2307692307692</v>
      </c>
    </row>
    <row r="151" spans="1:23" x14ac:dyDescent="0.25">
      <c r="A151" s="8" t="s">
        <v>304</v>
      </c>
      <c r="B151" s="8">
        <v>9</v>
      </c>
      <c r="C151" s="8" t="s">
        <v>339</v>
      </c>
      <c r="D151" s="8" t="s">
        <v>42</v>
      </c>
      <c r="E151" s="8" t="s">
        <v>43</v>
      </c>
      <c r="F151" s="8" t="s">
        <v>340</v>
      </c>
      <c r="G151" s="8" t="s">
        <v>386</v>
      </c>
      <c r="H151" s="8">
        <v>16.600000000000001</v>
      </c>
      <c r="I151" s="8">
        <f>(1.75+2.01+1.28)/3</f>
        <v>1.68</v>
      </c>
      <c r="J151" s="8">
        <f>(7.17+7.77+7.51)/3</f>
        <v>7.4833333333333334</v>
      </c>
      <c r="K151" s="8">
        <f t="shared" si="14"/>
        <v>9.163333333333334</v>
      </c>
      <c r="L151" s="8">
        <f t="shared" si="15"/>
        <v>5.5200803212851408</v>
      </c>
      <c r="M151" s="9">
        <v>0.56000000000000005</v>
      </c>
      <c r="N151" s="10">
        <v>5.58</v>
      </c>
      <c r="O151" s="10">
        <f t="shared" si="16"/>
        <v>6.1400000000000006</v>
      </c>
      <c r="P151" s="8">
        <f>0.54-0.05</f>
        <v>0.49000000000000005</v>
      </c>
      <c r="Q151" s="8">
        <f>5.08-0.05</f>
        <v>5.03</v>
      </c>
      <c r="R151" s="8">
        <f t="shared" si="17"/>
        <v>5.5200000000000005</v>
      </c>
      <c r="S151" s="10">
        <v>0.17</v>
      </c>
      <c r="T151" s="10">
        <v>1.79</v>
      </c>
      <c r="U151" s="10">
        <f t="shared" si="18"/>
        <v>1.96</v>
      </c>
      <c r="V151" s="8">
        <f t="shared" si="19"/>
        <v>0.35507246376811591</v>
      </c>
      <c r="W151" s="8">
        <f t="shared" si="20"/>
        <v>213.26530612244903</v>
      </c>
    </row>
    <row r="152" spans="1:23" x14ac:dyDescent="0.25">
      <c r="A152" s="8" t="s">
        <v>304</v>
      </c>
      <c r="B152" s="8">
        <v>10</v>
      </c>
      <c r="C152" s="8" t="s">
        <v>341</v>
      </c>
      <c r="D152" s="8" t="s">
        <v>42</v>
      </c>
      <c r="E152" s="8" t="s">
        <v>43</v>
      </c>
      <c r="F152" s="8" t="s">
        <v>342</v>
      </c>
      <c r="G152" s="8" t="s">
        <v>378</v>
      </c>
      <c r="H152" s="8">
        <v>11.4</v>
      </c>
      <c r="I152" s="8">
        <f>(2.3+2.03+2.07)/3</f>
        <v>2.1333333333333333</v>
      </c>
      <c r="J152" s="8">
        <f>(1.26+1.53+1.28)/3</f>
        <v>1.3566666666666667</v>
      </c>
      <c r="K152" s="8">
        <f t="shared" si="14"/>
        <v>3.49</v>
      </c>
      <c r="L152" s="8">
        <f t="shared" si="15"/>
        <v>3.0614035087719302</v>
      </c>
      <c r="M152" s="9">
        <v>0.37</v>
      </c>
      <c r="N152" s="10">
        <v>0.37</v>
      </c>
      <c r="O152" s="10">
        <f t="shared" si="16"/>
        <v>0.74</v>
      </c>
      <c r="P152" s="8">
        <f>0.68-0.05</f>
        <v>0.63</v>
      </c>
      <c r="Q152" s="8">
        <f>0.39-0.05</f>
        <v>0.34</v>
      </c>
      <c r="R152" s="8">
        <f t="shared" si="17"/>
        <v>0.97</v>
      </c>
      <c r="S152" s="10">
        <v>0.37</v>
      </c>
      <c r="T152" s="10">
        <v>0.14000000000000001</v>
      </c>
      <c r="U152" s="10">
        <f t="shared" si="18"/>
        <v>0.51</v>
      </c>
      <c r="V152" s="8">
        <f t="shared" si="19"/>
        <v>0.52577319587628868</v>
      </c>
      <c r="W152" s="8">
        <f t="shared" si="20"/>
        <v>45.098039215686271</v>
      </c>
    </row>
    <row r="153" spans="1:23" x14ac:dyDescent="0.25">
      <c r="A153" s="8" t="s">
        <v>304</v>
      </c>
      <c r="B153" s="8">
        <v>12</v>
      </c>
      <c r="C153" s="8" t="s">
        <v>343</v>
      </c>
      <c r="D153" s="8" t="s">
        <v>42</v>
      </c>
      <c r="E153" s="8" t="s">
        <v>43</v>
      </c>
      <c r="F153" s="8" t="s">
        <v>344</v>
      </c>
      <c r="G153" s="8" t="s">
        <v>378</v>
      </c>
      <c r="H153" s="8">
        <v>8.3000000000000007</v>
      </c>
      <c r="I153" s="8">
        <f>(1.2+0.99+1.11)/3</f>
        <v>1.0999999999999999</v>
      </c>
      <c r="J153" s="8">
        <f>(3.68+3.98+3.65)/3</f>
        <v>3.77</v>
      </c>
      <c r="K153" s="8">
        <f t="shared" si="14"/>
        <v>4.87</v>
      </c>
      <c r="L153" s="8">
        <f t="shared" si="15"/>
        <v>5.8674698795180724</v>
      </c>
      <c r="M153" s="9">
        <v>0.11</v>
      </c>
      <c r="N153" s="10">
        <v>0.83</v>
      </c>
      <c r="O153" s="10">
        <f t="shared" si="16"/>
        <v>0.94</v>
      </c>
      <c r="P153" s="8">
        <f>0.29-0.05</f>
        <v>0.24</v>
      </c>
      <c r="Q153" s="8">
        <f>0.9-0.05</f>
        <v>0.85</v>
      </c>
      <c r="R153" s="8">
        <f t="shared" si="17"/>
        <v>1.0899999999999999</v>
      </c>
      <c r="S153" s="10">
        <v>0.11</v>
      </c>
      <c r="T153" s="10">
        <v>0.25</v>
      </c>
      <c r="U153" s="10">
        <f t="shared" si="18"/>
        <v>0.36</v>
      </c>
      <c r="V153" s="8">
        <f t="shared" si="19"/>
        <v>0.33027522935779818</v>
      </c>
      <c r="W153" s="8">
        <f t="shared" si="20"/>
        <v>161.11111111111111</v>
      </c>
    </row>
    <row r="154" spans="1:23" s="1" customFormat="1" x14ac:dyDescent="0.25">
      <c r="A154" s="10" t="s">
        <v>304</v>
      </c>
      <c r="B154" s="10">
        <v>8</v>
      </c>
      <c r="C154" s="10" t="s">
        <v>345</v>
      </c>
      <c r="D154" s="10" t="s">
        <v>31</v>
      </c>
      <c r="E154" s="10" t="s">
        <v>32</v>
      </c>
      <c r="F154" s="10" t="s">
        <v>346</v>
      </c>
      <c r="G154" s="10" t="s">
        <v>376</v>
      </c>
      <c r="H154" s="10">
        <v>18.399999999999999</v>
      </c>
      <c r="I154" s="9">
        <f>(18.92+17.59+16.99)/3</f>
        <v>17.833333333333332</v>
      </c>
      <c r="J154" s="9">
        <f>(4.52+4.78+4.82)/3</f>
        <v>4.706666666666667</v>
      </c>
      <c r="K154" s="8">
        <f t="shared" si="14"/>
        <v>22.54</v>
      </c>
      <c r="L154" s="9">
        <f t="shared" si="15"/>
        <v>12.25</v>
      </c>
      <c r="M154" s="9">
        <v>2.15</v>
      </c>
      <c r="N154" s="9">
        <v>2.98</v>
      </c>
      <c r="O154" s="10">
        <f t="shared" si="16"/>
        <v>5.13</v>
      </c>
      <c r="P154" s="9">
        <f>6.28-0.05</f>
        <v>6.23</v>
      </c>
      <c r="Q154" s="9">
        <f>2.65-0.05</f>
        <v>2.6</v>
      </c>
      <c r="R154" s="8">
        <f t="shared" si="17"/>
        <v>8.83</v>
      </c>
      <c r="S154" s="10">
        <v>1.97</v>
      </c>
      <c r="T154" s="10">
        <v>1.19</v>
      </c>
      <c r="U154" s="10">
        <f t="shared" si="18"/>
        <v>3.16</v>
      </c>
      <c r="V154" s="8">
        <f t="shared" si="19"/>
        <v>0.35787089467723671</v>
      </c>
      <c r="W154" s="8">
        <f t="shared" si="20"/>
        <v>62.341772151898724</v>
      </c>
    </row>
    <row r="155" spans="1:23" s="3" customFormat="1" x14ac:dyDescent="0.25">
      <c r="A155" s="9" t="s">
        <v>304</v>
      </c>
      <c r="B155" s="9">
        <v>3</v>
      </c>
      <c r="C155" s="9" t="s">
        <v>347</v>
      </c>
      <c r="D155" s="9" t="s">
        <v>31</v>
      </c>
      <c r="E155" s="9" t="s">
        <v>32</v>
      </c>
      <c r="F155" s="9" t="s">
        <v>348</v>
      </c>
      <c r="G155" s="9" t="s">
        <v>376</v>
      </c>
      <c r="H155" s="9">
        <v>25.7</v>
      </c>
      <c r="I155" s="9">
        <f>(23.68+23.2+16.35)/3</f>
        <v>21.076666666666664</v>
      </c>
      <c r="J155" s="9">
        <f>(5.33+6.09+6.11)/3</f>
        <v>5.8433333333333337</v>
      </c>
      <c r="K155" s="8">
        <f t="shared" si="14"/>
        <v>26.919999999999998</v>
      </c>
      <c r="L155" s="9">
        <f t="shared" si="15"/>
        <v>10.474708171206224</v>
      </c>
      <c r="M155" s="9">
        <v>8.06</v>
      </c>
      <c r="N155" s="9">
        <v>2.89</v>
      </c>
      <c r="O155" s="10">
        <f t="shared" si="16"/>
        <v>10.950000000000001</v>
      </c>
      <c r="P155" s="9">
        <f>20.33-0.05</f>
        <v>20.279999999999998</v>
      </c>
      <c r="Q155" s="9">
        <f>2.65-0.05</f>
        <v>2.6</v>
      </c>
      <c r="R155" s="8">
        <f t="shared" si="17"/>
        <v>22.88</v>
      </c>
      <c r="S155" s="9">
        <v>5.96</v>
      </c>
      <c r="T155" s="9">
        <v>1.2</v>
      </c>
      <c r="U155" s="10">
        <f t="shared" si="18"/>
        <v>7.16</v>
      </c>
      <c r="V155" s="8">
        <f t="shared" si="19"/>
        <v>0.31293706293706297</v>
      </c>
      <c r="W155" s="8">
        <f t="shared" si="20"/>
        <v>52.932960893854762</v>
      </c>
    </row>
    <row r="156" spans="1:23" x14ac:dyDescent="0.25">
      <c r="A156" s="8" t="s">
        <v>304</v>
      </c>
      <c r="B156" s="8">
        <v>10</v>
      </c>
      <c r="C156" s="8" t="s">
        <v>349</v>
      </c>
      <c r="D156" s="8" t="s">
        <v>31</v>
      </c>
      <c r="E156" s="8" t="s">
        <v>32</v>
      </c>
      <c r="F156" s="8" t="s">
        <v>350</v>
      </c>
      <c r="G156" s="8" t="s">
        <v>376</v>
      </c>
      <c r="H156" s="8">
        <v>12</v>
      </c>
      <c r="I156" s="8">
        <f>(16.15+16.21+11.47)/3</f>
        <v>14.61</v>
      </c>
      <c r="J156" s="8">
        <f>(3.67+3.77+4.64)/3</f>
        <v>4.0266666666666664</v>
      </c>
      <c r="K156" s="8">
        <f t="shared" si="14"/>
        <v>18.636666666666667</v>
      </c>
      <c r="L156" s="8">
        <f t="shared" si="15"/>
        <v>15.530555555555555</v>
      </c>
      <c r="M156" s="9">
        <v>2.79</v>
      </c>
      <c r="N156" s="10">
        <v>1.61</v>
      </c>
      <c r="O156" s="10">
        <f t="shared" si="16"/>
        <v>4.4000000000000004</v>
      </c>
      <c r="P156" s="8">
        <f>7.68-0.05</f>
        <v>7.63</v>
      </c>
      <c r="Q156" s="8">
        <f>1.62-0.05</f>
        <v>1.57</v>
      </c>
      <c r="R156" s="8">
        <f t="shared" si="17"/>
        <v>9.1999999999999993</v>
      </c>
      <c r="S156" s="10">
        <v>2.5499999999999998</v>
      </c>
      <c r="T156" s="10">
        <v>0.77</v>
      </c>
      <c r="U156" s="10">
        <f t="shared" si="18"/>
        <v>3.32</v>
      </c>
      <c r="V156" s="8">
        <f t="shared" si="19"/>
        <v>0.36086956521739133</v>
      </c>
      <c r="W156" s="8">
        <f t="shared" si="20"/>
        <v>32.530120481927725</v>
      </c>
    </row>
    <row r="157" spans="1:23" x14ac:dyDescent="0.25">
      <c r="A157" s="8" t="s">
        <v>304</v>
      </c>
      <c r="B157" s="8">
        <v>18</v>
      </c>
      <c r="C157" s="8" t="s">
        <v>351</v>
      </c>
      <c r="D157" s="8" t="s">
        <v>31</v>
      </c>
      <c r="E157" s="8" t="s">
        <v>32</v>
      </c>
      <c r="F157" s="8" t="s">
        <v>352</v>
      </c>
      <c r="G157" s="8" t="s">
        <v>376</v>
      </c>
      <c r="H157" s="8">
        <v>14.9</v>
      </c>
      <c r="I157" s="8">
        <f>(13.09+14.53+15.67)/3</f>
        <v>14.43</v>
      </c>
      <c r="J157" s="8">
        <f>(7.3+7.42+8.23)/3</f>
        <v>7.6499999999999995</v>
      </c>
      <c r="K157" s="8">
        <f t="shared" si="14"/>
        <v>22.08</v>
      </c>
      <c r="L157" s="8">
        <f t="shared" si="15"/>
        <v>14.818791946308723</v>
      </c>
      <c r="M157" s="9">
        <v>3.38</v>
      </c>
      <c r="N157" s="10">
        <v>4.42</v>
      </c>
      <c r="O157" s="10">
        <f t="shared" si="16"/>
        <v>7.8</v>
      </c>
      <c r="P157" s="8">
        <f>9.52-0.05</f>
        <v>9.4699999999999989</v>
      </c>
      <c r="Q157" s="8">
        <f>4.69-0.05</f>
        <v>4.6400000000000006</v>
      </c>
      <c r="R157" s="8">
        <f t="shared" si="17"/>
        <v>14.11</v>
      </c>
      <c r="S157" s="10">
        <v>3.27</v>
      </c>
      <c r="T157" s="10">
        <v>1.99</v>
      </c>
      <c r="U157" s="10">
        <f t="shared" si="18"/>
        <v>5.26</v>
      </c>
      <c r="V157" s="8">
        <f t="shared" si="19"/>
        <v>0.37278525868178597</v>
      </c>
      <c r="W157" s="8">
        <f t="shared" si="20"/>
        <v>48.28897338403042</v>
      </c>
    </row>
    <row r="158" spans="1:23" x14ac:dyDescent="0.25">
      <c r="A158" s="8" t="s">
        <v>304</v>
      </c>
      <c r="B158" s="8">
        <v>10</v>
      </c>
      <c r="C158" s="8" t="s">
        <v>353</v>
      </c>
      <c r="D158" s="8" t="s">
        <v>31</v>
      </c>
      <c r="E158" s="8" t="s">
        <v>32</v>
      </c>
      <c r="F158" s="8" t="s">
        <v>354</v>
      </c>
      <c r="G158" s="8" t="s">
        <v>376</v>
      </c>
      <c r="H158" s="8">
        <v>17.3</v>
      </c>
      <c r="I158" s="8">
        <f>(8.35+8.17+7.18)/3</f>
        <v>7.8999999999999995</v>
      </c>
      <c r="J158" s="8">
        <f>(6.52+6.34+6.4)/3</f>
        <v>6.419999999999999</v>
      </c>
      <c r="K158" s="8">
        <f t="shared" si="14"/>
        <v>14.319999999999999</v>
      </c>
      <c r="L158" s="8">
        <f t="shared" si="15"/>
        <v>8.2774566473988429</v>
      </c>
      <c r="M158" s="9">
        <v>1.88</v>
      </c>
      <c r="N158" s="10">
        <v>3.68</v>
      </c>
      <c r="O158" s="10">
        <f t="shared" si="16"/>
        <v>5.5600000000000005</v>
      </c>
      <c r="P158" s="8">
        <f>4.22-0.05</f>
        <v>4.17</v>
      </c>
      <c r="Q158" s="8">
        <f>3.2-0.05</f>
        <v>3.1500000000000004</v>
      </c>
      <c r="R158" s="8">
        <f t="shared" si="17"/>
        <v>7.32</v>
      </c>
      <c r="S158" s="10">
        <v>1.8</v>
      </c>
      <c r="T158" s="10">
        <v>1.88</v>
      </c>
      <c r="U158" s="10">
        <f t="shared" si="18"/>
        <v>3.6799999999999997</v>
      </c>
      <c r="V158" s="8">
        <f t="shared" si="19"/>
        <v>0.50273224043715836</v>
      </c>
      <c r="W158" s="8">
        <f t="shared" si="20"/>
        <v>51.086956521739154</v>
      </c>
    </row>
    <row r="159" spans="1:23" x14ac:dyDescent="0.25">
      <c r="A159" s="8" t="s">
        <v>304</v>
      </c>
      <c r="B159" s="8">
        <v>10</v>
      </c>
      <c r="C159" s="8" t="s">
        <v>355</v>
      </c>
      <c r="D159" s="8" t="s">
        <v>19</v>
      </c>
      <c r="E159" s="8" t="s">
        <v>356</v>
      </c>
      <c r="F159" s="8" t="s">
        <v>357</v>
      </c>
      <c r="G159" s="8" t="s">
        <v>378</v>
      </c>
      <c r="H159" s="8">
        <v>12.7</v>
      </c>
      <c r="I159" s="8">
        <f>(3.3+3.67+4.2)/3</f>
        <v>3.7233333333333332</v>
      </c>
      <c r="J159" s="8">
        <f>(5.69+4.92+4.61)/3</f>
        <v>5.0733333333333333</v>
      </c>
      <c r="K159" s="8">
        <f t="shared" si="14"/>
        <v>8.7966666666666669</v>
      </c>
      <c r="L159" s="8">
        <f t="shared" si="15"/>
        <v>6.9265091863517068</v>
      </c>
      <c r="M159" s="9">
        <v>1.26</v>
      </c>
      <c r="N159" s="10">
        <v>1.77</v>
      </c>
      <c r="O159" s="10">
        <f t="shared" si="16"/>
        <v>3.0300000000000002</v>
      </c>
      <c r="P159" s="8">
        <f>1.42-0.05</f>
        <v>1.3699999999999999</v>
      </c>
      <c r="Q159" s="8">
        <f>1.71-0.05</f>
        <v>1.66</v>
      </c>
      <c r="R159" s="8">
        <f t="shared" si="17"/>
        <v>3.03</v>
      </c>
      <c r="S159" s="10">
        <v>1.1599999999999999</v>
      </c>
      <c r="T159" s="10">
        <v>0.85</v>
      </c>
      <c r="U159" s="10">
        <f t="shared" si="18"/>
        <v>2.0099999999999998</v>
      </c>
      <c r="V159" s="8">
        <f t="shared" si="19"/>
        <v>0.66336633663366329</v>
      </c>
      <c r="W159" s="8">
        <f t="shared" si="20"/>
        <v>50.746268656716445</v>
      </c>
    </row>
    <row r="160" spans="1:23" x14ac:dyDescent="0.25">
      <c r="A160" s="8" t="s">
        <v>304</v>
      </c>
      <c r="B160" s="8">
        <v>24</v>
      </c>
      <c r="C160" s="8" t="s">
        <v>358</v>
      </c>
      <c r="D160" s="8" t="s">
        <v>19</v>
      </c>
      <c r="E160" s="8" t="s">
        <v>356</v>
      </c>
      <c r="F160" s="8" t="s">
        <v>359</v>
      </c>
      <c r="G160" s="8" t="s">
        <v>376</v>
      </c>
      <c r="H160" s="8">
        <v>23.4</v>
      </c>
      <c r="I160" s="8">
        <f>(11.84+11.19+10.78)/3</f>
        <v>11.270000000000001</v>
      </c>
      <c r="J160" s="8">
        <f>(5.14+3.95+3.9)/3</f>
        <v>4.33</v>
      </c>
      <c r="K160" s="8">
        <f t="shared" si="14"/>
        <v>15.600000000000001</v>
      </c>
      <c r="L160" s="8">
        <f t="shared" si="15"/>
        <v>6.6666666666666679</v>
      </c>
      <c r="M160" s="9">
        <v>4.42</v>
      </c>
      <c r="N160" s="10">
        <v>1.71</v>
      </c>
      <c r="O160" s="10">
        <f t="shared" si="16"/>
        <v>6.13</v>
      </c>
      <c r="P160" s="8">
        <f>4.66-0.05</f>
        <v>4.6100000000000003</v>
      </c>
      <c r="Q160" s="8">
        <f>1.55-0.05</f>
        <v>1.5</v>
      </c>
      <c r="R160" s="8">
        <f t="shared" si="17"/>
        <v>6.11</v>
      </c>
      <c r="S160" s="10">
        <v>3.8</v>
      </c>
      <c r="T160" s="10">
        <v>0.8</v>
      </c>
      <c r="U160" s="10">
        <f t="shared" si="18"/>
        <v>4.5999999999999996</v>
      </c>
      <c r="V160" s="8">
        <f t="shared" si="19"/>
        <v>0.75286415711947619</v>
      </c>
      <c r="W160" s="8">
        <f t="shared" si="20"/>
        <v>33.260869565217398</v>
      </c>
    </row>
    <row r="161" spans="1:23" x14ac:dyDescent="0.25">
      <c r="A161" s="8" t="s">
        <v>304</v>
      </c>
      <c r="B161" s="8">
        <v>18</v>
      </c>
      <c r="C161" s="8" t="s">
        <v>360</v>
      </c>
      <c r="D161" s="8" t="s">
        <v>19</v>
      </c>
      <c r="E161" s="8" t="s">
        <v>356</v>
      </c>
      <c r="F161" s="8" t="s">
        <v>361</v>
      </c>
      <c r="G161" s="8" t="s">
        <v>376</v>
      </c>
      <c r="H161" s="8">
        <v>11.4</v>
      </c>
      <c r="I161" s="8">
        <f>(6.24+4.19+6.73)/3</f>
        <v>5.72</v>
      </c>
      <c r="J161" s="8">
        <f>(7.68+7.98+8.44)/3</f>
        <v>8.0333333333333332</v>
      </c>
      <c r="K161" s="8">
        <f t="shared" si="14"/>
        <v>13.753333333333334</v>
      </c>
      <c r="L161" s="8">
        <f t="shared" si="15"/>
        <v>12.064327485380117</v>
      </c>
      <c r="M161" s="9">
        <v>0.45</v>
      </c>
      <c r="N161" s="10">
        <v>4.1900000000000004</v>
      </c>
      <c r="O161" s="10">
        <f t="shared" si="16"/>
        <v>4.6400000000000006</v>
      </c>
      <c r="P161" s="8">
        <f>0.61-0.05</f>
        <v>0.55999999999999994</v>
      </c>
      <c r="Q161" s="8">
        <f>3.73-0.05</f>
        <v>3.68</v>
      </c>
      <c r="R161" s="8">
        <f t="shared" si="17"/>
        <v>4.24</v>
      </c>
      <c r="S161" s="10">
        <v>0.43</v>
      </c>
      <c r="T161" s="10">
        <v>1.91</v>
      </c>
      <c r="U161" s="10">
        <f t="shared" si="18"/>
        <v>2.34</v>
      </c>
      <c r="V161" s="8">
        <f t="shared" si="19"/>
        <v>0.55188679245283012</v>
      </c>
      <c r="W161" s="8">
        <f t="shared" si="20"/>
        <v>98.290598290598325</v>
      </c>
    </row>
    <row r="162" spans="1:23" x14ac:dyDescent="0.25">
      <c r="A162" s="8" t="s">
        <v>304</v>
      </c>
      <c r="B162" s="8">
        <v>21</v>
      </c>
      <c r="C162" s="8" t="s">
        <v>362</v>
      </c>
      <c r="D162" s="8" t="s">
        <v>19</v>
      </c>
      <c r="E162" s="8" t="s">
        <v>356</v>
      </c>
      <c r="F162" s="8" t="s">
        <v>363</v>
      </c>
      <c r="G162" s="8" t="s">
        <v>377</v>
      </c>
      <c r="H162" s="8">
        <v>19.899999999999999</v>
      </c>
      <c r="I162" s="8">
        <f>(10.11+9.47+10.44)/3</f>
        <v>10.006666666666666</v>
      </c>
      <c r="J162" s="8">
        <f>(3.72+5.44+4.6)/3</f>
        <v>4.5866666666666669</v>
      </c>
      <c r="K162" s="8">
        <f t="shared" si="14"/>
        <v>14.593333333333334</v>
      </c>
      <c r="L162" s="8">
        <f t="shared" si="15"/>
        <v>7.333333333333333</v>
      </c>
      <c r="M162" s="9">
        <v>1.88</v>
      </c>
      <c r="N162" s="10">
        <v>2.48</v>
      </c>
      <c r="O162" s="10">
        <f t="shared" si="16"/>
        <v>4.3599999999999994</v>
      </c>
      <c r="P162" s="8">
        <f>2.09-0.05</f>
        <v>2.04</v>
      </c>
      <c r="Q162" s="8">
        <f>2.25-0.05</f>
        <v>2.2000000000000002</v>
      </c>
      <c r="R162" s="8">
        <f t="shared" si="17"/>
        <v>4.24</v>
      </c>
      <c r="S162" s="10">
        <v>1.76</v>
      </c>
      <c r="T162" s="10">
        <v>1.04</v>
      </c>
      <c r="U162" s="10">
        <f t="shared" si="18"/>
        <v>2.8</v>
      </c>
      <c r="V162" s="8">
        <f t="shared" si="19"/>
        <v>0.660377358490566</v>
      </c>
      <c r="W162" s="8">
        <f t="shared" si="20"/>
        <v>55.714285714285708</v>
      </c>
    </row>
    <row r="163" spans="1:23" x14ac:dyDescent="0.25">
      <c r="A163" s="8" t="s">
        <v>304</v>
      </c>
      <c r="B163" s="8">
        <v>21</v>
      </c>
      <c r="C163" s="8" t="s">
        <v>364</v>
      </c>
      <c r="D163" s="8" t="s">
        <v>19</v>
      </c>
      <c r="E163" s="8" t="s">
        <v>356</v>
      </c>
      <c r="F163" s="8" t="s">
        <v>365</v>
      </c>
      <c r="G163" s="8" t="s">
        <v>377</v>
      </c>
      <c r="H163" s="8">
        <v>12.4</v>
      </c>
      <c r="I163" s="8">
        <f>(5.69+7.27+4.71)/3</f>
        <v>5.8900000000000006</v>
      </c>
      <c r="J163" s="8">
        <f>(7+8.8+6.4)/3</f>
        <v>7.4000000000000012</v>
      </c>
      <c r="K163" s="8">
        <f t="shared" si="14"/>
        <v>13.290000000000003</v>
      </c>
      <c r="L163" s="8">
        <f t="shared" si="15"/>
        <v>10.717741935483874</v>
      </c>
      <c r="M163" s="9">
        <v>1.83</v>
      </c>
      <c r="N163" s="10">
        <v>3.2</v>
      </c>
      <c r="O163" s="10">
        <f t="shared" si="16"/>
        <v>5.03</v>
      </c>
      <c r="P163" s="8">
        <f>2.35-0.05</f>
        <v>2.3000000000000003</v>
      </c>
      <c r="Q163" s="8">
        <f>3.38-0.05</f>
        <v>3.33</v>
      </c>
      <c r="R163" s="8">
        <f t="shared" si="17"/>
        <v>5.6300000000000008</v>
      </c>
      <c r="S163" s="10">
        <v>1.73</v>
      </c>
      <c r="T163" s="10">
        <v>1.54</v>
      </c>
      <c r="U163" s="10">
        <f t="shared" si="18"/>
        <v>3.27</v>
      </c>
      <c r="V163" s="8">
        <f t="shared" si="19"/>
        <v>0.58081705150976903</v>
      </c>
      <c r="W163" s="8">
        <f t="shared" si="20"/>
        <v>53.822629969418969</v>
      </c>
    </row>
    <row r="164" spans="1:23" x14ac:dyDescent="0.25">
      <c r="A164" s="8" t="s">
        <v>304</v>
      </c>
      <c r="B164" s="8">
        <v>9</v>
      </c>
      <c r="C164" s="8" t="s">
        <v>366</v>
      </c>
      <c r="D164" s="8" t="s">
        <v>192</v>
      </c>
      <c r="E164" s="8" t="s">
        <v>294</v>
      </c>
      <c r="F164" s="8" t="s">
        <v>367</v>
      </c>
      <c r="G164" s="8" t="s">
        <v>377</v>
      </c>
      <c r="H164" s="8">
        <v>16.899999999999999</v>
      </c>
      <c r="I164" s="8">
        <f>(4.78+4.7+5.31)/3</f>
        <v>4.93</v>
      </c>
      <c r="J164" s="8">
        <f>(10.6+11.68+11.4)/3</f>
        <v>11.226666666666667</v>
      </c>
      <c r="K164" s="8">
        <f t="shared" si="14"/>
        <v>16.156666666666666</v>
      </c>
      <c r="L164" s="8">
        <f t="shared" si="15"/>
        <v>9.5601577909270201</v>
      </c>
      <c r="M164" s="9">
        <v>1.1100000000000001</v>
      </c>
      <c r="N164" s="10">
        <v>4.72</v>
      </c>
      <c r="O164" s="10">
        <f t="shared" si="16"/>
        <v>5.83</v>
      </c>
      <c r="P164" s="8">
        <f>1.52-0.05</f>
        <v>1.47</v>
      </c>
      <c r="Q164" s="8">
        <f>4.32-0.05</f>
        <v>4.2700000000000005</v>
      </c>
      <c r="R164" s="8">
        <f t="shared" si="17"/>
        <v>5.74</v>
      </c>
      <c r="S164" s="10">
        <v>1.02</v>
      </c>
      <c r="T164" s="10">
        <v>2.06</v>
      </c>
      <c r="U164" s="10">
        <f t="shared" si="18"/>
        <v>3.08</v>
      </c>
      <c r="V164" s="8">
        <f t="shared" si="19"/>
        <v>0.53658536585365857</v>
      </c>
      <c r="W164" s="8">
        <f t="shared" si="20"/>
        <v>89.285714285714278</v>
      </c>
    </row>
    <row r="165" spans="1:23" x14ac:dyDescent="0.25">
      <c r="A165" s="8" t="s">
        <v>304</v>
      </c>
      <c r="B165" s="8">
        <v>13</v>
      </c>
      <c r="C165" s="8" t="s">
        <v>368</v>
      </c>
      <c r="D165" s="8" t="s">
        <v>192</v>
      </c>
      <c r="E165" s="8" t="s">
        <v>294</v>
      </c>
      <c r="F165" s="8" t="s">
        <v>369</v>
      </c>
      <c r="G165" s="8" t="s">
        <v>377</v>
      </c>
      <c r="H165" s="8">
        <v>12.1</v>
      </c>
      <c r="I165" s="8">
        <f>(6.62+7.67+6.19)/3</f>
        <v>6.8266666666666671</v>
      </c>
      <c r="J165" s="8">
        <f>(6.82+6.97+7.08)/3</f>
        <v>6.9566666666666661</v>
      </c>
      <c r="K165" s="8">
        <f t="shared" si="14"/>
        <v>13.783333333333333</v>
      </c>
      <c r="L165" s="8">
        <f t="shared" si="15"/>
        <v>11.391184573002755</v>
      </c>
      <c r="M165" s="9">
        <v>1.45</v>
      </c>
      <c r="N165" s="10">
        <v>2.95</v>
      </c>
      <c r="O165" s="10">
        <f t="shared" si="16"/>
        <v>4.4000000000000004</v>
      </c>
      <c r="P165" s="8">
        <f>2.01-0.05</f>
        <v>1.9599999999999997</v>
      </c>
      <c r="Q165" s="8">
        <f>2.77-0.05</f>
        <v>2.72</v>
      </c>
      <c r="R165" s="8">
        <f t="shared" si="17"/>
        <v>4.68</v>
      </c>
      <c r="S165" s="10">
        <v>1.22</v>
      </c>
      <c r="T165" s="10">
        <v>1.23</v>
      </c>
      <c r="U165" s="10">
        <f t="shared" si="18"/>
        <v>2.4500000000000002</v>
      </c>
      <c r="V165" s="8">
        <f t="shared" si="19"/>
        <v>0.52350427350427353</v>
      </c>
      <c r="W165" s="8">
        <f t="shared" si="20"/>
        <v>79.591836734693871</v>
      </c>
    </row>
    <row r="166" spans="1:23" x14ac:dyDescent="0.25">
      <c r="A166" s="8" t="s">
        <v>304</v>
      </c>
      <c r="B166" s="8">
        <v>19</v>
      </c>
      <c r="C166" s="8" t="s">
        <v>370</v>
      </c>
      <c r="D166" s="8" t="s">
        <v>192</v>
      </c>
      <c r="E166" s="8" t="s">
        <v>294</v>
      </c>
      <c r="F166" s="8" t="s">
        <v>371</v>
      </c>
      <c r="G166" s="8" t="s">
        <v>378</v>
      </c>
      <c r="H166" s="8">
        <v>11.3</v>
      </c>
      <c r="I166" s="8">
        <f>(5.37+4.85+4.64)/3</f>
        <v>4.9533333333333331</v>
      </c>
      <c r="J166" s="8">
        <f>(10.04+9.04+8.55)/3</f>
        <v>9.2099999999999991</v>
      </c>
      <c r="K166" s="8">
        <f t="shared" si="14"/>
        <v>14.163333333333332</v>
      </c>
      <c r="L166" s="8">
        <f t="shared" si="15"/>
        <v>12.533923303834808</v>
      </c>
      <c r="M166" s="9">
        <v>1.1000000000000001</v>
      </c>
      <c r="N166" s="10">
        <v>4.0599999999999996</v>
      </c>
      <c r="O166" s="10">
        <f t="shared" si="16"/>
        <v>5.16</v>
      </c>
      <c r="P166" s="8">
        <f>1.57-0.05</f>
        <v>1.52</v>
      </c>
      <c r="Q166" s="8">
        <f>3.76-0.05</f>
        <v>3.71</v>
      </c>
      <c r="R166" s="8">
        <f t="shared" si="17"/>
        <v>5.23</v>
      </c>
      <c r="S166" s="10">
        <v>1.02</v>
      </c>
      <c r="T166" s="10">
        <v>1.65</v>
      </c>
      <c r="U166" s="10">
        <f t="shared" si="18"/>
        <v>2.67</v>
      </c>
      <c r="V166" s="8">
        <f t="shared" si="19"/>
        <v>0.51051625239005727</v>
      </c>
      <c r="W166" s="8">
        <f t="shared" si="20"/>
        <v>93.258426966292134</v>
      </c>
    </row>
    <row r="167" spans="1:23" x14ac:dyDescent="0.25">
      <c r="A167" s="8" t="s">
        <v>304</v>
      </c>
      <c r="B167" s="8">
        <v>1</v>
      </c>
      <c r="C167" s="8" t="s">
        <v>372</v>
      </c>
      <c r="D167" s="8" t="s">
        <v>192</v>
      </c>
      <c r="E167" s="8" t="s">
        <v>294</v>
      </c>
      <c r="F167" s="8" t="s">
        <v>373</v>
      </c>
      <c r="G167" s="8" t="s">
        <v>378</v>
      </c>
      <c r="H167" s="8">
        <v>11.7</v>
      </c>
      <c r="I167" s="8">
        <f>(4.25+5.29+4.84)/3</f>
        <v>4.793333333333333</v>
      </c>
      <c r="J167" s="8">
        <f>(5.67+6.31+5.4)/3</f>
        <v>5.7933333333333339</v>
      </c>
      <c r="K167" s="8">
        <f t="shared" si="14"/>
        <v>10.586666666666666</v>
      </c>
      <c r="L167" s="8">
        <f t="shared" si="15"/>
        <v>9.0484330484330489</v>
      </c>
      <c r="M167" s="9">
        <v>0.35</v>
      </c>
      <c r="N167" s="10">
        <v>1.45</v>
      </c>
      <c r="O167" s="10">
        <f t="shared" si="16"/>
        <v>1.7999999999999998</v>
      </c>
      <c r="P167" s="8">
        <f>0.61-0.05</f>
        <v>0.55999999999999994</v>
      </c>
      <c r="Q167" s="8">
        <f>1.35-0.05</f>
        <v>1.3</v>
      </c>
      <c r="R167" s="8">
        <f t="shared" si="17"/>
        <v>1.8599999999999999</v>
      </c>
      <c r="S167" s="10">
        <v>0.35</v>
      </c>
      <c r="T167" s="10">
        <v>0.69</v>
      </c>
      <c r="U167" s="10">
        <f t="shared" si="18"/>
        <v>1.04</v>
      </c>
      <c r="V167" s="8">
        <f t="shared" si="19"/>
        <v>0.55913978494623662</v>
      </c>
      <c r="W167" s="8">
        <f t="shared" si="20"/>
        <v>73.076923076923052</v>
      </c>
    </row>
    <row r="168" spans="1:23" x14ac:dyDescent="0.25">
      <c r="A168" s="8" t="s">
        <v>304</v>
      </c>
      <c r="B168" s="8">
        <v>11</v>
      </c>
      <c r="C168" s="8" t="s">
        <v>374</v>
      </c>
      <c r="D168" s="8" t="s">
        <v>192</v>
      </c>
      <c r="E168" s="8" t="s">
        <v>294</v>
      </c>
      <c r="F168" s="8" t="s">
        <v>375</v>
      </c>
      <c r="G168" s="8" t="s">
        <v>377</v>
      </c>
      <c r="H168" s="8">
        <v>10.9</v>
      </c>
      <c r="I168" s="8">
        <f>(6.3+7.74+7.03)/3</f>
        <v>7.0233333333333334</v>
      </c>
      <c r="J168" s="8">
        <f>(9.06+9.38+9.23)/3</f>
        <v>9.2233333333333345</v>
      </c>
      <c r="K168" s="8">
        <f t="shared" si="14"/>
        <v>16.24666666666667</v>
      </c>
      <c r="L168" s="8">
        <f t="shared" si="15"/>
        <v>14.905198776758413</v>
      </c>
      <c r="M168" s="9">
        <v>2.0699999999999998</v>
      </c>
      <c r="N168" s="10">
        <v>4.21</v>
      </c>
      <c r="O168" s="10">
        <f t="shared" si="16"/>
        <v>6.2799999999999994</v>
      </c>
      <c r="P168" s="8">
        <f>2.89-0.05</f>
        <v>2.8400000000000003</v>
      </c>
      <c r="Q168" s="8">
        <f>3.98-0.05</f>
        <v>3.93</v>
      </c>
      <c r="R168" s="8">
        <f t="shared" si="17"/>
        <v>6.7700000000000005</v>
      </c>
      <c r="S168" s="10">
        <v>1.81</v>
      </c>
      <c r="T168" s="10">
        <v>1.75</v>
      </c>
      <c r="U168" s="10">
        <f t="shared" si="18"/>
        <v>3.56</v>
      </c>
      <c r="V168" s="8">
        <f t="shared" si="19"/>
        <v>0.52584933530280642</v>
      </c>
      <c r="W168" s="8">
        <f t="shared" si="20"/>
        <v>76.404494382022449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U051-S857</dc:creator>
  <cp:lastModifiedBy>Edouard Distin Carvalho</cp:lastModifiedBy>
  <dcterms:created xsi:type="dcterms:W3CDTF">2025-03-07T17:45:59Z</dcterms:created>
  <dcterms:modified xsi:type="dcterms:W3CDTF">2025-04-10T15:17:59Z</dcterms:modified>
</cp:coreProperties>
</file>