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to 1-A" sheetId="1" r:id="rId4"/>
  </sheets>
  <definedNames/>
  <calcPr/>
</workbook>
</file>

<file path=xl/sharedStrings.xml><?xml version="1.0" encoding="utf-8"?>
<sst xmlns="http://schemas.openxmlformats.org/spreadsheetml/2006/main" count="210" uniqueCount="163">
  <si>
    <t>Projeto de 1.A - Complemento de elementos de máquinas</t>
  </si>
  <si>
    <t>Professor : Sergio Evangelista</t>
  </si>
  <si>
    <t>Nome do Aluno</t>
  </si>
  <si>
    <t>R.A.</t>
  </si>
  <si>
    <t xml:space="preserve">Edson Arthur Zancheta </t>
  </si>
  <si>
    <t>Luan de Lima Sales</t>
  </si>
  <si>
    <t>Marcos Henrique Cardilo</t>
  </si>
  <si>
    <t>Dados de projeto</t>
  </si>
  <si>
    <t>Numero de pares</t>
  </si>
  <si>
    <t>Condição geral da máquina</t>
  </si>
  <si>
    <t>Ciclos/hora</t>
  </si>
  <si>
    <t>horas/dia</t>
  </si>
  <si>
    <t>dias/semana</t>
  </si>
  <si>
    <t>semanas/ano</t>
  </si>
  <si>
    <t>Anos previstos de trabalho</t>
  </si>
  <si>
    <t>Horas totais previstas para trabalho no periodo</t>
  </si>
  <si>
    <t>Fator de Serviço</t>
  </si>
  <si>
    <t>Tipo de acionamento</t>
  </si>
  <si>
    <t>Classes de choques da máquina</t>
  </si>
  <si>
    <t>M</t>
  </si>
  <si>
    <t>Rotação de entrada do redutor</t>
  </si>
  <si>
    <t>Numero de polos</t>
  </si>
  <si>
    <t xml:space="preserve">Frequência da rede [Hz] </t>
  </si>
  <si>
    <t>Potência</t>
  </si>
  <si>
    <t>Potência Nominal da máquina [Hp]</t>
  </si>
  <si>
    <t>Potência Nominal da máquina [W]</t>
  </si>
  <si>
    <t>Numeros de estagios</t>
  </si>
  <si>
    <t>Numero</t>
  </si>
  <si>
    <t>Relação nominal total esperada para a caixa</t>
  </si>
  <si>
    <t>Erro maximo percentual em relação ao valor esperado (valido para a redução global)</t>
  </si>
  <si>
    <t>&lt;1%</t>
  </si>
  <si>
    <t>Composição Estágios:
Reto - R
Helicoidal - H</t>
  </si>
  <si>
    <t>Na ordem do estágio 1 para o estágio 3</t>
  </si>
  <si>
    <t>RHH</t>
  </si>
  <si>
    <t>Para dentes retos</t>
  </si>
  <si>
    <t>Tipo de carregamento</t>
  </si>
  <si>
    <t>HPTSC</t>
  </si>
  <si>
    <t>Angulo de pressao normal -  dentes retos [Graus]</t>
  </si>
  <si>
    <t>Angulo de pressao normal -  dentes retos [Radianos]</t>
  </si>
  <si>
    <t>Angulo de hélice [Radianos]</t>
  </si>
  <si>
    <t>Para dentes helicoidais</t>
  </si>
  <si>
    <t>PONTA</t>
  </si>
  <si>
    <t>Angulo de helice [Graus]</t>
  </si>
  <si>
    <t>Angulo de helice [Radianos]</t>
  </si>
  <si>
    <t>Premissas para fabricação de engrenagens</t>
  </si>
  <si>
    <t>Garantir menor numero de dentes possivel e viavel em cada par</t>
  </si>
  <si>
    <t>Sim</t>
  </si>
  <si>
    <t>Temperatura de trabalho  [Graus celsius]</t>
  </si>
  <si>
    <t>Confiabilidade%</t>
  </si>
  <si>
    <t>Aço endurecido por completo</t>
  </si>
  <si>
    <t>Dureza HB na coroa (valor minimo)</t>
  </si>
  <si>
    <t>&lt;180</t>
  </si>
  <si>
    <t>Dureza HB no pinhao (valor minimo)</t>
  </si>
  <si>
    <t>Utilizar valores médios para as tensões admissiveis</t>
  </si>
  <si>
    <t>Dentes com altura normal (profundidade completa)</t>
  </si>
  <si>
    <t>Sim: Adendo e dedendo</t>
  </si>
  <si>
    <t>Fator de qualidade Qv</t>
  </si>
  <si>
    <t>Fabricação Convencional e bem acabada</t>
  </si>
  <si>
    <t>Todas as engrenagens montadas entre mancais</t>
  </si>
  <si>
    <t>Rotação de entrada</t>
  </si>
  <si>
    <t>Rotação [rpm]</t>
  </si>
  <si>
    <t>Equação disponivel no pdf "Projeto_01_2024", cedido pelo professor</t>
  </si>
  <si>
    <t>Ratação [rad/s]</t>
  </si>
  <si>
    <t>Unidade</t>
  </si>
  <si>
    <t>Primeiro estágio (dentes retos)</t>
  </si>
  <si>
    <t>Segundo estágio (dentes helicoidais)</t>
  </si>
  <si>
    <t>Terceiro estágio (dentes helicoidais)</t>
  </si>
  <si>
    <t>Pinhão 1 (eixo 1)</t>
  </si>
  <si>
    <t>Coroa 1 (eixo 2)</t>
  </si>
  <si>
    <t>Pinhao 2 (eixo2)</t>
  </si>
  <si>
    <t>Coroa 2 (eixo 3)</t>
  </si>
  <si>
    <t>Pinhao 3 (eixo 3)</t>
  </si>
  <si>
    <t>Coroa 3 (eixo 4)</t>
  </si>
  <si>
    <t>Bloco 1</t>
  </si>
  <si>
    <t>Relaçao de transmissão desejada</t>
  </si>
  <si>
    <t>[-]</t>
  </si>
  <si>
    <t>Figura 1.16 da Apostila “Engenharia de Projeto – Elementos de transmissão”, com os pontos inseridos na tabela</t>
  </si>
  <si>
    <t>Equação 1.57 da Apostila “Engenharia de Projeto – Elementos de transmissão”</t>
  </si>
  <si>
    <t>Nº de dentes</t>
  </si>
  <si>
    <t>[unid]</t>
  </si>
  <si>
    <t>Numero de dentes da engrenagem de dentes retos estimados conforme tabela 12-13 (Angulo de 25 graus, carregamento HPTSC) utilizando o numero mínimo onde não ocorre undercutting.
O mesmo foi feito para engrenagens helicoidais, utilizando a tabela 13-4 (25º para angulo de pressão, 10º para o angulo de hélice).</t>
  </si>
  <si>
    <t>Tabela 12-13 do Norton v.4</t>
  </si>
  <si>
    <t>Tabela 13-4 do Norton v.4</t>
  </si>
  <si>
    <t>Nº de dentes corrigido</t>
  </si>
  <si>
    <t>Para evitar que os dentes do pinhão e da coroa tenham uma razão inteira (primeiro estagio, 70/14 = 5), foi retirado um dente da coroa no primeiro estágio</t>
  </si>
  <si>
    <t>Priorizando o numero minimo de dentes para o pinhão, como pedido no escopo do projeto</t>
  </si>
  <si>
    <t>Relação de transmissão de cada estágio</t>
  </si>
  <si>
    <t>Dentes Coroa/Dentes pinhao</t>
  </si>
  <si>
    <t>Relação de transmissão total</t>
  </si>
  <si>
    <t>Multiplicação das relações de transmissão</t>
  </si>
  <si>
    <t>Erro para cada estagio</t>
  </si>
  <si>
    <t>%</t>
  </si>
  <si>
    <t>Erro total de relação de transmissao</t>
  </si>
  <si>
    <t>Necessário ser menor que 1% (Escopo de projeto)</t>
  </si>
  <si>
    <t>Cor verde = OK
Cor Vermelha = Não conforme</t>
  </si>
  <si>
    <t>Módulo normal estimado</t>
  </si>
  <si>
    <t>[mm]</t>
  </si>
  <si>
    <t>Para o primeiro conjunto, foi utlizado a figura 1.18 da Apostila “Engenharia de Projeto – Elementos de transmissão” p(31), intersecção entre 1200 rpm e 6 hp. Como o valor ficou muito perto de 2 mm, seguindo a tabela 1.4 da Apostila, temos que o valor recomendado para a primeira escolha é de 2 mm</t>
  </si>
  <si>
    <t>Figura 1.18 da Apostila “Engenharia de Projeto – Elementos de transmissão”, com as linhas linhas de intersecção inseridas na imagem</t>
  </si>
  <si>
    <t>Para os estágio helicoidais, foi utilizado a formula 1.59 da apostila</t>
  </si>
  <si>
    <t>Módulo normal padronizado</t>
  </si>
  <si>
    <t>Escolhido o modulo mais proximo, segundo a tabela 1.3 e tabela 1.4</t>
  </si>
  <si>
    <t xml:space="preserve">Módulo Tranversal </t>
  </si>
  <si>
    <t>Equação 1.24 da Apostila “Engenharia de Projeto – Elementos de transmissão”</t>
  </si>
  <si>
    <t>Diametro Primitivo</t>
  </si>
  <si>
    <t>Equação 1.25 da Apostila “Engenharia de Projeto – Elementos de transmissão”</t>
  </si>
  <si>
    <t>Diametro Base</t>
  </si>
  <si>
    <t>Equação 1.3 da Apostila “Engenharia de Projeto – Elementos de transmissão”</t>
  </si>
  <si>
    <t xml:space="preserve">Diametro Raiz </t>
  </si>
  <si>
    <t>Equação 1.7 da Apostila “Engenharia de Projeto – Elementos de transmissão”</t>
  </si>
  <si>
    <t>Diametro Externo</t>
  </si>
  <si>
    <t>Equação 1.6 da Apostila “Engenharia de Projeto – Elementos de transmissão”</t>
  </si>
  <si>
    <t>Diametro interno</t>
  </si>
  <si>
    <t>Equação 1.8 da Apostila “Engenharia de Projeto – Elementos de transmissão”</t>
  </si>
  <si>
    <t>Angulo de pressão transversal</t>
  </si>
  <si>
    <t>[rad]</t>
  </si>
  <si>
    <t>Equação 1.26 da Apostila “Engenharia de Projeto – Elementos de transmissão”</t>
  </si>
  <si>
    <t>Distancia entre centros (C)</t>
  </si>
  <si>
    <t>Somatório dos diametros primitivos / 2</t>
  </si>
  <si>
    <t>Passo circular (pc)</t>
  </si>
  <si>
    <t>Equação 1.1 da Apostila “Engenharia de Projeto – Elementos de transmissão”</t>
  </si>
  <si>
    <t>Passo de base (pb)</t>
  </si>
  <si>
    <t>Equação 1.4 da Apostila “Engenharia de Projeto – Elementos de transmissão”</t>
  </si>
  <si>
    <t>Passo normal (pn)</t>
  </si>
  <si>
    <t>Equação 1.21 da Apostila “Engenharia de Projeto – Elementos de transmissão”</t>
  </si>
  <si>
    <t>Passo transversal (pt)</t>
  </si>
  <si>
    <t>-</t>
  </si>
  <si>
    <t>Equação 1.20 da Apostila “Engenharia de Projeto – Elementos de transmissão”</t>
  </si>
  <si>
    <t>Passo axial (px)</t>
  </si>
  <si>
    <t>Equação 1.22 da Apostila “Engenharia de Projeto – Elementos de transmissão”</t>
  </si>
  <si>
    <t>Adendo</t>
  </si>
  <si>
    <t>Tabela 1.5 da Apostila “Engenharia de Projeto – Elementos de transmissão”,</t>
  </si>
  <si>
    <t>Dedendo</t>
  </si>
  <si>
    <t>Altura do dente</t>
  </si>
  <si>
    <t>Adendo + Dedendo</t>
  </si>
  <si>
    <t>Folga do dente</t>
  </si>
  <si>
    <t>Dedendo - adendo</t>
  </si>
  <si>
    <t>Largura de Face</t>
  </si>
  <si>
    <t>Para dentes retos, entre 8 modulo a 12 modulo, foi escolhido 12 para o pinhao e 10 para a coroa, pois é comum fazer com que a largura do pinhão seja de 1m a 2m maior que a largura da coroa</t>
  </si>
  <si>
    <t>Para dentes helicoidais, usar a Equação 1.28 da Apostila “Engenharia de Projeto – Elementos de transmissão”, sendo ideal F = 2*px</t>
  </si>
  <si>
    <t>Comprimento de ação</t>
  </si>
  <si>
    <t>Equação 1.11 da Apostila “Engenharia de Projeto – Elementos de transmissão”</t>
  </si>
  <si>
    <t>Razão de contato transversal ou grau de recobrimento (mp)</t>
  </si>
  <si>
    <t>Equação 1.12 da Apostila “Engenharia de Projeto – Elementos de transmissão”</t>
  </si>
  <si>
    <t>Razão de contato axial (mf)</t>
  </si>
  <si>
    <t>Equação 1.27 da Apostila “Engenharia de Projeto – Elementos de transmissão”</t>
  </si>
  <si>
    <t>Razão de contato total</t>
  </si>
  <si>
    <t>Bloco 2</t>
  </si>
  <si>
    <t xml:space="preserve">Rotação </t>
  </si>
  <si>
    <t>[rad/s]</t>
  </si>
  <si>
    <t>Equação 1.33 da Apostila “Engenharia de Projeto – Elementos de transmissão”</t>
  </si>
  <si>
    <t xml:space="preserve">Torque </t>
  </si>
  <si>
    <t>[N.m]</t>
  </si>
  <si>
    <t>Equação 1.34 da Apostila “Engenharia de Projeto – Elementos de transmissão”</t>
  </si>
  <si>
    <t>Força Tangêncial (Wt)</t>
  </si>
  <si>
    <t>[N]</t>
  </si>
  <si>
    <t>Equação 13.13a da pág. 751 do Norton v.4 e Equação 12.13a da pág 706</t>
  </si>
  <si>
    <t>Força Radial (Wr)</t>
  </si>
  <si>
    <t>Equação 1.35 da Apostila “Engenharia de Projeto – Elementos de transmissão”</t>
  </si>
  <si>
    <t>Força Axial (Wa)</t>
  </si>
  <si>
    <t>Equação 1.40 da Apostila “Engenharia de Projeto – Elementos de transmissão”</t>
  </si>
  <si>
    <t>Força Total (W)</t>
  </si>
  <si>
    <t>Equação 1.41 da Apostila “Engenharia de Projeto – Elementos de transmissão”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</si>
</sst>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b/>
      <sz val="12.0"/>
      <color theme="1"/>
      <name val="Arial"/>
      <scheme val="minor"/>
    </font>
    <font>
      <color rgb="FF000000"/>
      <name val="Arial"/>
    </font>
    <font>
      <sz val="11.0"/>
      <color rgb="FF1F1F1F"/>
      <name val="&quot;Google Sans&quot;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4" fillId="3" fontId="1" numFmtId="0" xfId="0" applyAlignment="1" applyBorder="1" applyFill="1" applyFont="1">
      <alignment horizontal="center" readingOrder="0"/>
    </xf>
    <xf borderId="7" fillId="3" fontId="1" numFmtId="0" xfId="0" applyAlignment="1" applyBorder="1" applyFont="1">
      <alignment horizontal="center" readingOrder="0"/>
    </xf>
    <xf borderId="7" fillId="0" fontId="2" numFmtId="0" xfId="0" applyBorder="1" applyFont="1"/>
    <xf borderId="8" fillId="0" fontId="2" numFmtId="0" xfId="0" applyBorder="1" applyFont="1"/>
    <xf borderId="9" fillId="3" fontId="1" numFmtId="0" xfId="0" applyAlignment="1" applyBorder="1" applyFont="1">
      <alignment horizontal="center" readingOrder="0"/>
    </xf>
    <xf borderId="10" fillId="0" fontId="2" numFmtId="0" xfId="0" applyBorder="1" applyFont="1"/>
    <xf borderId="11" fillId="0" fontId="3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12" fillId="0" fontId="2" numFmtId="0" xfId="0" applyBorder="1" applyFont="1"/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3" fillId="0" fontId="2" numFmtId="0" xfId="0" applyBorder="1" applyFont="1"/>
    <xf borderId="5" fillId="0" fontId="1" numFmtId="0" xfId="0" applyAlignment="1" applyBorder="1" applyFont="1">
      <alignment horizontal="center" readingOrder="0" shrinkToFit="0" wrapText="1"/>
    </xf>
    <xf borderId="6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14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0" fillId="4" fontId="1" numFmtId="0" xfId="0" applyAlignment="1" applyFill="1" applyFont="1">
      <alignment horizontal="center" readingOrder="0" shrinkToFit="0" wrapText="1"/>
    </xf>
    <xf borderId="12" fillId="0" fontId="1" numFmtId="0" xfId="0" applyAlignment="1" applyBorder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0" fillId="0" fontId="1" numFmtId="0" xfId="0" applyAlignment="1" applyFont="1">
      <alignment readingOrder="0" shrinkToFit="0" wrapText="1"/>
    </xf>
    <xf borderId="3" fillId="0" fontId="1" numFmtId="0" xfId="0" applyAlignment="1" applyBorder="1" applyFont="1">
      <alignment horizontal="center" readingOrder="0" shrinkToFit="0" wrapText="1"/>
    </xf>
    <xf borderId="5" fillId="0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6" fillId="0" fontId="1" numFmtId="0" xfId="0" applyAlignment="1" applyBorder="1" applyFont="1">
      <alignment horizontal="center" readingOrder="0" shrinkToFit="0" wrapText="1"/>
    </xf>
    <xf borderId="11" fillId="0" fontId="3" numFmtId="0" xfId="0" applyAlignment="1" applyBorder="1" applyFont="1">
      <alignment horizontal="center" readingOrder="0" vertical="center"/>
    </xf>
    <xf borderId="15" fillId="0" fontId="3" numFmtId="0" xfId="0" applyAlignment="1" applyBorder="1" applyFont="1">
      <alignment horizontal="center" readingOrder="0" vertical="center"/>
    </xf>
    <xf borderId="15" fillId="0" fontId="3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9" fillId="0" fontId="1" numFmtId="0" xfId="0" applyAlignment="1" applyBorder="1" applyFont="1">
      <alignment horizontal="center" readingOrder="0" vertical="center"/>
    </xf>
    <xf borderId="14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9" fillId="0" fontId="2" numFmtId="0" xfId="0" applyBorder="1" applyFont="1"/>
    <xf borderId="12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0" fillId="5" fontId="5" numFmtId="0" xfId="0" applyAlignment="1" applyFill="1" applyFont="1">
      <alignment horizontal="center" readingOrder="0" shrinkToFit="0" vertical="center" wrapText="1"/>
    </xf>
    <xf borderId="0" fillId="0" fontId="1" numFmtId="10" xfId="0" applyAlignment="1" applyFont="1" applyNumberFormat="1">
      <alignment horizontal="center" readingOrder="0" vertical="center"/>
    </xf>
    <xf borderId="9" fillId="0" fontId="1" numFmtId="10" xfId="0" applyAlignment="1" applyBorder="1" applyFont="1" applyNumberFormat="1">
      <alignment horizontal="center" readingOrder="0" vertical="center"/>
    </xf>
    <xf borderId="9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12" fillId="4" fontId="1" numFmtId="0" xfId="0" applyAlignment="1" applyBorder="1" applyFont="1">
      <alignment horizontal="center" readingOrder="0" vertical="center"/>
    </xf>
    <xf borderId="0" fillId="0" fontId="1" numFmtId="0" xfId="0" applyFont="1"/>
    <xf borderId="0" fillId="5" fontId="6" numFmtId="0" xfId="0" applyAlignment="1" applyFont="1">
      <alignment readingOrder="0" shrinkToFit="0" wrapText="1"/>
    </xf>
    <xf borderId="12" fillId="0" fontId="1" numFmtId="0" xfId="0" applyAlignment="1" applyBorder="1" applyFont="1">
      <alignment horizontal="center" readingOrder="0" shrinkToFit="0" wrapText="1"/>
    </xf>
    <xf borderId="4" fillId="0" fontId="2" numFmtId="0" xfId="0" applyBorder="1" applyFont="1"/>
    <xf borderId="13" fillId="0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readingOrder="0" vertical="center"/>
    </xf>
    <xf borderId="0" fillId="0" fontId="1" numFmtId="164" xfId="0" applyAlignment="1" applyFont="1" applyNumberFormat="1">
      <alignment horizontal="center" vertical="center"/>
    </xf>
    <xf borderId="10" fillId="0" fontId="1" numFmtId="164" xfId="0" applyAlignment="1" applyBorder="1" applyFont="1" applyNumberFormat="1">
      <alignment horizontal="center" vertical="center"/>
    </xf>
    <xf borderId="0" fillId="0" fontId="1" numFmtId="164" xfId="0" applyAlignment="1" applyFont="1" applyNumberForma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5" fillId="0" fontId="1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4.png"/><Relationship Id="rId22" Type="http://schemas.openxmlformats.org/officeDocument/2006/relationships/image" Target="../media/image9.png"/><Relationship Id="rId21" Type="http://schemas.openxmlformats.org/officeDocument/2006/relationships/image" Target="../media/image20.png"/><Relationship Id="rId24" Type="http://schemas.openxmlformats.org/officeDocument/2006/relationships/image" Target="../media/image22.png"/><Relationship Id="rId23" Type="http://schemas.openxmlformats.org/officeDocument/2006/relationships/image" Target="../media/image15.png"/><Relationship Id="rId1" Type="http://schemas.openxmlformats.org/officeDocument/2006/relationships/image" Target="../media/image16.png"/><Relationship Id="rId2" Type="http://schemas.openxmlformats.org/officeDocument/2006/relationships/image" Target="../media/image5.png"/><Relationship Id="rId3" Type="http://schemas.openxmlformats.org/officeDocument/2006/relationships/image" Target="../media/image12.png"/><Relationship Id="rId4" Type="http://schemas.openxmlformats.org/officeDocument/2006/relationships/image" Target="../media/image2.png"/><Relationship Id="rId9" Type="http://schemas.openxmlformats.org/officeDocument/2006/relationships/image" Target="../media/image24.png"/><Relationship Id="rId25" Type="http://schemas.openxmlformats.org/officeDocument/2006/relationships/image" Target="../media/image8.png"/><Relationship Id="rId5" Type="http://schemas.openxmlformats.org/officeDocument/2006/relationships/image" Target="../media/image23.png"/><Relationship Id="rId6" Type="http://schemas.openxmlformats.org/officeDocument/2006/relationships/image" Target="../media/image7.png"/><Relationship Id="rId7" Type="http://schemas.openxmlformats.org/officeDocument/2006/relationships/image" Target="../media/image11.png"/><Relationship Id="rId8" Type="http://schemas.openxmlformats.org/officeDocument/2006/relationships/image" Target="../media/image17.png"/><Relationship Id="rId11" Type="http://schemas.openxmlformats.org/officeDocument/2006/relationships/image" Target="../media/image10.png"/><Relationship Id="rId10" Type="http://schemas.openxmlformats.org/officeDocument/2006/relationships/image" Target="../media/image21.png"/><Relationship Id="rId13" Type="http://schemas.openxmlformats.org/officeDocument/2006/relationships/image" Target="../media/image13.jpg"/><Relationship Id="rId12" Type="http://schemas.openxmlformats.org/officeDocument/2006/relationships/image" Target="../media/image18.jpg"/><Relationship Id="rId15" Type="http://schemas.openxmlformats.org/officeDocument/2006/relationships/image" Target="../media/image1.jpg"/><Relationship Id="rId14" Type="http://schemas.openxmlformats.org/officeDocument/2006/relationships/image" Target="../media/image14.jpg"/><Relationship Id="rId17" Type="http://schemas.openxmlformats.org/officeDocument/2006/relationships/image" Target="../media/image6.jpg"/><Relationship Id="rId16" Type="http://schemas.openxmlformats.org/officeDocument/2006/relationships/image" Target="../media/image3.png"/><Relationship Id="rId19" Type="http://schemas.openxmlformats.org/officeDocument/2006/relationships/image" Target="../media/image19.png"/><Relationship Id="rId18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46</xdr:row>
      <xdr:rowOff>0</xdr:rowOff>
    </xdr:from>
    <xdr:ext cx="1238250" cy="238125"/>
    <xdr:pic>
      <xdr:nvPicPr>
        <xdr:cNvPr id="0" name="image16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52</xdr:row>
      <xdr:rowOff>0</xdr:rowOff>
    </xdr:from>
    <xdr:ext cx="209550" cy="20002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52</xdr:row>
      <xdr:rowOff>0</xdr:rowOff>
    </xdr:from>
    <xdr:ext cx="438150" cy="200025"/>
    <xdr:pic>
      <xdr:nvPicPr>
        <xdr:cNvPr id="0" name="image12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53</xdr:row>
      <xdr:rowOff>0</xdr:rowOff>
    </xdr:from>
    <xdr:ext cx="495300" cy="200025"/>
    <xdr:pic>
      <xdr:nvPicPr>
        <xdr:cNvPr id="0" name="image2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53</xdr:row>
      <xdr:rowOff>0</xdr:rowOff>
    </xdr:from>
    <xdr:ext cx="485775" cy="200025"/>
    <xdr:pic>
      <xdr:nvPicPr>
        <xdr:cNvPr id="0" name="image2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59</xdr:row>
      <xdr:rowOff>0</xdr:rowOff>
    </xdr:from>
    <xdr:ext cx="180975" cy="200025"/>
    <xdr:pic>
      <xdr:nvPicPr>
        <xdr:cNvPr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59</xdr:row>
      <xdr:rowOff>0</xdr:rowOff>
    </xdr:from>
    <xdr:ext cx="428625" cy="200025"/>
    <xdr:pic>
      <xdr:nvPicPr>
        <xdr:cNvPr id="0" name="image11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60</xdr:row>
      <xdr:rowOff>0</xdr:rowOff>
    </xdr:from>
    <xdr:ext cx="209550" cy="200025"/>
    <xdr:pic>
      <xdr:nvPicPr>
        <xdr:cNvPr id="0" name="image17.png" title="Imagem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61</xdr:row>
      <xdr:rowOff>0</xdr:rowOff>
    </xdr:from>
    <xdr:ext cx="371475" cy="200025"/>
    <xdr:pic>
      <xdr:nvPicPr>
        <xdr:cNvPr descr="Formula módulo transversal&#10;" id="0" name="image24.png" title="Imagem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62</xdr:row>
      <xdr:rowOff>0</xdr:rowOff>
    </xdr:from>
    <xdr:ext cx="571500" cy="200025"/>
    <xdr:pic>
      <xdr:nvPicPr>
        <xdr:cNvPr id="0" name="image21.png" title="Imagem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63</xdr:row>
      <xdr:rowOff>0</xdr:rowOff>
    </xdr:from>
    <xdr:ext cx="619125" cy="200025"/>
    <xdr:pic>
      <xdr:nvPicPr>
        <xdr:cNvPr id="0" name="image10.png" title="Imagem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64</xdr:row>
      <xdr:rowOff>0</xdr:rowOff>
    </xdr:from>
    <xdr:ext cx="781050" cy="200025"/>
    <xdr:pic>
      <xdr:nvPicPr>
        <xdr:cNvPr id="0" name="image18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65</xdr:row>
      <xdr:rowOff>0</xdr:rowOff>
    </xdr:from>
    <xdr:ext cx="1152525" cy="352425"/>
    <xdr:pic>
      <xdr:nvPicPr>
        <xdr:cNvPr id="0" name="image13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66</xdr:row>
      <xdr:rowOff>0</xdr:rowOff>
    </xdr:from>
    <xdr:ext cx="628650" cy="200025"/>
    <xdr:pic>
      <xdr:nvPicPr>
        <xdr:cNvPr id="0" name="image14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67</xdr:row>
      <xdr:rowOff>0</xdr:rowOff>
    </xdr:from>
    <xdr:ext cx="1543050" cy="561975"/>
    <xdr:pic>
      <xdr:nvPicPr>
        <xdr:cNvPr id="0" name="image1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69</xdr:row>
      <xdr:rowOff>0</xdr:rowOff>
    </xdr:from>
    <xdr:ext cx="504825" cy="200025"/>
    <xdr:pic>
      <xdr:nvPicPr>
        <xdr:cNvPr id="0" name="image3.png" title="Imagem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70</xdr:row>
      <xdr:rowOff>0</xdr:rowOff>
    </xdr:from>
    <xdr:ext cx="885825" cy="200025"/>
    <xdr:pic>
      <xdr:nvPicPr>
        <xdr:cNvPr id="0" name="image6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71</xdr:row>
      <xdr:rowOff>0</xdr:rowOff>
    </xdr:from>
    <xdr:ext cx="1228725" cy="533400"/>
    <xdr:pic>
      <xdr:nvPicPr>
        <xdr:cNvPr id="0" name="image25.png" title="Imagem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72</xdr:row>
      <xdr:rowOff>0</xdr:rowOff>
    </xdr:from>
    <xdr:ext cx="409575" cy="200025"/>
    <xdr:pic>
      <xdr:nvPicPr>
        <xdr:cNvPr id="0" name="image19.png" title="Imagem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73</xdr:row>
      <xdr:rowOff>0</xdr:rowOff>
    </xdr:from>
    <xdr:ext cx="400050" cy="200025"/>
    <xdr:pic>
      <xdr:nvPicPr>
        <xdr:cNvPr id="0" name="image4.png" title="Imagem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74</xdr:row>
      <xdr:rowOff>0</xdr:rowOff>
    </xdr:from>
    <xdr:ext cx="476250" cy="200025"/>
    <xdr:pic>
      <xdr:nvPicPr>
        <xdr:cNvPr id="0" name="image20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78</xdr:row>
      <xdr:rowOff>0</xdr:rowOff>
    </xdr:from>
    <xdr:ext cx="619125" cy="200025"/>
    <xdr:pic>
      <xdr:nvPicPr>
        <xdr:cNvPr id="0" name="image9.png" title="Imagem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79</xdr:row>
      <xdr:rowOff>0</xdr:rowOff>
    </xdr:from>
    <xdr:ext cx="1876425" cy="200025"/>
    <xdr:pic>
      <xdr:nvPicPr>
        <xdr:cNvPr id="0" name="image15.png" title="Imagem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80</xdr:row>
      <xdr:rowOff>0</xdr:rowOff>
    </xdr:from>
    <xdr:ext cx="361950" cy="200025"/>
    <xdr:pic>
      <xdr:nvPicPr>
        <xdr:cNvPr id="0" name="image22.png" title="Imagem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81</xdr:row>
      <xdr:rowOff>0</xdr:rowOff>
    </xdr:from>
    <xdr:ext cx="581025" cy="200025"/>
    <xdr:pic>
      <xdr:nvPicPr>
        <xdr:cNvPr id="0" name="image8.png" title="Imagem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7.38"/>
    <col customWidth="1" min="2" max="2" width="31.13"/>
    <col customWidth="1" min="3" max="3" width="33.88"/>
    <col customWidth="1" min="4" max="4" width="18.88"/>
    <col customWidth="1" min="5" max="5" width="20.63"/>
    <col customWidth="1" min="6" max="6" width="16.25"/>
    <col customWidth="1" min="7" max="7" width="13.0"/>
    <col customWidth="1" min="8" max="8" width="16.63"/>
    <col customWidth="1" min="10" max="10" width="32.5"/>
    <col customWidth="1" min="11" max="11" width="50.63"/>
    <col customWidth="1" min="12" max="12" width="32.13"/>
    <col customWidth="1" min="13" max="13" width="17.25"/>
    <col customWidth="1" min="14" max="14" width="29.13"/>
    <col customWidth="1" min="15" max="15" width="23.5"/>
  </cols>
  <sheetData>
    <row r="2">
      <c r="A2" s="1" t="s">
        <v>0</v>
      </c>
      <c r="B2" s="2"/>
      <c r="C2" s="2"/>
      <c r="D2" s="2"/>
      <c r="E2" s="3"/>
    </row>
    <row r="3">
      <c r="A3" s="4" t="s">
        <v>1</v>
      </c>
      <c r="B3" s="5"/>
      <c r="C3" s="5"/>
      <c r="D3" s="5"/>
      <c r="E3" s="6"/>
    </row>
    <row r="4">
      <c r="A4" s="7" t="s">
        <v>2</v>
      </c>
      <c r="B4" s="5"/>
      <c r="C4" s="8" t="s">
        <v>3</v>
      </c>
      <c r="D4" s="9"/>
      <c r="E4" s="10"/>
    </row>
    <row r="5">
      <c r="A5" s="11" t="s">
        <v>4</v>
      </c>
      <c r="C5" s="11">
        <v>589403.0</v>
      </c>
      <c r="E5" s="12"/>
    </row>
    <row r="6">
      <c r="A6" s="11" t="s">
        <v>5</v>
      </c>
      <c r="C6" s="11">
        <v>760873.0</v>
      </c>
      <c r="E6" s="12"/>
    </row>
    <row r="7">
      <c r="A7" s="7" t="s">
        <v>6</v>
      </c>
      <c r="B7" s="5"/>
      <c r="C7" s="7">
        <v>744744.0</v>
      </c>
      <c r="D7" s="5"/>
      <c r="E7" s="6"/>
    </row>
    <row r="10">
      <c r="A10" s="13" t="s">
        <v>7</v>
      </c>
      <c r="B10" s="14" t="s">
        <v>8</v>
      </c>
      <c r="C10" s="15">
        <v>3.0</v>
      </c>
      <c r="D10" s="3"/>
    </row>
    <row r="11">
      <c r="A11" s="16"/>
      <c r="B11" s="14" t="s">
        <v>9</v>
      </c>
      <c r="C11" s="17" t="s">
        <v>10</v>
      </c>
      <c r="D11" s="18">
        <v>10.0</v>
      </c>
    </row>
    <row r="12">
      <c r="A12" s="16"/>
      <c r="B12" s="16"/>
      <c r="C12" s="19" t="s">
        <v>11</v>
      </c>
      <c r="D12" s="20">
        <v>12.0</v>
      </c>
    </row>
    <row r="13">
      <c r="A13" s="16"/>
      <c r="B13" s="16"/>
      <c r="C13" s="19" t="s">
        <v>12</v>
      </c>
      <c r="D13" s="20">
        <v>5.0</v>
      </c>
    </row>
    <row r="14">
      <c r="A14" s="16"/>
      <c r="B14" s="16"/>
      <c r="C14" s="19" t="s">
        <v>13</v>
      </c>
      <c r="D14" s="20">
        <v>50.0</v>
      </c>
    </row>
    <row r="15">
      <c r="A15" s="16"/>
      <c r="B15" s="16"/>
      <c r="C15" s="19" t="s">
        <v>14</v>
      </c>
      <c r="D15" s="20">
        <v>6.0</v>
      </c>
    </row>
    <row r="16">
      <c r="A16" s="16"/>
      <c r="B16" s="21"/>
      <c r="C16" s="22" t="s">
        <v>15</v>
      </c>
      <c r="D16" s="23">
        <v>18000.0</v>
      </c>
    </row>
    <row r="17">
      <c r="A17" s="16"/>
      <c r="B17" s="14" t="s">
        <v>16</v>
      </c>
      <c r="C17" s="19" t="s">
        <v>17</v>
      </c>
      <c r="D17" s="24"/>
    </row>
    <row r="18">
      <c r="A18" s="16"/>
      <c r="B18" s="21"/>
      <c r="C18" s="25" t="s">
        <v>18</v>
      </c>
      <c r="D18" s="23" t="s">
        <v>19</v>
      </c>
    </row>
    <row r="19">
      <c r="A19" s="16"/>
      <c r="B19" s="14" t="s">
        <v>20</v>
      </c>
      <c r="C19" s="19" t="s">
        <v>21</v>
      </c>
      <c r="D19" s="20">
        <v>6.0</v>
      </c>
    </row>
    <row r="20">
      <c r="A20" s="16"/>
      <c r="B20" s="21"/>
      <c r="C20" s="19" t="s">
        <v>22</v>
      </c>
      <c r="D20" s="20">
        <v>60.0</v>
      </c>
    </row>
    <row r="21">
      <c r="A21" s="16"/>
      <c r="B21" s="14" t="s">
        <v>23</v>
      </c>
      <c r="C21" s="17" t="s">
        <v>24</v>
      </c>
      <c r="D21" s="18">
        <v>6.0</v>
      </c>
    </row>
    <row r="22">
      <c r="A22" s="16"/>
      <c r="B22" s="21"/>
      <c r="C22" s="25" t="s">
        <v>25</v>
      </c>
      <c r="D22" s="24">
        <f>745.7*D21</f>
        <v>4474.2</v>
      </c>
    </row>
    <row r="23">
      <c r="A23" s="16"/>
      <c r="B23" s="14" t="s">
        <v>26</v>
      </c>
      <c r="C23" s="19" t="s">
        <v>27</v>
      </c>
      <c r="D23" s="18">
        <v>3.0</v>
      </c>
    </row>
    <row r="24">
      <c r="A24" s="16"/>
      <c r="B24" s="16"/>
      <c r="C24" s="26" t="s">
        <v>28</v>
      </c>
      <c r="D24" s="20">
        <v>40.0</v>
      </c>
    </row>
    <row r="25">
      <c r="A25" s="16"/>
      <c r="B25" s="21"/>
      <c r="C25" s="22" t="s">
        <v>29</v>
      </c>
      <c r="D25" s="23" t="s">
        <v>30</v>
      </c>
    </row>
    <row r="26">
      <c r="A26" s="16"/>
      <c r="B26" s="27" t="s">
        <v>31</v>
      </c>
      <c r="C26" s="28" t="s">
        <v>32</v>
      </c>
      <c r="D26" s="29" t="s">
        <v>33</v>
      </c>
    </row>
    <row r="27">
      <c r="A27" s="16"/>
      <c r="B27" s="14" t="s">
        <v>34</v>
      </c>
      <c r="C27" s="19" t="s">
        <v>35</v>
      </c>
      <c r="D27" s="20" t="s">
        <v>36</v>
      </c>
    </row>
    <row r="28">
      <c r="A28" s="16"/>
      <c r="B28" s="16"/>
      <c r="C28" s="30" t="s">
        <v>37</v>
      </c>
      <c r="D28" s="20">
        <v>25.0</v>
      </c>
    </row>
    <row r="29">
      <c r="A29" s="16"/>
      <c r="B29" s="16"/>
      <c r="C29" s="26" t="s">
        <v>38</v>
      </c>
      <c r="D29" s="20">
        <f>RADIANS(D28)</f>
        <v>0.436332313</v>
      </c>
    </row>
    <row r="30">
      <c r="A30" s="16"/>
      <c r="B30" s="21"/>
      <c r="C30" s="25" t="s">
        <v>39</v>
      </c>
      <c r="D30" s="23">
        <v>0.0</v>
      </c>
    </row>
    <row r="31">
      <c r="A31" s="16"/>
      <c r="B31" s="31" t="s">
        <v>40</v>
      </c>
      <c r="C31" s="19" t="s">
        <v>35</v>
      </c>
      <c r="D31" s="20" t="s">
        <v>41</v>
      </c>
    </row>
    <row r="32">
      <c r="A32" s="16"/>
      <c r="B32" s="16"/>
      <c r="C32" s="30" t="s">
        <v>37</v>
      </c>
      <c r="D32" s="20">
        <v>25.0</v>
      </c>
    </row>
    <row r="33">
      <c r="A33" s="16"/>
      <c r="B33" s="16"/>
      <c r="C33" s="26" t="s">
        <v>38</v>
      </c>
      <c r="D33" s="20">
        <f>RADIANS(D32)</f>
        <v>0.436332313</v>
      </c>
    </row>
    <row r="34">
      <c r="A34" s="16"/>
      <c r="B34" s="16"/>
      <c r="C34" s="32" t="s">
        <v>42</v>
      </c>
      <c r="D34" s="20">
        <v>10.0</v>
      </c>
    </row>
    <row r="35">
      <c r="A35" s="16"/>
      <c r="B35" s="16"/>
      <c r="C35" s="19" t="s">
        <v>43</v>
      </c>
      <c r="D35" s="20">
        <f>RADIANS(D34)</f>
        <v>0.1745329252</v>
      </c>
    </row>
    <row r="36">
      <c r="A36" s="16"/>
      <c r="B36" s="14" t="s">
        <v>44</v>
      </c>
      <c r="C36" s="33"/>
      <c r="D36" s="34"/>
    </row>
    <row r="37">
      <c r="A37" s="16"/>
      <c r="B37" s="16"/>
      <c r="C37" s="26" t="s">
        <v>45</v>
      </c>
      <c r="D37" s="20" t="s">
        <v>46</v>
      </c>
    </row>
    <row r="38">
      <c r="A38" s="16"/>
      <c r="B38" s="16"/>
      <c r="C38" s="19" t="s">
        <v>47</v>
      </c>
      <c r="D38" s="20">
        <v>70.0</v>
      </c>
    </row>
    <row r="39">
      <c r="A39" s="16"/>
      <c r="B39" s="21"/>
      <c r="C39" s="25" t="s">
        <v>48</v>
      </c>
      <c r="D39" s="23">
        <v>90.0</v>
      </c>
    </row>
    <row r="40">
      <c r="A40" s="16"/>
      <c r="B40" s="14" t="s">
        <v>49</v>
      </c>
      <c r="C40" s="33"/>
      <c r="D40" s="34"/>
    </row>
    <row r="41">
      <c r="A41" s="16"/>
      <c r="B41" s="16"/>
      <c r="C41" s="19" t="s">
        <v>50</v>
      </c>
      <c r="D41" s="20" t="s">
        <v>51</v>
      </c>
    </row>
    <row r="42">
      <c r="A42" s="16"/>
      <c r="B42" s="16"/>
      <c r="C42" s="19" t="s">
        <v>52</v>
      </c>
      <c r="D42" s="20">
        <v>240.0</v>
      </c>
    </row>
    <row r="43">
      <c r="A43" s="16"/>
      <c r="B43" s="21"/>
      <c r="C43" s="35"/>
      <c r="D43" s="36"/>
      <c r="E43" s="37" t="s">
        <v>53</v>
      </c>
    </row>
    <row r="44">
      <c r="A44" s="16"/>
      <c r="B44" s="14" t="s">
        <v>54</v>
      </c>
      <c r="C44" s="33"/>
      <c r="D44" s="38" t="s">
        <v>55</v>
      </c>
    </row>
    <row r="45">
      <c r="A45" s="16"/>
      <c r="B45" s="16"/>
      <c r="C45" s="19" t="s">
        <v>56</v>
      </c>
      <c r="D45" s="20">
        <v>6.0</v>
      </c>
    </row>
    <row r="46">
      <c r="A46" s="16"/>
      <c r="B46" s="21"/>
      <c r="C46" s="39" t="s">
        <v>57</v>
      </c>
      <c r="D46" s="40" t="s">
        <v>58</v>
      </c>
      <c r="M46" s="41"/>
      <c r="N46" s="41"/>
      <c r="O46" s="41"/>
    </row>
    <row r="47" ht="47.25" customHeight="1">
      <c r="A47" s="16"/>
      <c r="B47" s="14" t="s">
        <v>59</v>
      </c>
      <c r="C47" s="42" t="s">
        <v>60</v>
      </c>
      <c r="D47" s="38">
        <f>D20*60/(D19/2)</f>
        <v>1200</v>
      </c>
      <c r="E47" s="37" t="s">
        <v>61</v>
      </c>
      <c r="F47" s="43"/>
      <c r="M47" s="44"/>
    </row>
    <row r="48" ht="40.5" customHeight="1">
      <c r="A48" s="42"/>
      <c r="B48" s="21"/>
      <c r="C48" s="39" t="s">
        <v>62</v>
      </c>
      <c r="D48" s="45">
        <f>(D47*2*PI())/60</f>
        <v>125.6637061</v>
      </c>
      <c r="M48" s="44"/>
    </row>
    <row r="49">
      <c r="A49" s="42"/>
      <c r="B49" s="42"/>
      <c r="C49" s="42"/>
      <c r="D49" s="26"/>
      <c r="M49" s="44"/>
    </row>
    <row r="50">
      <c r="M50" s="44"/>
    </row>
    <row r="51">
      <c r="C51" s="46" t="s">
        <v>63</v>
      </c>
      <c r="D51" s="47" t="s">
        <v>64</v>
      </c>
      <c r="E51" s="10"/>
      <c r="F51" s="48" t="s">
        <v>65</v>
      </c>
      <c r="G51" s="10"/>
      <c r="H51" s="49" t="s">
        <v>66</v>
      </c>
      <c r="I51" s="10"/>
      <c r="J51" s="50"/>
      <c r="K51" s="50"/>
      <c r="L51" s="50"/>
      <c r="M51" s="42"/>
      <c r="N51" s="50"/>
    </row>
    <row r="52">
      <c r="A52" s="51"/>
      <c r="C52" s="21"/>
      <c r="D52" s="52" t="s">
        <v>67</v>
      </c>
      <c r="E52" s="52" t="s">
        <v>68</v>
      </c>
      <c r="F52" s="52" t="s">
        <v>69</v>
      </c>
      <c r="G52" s="52" t="s">
        <v>70</v>
      </c>
      <c r="H52" s="52" t="s">
        <v>71</v>
      </c>
      <c r="I52" s="52" t="s">
        <v>72</v>
      </c>
      <c r="J52" s="50"/>
      <c r="K52" s="50"/>
      <c r="L52" s="50"/>
      <c r="M52" s="42"/>
      <c r="N52" s="50"/>
    </row>
    <row r="53">
      <c r="A53" s="53" t="s">
        <v>73</v>
      </c>
      <c r="B53" s="14" t="s">
        <v>74</v>
      </c>
      <c r="C53" s="54" t="s">
        <v>75</v>
      </c>
      <c r="D53" s="55">
        <v>5.0</v>
      </c>
      <c r="F53" s="56">
        <f>D53^ (3/4)</f>
        <v>3.343701525</v>
      </c>
      <c r="G53" s="3"/>
      <c r="H53" s="55">
        <f>D24/(D53*F53)</f>
        <v>2.39255805</v>
      </c>
      <c r="I53" s="12"/>
      <c r="J53" s="42" t="s">
        <v>76</v>
      </c>
      <c r="K53" s="50"/>
      <c r="L53" s="42" t="s">
        <v>77</v>
      </c>
      <c r="M53" s="50"/>
      <c r="N53" s="50"/>
    </row>
    <row r="54">
      <c r="A54" s="57"/>
      <c r="B54" s="58" t="s">
        <v>78</v>
      </c>
      <c r="C54" s="59" t="s">
        <v>79</v>
      </c>
      <c r="D54" s="55">
        <v>14.0</v>
      </c>
      <c r="E54" s="55">
        <v>70.0</v>
      </c>
      <c r="F54" s="51">
        <v>14.0</v>
      </c>
      <c r="G54" s="60">
        <f>F54*F53</f>
        <v>46.81182135</v>
      </c>
      <c r="H54" s="55">
        <v>14.0</v>
      </c>
      <c r="I54" s="60">
        <f>H54*H53</f>
        <v>33.4958127</v>
      </c>
      <c r="J54" s="42" t="s">
        <v>80</v>
      </c>
      <c r="K54" s="61" t="s">
        <v>81</v>
      </c>
      <c r="L54" s="50"/>
      <c r="M54" s="42" t="s">
        <v>82</v>
      </c>
      <c r="N54" s="50"/>
    </row>
    <row r="55">
      <c r="A55" s="57"/>
      <c r="B55" s="58" t="s">
        <v>83</v>
      </c>
      <c r="C55" s="59" t="s">
        <v>79</v>
      </c>
      <c r="D55" s="55">
        <v>14.0</v>
      </c>
      <c r="E55" s="55">
        <v>69.0</v>
      </c>
      <c r="F55" s="51">
        <v>14.0</v>
      </c>
      <c r="G55" s="60">
        <v>47.0</v>
      </c>
      <c r="H55" s="55">
        <v>14.0</v>
      </c>
      <c r="I55" s="60">
        <v>34.0</v>
      </c>
      <c r="J55" s="42" t="s">
        <v>84</v>
      </c>
      <c r="K55" s="42" t="s">
        <v>85</v>
      </c>
      <c r="L55" s="50"/>
      <c r="M55" s="50"/>
      <c r="N55" s="50"/>
    </row>
    <row r="56">
      <c r="A56" s="57"/>
      <c r="B56" s="58" t="s">
        <v>86</v>
      </c>
      <c r="C56" s="59" t="s">
        <v>75</v>
      </c>
      <c r="D56" s="55">
        <f>E55/D55</f>
        <v>4.928571429</v>
      </c>
      <c r="F56" s="51">
        <f>G55/F55</f>
        <v>3.357142857</v>
      </c>
      <c r="G56" s="12"/>
      <c r="H56" s="55">
        <f>I55/H55</f>
        <v>2.428571429</v>
      </c>
      <c r="I56" s="12"/>
      <c r="J56" s="42" t="s">
        <v>87</v>
      </c>
      <c r="K56" s="50"/>
      <c r="L56" s="50"/>
      <c r="M56" s="50"/>
      <c r="N56" s="50"/>
    </row>
    <row r="57">
      <c r="A57" s="57"/>
      <c r="B57" s="58" t="s">
        <v>88</v>
      </c>
      <c r="C57" s="51" t="s">
        <v>75</v>
      </c>
      <c r="D57" s="51">
        <f>D56*F56*H56</f>
        <v>40.18294461</v>
      </c>
      <c r="I57" s="12"/>
      <c r="J57" s="42" t="s">
        <v>89</v>
      </c>
      <c r="K57" s="50"/>
      <c r="L57" s="50"/>
      <c r="M57" s="50"/>
      <c r="N57" s="50"/>
    </row>
    <row r="58">
      <c r="A58" s="57"/>
      <c r="B58" s="58" t="s">
        <v>90</v>
      </c>
      <c r="C58" s="59" t="s">
        <v>91</v>
      </c>
      <c r="D58" s="62">
        <f>IF((D53-D56)&lt;0, ((D53-D56)/D56)*-1, ((D53-D56)/D56))</f>
        <v>0.01449275362</v>
      </c>
      <c r="F58" s="63">
        <f>IF((F53-F56)&lt;0, ((F53-F56)/F56)*-1, ((F53-F56)/F56))</f>
        <v>0.004003801099</v>
      </c>
      <c r="G58" s="12"/>
      <c r="H58" s="62">
        <f>IF((H53-H56)&lt;0, ((H53-H56)/H56)*-1, ((H53-H56)/H56))</f>
        <v>0.01482903825</v>
      </c>
      <c r="I58" s="12"/>
      <c r="L58" s="50"/>
      <c r="M58" s="50"/>
      <c r="N58" s="50"/>
    </row>
    <row r="59">
      <c r="A59" s="57"/>
      <c r="B59" s="58" t="s">
        <v>92</v>
      </c>
      <c r="C59" s="59" t="s">
        <v>91</v>
      </c>
      <c r="D59" s="62">
        <f>IF((D24-D57)&lt;0,((D24-D57)/D57)*-1,((D24-D57)/D57))</f>
        <v>0.00455279244</v>
      </c>
      <c r="I59" s="12"/>
      <c r="J59" s="42" t="s">
        <v>93</v>
      </c>
      <c r="K59" s="42" t="s">
        <v>94</v>
      </c>
      <c r="L59" s="50"/>
      <c r="M59" s="50"/>
      <c r="N59" s="50"/>
    </row>
    <row r="60">
      <c r="A60" s="57"/>
      <c r="B60" s="58" t="s">
        <v>95</v>
      </c>
      <c r="C60" s="51" t="s">
        <v>96</v>
      </c>
      <c r="D60" s="51">
        <v>2.0</v>
      </c>
      <c r="E60" s="12"/>
      <c r="F60" s="55">
        <f>D60*((1/F56)/(1/D56))</f>
        <v>2.936170213</v>
      </c>
      <c r="G60" s="12"/>
      <c r="H60" s="51">
        <f>F60*((1/H56)/(1/F56))</f>
        <v>4.058823529</v>
      </c>
      <c r="I60" s="12"/>
      <c r="J60" s="61" t="s">
        <v>97</v>
      </c>
      <c r="K60" s="42" t="s">
        <v>98</v>
      </c>
      <c r="L60" s="50"/>
      <c r="M60" s="42" t="s">
        <v>99</v>
      </c>
      <c r="N60" s="50"/>
    </row>
    <row r="61">
      <c r="A61" s="57"/>
      <c r="B61" s="58" t="s">
        <v>100</v>
      </c>
      <c r="C61" s="59" t="s">
        <v>96</v>
      </c>
      <c r="D61" s="51">
        <v>2.0</v>
      </c>
      <c r="E61" s="12"/>
      <c r="F61" s="51">
        <v>3.0</v>
      </c>
      <c r="G61" s="12"/>
      <c r="H61" s="51">
        <v>4.0</v>
      </c>
      <c r="I61" s="12"/>
      <c r="J61" s="42" t="s">
        <v>101</v>
      </c>
      <c r="K61" s="50"/>
      <c r="L61" s="50"/>
      <c r="M61" s="50"/>
      <c r="N61" s="50"/>
    </row>
    <row r="62">
      <c r="A62" s="57"/>
      <c r="B62" s="58" t="s">
        <v>102</v>
      </c>
      <c r="C62" s="59" t="s">
        <v>96</v>
      </c>
      <c r="D62" s="51">
        <f>D61</f>
        <v>2</v>
      </c>
      <c r="E62" s="12"/>
      <c r="F62" s="51">
        <f>F61/COS($D$35)</f>
        <v>3.046279836</v>
      </c>
      <c r="G62" s="12"/>
      <c r="H62" s="51">
        <f>H61/COS($D$35)</f>
        <v>4.061706448</v>
      </c>
      <c r="I62" s="12"/>
      <c r="J62" s="37" t="s">
        <v>103</v>
      </c>
      <c r="K62" s="50"/>
      <c r="L62" s="50"/>
      <c r="M62" s="50"/>
      <c r="N62" s="50"/>
    </row>
    <row r="63">
      <c r="A63" s="57"/>
      <c r="B63" s="58" t="s">
        <v>104</v>
      </c>
      <c r="C63" s="59" t="s">
        <v>96</v>
      </c>
      <c r="D63" s="64">
        <f>D55*D62</f>
        <v>28</v>
      </c>
      <c r="E63" s="65">
        <f>E55*D62</f>
        <v>138</v>
      </c>
      <c r="F63" s="64">
        <f>F55*F62</f>
        <v>42.6479177</v>
      </c>
      <c r="G63" s="65">
        <f>G55*F62</f>
        <v>143.1751523</v>
      </c>
      <c r="H63" s="64">
        <f>H55*H62</f>
        <v>56.86389027</v>
      </c>
      <c r="I63" s="65">
        <f>I55*H62</f>
        <v>138.0980192</v>
      </c>
      <c r="J63" s="37" t="s">
        <v>105</v>
      </c>
      <c r="K63" s="50"/>
      <c r="L63" s="50"/>
      <c r="M63" s="50"/>
      <c r="N63" s="50"/>
    </row>
    <row r="64">
      <c r="A64" s="57"/>
      <c r="B64" s="58" t="s">
        <v>106</v>
      </c>
      <c r="C64" s="59" t="s">
        <v>96</v>
      </c>
      <c r="D64" s="64">
        <f t="shared" ref="D64:E64" si="1">D63*COS($D$29)</f>
        <v>25.37661804</v>
      </c>
      <c r="E64" s="65">
        <f t="shared" si="1"/>
        <v>125.0704746</v>
      </c>
      <c r="F64" s="64">
        <f t="shared" ref="F64:I64" si="2">E63*COS($D$33)</f>
        <v>125.0704746</v>
      </c>
      <c r="G64" s="65">
        <f t="shared" si="2"/>
        <v>38.65213991</v>
      </c>
      <c r="H64" s="64">
        <f t="shared" si="2"/>
        <v>129.7607554</v>
      </c>
      <c r="I64" s="65">
        <f t="shared" si="2"/>
        <v>51.53618655</v>
      </c>
      <c r="J64" s="37" t="s">
        <v>107</v>
      </c>
      <c r="K64" s="50"/>
      <c r="L64" s="50"/>
      <c r="M64" s="50"/>
      <c r="N64" s="50"/>
    </row>
    <row r="65">
      <c r="A65" s="57"/>
      <c r="B65" s="58" t="s">
        <v>108</v>
      </c>
      <c r="C65" s="59" t="s">
        <v>96</v>
      </c>
      <c r="D65" s="64">
        <f t="shared" ref="D65:I65" si="3">D63-(2*D76)</f>
        <v>23</v>
      </c>
      <c r="E65" s="65">
        <f t="shared" si="3"/>
        <v>133</v>
      </c>
      <c r="F65" s="64">
        <f t="shared" si="3"/>
        <v>35.1479177</v>
      </c>
      <c r="G65" s="65">
        <f t="shared" si="3"/>
        <v>135.6751523</v>
      </c>
      <c r="H65" s="64">
        <f t="shared" si="3"/>
        <v>46.86389027</v>
      </c>
      <c r="I65" s="65">
        <f t="shared" si="3"/>
        <v>128.0980192</v>
      </c>
      <c r="J65" s="37" t="s">
        <v>109</v>
      </c>
      <c r="K65" s="50"/>
      <c r="L65" s="50"/>
      <c r="M65" s="50"/>
      <c r="N65" s="50"/>
    </row>
    <row r="66" ht="27.75" customHeight="1">
      <c r="A66" s="57"/>
      <c r="B66" s="58" t="s">
        <v>110</v>
      </c>
      <c r="C66" s="59" t="s">
        <v>96</v>
      </c>
      <c r="D66" s="64">
        <f t="shared" ref="D66:I66" si="4">D63+(2*D75)</f>
        <v>32</v>
      </c>
      <c r="E66" s="65">
        <f t="shared" si="4"/>
        <v>142</v>
      </c>
      <c r="F66" s="64">
        <f t="shared" si="4"/>
        <v>48.6479177</v>
      </c>
      <c r="G66" s="65">
        <f t="shared" si="4"/>
        <v>149.1751523</v>
      </c>
      <c r="H66" s="64">
        <f t="shared" si="4"/>
        <v>64.86389027</v>
      </c>
      <c r="I66" s="65">
        <f t="shared" si="4"/>
        <v>146.0980192</v>
      </c>
      <c r="J66" s="37" t="s">
        <v>111</v>
      </c>
      <c r="K66" s="66"/>
    </row>
    <row r="67">
      <c r="A67" s="57"/>
      <c r="B67" s="58" t="s">
        <v>112</v>
      </c>
      <c r="C67" s="59" t="s">
        <v>96</v>
      </c>
      <c r="D67" s="64">
        <f t="shared" ref="D67:I67" si="5">D63-(2*D75)</f>
        <v>24</v>
      </c>
      <c r="E67" s="65">
        <f t="shared" si="5"/>
        <v>134</v>
      </c>
      <c r="F67" s="64">
        <f t="shared" si="5"/>
        <v>36.6479177</v>
      </c>
      <c r="G67" s="65">
        <f t="shared" si="5"/>
        <v>137.1751523</v>
      </c>
      <c r="H67" s="64">
        <f t="shared" si="5"/>
        <v>48.86389027</v>
      </c>
      <c r="I67" s="65">
        <f t="shared" si="5"/>
        <v>130.0980192</v>
      </c>
      <c r="J67" s="37" t="s">
        <v>113</v>
      </c>
      <c r="K67" s="66"/>
    </row>
    <row r="68" ht="44.25" customHeight="1">
      <c r="A68" s="57"/>
      <c r="B68" s="67" t="s">
        <v>114</v>
      </c>
      <c r="C68" s="59" t="s">
        <v>115</v>
      </c>
      <c r="D68" s="64">
        <f>ATAN(TAN(D29)/(COS(D30)))</f>
        <v>0.436332313</v>
      </c>
      <c r="E68" s="65">
        <f>ATAN(TAN(D29)/(COS(D30)))</f>
        <v>0.436332313</v>
      </c>
      <c r="F68" s="64">
        <f t="shared" ref="F68:I68" si="6">ATAN(TAN($D$33)/(COS($D$35)))</f>
        <v>0.4422247444</v>
      </c>
      <c r="G68" s="65">
        <f t="shared" si="6"/>
        <v>0.4422247444</v>
      </c>
      <c r="H68" s="64">
        <f t="shared" si="6"/>
        <v>0.4422247444</v>
      </c>
      <c r="I68" s="65">
        <f t="shared" si="6"/>
        <v>0.4422247444</v>
      </c>
      <c r="J68" s="37" t="s">
        <v>116</v>
      </c>
      <c r="K68" s="66"/>
    </row>
    <row r="69">
      <c r="A69" s="57"/>
      <c r="B69" s="58" t="s">
        <v>117</v>
      </c>
      <c r="C69" s="59" t="s">
        <v>96</v>
      </c>
      <c r="D69" s="64">
        <f>(D63+E63)/2</f>
        <v>83</v>
      </c>
      <c r="E69" s="12"/>
      <c r="F69" s="64">
        <f>(F63+G63)/2</f>
        <v>92.91153499</v>
      </c>
      <c r="G69" s="12"/>
      <c r="H69" s="64">
        <f>(H63+I63)/2</f>
        <v>97.48095474</v>
      </c>
      <c r="I69" s="12"/>
      <c r="J69" s="44" t="s">
        <v>118</v>
      </c>
    </row>
    <row r="70">
      <c r="A70" s="57"/>
      <c r="B70" s="58" t="s">
        <v>119</v>
      </c>
      <c r="C70" s="59" t="s">
        <v>96</v>
      </c>
      <c r="D70" s="64">
        <f t="shared" ref="D70:E70" si="7">(PI()*$D$61)/D55</f>
        <v>0.4487989505</v>
      </c>
      <c r="E70" s="65">
        <f t="shared" si="7"/>
        <v>0.09106065663</v>
      </c>
      <c r="F70" s="64">
        <f>(PI()*F61)/F55</f>
        <v>0.6731984258</v>
      </c>
      <c r="G70" s="65">
        <f>(PI()*F61)/G55</f>
        <v>0.2005271907</v>
      </c>
      <c r="H70" s="64">
        <f t="shared" ref="H70:I70" si="8">(PI()*$H$61)/H55</f>
        <v>0.897597901</v>
      </c>
      <c r="I70" s="65">
        <f t="shared" si="8"/>
        <v>0.3695991357</v>
      </c>
      <c r="J70" s="37" t="s">
        <v>120</v>
      </c>
      <c r="K70" s="66"/>
    </row>
    <row r="71">
      <c r="A71" s="57"/>
      <c r="B71" s="58" t="s">
        <v>121</v>
      </c>
      <c r="C71" s="59" t="s">
        <v>96</v>
      </c>
      <c r="D71" s="64">
        <f t="shared" ref="D71:E71" si="9">D70*COS($D$29)</f>
        <v>0.4067499837</v>
      </c>
      <c r="E71" s="65">
        <f t="shared" si="9"/>
        <v>0.08252898219</v>
      </c>
      <c r="F71" s="64">
        <f t="shared" ref="F71:I71" si="10">F70*COS($D$32)</f>
        <v>0.6672761726</v>
      </c>
      <c r="G71" s="65">
        <f t="shared" si="10"/>
        <v>0.1987631152</v>
      </c>
      <c r="H71" s="64">
        <f t="shared" si="10"/>
        <v>0.8897015634</v>
      </c>
      <c r="I71" s="65">
        <f t="shared" si="10"/>
        <v>0.3663477026</v>
      </c>
      <c r="J71" s="37" t="s">
        <v>122</v>
      </c>
      <c r="K71" s="66"/>
    </row>
    <row r="72" ht="42.0" customHeight="1">
      <c r="A72" s="57"/>
      <c r="B72" s="58" t="s">
        <v>123</v>
      </c>
      <c r="C72" s="59" t="s">
        <v>96</v>
      </c>
      <c r="D72" s="64">
        <f>PI()*D62</f>
        <v>6.283185307</v>
      </c>
      <c r="E72" s="65">
        <f>PI()*D62</f>
        <v>6.283185307</v>
      </c>
      <c r="F72" s="64">
        <f>PI()*F62</f>
        <v>9.570170352</v>
      </c>
      <c r="G72" s="65">
        <f>PI()*F62</f>
        <v>9.570170352</v>
      </c>
      <c r="H72" s="64">
        <f>PI()*H62</f>
        <v>12.76022714</v>
      </c>
      <c r="I72" s="65">
        <f>PI()*H62</f>
        <v>12.76022714</v>
      </c>
      <c r="J72" s="37" t="s">
        <v>124</v>
      </c>
      <c r="K72" s="66"/>
    </row>
    <row r="73">
      <c r="A73" s="57"/>
      <c r="B73" s="58" t="s">
        <v>125</v>
      </c>
      <c r="C73" s="59" t="s">
        <v>96</v>
      </c>
      <c r="D73" s="51" t="s">
        <v>126</v>
      </c>
      <c r="E73" s="60" t="s">
        <v>126</v>
      </c>
      <c r="F73" s="64">
        <f t="shared" ref="F73:I73" si="11">F72/COS($D$35)</f>
        <v>9.717805656</v>
      </c>
      <c r="G73" s="65">
        <f t="shared" si="11"/>
        <v>9.717805656</v>
      </c>
      <c r="H73" s="64">
        <f t="shared" si="11"/>
        <v>12.95707421</v>
      </c>
      <c r="I73" s="65">
        <f t="shared" si="11"/>
        <v>12.95707421</v>
      </c>
      <c r="J73" s="37" t="s">
        <v>127</v>
      </c>
      <c r="K73" s="68"/>
    </row>
    <row r="74">
      <c r="A74" s="57"/>
      <c r="B74" s="58" t="s">
        <v>128</v>
      </c>
      <c r="C74" s="59" t="s">
        <v>96</v>
      </c>
      <c r="D74" s="51" t="s">
        <v>126</v>
      </c>
      <c r="E74" s="60" t="s">
        <v>126</v>
      </c>
      <c r="F74" s="64">
        <f t="shared" ref="F74:I74" si="12">F73/TAN($D$35)</f>
        <v>55.11241454</v>
      </c>
      <c r="G74" s="65">
        <f t="shared" si="12"/>
        <v>55.11241454</v>
      </c>
      <c r="H74" s="64">
        <f t="shared" si="12"/>
        <v>73.48321939</v>
      </c>
      <c r="I74" s="65">
        <f t="shared" si="12"/>
        <v>73.48321939</v>
      </c>
      <c r="J74" s="37" t="s">
        <v>129</v>
      </c>
      <c r="K74" s="68"/>
    </row>
    <row r="75">
      <c r="A75" s="57"/>
      <c r="B75" s="58" t="s">
        <v>130</v>
      </c>
      <c r="C75" s="59" t="s">
        <v>96</v>
      </c>
      <c r="D75" s="64">
        <f>1*D61</f>
        <v>2</v>
      </c>
      <c r="E75" s="65">
        <f>1*D61</f>
        <v>2</v>
      </c>
      <c r="F75" s="64">
        <f>1*F61</f>
        <v>3</v>
      </c>
      <c r="G75" s="65">
        <f>1*F61</f>
        <v>3</v>
      </c>
      <c r="H75" s="64">
        <f>1*H61</f>
        <v>4</v>
      </c>
      <c r="I75" s="65">
        <f>1*H61</f>
        <v>4</v>
      </c>
      <c r="J75" s="37" t="s">
        <v>131</v>
      </c>
      <c r="K75" s="68"/>
    </row>
    <row r="76">
      <c r="A76" s="57"/>
      <c r="B76" s="58" t="s">
        <v>132</v>
      </c>
      <c r="C76" s="59" t="s">
        <v>96</v>
      </c>
      <c r="D76" s="64">
        <f>1.25*D61</f>
        <v>2.5</v>
      </c>
      <c r="E76" s="65">
        <f>1.25*D61</f>
        <v>2.5</v>
      </c>
      <c r="F76" s="64">
        <f>1.25*F61</f>
        <v>3.75</v>
      </c>
      <c r="G76" s="65">
        <f>1.25*F61</f>
        <v>3.75</v>
      </c>
      <c r="H76" s="64">
        <f>1.25*H61</f>
        <v>5</v>
      </c>
      <c r="I76" s="65">
        <f>1.25*H61</f>
        <v>5</v>
      </c>
    </row>
    <row r="77">
      <c r="A77" s="57"/>
      <c r="B77" s="58" t="s">
        <v>133</v>
      </c>
      <c r="C77" s="59" t="s">
        <v>96</v>
      </c>
      <c r="D77" s="64">
        <f t="shared" ref="D77:I77" si="13">D75+D76</f>
        <v>4.5</v>
      </c>
      <c r="E77" s="65">
        <f t="shared" si="13"/>
        <v>4.5</v>
      </c>
      <c r="F77" s="64">
        <f t="shared" si="13"/>
        <v>6.75</v>
      </c>
      <c r="G77" s="65">
        <f t="shared" si="13"/>
        <v>6.75</v>
      </c>
      <c r="H77" s="64">
        <f t="shared" si="13"/>
        <v>9</v>
      </c>
      <c r="I77" s="65">
        <f t="shared" si="13"/>
        <v>9</v>
      </c>
      <c r="J77" s="37" t="s">
        <v>134</v>
      </c>
    </row>
    <row r="78" ht="25.5" customHeight="1">
      <c r="A78" s="57"/>
      <c r="B78" s="58" t="s">
        <v>135</v>
      </c>
      <c r="C78" s="59" t="s">
        <v>96</v>
      </c>
      <c r="D78" s="64">
        <f t="shared" ref="D78:I78" si="14">D76-D75</f>
        <v>0.5</v>
      </c>
      <c r="E78" s="65">
        <f t="shared" si="14"/>
        <v>0.5</v>
      </c>
      <c r="F78" s="64">
        <f t="shared" si="14"/>
        <v>0.75</v>
      </c>
      <c r="G78" s="65">
        <f t="shared" si="14"/>
        <v>0.75</v>
      </c>
      <c r="H78" s="64">
        <f t="shared" si="14"/>
        <v>1</v>
      </c>
      <c r="I78" s="65">
        <f t="shared" si="14"/>
        <v>1</v>
      </c>
      <c r="J78" s="37" t="s">
        <v>136</v>
      </c>
    </row>
    <row r="79">
      <c r="A79" s="57"/>
      <c r="B79" s="58" t="s">
        <v>137</v>
      </c>
      <c r="C79" s="59" t="s">
        <v>96</v>
      </c>
      <c r="D79" s="64">
        <f>12*D61</f>
        <v>24</v>
      </c>
      <c r="E79" s="65">
        <f>10*D61</f>
        <v>20</v>
      </c>
      <c r="F79" s="64">
        <f t="shared" ref="F79:I79" si="15">2*F74</f>
        <v>110.2248291</v>
      </c>
      <c r="G79" s="65">
        <f t="shared" si="15"/>
        <v>110.2248291</v>
      </c>
      <c r="H79" s="64">
        <f t="shared" si="15"/>
        <v>146.9664388</v>
      </c>
      <c r="I79" s="65">
        <f t="shared" si="15"/>
        <v>146.9664388</v>
      </c>
      <c r="J79" s="37" t="s">
        <v>138</v>
      </c>
      <c r="K79" s="69" t="s">
        <v>139</v>
      </c>
      <c r="L79" s="43"/>
    </row>
    <row r="80">
      <c r="A80" s="57"/>
      <c r="B80" s="58" t="s">
        <v>140</v>
      </c>
      <c r="C80" s="59" t="s">
        <v>96</v>
      </c>
      <c r="D80" s="51">
        <f>SQRT((((D63/2) + D75)^2) - (((D63/2)*COS($D$29))^2)) + SQRT((((E63/2) + E75)^2) - (((E63/2)*COS($D$29))^2)) - (D69*SIN($D$29))</f>
        <v>8.290418523</v>
      </c>
      <c r="E80" s="12"/>
      <c r="F80" s="51">
        <f>SQRT((F63/2 + F75)^2 - ((F63/2)*COS($D$33))^2) + SQRT((G63/2 + G75)^2 - ((G63/2)*COS($D$33))^2) - ($F$69*SIN($D$33))</f>
        <v>12.29866801</v>
      </c>
      <c r="G80" s="12"/>
      <c r="H80" s="51">
        <f>SQRT((H63/2 + H75)^2 - ((H63/2)*COS($D$33))^2) + SQRT((I63/2 + I75)^2 - ((I63/2)*COS($D$33))^2) - (H69*SIN($D$33))</f>
        <v>16.17848353</v>
      </c>
      <c r="I80" s="12"/>
      <c r="J80" s="37" t="s">
        <v>141</v>
      </c>
      <c r="K80" s="68"/>
    </row>
    <row r="81">
      <c r="A81" s="57"/>
      <c r="B81" s="70" t="s">
        <v>142</v>
      </c>
      <c r="C81" s="59" t="s">
        <v>75</v>
      </c>
      <c r="D81" s="64">
        <f>D80/(D72*COS(D29))</f>
        <v>1.45586423</v>
      </c>
      <c r="E81" s="12"/>
      <c r="F81" s="64">
        <f>F80/(F72*COS(F29))</f>
        <v>1.285104398</v>
      </c>
      <c r="G81" s="12"/>
      <c r="H81" s="64">
        <f>H80/(H72*COS(H29))</f>
        <v>1.267883664</v>
      </c>
      <c r="I81" s="12"/>
      <c r="J81" s="37" t="s">
        <v>143</v>
      </c>
      <c r="K81" s="68"/>
    </row>
    <row r="82">
      <c r="A82" s="57"/>
      <c r="B82" s="58" t="s">
        <v>144</v>
      </c>
      <c r="C82" s="59" t="s">
        <v>75</v>
      </c>
      <c r="D82" s="51" t="s">
        <v>126</v>
      </c>
      <c r="E82" s="12"/>
      <c r="F82" s="64">
        <f>F79/F74</f>
        <v>2</v>
      </c>
      <c r="G82" s="12"/>
      <c r="H82" s="64">
        <f>H79/H74</f>
        <v>2</v>
      </c>
      <c r="I82" s="12"/>
      <c r="J82" s="37" t="s">
        <v>145</v>
      </c>
      <c r="K82" s="68"/>
    </row>
    <row r="83">
      <c r="A83" s="71"/>
      <c r="B83" s="72" t="s">
        <v>146</v>
      </c>
      <c r="C83" s="73" t="s">
        <v>75</v>
      </c>
      <c r="D83" s="74">
        <f>D81</f>
        <v>1.45586423</v>
      </c>
      <c r="E83" s="6"/>
      <c r="F83" s="74">
        <f>F81+F82</f>
        <v>3.285104398</v>
      </c>
      <c r="G83" s="6"/>
      <c r="H83" s="74">
        <f>H81+H82</f>
        <v>3.267883664</v>
      </c>
      <c r="I83" s="6"/>
    </row>
    <row r="84">
      <c r="A84" s="51"/>
    </row>
    <row r="86">
      <c r="B86" s="43"/>
      <c r="C86" s="46" t="s">
        <v>63</v>
      </c>
      <c r="D86" s="47" t="s">
        <v>64</v>
      </c>
      <c r="E86" s="10"/>
      <c r="F86" s="48" t="s">
        <v>65</v>
      </c>
      <c r="G86" s="10"/>
      <c r="H86" s="49" t="s">
        <v>66</v>
      </c>
      <c r="I86" s="10"/>
    </row>
    <row r="87">
      <c r="A87" s="46" t="s">
        <v>147</v>
      </c>
      <c r="B87" s="75"/>
      <c r="C87" s="21"/>
      <c r="D87" s="76" t="s">
        <v>67</v>
      </c>
      <c r="E87" s="76" t="s">
        <v>68</v>
      </c>
      <c r="F87" s="76" t="s">
        <v>69</v>
      </c>
      <c r="G87" s="76" t="s">
        <v>70</v>
      </c>
      <c r="H87" s="76" t="s">
        <v>71</v>
      </c>
      <c r="I87" s="76" t="s">
        <v>72</v>
      </c>
    </row>
    <row r="88">
      <c r="A88" s="16"/>
      <c r="B88" s="51" t="s">
        <v>148</v>
      </c>
      <c r="C88" s="59" t="s">
        <v>149</v>
      </c>
      <c r="D88" s="77">
        <f>D48</f>
        <v>125.6637061</v>
      </c>
      <c r="E88" s="78">
        <f>D88/D56</f>
        <v>25.49698386</v>
      </c>
      <c r="F88" s="77">
        <f>E88</f>
        <v>25.49698386</v>
      </c>
      <c r="G88" s="78">
        <f>F88/F56</f>
        <v>7.594846255</v>
      </c>
      <c r="H88" s="77">
        <f>G88</f>
        <v>7.594846255</v>
      </c>
      <c r="I88" s="78">
        <f>H88/H56</f>
        <v>3.127289634</v>
      </c>
      <c r="J88" s="37" t="s">
        <v>150</v>
      </c>
    </row>
    <row r="89">
      <c r="A89" s="16"/>
      <c r="B89" s="51" t="s">
        <v>151</v>
      </c>
      <c r="C89" s="59" t="s">
        <v>152</v>
      </c>
      <c r="D89" s="77">
        <f t="shared" ref="D89:I89" si="16">$D$22/D88</f>
        <v>35.60455232</v>
      </c>
      <c r="E89" s="78">
        <f t="shared" si="16"/>
        <v>175.4795793</v>
      </c>
      <c r="F89" s="77">
        <f t="shared" si="16"/>
        <v>175.4795793</v>
      </c>
      <c r="G89" s="78">
        <f t="shared" si="16"/>
        <v>589.1100162</v>
      </c>
      <c r="H89" s="77">
        <f t="shared" si="16"/>
        <v>589.1100162</v>
      </c>
      <c r="I89" s="78">
        <f t="shared" si="16"/>
        <v>1430.695754</v>
      </c>
      <c r="J89" s="37" t="s">
        <v>153</v>
      </c>
    </row>
    <row r="90">
      <c r="A90" s="16"/>
      <c r="B90" s="51" t="s">
        <v>154</v>
      </c>
      <c r="C90" s="59" t="s">
        <v>155</v>
      </c>
      <c r="D90" s="77">
        <f>D89*1000/(D63/2)</f>
        <v>2543.182309</v>
      </c>
      <c r="E90" s="12"/>
      <c r="F90" s="77">
        <f>F89*1000/(F63/2)</f>
        <v>8229.221437</v>
      </c>
      <c r="G90" s="12"/>
      <c r="H90" s="77">
        <f>H89*1000/(H63/2)</f>
        <v>20720.00398</v>
      </c>
      <c r="I90" s="12"/>
      <c r="J90" s="44" t="s">
        <v>156</v>
      </c>
    </row>
    <row r="91">
      <c r="A91" s="16"/>
      <c r="B91" s="51" t="s">
        <v>157</v>
      </c>
      <c r="C91" s="59" t="s">
        <v>155</v>
      </c>
      <c r="D91" s="77">
        <f>D90*(TAN($D$29))</f>
        <v>1185.905387</v>
      </c>
      <c r="E91" s="12"/>
      <c r="F91" s="77">
        <f>F90*(TAN($D$33))</f>
        <v>3837.348977</v>
      </c>
      <c r="G91" s="12"/>
      <c r="H91" s="77">
        <f>H90*(TAN($D$33))</f>
        <v>9661.896531</v>
      </c>
      <c r="I91" s="12"/>
      <c r="J91" s="37" t="s">
        <v>158</v>
      </c>
    </row>
    <row r="92">
      <c r="A92" s="16"/>
      <c r="B92" s="51" t="s">
        <v>159</v>
      </c>
      <c r="C92" s="59" t="s">
        <v>155</v>
      </c>
      <c r="D92" s="79" t="s">
        <v>126</v>
      </c>
      <c r="E92" s="12"/>
      <c r="F92" s="77">
        <f>F90*TAN($D$35)</f>
        <v>1451.03377</v>
      </c>
      <c r="G92" s="12"/>
      <c r="H92" s="77">
        <f>H90*TAN($D$35)</f>
        <v>3653.495741</v>
      </c>
      <c r="I92" s="12"/>
      <c r="J92" s="37" t="s">
        <v>160</v>
      </c>
    </row>
    <row r="93">
      <c r="A93" s="21"/>
      <c r="B93" s="80" t="s">
        <v>161</v>
      </c>
      <c r="C93" s="73" t="s">
        <v>155</v>
      </c>
      <c r="D93" s="81">
        <f>D90/(COS($D$29)*COS($D$30))</f>
        <v>2806.091203</v>
      </c>
      <c r="E93" s="6"/>
      <c r="F93" s="81">
        <f>F90/(COS(D33)*COS(D35))</f>
        <v>9220.013953</v>
      </c>
      <c r="G93" s="6"/>
      <c r="H93" s="81">
        <f>H90/(COS(F33)*COS(F35))</f>
        <v>20720.00398</v>
      </c>
      <c r="I93" s="6"/>
      <c r="J93" s="37" t="s">
        <v>162</v>
      </c>
    </row>
  </sheetData>
  <mergeCells count="82">
    <mergeCell ref="F81:G81"/>
    <mergeCell ref="H81:I81"/>
    <mergeCell ref="D82:E82"/>
    <mergeCell ref="F82:G82"/>
    <mergeCell ref="D81:E81"/>
    <mergeCell ref="D83:E83"/>
    <mergeCell ref="D69:E69"/>
    <mergeCell ref="D86:E86"/>
    <mergeCell ref="F86:G86"/>
    <mergeCell ref="H86:I86"/>
    <mergeCell ref="D80:E80"/>
    <mergeCell ref="H80:I80"/>
    <mergeCell ref="H82:I82"/>
    <mergeCell ref="H83:I83"/>
    <mergeCell ref="F83:G83"/>
    <mergeCell ref="F93:G93"/>
    <mergeCell ref="H93:I93"/>
    <mergeCell ref="B23:B25"/>
    <mergeCell ref="B27:B30"/>
    <mergeCell ref="B31:B35"/>
    <mergeCell ref="B36:B39"/>
    <mergeCell ref="C86:C87"/>
    <mergeCell ref="A10:A47"/>
    <mergeCell ref="A87:A93"/>
    <mergeCell ref="A53:A83"/>
    <mergeCell ref="A6:B6"/>
    <mergeCell ref="A7:B7"/>
    <mergeCell ref="B11:B16"/>
    <mergeCell ref="B17:B18"/>
    <mergeCell ref="B19:B20"/>
    <mergeCell ref="B21:B22"/>
    <mergeCell ref="B47:B48"/>
    <mergeCell ref="B40:B43"/>
    <mergeCell ref="B44:B46"/>
    <mergeCell ref="C51:C52"/>
    <mergeCell ref="D51:E51"/>
    <mergeCell ref="F51:G51"/>
    <mergeCell ref="H51:I51"/>
    <mergeCell ref="D53:E53"/>
    <mergeCell ref="F80:G80"/>
    <mergeCell ref="C7:E7"/>
    <mergeCell ref="C10:D10"/>
    <mergeCell ref="A2:E2"/>
    <mergeCell ref="A3:E3"/>
    <mergeCell ref="A4:B4"/>
    <mergeCell ref="C4:E4"/>
    <mergeCell ref="A5:B5"/>
    <mergeCell ref="C5:E5"/>
    <mergeCell ref="C6:E6"/>
    <mergeCell ref="F58:G58"/>
    <mergeCell ref="H58:I58"/>
    <mergeCell ref="F53:G53"/>
    <mergeCell ref="H53:I53"/>
    <mergeCell ref="D56:E56"/>
    <mergeCell ref="F56:G56"/>
    <mergeCell ref="H56:I56"/>
    <mergeCell ref="D57:I57"/>
    <mergeCell ref="D59:I59"/>
    <mergeCell ref="D58:E58"/>
    <mergeCell ref="D60:E60"/>
    <mergeCell ref="F60:G60"/>
    <mergeCell ref="H60:I60"/>
    <mergeCell ref="D61:E61"/>
    <mergeCell ref="F61:G61"/>
    <mergeCell ref="H61:I61"/>
    <mergeCell ref="D62:E62"/>
    <mergeCell ref="F62:G62"/>
    <mergeCell ref="H62:I62"/>
    <mergeCell ref="J75:J76"/>
    <mergeCell ref="K75:K76"/>
    <mergeCell ref="F69:G69"/>
    <mergeCell ref="H69:I69"/>
    <mergeCell ref="D92:E92"/>
    <mergeCell ref="D90:E90"/>
    <mergeCell ref="D91:E91"/>
    <mergeCell ref="F92:G92"/>
    <mergeCell ref="H92:I92"/>
    <mergeCell ref="F90:G90"/>
    <mergeCell ref="H90:I90"/>
    <mergeCell ref="F91:G91"/>
    <mergeCell ref="H91:I91"/>
    <mergeCell ref="D93:E93"/>
  </mergeCells>
  <conditionalFormatting sqref="D58:I59">
    <cfRule type="cellIs" dxfId="0" priority="1" operator="lessThan">
      <formula>0.01</formula>
    </cfRule>
  </conditionalFormatting>
  <conditionalFormatting sqref="D58:I59">
    <cfRule type="cellIs" dxfId="1" priority="2" operator="greaterThanOrEqual">
      <formula>0.01</formula>
    </cfRule>
  </conditionalFormatting>
  <drawing r:id="rId1"/>
</worksheet>
</file>