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37108032\Desktop\Edson\"/>
    </mc:Choice>
  </mc:AlternateContent>
  <xr:revisionPtr revIDLastSave="0" documentId="13_ncr:1_{EC03726C-4A10-4ABB-AA61-79D1BCEA52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to 1-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D79" i="1"/>
  <c r="I78" i="1"/>
  <c r="H78" i="1"/>
  <c r="F78" i="1"/>
  <c r="G77" i="1"/>
  <c r="F77" i="1"/>
  <c r="I76" i="1"/>
  <c r="H76" i="1"/>
  <c r="G76" i="1"/>
  <c r="G78" i="1" s="1"/>
  <c r="F76" i="1"/>
  <c r="E76" i="1"/>
  <c r="E78" i="1" s="1"/>
  <c r="D76" i="1"/>
  <c r="D77" i="1" s="1"/>
  <c r="I75" i="1"/>
  <c r="I77" i="1" s="1"/>
  <c r="H75" i="1"/>
  <c r="H77" i="1" s="1"/>
  <c r="G75" i="1"/>
  <c r="F75" i="1"/>
  <c r="E75" i="1"/>
  <c r="E77" i="1" s="1"/>
  <c r="D75" i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E63" i="1"/>
  <c r="E64" i="1" s="1"/>
  <c r="D63" i="1"/>
  <c r="D67" i="1" s="1"/>
  <c r="D62" i="1"/>
  <c r="E72" i="1" s="1"/>
  <c r="D58" i="1"/>
  <c r="H56" i="1"/>
  <c r="F56" i="1"/>
  <c r="D56" i="1"/>
  <c r="D57" i="1" s="1"/>
  <c r="D59" i="1" s="1"/>
  <c r="F53" i="1"/>
  <c r="H53" i="1" s="1"/>
  <c r="D47" i="1"/>
  <c r="D48" i="1" s="1"/>
  <c r="D88" i="1" s="1"/>
  <c r="E88" i="1" s="1"/>
  <c r="F88" i="1" s="1"/>
  <c r="G88" i="1" s="1"/>
  <c r="H88" i="1" s="1"/>
  <c r="I88" i="1" s="1"/>
  <c r="D35" i="1"/>
  <c r="H62" i="1" s="1"/>
  <c r="D33" i="1"/>
  <c r="F68" i="1" s="1"/>
  <c r="D29" i="1"/>
  <c r="E68" i="1" s="1"/>
  <c r="D22" i="1"/>
  <c r="D89" i="1" l="1"/>
  <c r="D90" i="1" s="1"/>
  <c r="I72" i="1"/>
  <c r="I73" i="1" s="1"/>
  <c r="I74" i="1" s="1"/>
  <c r="I79" i="1" s="1"/>
  <c r="H72" i="1"/>
  <c r="H73" i="1" s="1"/>
  <c r="H74" i="1" s="1"/>
  <c r="H79" i="1" s="1"/>
  <c r="H82" i="1" s="1"/>
  <c r="I63" i="1"/>
  <c r="H63" i="1"/>
  <c r="I54" i="1"/>
  <c r="H58" i="1"/>
  <c r="G54" i="1"/>
  <c r="E67" i="1"/>
  <c r="G68" i="1"/>
  <c r="E89" i="1"/>
  <c r="F58" i="1"/>
  <c r="F64" i="1"/>
  <c r="F89" i="1"/>
  <c r="D72" i="1"/>
  <c r="D78" i="1"/>
  <c r="G89" i="1"/>
  <c r="D66" i="1"/>
  <c r="H68" i="1"/>
  <c r="H89" i="1"/>
  <c r="H90" i="1" s="1"/>
  <c r="F60" i="1"/>
  <c r="H60" i="1" s="1"/>
  <c r="E66" i="1"/>
  <c r="I68" i="1"/>
  <c r="D65" i="1"/>
  <c r="D69" i="1"/>
  <c r="E65" i="1"/>
  <c r="I89" i="1"/>
  <c r="F62" i="1"/>
  <c r="D64" i="1"/>
  <c r="D68" i="1"/>
  <c r="D80" i="1"/>
  <c r="D81" i="1" s="1"/>
  <c r="D83" i="1" s="1"/>
  <c r="H65" i="1" l="1"/>
  <c r="H69" i="1"/>
  <c r="H66" i="1"/>
  <c r="H67" i="1"/>
  <c r="I64" i="1"/>
  <c r="H80" i="1"/>
  <c r="H81" i="1" s="1"/>
  <c r="H83" i="1" s="1"/>
  <c r="H93" i="1"/>
  <c r="H92" i="1"/>
  <c r="H91" i="1"/>
  <c r="I66" i="1"/>
  <c r="I67" i="1"/>
  <c r="I65" i="1"/>
  <c r="G72" i="1"/>
  <c r="G73" i="1" s="1"/>
  <c r="G74" i="1" s="1"/>
  <c r="G79" i="1" s="1"/>
  <c r="F72" i="1"/>
  <c r="F73" i="1" s="1"/>
  <c r="F74" i="1" s="1"/>
  <c r="F79" i="1" s="1"/>
  <c r="F82" i="1" s="1"/>
  <c r="G63" i="1"/>
  <c r="F63" i="1"/>
  <c r="D93" i="1"/>
  <c r="D91" i="1"/>
  <c r="G65" i="1" l="1"/>
  <c r="G66" i="1"/>
  <c r="G67" i="1"/>
  <c r="H64" i="1"/>
  <c r="F80" i="1"/>
  <c r="F81" i="1" s="1"/>
  <c r="F83" i="1" s="1"/>
  <c r="F65" i="1"/>
  <c r="F69" i="1"/>
  <c r="F66" i="1"/>
  <c r="F67" i="1"/>
  <c r="G64" i="1"/>
  <c r="F90" i="1"/>
  <c r="F93" i="1" l="1"/>
  <c r="F92" i="1"/>
  <c r="F91" i="1"/>
</calcChain>
</file>

<file path=xl/sharedStrings.xml><?xml version="1.0" encoding="utf-8"?>
<sst xmlns="http://schemas.openxmlformats.org/spreadsheetml/2006/main" count="210" uniqueCount="163">
  <si>
    <t>Projeto de 1.A - Complemento de elementos de máquinas</t>
  </si>
  <si>
    <t>Professor : Sergio Evangelista</t>
  </si>
  <si>
    <t>Nome do Aluno</t>
  </si>
  <si>
    <t>R.A.</t>
  </si>
  <si>
    <t xml:space="preserve">Edson Arthur Zancheta </t>
  </si>
  <si>
    <t>Luan de Lima Sales</t>
  </si>
  <si>
    <t>Marcos Henrique Cardilo</t>
  </si>
  <si>
    <t>Dados de projeto</t>
  </si>
  <si>
    <t>Numero de pares</t>
  </si>
  <si>
    <t>Condição geral da máquina</t>
  </si>
  <si>
    <t>Ciclos/hora</t>
  </si>
  <si>
    <t>horas/dia</t>
  </si>
  <si>
    <t>dias/semana</t>
  </si>
  <si>
    <t>semanas/ano</t>
  </si>
  <si>
    <t>Anos previstos de trabalho</t>
  </si>
  <si>
    <t>Horas totais previstas para trabalho no periodo</t>
  </si>
  <si>
    <t>Fator de Serviço</t>
  </si>
  <si>
    <t>Tipo de acionamento</t>
  </si>
  <si>
    <t>Classes de choques da máquina</t>
  </si>
  <si>
    <t>M</t>
  </si>
  <si>
    <t>Rotação de entrada do redutor</t>
  </si>
  <si>
    <t>Numero de polos</t>
  </si>
  <si>
    <t xml:space="preserve">Frequência da rede [Hz] </t>
  </si>
  <si>
    <t>Potência</t>
  </si>
  <si>
    <t>Potência Nominal da máquina [Hp]</t>
  </si>
  <si>
    <t>Potência Nominal da máquina [W]</t>
  </si>
  <si>
    <t>Numeros de estagios</t>
  </si>
  <si>
    <t>Numero</t>
  </si>
  <si>
    <t>Relação nominal total esperada para a caixa</t>
  </si>
  <si>
    <t>Erro maximo percentual em relação ao valor esperado (valido para a redução global)</t>
  </si>
  <si>
    <t>&lt;1%</t>
  </si>
  <si>
    <t>Composição Estágios:
Reto - R
Helicoidal - H</t>
  </si>
  <si>
    <t>Na ordem do estágio 1 para o estágio 3</t>
  </si>
  <si>
    <t>RHH</t>
  </si>
  <si>
    <t>Para dentes retos</t>
  </si>
  <si>
    <t>Tipo de carregamento</t>
  </si>
  <si>
    <t>HPTSC</t>
  </si>
  <si>
    <t>Angulo de pressao normal -  dentes retos [Graus]</t>
  </si>
  <si>
    <t>Angulo de pressao normal -  dentes retos [Radianos]</t>
  </si>
  <si>
    <t>Angulo de hélice [Radianos]</t>
  </si>
  <si>
    <t>Para dentes helicoidais</t>
  </si>
  <si>
    <t>PONTA</t>
  </si>
  <si>
    <t>Angulo de helice [Graus]</t>
  </si>
  <si>
    <t>Angulo de helice [Radianos]</t>
  </si>
  <si>
    <t>Premissas para fabricação de engrenagens</t>
  </si>
  <si>
    <t>Garantir menor numero de dentes possivel e viavel em cada par</t>
  </si>
  <si>
    <t>Sim</t>
  </si>
  <si>
    <t>Temperatura de trabalho  [Graus celsius]</t>
  </si>
  <si>
    <t>Confiabilidade%</t>
  </si>
  <si>
    <t>Aço endurecido por completo</t>
  </si>
  <si>
    <t>Dureza HB na coroa (valor minimo)</t>
  </si>
  <si>
    <t>&lt;180</t>
  </si>
  <si>
    <t>Dureza HB no pinhao (valor minimo)</t>
  </si>
  <si>
    <t>Utilizar valores médios para as tensões admissiveis</t>
  </si>
  <si>
    <t>Dentes com altura normal (profundidade completa)</t>
  </si>
  <si>
    <t>Sim: Adendo e dedendo</t>
  </si>
  <si>
    <t>Fator de qualidade Qv</t>
  </si>
  <si>
    <t>Fabricação Convencional e bem acabada</t>
  </si>
  <si>
    <t>Todas as engrenagens montadas entre mancais</t>
  </si>
  <si>
    <t>Rotação de entrada</t>
  </si>
  <si>
    <t>Rotação [rpm]</t>
  </si>
  <si>
    <t>Equação disponivel no pdf "Projeto_01_2024", cedido pelo professor</t>
  </si>
  <si>
    <t>Ratação [rad/s]</t>
  </si>
  <si>
    <t>Unidade</t>
  </si>
  <si>
    <t>Primeiro estágio (dentes retos)</t>
  </si>
  <si>
    <t>Segundo estágio (dentes helicoidais)</t>
  </si>
  <si>
    <t>Terceiro estágio (dentes helicoidais)</t>
  </si>
  <si>
    <t>Pinhão 1 (eixo 1)</t>
  </si>
  <si>
    <t>Coroa 1 (eixo 2)</t>
  </si>
  <si>
    <t>Pinhao 2 (eixo2)</t>
  </si>
  <si>
    <t>Coroa 2 (eixo 3)</t>
  </si>
  <si>
    <t>Pinhao 3 (eixo 3)</t>
  </si>
  <si>
    <t>Coroa 3 (eixo 4)</t>
  </si>
  <si>
    <t>Bloco 1</t>
  </si>
  <si>
    <t>Relaçao de transmissão desejada</t>
  </si>
  <si>
    <t>[-]</t>
  </si>
  <si>
    <t>Figura 1.16 da Apostila “Engenharia de Projeto – Elementos de transmissão”, com os pontos inseridos na tabela</t>
  </si>
  <si>
    <t>Equação 1.57 da Apostila “Engenharia de Projeto – Elementos de transmissão”</t>
  </si>
  <si>
    <t>Nº de dentes</t>
  </si>
  <si>
    <t>[unid]</t>
  </si>
  <si>
    <t>Numero de dentes da engrenagem de dentes retos estimados conforme tabela 12-13 (Angulo de 25 graus, carregamento HPTSC) utilizando o numero mínimo onde não ocorre undercutting.
O mesmo foi feito para engrenagens helicoidais, utilizando a tabela 13-4 (25º para angulo de pressão, 10º para o angulo de hélice).</t>
  </si>
  <si>
    <t>Tabela 12-13 do Norton v.4</t>
  </si>
  <si>
    <t>Tabela 13-4 do Norton v.4</t>
  </si>
  <si>
    <t>Nº de dentes corrigido</t>
  </si>
  <si>
    <t>Para evitar que os dentes do pinhão e da coroa tenham uma razão inteira (primeiro estagio, 70/14 = 5), foi retirado um dente da coroa no primeiro estágio</t>
  </si>
  <si>
    <t>Priorizando o numero minimo de dentes para o pinhão, como pedido no escopo do projeto</t>
  </si>
  <si>
    <t>Relação de transmissão de cada estágio</t>
  </si>
  <si>
    <t>Dentes Coroa/Dentes pinhao</t>
  </si>
  <si>
    <t>Relação de transmissão total</t>
  </si>
  <si>
    <t>Multiplicação das relações de transmissão</t>
  </si>
  <si>
    <t>Erro para cada estagio</t>
  </si>
  <si>
    <t>%</t>
  </si>
  <si>
    <t>Erro total de relação de transmissao</t>
  </si>
  <si>
    <t>Necessário ser menor que 1% (Escopo de projeto)</t>
  </si>
  <si>
    <t>Cor verde = OK
Cor Vermelha = Não conforme</t>
  </si>
  <si>
    <t>Módulo normal estimado</t>
  </si>
  <si>
    <t>[mm]</t>
  </si>
  <si>
    <t>Para o primeiro conjunto, foi utlizado a figura 1.18 da Apostila “Engenharia de Projeto – Elementos de transmissão” p(31), intersecção entre 1200 rpm e 6 hp. Como o valor ficou muito perto de 2 mm, seguindo a tabela 1.4 da Apostila, temos que o valor recomendado para a primeira escolha é de 2 mm</t>
  </si>
  <si>
    <t>Figura 1.18 da Apostila “Engenharia de Projeto – Elementos de transmissão”, com as linhas linhas de intersecção inseridas na imagem</t>
  </si>
  <si>
    <t>Para os estágio helicoidais, foi utilizado a formula 1.59 da apostila</t>
  </si>
  <si>
    <t>Módulo normal padronizado</t>
  </si>
  <si>
    <t>Escolhido o modulo mais proximo, segundo a tabela 1.3 e tabela 1.4</t>
  </si>
  <si>
    <t xml:space="preserve">Módulo Tranversal </t>
  </si>
  <si>
    <t>Equação 1.24 da Apostila “Engenharia de Projeto – Elementos de transmissão”</t>
  </si>
  <si>
    <t>Diametro Primitivo</t>
  </si>
  <si>
    <t>Equação 1.25 da Apostila “Engenharia de Projeto – Elementos de transmissão”</t>
  </si>
  <si>
    <t>Diametro Base</t>
  </si>
  <si>
    <t>Equação 1.3 da Apostila “Engenharia de Projeto – Elementos de transmissão”</t>
  </si>
  <si>
    <t xml:space="preserve">Diametro Raiz </t>
  </si>
  <si>
    <t>Equação 1.7 da Apostila “Engenharia de Projeto – Elementos de transmissão”</t>
  </si>
  <si>
    <t>Diametro Externo</t>
  </si>
  <si>
    <t>Equação 1.6 da Apostila “Engenharia de Projeto – Elementos de transmissão”</t>
  </si>
  <si>
    <t>Diametro interno</t>
  </si>
  <si>
    <t>Equação 1.8 da Apostila “Engenharia de Projeto – Elementos de transmissão”</t>
  </si>
  <si>
    <t>Angulo de pressão transversal</t>
  </si>
  <si>
    <t>[rad]</t>
  </si>
  <si>
    <t>Equação 1.26 da Apostila “Engenharia de Projeto – Elementos de transmissão”</t>
  </si>
  <si>
    <t>Distancia entre centros (C)</t>
  </si>
  <si>
    <t>Somatório dos diametros primitivos / 2</t>
  </si>
  <si>
    <t>Passo circular (pc)</t>
  </si>
  <si>
    <t>Equação 1.1 da Apostila “Engenharia de Projeto – Elementos de transmissão”</t>
  </si>
  <si>
    <t>Passo de base (pb)</t>
  </si>
  <si>
    <t>Equação 1.4 da Apostila “Engenharia de Projeto – Elementos de transmissão”</t>
  </si>
  <si>
    <t>Passo normal (pn)</t>
  </si>
  <si>
    <t>Equação 1.21 da Apostila “Engenharia de Projeto – Elementos de transmissão”</t>
  </si>
  <si>
    <t>Passo transversal (pt)</t>
  </si>
  <si>
    <t>-</t>
  </si>
  <si>
    <t>Equação 1.20 da Apostila “Engenharia de Projeto – Elementos de transmissão”</t>
  </si>
  <si>
    <t>Passo axial (px)</t>
  </si>
  <si>
    <t>Equação 1.22 da Apostila “Engenharia de Projeto – Elementos de transmissão”</t>
  </si>
  <si>
    <t>Adendo</t>
  </si>
  <si>
    <t>Tabela 1.5 da Apostila “Engenharia de Projeto – Elementos de transmissão”,</t>
  </si>
  <si>
    <t>Dedendo</t>
  </si>
  <si>
    <t>Altura do dente</t>
  </si>
  <si>
    <t>Adendo + Dedendo</t>
  </si>
  <si>
    <t>Folga do dente</t>
  </si>
  <si>
    <t>Dedendo - adendo</t>
  </si>
  <si>
    <t>Largura de Face</t>
  </si>
  <si>
    <t>Para dentes retos, entre 8 modulo a 12 modulo, foi escolhido 12 para o pinhao e 10 para a coroa, pois é comum fazer com que a largura do pinhão seja de 1m a 2m maior que a largura da coroa</t>
  </si>
  <si>
    <t>Para dentes helicoidais, usar a Equação 1.28 da Apostila “Engenharia de Projeto – Elementos de transmissão”, sendo ideal F = 2*px</t>
  </si>
  <si>
    <t>Comprimento de ação</t>
  </si>
  <si>
    <t>Equação 1.11 da Apostila “Engenharia de Projeto – Elementos de transmissão”</t>
  </si>
  <si>
    <t>Razão de contato transversal ou grau de recobrimento (mp)</t>
  </si>
  <si>
    <t>Equação 1.12 da Apostila “Engenharia de Projeto – Elementos de transmissão”</t>
  </si>
  <si>
    <t>Razão de contato axial (mf)</t>
  </si>
  <si>
    <t>Equação 1.27 da Apostila “Engenharia de Projeto – Elementos de transmissão”</t>
  </si>
  <si>
    <t>Razão de contato total</t>
  </si>
  <si>
    <t>Bloco 2</t>
  </si>
  <si>
    <t xml:space="preserve">Rotação </t>
  </si>
  <si>
    <t>[rad/s]</t>
  </si>
  <si>
    <t>Equação 1.33 da Apostila “Engenharia de Projeto – Elementos de transmissão”</t>
  </si>
  <si>
    <t xml:space="preserve">Torque </t>
  </si>
  <si>
    <t>[N.m]</t>
  </si>
  <si>
    <t>Equação 1.34 da Apostila “Engenharia de Projeto – Elementos de transmissão”</t>
  </si>
  <si>
    <t>Força Tangêncial (Wt)</t>
  </si>
  <si>
    <t>[N]</t>
  </si>
  <si>
    <t>Equação 13.13a da pág. 751 do Norton v.4 e Equação 12.13a da pág 706</t>
  </si>
  <si>
    <t>Força Radial (Wr)</t>
  </si>
  <si>
    <t>Equação 1.35 da Apostila “Engenharia de Projeto – Elementos de transmissão”</t>
  </si>
  <si>
    <t>Força Axial (Wa)</t>
  </si>
  <si>
    <t>Equação 1.40 da Apostila “Engenharia de Projeto – Elementos de transmissão”</t>
  </si>
  <si>
    <t>Força Total (W)</t>
  </si>
  <si>
    <t>Equação 1.41 da Apostila “Engenharia de Projeto – Elementos de transmissão”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</si>
</sst>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rgb="FF000000"/>
      <name val="Arial"/>
    </font>
    <font>
      <sz val="11"/>
      <color rgb="FF1F1F1F"/>
      <name val="&quot;Google Sans&quot;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6" fillId="5" borderId="0" xfId="0" applyFont="1" applyFill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/>
    <xf numFmtId="0" fontId="1" fillId="0" borderId="4" xfId="0" applyFont="1" applyBorder="1" applyAlignment="1">
      <alignment horizontal="center" vertical="center"/>
    </xf>
    <xf numFmtId="0" fontId="2" fillId="0" borderId="6" xfId="0" applyFont="1" applyBorder="1"/>
    <xf numFmtId="0" fontId="3" fillId="0" borderId="15" xfId="0" applyFont="1" applyBorder="1" applyAlignment="1">
      <alignment horizontal="center" vertical="center"/>
    </xf>
    <xf numFmtId="0" fontId="2" fillId="0" borderId="8" xfId="0" applyFont="1" applyBorder="1"/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9" xfId="0" applyFont="1" applyBorder="1"/>
    <xf numFmtId="0" fontId="2" fillId="0" borderId="4" xfId="0" applyFont="1" applyBorder="1"/>
    <xf numFmtId="0" fontId="1" fillId="3" borderId="9" xfId="0" applyFont="1" applyFill="1" applyBorder="1" applyAlignment="1">
      <alignment horizontal="center"/>
    </xf>
    <xf numFmtId="0" fontId="0" fillId="0" borderId="0" xfId="0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0" borderId="7" xfId="0" applyFont="1" applyBorder="1"/>
    <xf numFmtId="10" fontId="1" fillId="0" borderId="9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/>
    <xf numFmtId="168" fontId="1" fillId="0" borderId="0" xfId="0" applyNumberFormat="1" applyFont="1" applyAlignment="1">
      <alignment horizontal="center" vertical="center"/>
    </xf>
    <xf numFmtId="168" fontId="1" fillId="0" borderId="10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2" fillId="0" borderId="10" xfId="0" applyNumberFormat="1" applyFont="1" applyBorder="1"/>
    <xf numFmtId="168" fontId="1" fillId="0" borderId="5" xfId="0" applyNumberFormat="1" applyFont="1" applyBorder="1" applyAlignment="1">
      <alignment horizontal="center" vertical="center"/>
    </xf>
    <xf numFmtId="168" fontId="2" fillId="0" borderId="6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46</xdr:row>
      <xdr:rowOff>0</xdr:rowOff>
    </xdr:from>
    <xdr:ext cx="1238250" cy="238125"/>
    <xdr:pic>
      <xdr:nvPicPr>
        <xdr:cNvPr id="2" name="image16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52</xdr:row>
      <xdr:rowOff>0</xdr:rowOff>
    </xdr:from>
    <xdr:ext cx="209550" cy="20002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52</xdr:row>
      <xdr:rowOff>0</xdr:rowOff>
    </xdr:from>
    <xdr:ext cx="438150" cy="200025"/>
    <xdr:pic>
      <xdr:nvPicPr>
        <xdr:cNvPr id="4" name="image12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53</xdr:row>
      <xdr:rowOff>0</xdr:rowOff>
    </xdr:from>
    <xdr:ext cx="495300" cy="200025"/>
    <xdr:pic>
      <xdr:nvPicPr>
        <xdr:cNvPr id="5" name="image2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53</xdr:row>
      <xdr:rowOff>0</xdr:rowOff>
    </xdr:from>
    <xdr:ext cx="485775" cy="200025"/>
    <xdr:pic>
      <xdr:nvPicPr>
        <xdr:cNvPr id="6" name="image23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59</xdr:row>
      <xdr:rowOff>0</xdr:rowOff>
    </xdr:from>
    <xdr:ext cx="180975" cy="2000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59</xdr:row>
      <xdr:rowOff>0</xdr:rowOff>
    </xdr:from>
    <xdr:ext cx="428625" cy="200025"/>
    <xdr:pic>
      <xdr:nvPicPr>
        <xdr:cNvPr id="8" name="image11.png" title="Imagem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60</xdr:row>
      <xdr:rowOff>0</xdr:rowOff>
    </xdr:from>
    <xdr:ext cx="209550" cy="200025"/>
    <xdr:pic>
      <xdr:nvPicPr>
        <xdr:cNvPr id="9" name="image17.png" title="Imagem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61</xdr:row>
      <xdr:rowOff>0</xdr:rowOff>
    </xdr:from>
    <xdr:ext cx="371475" cy="200025"/>
    <xdr:pic>
      <xdr:nvPicPr>
        <xdr:cNvPr id="10" name="image24.png" descr="Formula módulo transversal&#10;" title="Imagem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62</xdr:row>
      <xdr:rowOff>0</xdr:rowOff>
    </xdr:from>
    <xdr:ext cx="571500" cy="200025"/>
    <xdr:pic>
      <xdr:nvPicPr>
        <xdr:cNvPr id="11" name="image21.png" title="Imagem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63</xdr:row>
      <xdr:rowOff>0</xdr:rowOff>
    </xdr:from>
    <xdr:ext cx="619125" cy="200025"/>
    <xdr:pic>
      <xdr:nvPicPr>
        <xdr:cNvPr id="12" name="image10.png" title="Imagem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64</xdr:row>
      <xdr:rowOff>0</xdr:rowOff>
    </xdr:from>
    <xdr:ext cx="781050" cy="200025"/>
    <xdr:pic>
      <xdr:nvPicPr>
        <xdr:cNvPr id="13" name="image18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65</xdr:row>
      <xdr:rowOff>0</xdr:rowOff>
    </xdr:from>
    <xdr:ext cx="1152525" cy="352425"/>
    <xdr:pic>
      <xdr:nvPicPr>
        <xdr:cNvPr id="14" name="image13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66</xdr:row>
      <xdr:rowOff>0</xdr:rowOff>
    </xdr:from>
    <xdr:ext cx="628650" cy="200025"/>
    <xdr:pic>
      <xdr:nvPicPr>
        <xdr:cNvPr id="15" name="image14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67</xdr:row>
      <xdr:rowOff>0</xdr:rowOff>
    </xdr:from>
    <xdr:ext cx="1543050" cy="561975"/>
    <xdr:pic>
      <xdr:nvPicPr>
        <xdr:cNvPr id="16" name="image1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69</xdr:row>
      <xdr:rowOff>0</xdr:rowOff>
    </xdr:from>
    <xdr:ext cx="504825" cy="200025"/>
    <xdr:pic>
      <xdr:nvPicPr>
        <xdr:cNvPr id="17" name="image3.png" title="Imagem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70</xdr:row>
      <xdr:rowOff>0</xdr:rowOff>
    </xdr:from>
    <xdr:ext cx="885825" cy="200025"/>
    <xdr:pic>
      <xdr:nvPicPr>
        <xdr:cNvPr id="18" name="image6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71</xdr:row>
      <xdr:rowOff>0</xdr:rowOff>
    </xdr:from>
    <xdr:ext cx="1228725" cy="533400"/>
    <xdr:pic>
      <xdr:nvPicPr>
        <xdr:cNvPr id="19" name="image25.png" title="Imagem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72</xdr:row>
      <xdr:rowOff>0</xdr:rowOff>
    </xdr:from>
    <xdr:ext cx="409575" cy="200025"/>
    <xdr:pic>
      <xdr:nvPicPr>
        <xdr:cNvPr id="20" name="image19.png" title="Imagem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73</xdr:row>
      <xdr:rowOff>0</xdr:rowOff>
    </xdr:from>
    <xdr:ext cx="400050" cy="200025"/>
    <xdr:pic>
      <xdr:nvPicPr>
        <xdr:cNvPr id="21" name="image4.png" title="Imagem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74</xdr:row>
      <xdr:rowOff>0</xdr:rowOff>
    </xdr:from>
    <xdr:ext cx="476250" cy="200025"/>
    <xdr:pic>
      <xdr:nvPicPr>
        <xdr:cNvPr id="22" name="image20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78</xdr:row>
      <xdr:rowOff>0</xdr:rowOff>
    </xdr:from>
    <xdr:ext cx="619125" cy="200025"/>
    <xdr:pic>
      <xdr:nvPicPr>
        <xdr:cNvPr id="23" name="image9.png" title="Image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79</xdr:row>
      <xdr:rowOff>0</xdr:rowOff>
    </xdr:from>
    <xdr:ext cx="1876425" cy="200025"/>
    <xdr:pic>
      <xdr:nvPicPr>
        <xdr:cNvPr id="24" name="image15.png" title="Image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80</xdr:row>
      <xdr:rowOff>0</xdr:rowOff>
    </xdr:from>
    <xdr:ext cx="361950" cy="200025"/>
    <xdr:pic>
      <xdr:nvPicPr>
        <xdr:cNvPr id="25" name="image22.png" title="Imagem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81</xdr:row>
      <xdr:rowOff>0</xdr:rowOff>
    </xdr:from>
    <xdr:ext cx="581025" cy="200025"/>
    <xdr:pic>
      <xdr:nvPicPr>
        <xdr:cNvPr id="26" name="image8.png" title="Imagem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93"/>
  <sheetViews>
    <sheetView showGridLines="0" tabSelected="1" workbookViewId="0">
      <selection activeCell="I16" sqref="I16"/>
    </sheetView>
  </sheetViews>
  <sheetFormatPr defaultColWidth="12.6640625" defaultRowHeight="15.75" customHeight="1"/>
  <cols>
    <col min="1" max="1" width="17.33203125" customWidth="1"/>
    <col min="2" max="2" width="31.109375" customWidth="1"/>
    <col min="3" max="3" width="33.88671875" customWidth="1"/>
    <col min="4" max="4" width="18.88671875" customWidth="1"/>
    <col min="5" max="5" width="20.6640625" customWidth="1"/>
    <col min="6" max="6" width="16.21875" customWidth="1"/>
    <col min="7" max="7" width="17.21875" customWidth="1"/>
    <col min="8" max="8" width="16.6640625" customWidth="1"/>
    <col min="9" max="9" width="16.21875" customWidth="1"/>
    <col min="10" max="10" width="32.44140625" customWidth="1"/>
    <col min="11" max="11" width="50.6640625" customWidth="1"/>
    <col min="12" max="12" width="32.109375" customWidth="1"/>
    <col min="13" max="13" width="17.21875" customWidth="1"/>
    <col min="14" max="14" width="29.109375" customWidth="1"/>
    <col min="15" max="15" width="23.44140625" customWidth="1"/>
  </cols>
  <sheetData>
    <row r="2" spans="1:5" ht="13.2">
      <c r="A2" s="58" t="s">
        <v>0</v>
      </c>
      <c r="B2" s="59"/>
      <c r="C2" s="59"/>
      <c r="D2" s="59"/>
      <c r="E2" s="57"/>
    </row>
    <row r="3" spans="1:5" ht="13.2">
      <c r="A3" s="60" t="s">
        <v>1</v>
      </c>
      <c r="B3" s="54"/>
      <c r="C3" s="54"/>
      <c r="D3" s="54"/>
      <c r="E3" s="40"/>
    </row>
    <row r="4" spans="1:5" ht="13.2">
      <c r="A4" s="53" t="s">
        <v>2</v>
      </c>
      <c r="B4" s="54"/>
      <c r="C4" s="61" t="s">
        <v>3</v>
      </c>
      <c r="D4" s="62"/>
      <c r="E4" s="42"/>
    </row>
    <row r="5" spans="1:5" ht="13.2">
      <c r="A5" s="51" t="s">
        <v>4</v>
      </c>
      <c r="B5" s="52"/>
      <c r="C5" s="51">
        <v>589403</v>
      </c>
      <c r="D5" s="52"/>
      <c r="E5" s="38"/>
    </row>
    <row r="6" spans="1:5" ht="13.2">
      <c r="A6" s="51" t="s">
        <v>5</v>
      </c>
      <c r="B6" s="52"/>
      <c r="C6" s="51">
        <v>760873</v>
      </c>
      <c r="D6" s="52"/>
      <c r="E6" s="38"/>
    </row>
    <row r="7" spans="1:5" ht="13.2">
      <c r="A7" s="53" t="s">
        <v>6</v>
      </c>
      <c r="B7" s="54"/>
      <c r="C7" s="53">
        <v>744744</v>
      </c>
      <c r="D7" s="54"/>
      <c r="E7" s="40"/>
    </row>
    <row r="10" spans="1:5" ht="13.2">
      <c r="A10" s="78" t="s">
        <v>7</v>
      </c>
      <c r="B10" s="74" t="s">
        <v>8</v>
      </c>
      <c r="C10" s="56">
        <v>3</v>
      </c>
      <c r="D10" s="57"/>
    </row>
    <row r="11" spans="1:5" ht="13.2">
      <c r="A11" s="78"/>
      <c r="B11" s="75" t="s">
        <v>9</v>
      </c>
      <c r="C11" s="2" t="s">
        <v>10</v>
      </c>
      <c r="D11" s="3">
        <v>10</v>
      </c>
    </row>
    <row r="12" spans="1:5" ht="13.2">
      <c r="A12" s="78"/>
      <c r="B12" s="38"/>
      <c r="C12" s="4" t="s">
        <v>11</v>
      </c>
      <c r="D12" s="5">
        <v>12</v>
      </c>
    </row>
    <row r="13" spans="1:5" ht="13.2">
      <c r="A13" s="78"/>
      <c r="B13" s="38"/>
      <c r="C13" s="4" t="s">
        <v>12</v>
      </c>
      <c r="D13" s="5">
        <v>5</v>
      </c>
    </row>
    <row r="14" spans="1:5" ht="13.2">
      <c r="A14" s="78"/>
      <c r="B14" s="38"/>
      <c r="C14" s="4" t="s">
        <v>13</v>
      </c>
      <c r="D14" s="5">
        <v>50</v>
      </c>
    </row>
    <row r="15" spans="1:5" ht="13.2">
      <c r="A15" s="78"/>
      <c r="B15" s="38"/>
      <c r="C15" s="4" t="s">
        <v>14</v>
      </c>
      <c r="D15" s="5">
        <v>6</v>
      </c>
    </row>
    <row r="16" spans="1:5" ht="26.4">
      <c r="A16" s="78"/>
      <c r="B16" s="40"/>
      <c r="C16" s="6" t="s">
        <v>15</v>
      </c>
      <c r="D16" s="7">
        <v>18000</v>
      </c>
    </row>
    <row r="17" spans="1:4" ht="13.2">
      <c r="A17" s="78"/>
      <c r="B17" s="75" t="s">
        <v>16</v>
      </c>
      <c r="C17" s="4" t="s">
        <v>17</v>
      </c>
      <c r="D17" s="5"/>
    </row>
    <row r="18" spans="1:4" ht="13.2">
      <c r="A18" s="78"/>
      <c r="B18" s="40"/>
      <c r="C18" s="8" t="s">
        <v>18</v>
      </c>
      <c r="D18" s="7" t="s">
        <v>19</v>
      </c>
    </row>
    <row r="19" spans="1:4" ht="13.2">
      <c r="A19" s="78"/>
      <c r="B19" s="75" t="s">
        <v>20</v>
      </c>
      <c r="C19" s="4" t="s">
        <v>21</v>
      </c>
      <c r="D19" s="5">
        <v>6</v>
      </c>
    </row>
    <row r="20" spans="1:4" ht="13.2">
      <c r="A20" s="78"/>
      <c r="B20" s="40"/>
      <c r="C20" s="4" t="s">
        <v>22</v>
      </c>
      <c r="D20" s="5">
        <v>60</v>
      </c>
    </row>
    <row r="21" spans="1:4" ht="13.2">
      <c r="A21" s="78"/>
      <c r="B21" s="75" t="s">
        <v>23</v>
      </c>
      <c r="C21" s="2" t="s">
        <v>24</v>
      </c>
      <c r="D21" s="3">
        <v>6</v>
      </c>
    </row>
    <row r="22" spans="1:4" ht="13.2">
      <c r="A22" s="78"/>
      <c r="B22" s="40"/>
      <c r="C22" s="8" t="s">
        <v>25</v>
      </c>
      <c r="D22" s="5">
        <f>745.7*D21</f>
        <v>4474.2000000000007</v>
      </c>
    </row>
    <row r="23" spans="1:4" ht="13.2">
      <c r="A23" s="78"/>
      <c r="B23" s="75" t="s">
        <v>26</v>
      </c>
      <c r="C23" s="4" t="s">
        <v>27</v>
      </c>
      <c r="D23" s="3">
        <v>3</v>
      </c>
    </row>
    <row r="24" spans="1:4" ht="26.4">
      <c r="A24" s="78"/>
      <c r="B24" s="38"/>
      <c r="C24" s="9" t="s">
        <v>28</v>
      </c>
      <c r="D24" s="5">
        <v>40</v>
      </c>
    </row>
    <row r="25" spans="1:4" ht="39.6">
      <c r="A25" s="78"/>
      <c r="B25" s="40"/>
      <c r="C25" s="6" t="s">
        <v>29</v>
      </c>
      <c r="D25" s="7" t="s">
        <v>30</v>
      </c>
    </row>
    <row r="26" spans="1:4" ht="39.6">
      <c r="A26" s="78"/>
      <c r="B26" s="76" t="s">
        <v>31</v>
      </c>
      <c r="C26" s="10" t="s">
        <v>32</v>
      </c>
      <c r="D26" s="11" t="s">
        <v>33</v>
      </c>
    </row>
    <row r="27" spans="1:4" ht="13.2">
      <c r="A27" s="78"/>
      <c r="B27" s="75" t="s">
        <v>34</v>
      </c>
      <c r="C27" s="4" t="s">
        <v>35</v>
      </c>
      <c r="D27" s="5" t="s">
        <v>36</v>
      </c>
    </row>
    <row r="28" spans="1:4" ht="26.4">
      <c r="A28" s="78"/>
      <c r="B28" s="38"/>
      <c r="C28" s="12" t="s">
        <v>37</v>
      </c>
      <c r="D28" s="5">
        <v>25</v>
      </c>
    </row>
    <row r="29" spans="1:4" ht="26.4">
      <c r="A29" s="78"/>
      <c r="B29" s="38"/>
      <c r="C29" s="9" t="s">
        <v>38</v>
      </c>
      <c r="D29" s="5">
        <f>RADIANS(D28)</f>
        <v>0.43633231299858238</v>
      </c>
    </row>
    <row r="30" spans="1:4" ht="13.2">
      <c r="A30" s="78"/>
      <c r="B30" s="40"/>
      <c r="C30" s="8" t="s">
        <v>39</v>
      </c>
      <c r="D30" s="7">
        <v>0</v>
      </c>
    </row>
    <row r="31" spans="1:4" ht="13.2">
      <c r="A31" s="78"/>
      <c r="B31" s="77" t="s">
        <v>40</v>
      </c>
      <c r="C31" s="4" t="s">
        <v>35</v>
      </c>
      <c r="D31" s="5" t="s">
        <v>41</v>
      </c>
    </row>
    <row r="32" spans="1:4" ht="26.4">
      <c r="A32" s="78"/>
      <c r="B32" s="38"/>
      <c r="C32" s="12" t="s">
        <v>37</v>
      </c>
      <c r="D32" s="5">
        <v>25</v>
      </c>
    </row>
    <row r="33" spans="1:15" ht="26.4">
      <c r="A33" s="78"/>
      <c r="B33" s="38"/>
      <c r="C33" s="9" t="s">
        <v>38</v>
      </c>
      <c r="D33" s="5">
        <f>RADIANS(D32)</f>
        <v>0.43633231299858238</v>
      </c>
    </row>
    <row r="34" spans="1:15" ht="13.2">
      <c r="A34" s="78"/>
      <c r="B34" s="38"/>
      <c r="C34" s="13" t="s">
        <v>42</v>
      </c>
      <c r="D34" s="5">
        <v>10</v>
      </c>
    </row>
    <row r="35" spans="1:15" ht="13.2">
      <c r="A35" s="78"/>
      <c r="B35" s="38"/>
      <c r="C35" s="4" t="s">
        <v>43</v>
      </c>
      <c r="D35" s="5">
        <f>RADIANS(D34)</f>
        <v>0.17453292519943295</v>
      </c>
    </row>
    <row r="36" spans="1:15" ht="13.2">
      <c r="A36" s="78"/>
      <c r="B36" s="75" t="s">
        <v>44</v>
      </c>
      <c r="C36" s="2"/>
      <c r="D36" s="3"/>
    </row>
    <row r="37" spans="1:15" ht="26.4">
      <c r="A37" s="78"/>
      <c r="B37" s="38"/>
      <c r="C37" s="9" t="s">
        <v>45</v>
      </c>
      <c r="D37" s="5" t="s">
        <v>46</v>
      </c>
    </row>
    <row r="38" spans="1:15" ht="13.2">
      <c r="A38" s="78"/>
      <c r="B38" s="38"/>
      <c r="C38" s="4" t="s">
        <v>47</v>
      </c>
      <c r="D38" s="5">
        <v>70</v>
      </c>
    </row>
    <row r="39" spans="1:15" ht="13.2">
      <c r="A39" s="78"/>
      <c r="B39" s="40"/>
      <c r="C39" s="8" t="s">
        <v>48</v>
      </c>
      <c r="D39" s="7">
        <v>90</v>
      </c>
    </row>
    <row r="40" spans="1:15" ht="13.2">
      <c r="A40" s="78"/>
      <c r="B40" s="75" t="s">
        <v>49</v>
      </c>
      <c r="C40" s="2"/>
      <c r="D40" s="3"/>
    </row>
    <row r="41" spans="1:15" ht="13.2">
      <c r="A41" s="78"/>
      <c r="B41" s="38"/>
      <c r="C41" s="4" t="s">
        <v>50</v>
      </c>
      <c r="D41" s="5" t="s">
        <v>51</v>
      </c>
    </row>
    <row r="42" spans="1:15" ht="13.2">
      <c r="A42" s="78"/>
      <c r="B42" s="38"/>
      <c r="C42" s="4" t="s">
        <v>52</v>
      </c>
      <c r="D42" s="5">
        <v>240</v>
      </c>
    </row>
    <row r="43" spans="1:15" ht="39.6">
      <c r="A43" s="78"/>
      <c r="B43" s="40"/>
      <c r="C43" s="8"/>
      <c r="D43" s="7"/>
      <c r="E43" s="14" t="s">
        <v>53</v>
      </c>
    </row>
    <row r="44" spans="1:15" ht="26.4">
      <c r="A44" s="78"/>
      <c r="B44" s="75" t="s">
        <v>54</v>
      </c>
      <c r="C44" s="2"/>
      <c r="D44" s="15" t="s">
        <v>55</v>
      </c>
    </row>
    <row r="45" spans="1:15" ht="13.2">
      <c r="A45" s="78"/>
      <c r="B45" s="38"/>
      <c r="C45" s="4" t="s">
        <v>56</v>
      </c>
      <c r="D45" s="5">
        <v>6</v>
      </c>
    </row>
    <row r="46" spans="1:15" ht="52.8">
      <c r="A46" s="78"/>
      <c r="B46" s="40"/>
      <c r="C46" s="16" t="s">
        <v>57</v>
      </c>
      <c r="D46" s="17" t="s">
        <v>58</v>
      </c>
      <c r="M46" s="18"/>
      <c r="N46" s="18"/>
      <c r="O46" s="18"/>
    </row>
    <row r="47" spans="1:15" ht="47.25" customHeight="1">
      <c r="A47" s="78"/>
      <c r="B47" s="75" t="s">
        <v>59</v>
      </c>
      <c r="C47" s="19" t="s">
        <v>60</v>
      </c>
      <c r="D47" s="15">
        <f>D20*60/(D19/2)</f>
        <v>1200</v>
      </c>
      <c r="E47" s="14" t="s">
        <v>61</v>
      </c>
      <c r="F47" s="20"/>
      <c r="M47" s="21"/>
    </row>
    <row r="48" spans="1:15" ht="40.5" customHeight="1">
      <c r="A48" s="78"/>
      <c r="B48" s="40"/>
      <c r="C48" s="16" t="s">
        <v>62</v>
      </c>
      <c r="D48" s="22">
        <f>(D47*2*PI())/60</f>
        <v>125.66370614359172</v>
      </c>
      <c r="M48" s="21"/>
    </row>
    <row r="49" spans="1:14" ht="13.2">
      <c r="A49" s="19"/>
      <c r="B49" s="19"/>
      <c r="C49" s="19"/>
      <c r="D49" s="9"/>
      <c r="M49" s="21"/>
    </row>
    <row r="50" spans="1:14" ht="13.2">
      <c r="M50" s="21"/>
    </row>
    <row r="51" spans="1:14" ht="13.2">
      <c r="C51" s="47" t="s">
        <v>63</v>
      </c>
      <c r="D51" s="41" t="s">
        <v>64</v>
      </c>
      <c r="E51" s="42"/>
      <c r="F51" s="43" t="s">
        <v>65</v>
      </c>
      <c r="G51" s="42"/>
      <c r="H51" s="44" t="s">
        <v>66</v>
      </c>
      <c r="I51" s="42"/>
      <c r="J51" s="19"/>
      <c r="K51" s="19"/>
      <c r="L51" s="19"/>
      <c r="M51" s="19"/>
      <c r="N51" s="19"/>
    </row>
    <row r="52" spans="1:14" ht="13.2">
      <c r="A52" s="23"/>
      <c r="C52" s="46"/>
      <c r="D52" s="24" t="s">
        <v>67</v>
      </c>
      <c r="E52" s="24" t="s">
        <v>68</v>
      </c>
      <c r="F52" s="24" t="s">
        <v>69</v>
      </c>
      <c r="G52" s="24" t="s">
        <v>70</v>
      </c>
      <c r="H52" s="24" t="s">
        <v>71</v>
      </c>
      <c r="I52" s="24" t="s">
        <v>72</v>
      </c>
      <c r="J52" s="19"/>
      <c r="K52" s="19"/>
      <c r="L52" s="19"/>
      <c r="M52" s="19"/>
      <c r="N52" s="19"/>
    </row>
    <row r="53" spans="1:14" ht="52.8">
      <c r="A53" s="48" t="s">
        <v>73</v>
      </c>
      <c r="B53" s="1" t="s">
        <v>74</v>
      </c>
      <c r="C53" s="25" t="s">
        <v>75</v>
      </c>
      <c r="D53" s="55">
        <v>5</v>
      </c>
      <c r="E53" s="52"/>
      <c r="F53" s="65">
        <f>D53^ (3/4)</f>
        <v>3.3437015248821096</v>
      </c>
      <c r="G53" s="57"/>
      <c r="H53" s="55">
        <f>D24/(D53*F53)</f>
        <v>2.3925580499539532</v>
      </c>
      <c r="I53" s="38"/>
      <c r="J53" s="19" t="s">
        <v>76</v>
      </c>
      <c r="K53" s="19"/>
      <c r="L53" s="19" t="s">
        <v>77</v>
      </c>
      <c r="M53" s="19"/>
      <c r="N53" s="19"/>
    </row>
    <row r="54" spans="1:14" ht="145.19999999999999">
      <c r="A54" s="49"/>
      <c r="B54" s="26" t="s">
        <v>78</v>
      </c>
      <c r="C54" s="27" t="s">
        <v>79</v>
      </c>
      <c r="D54" s="20">
        <v>14</v>
      </c>
      <c r="E54" s="20">
        <v>70</v>
      </c>
      <c r="F54" s="23">
        <v>14</v>
      </c>
      <c r="G54" s="28">
        <f>F54*F53</f>
        <v>46.811821348349532</v>
      </c>
      <c r="H54" s="20">
        <v>14</v>
      </c>
      <c r="I54" s="28">
        <f>H54*H53</f>
        <v>33.495812699355341</v>
      </c>
      <c r="J54" s="19" t="s">
        <v>80</v>
      </c>
      <c r="K54" s="29" t="s">
        <v>81</v>
      </c>
      <c r="L54" s="19"/>
      <c r="M54" s="19" t="s">
        <v>82</v>
      </c>
      <c r="N54" s="19"/>
    </row>
    <row r="55" spans="1:14" ht="66">
      <c r="A55" s="49"/>
      <c r="B55" s="26" t="s">
        <v>83</v>
      </c>
      <c r="C55" s="27" t="s">
        <v>79</v>
      </c>
      <c r="D55" s="20">
        <v>14</v>
      </c>
      <c r="E55" s="20">
        <v>69</v>
      </c>
      <c r="F55" s="23">
        <v>14</v>
      </c>
      <c r="G55" s="28">
        <v>47</v>
      </c>
      <c r="H55" s="20">
        <v>14</v>
      </c>
      <c r="I55" s="28">
        <v>34</v>
      </c>
      <c r="J55" s="19" t="s">
        <v>84</v>
      </c>
      <c r="K55" s="19" t="s">
        <v>85</v>
      </c>
      <c r="L55" s="19"/>
      <c r="M55" s="19"/>
      <c r="N55" s="19"/>
    </row>
    <row r="56" spans="1:14" ht="13.2">
      <c r="A56" s="49"/>
      <c r="B56" s="26" t="s">
        <v>86</v>
      </c>
      <c r="C56" s="27" t="s">
        <v>75</v>
      </c>
      <c r="D56" s="55">
        <f>E55/D55</f>
        <v>4.9285714285714288</v>
      </c>
      <c r="E56" s="52"/>
      <c r="F56" s="37">
        <f>G55/F55</f>
        <v>3.3571428571428572</v>
      </c>
      <c r="G56" s="38"/>
      <c r="H56" s="55">
        <f>I55/H55</f>
        <v>2.4285714285714284</v>
      </c>
      <c r="I56" s="38"/>
      <c r="J56" s="19" t="s">
        <v>87</v>
      </c>
      <c r="K56" s="19"/>
      <c r="L56" s="19"/>
      <c r="M56" s="19"/>
      <c r="N56" s="19"/>
    </row>
    <row r="57" spans="1:14" ht="26.4">
      <c r="A57" s="49"/>
      <c r="B57" s="26" t="s">
        <v>88</v>
      </c>
      <c r="C57" s="23" t="s">
        <v>75</v>
      </c>
      <c r="D57" s="37">
        <f>D56*F56*H56</f>
        <v>40.18294460641399</v>
      </c>
      <c r="E57" s="52"/>
      <c r="F57" s="52"/>
      <c r="G57" s="52"/>
      <c r="H57" s="52"/>
      <c r="I57" s="38"/>
      <c r="J57" s="19" t="s">
        <v>89</v>
      </c>
      <c r="K57" s="19"/>
      <c r="L57" s="19"/>
      <c r="M57" s="19"/>
      <c r="N57" s="19"/>
    </row>
    <row r="58" spans="1:14" ht="13.2">
      <c r="A58" s="49"/>
      <c r="B58" s="26" t="s">
        <v>90</v>
      </c>
      <c r="C58" s="27" t="s">
        <v>91</v>
      </c>
      <c r="D58" s="64">
        <f>IF((D53-D56)&lt;0, ((D53-D56)/D56)*-1, ((D53-D56)/D56))</f>
        <v>1.4492753623188354E-2</v>
      </c>
      <c r="E58" s="52"/>
      <c r="F58" s="63">
        <f>IF((F53-F56)&lt;0, ((F53-F56)/F56)*-1, ((F53-F56)/F56))</f>
        <v>4.0038010989460991E-3</v>
      </c>
      <c r="G58" s="38"/>
      <c r="H58" s="64">
        <f>IF((H53-H56)&lt;0, ((H53-H56)/H56)*-1, ((H53-H56)/H56))</f>
        <v>1.4829038254254504E-2</v>
      </c>
      <c r="I58" s="38"/>
      <c r="L58" s="19"/>
      <c r="M58" s="19"/>
      <c r="N58" s="19"/>
    </row>
    <row r="59" spans="1:14" ht="26.4">
      <c r="A59" s="49"/>
      <c r="B59" s="26" t="s">
        <v>92</v>
      </c>
      <c r="C59" s="27" t="s">
        <v>91</v>
      </c>
      <c r="D59" s="64">
        <f>IF((D24-D57)&lt;0,((D24-D57)/D57)*-1,((D24-D57)/D57))</f>
        <v>4.5527924398250435E-3</v>
      </c>
      <c r="E59" s="52"/>
      <c r="F59" s="52"/>
      <c r="G59" s="52"/>
      <c r="H59" s="52"/>
      <c r="I59" s="38"/>
      <c r="J59" s="19" t="s">
        <v>93</v>
      </c>
      <c r="K59" s="19" t="s">
        <v>94</v>
      </c>
      <c r="L59" s="19"/>
      <c r="M59" s="19"/>
      <c r="N59" s="19"/>
    </row>
    <row r="60" spans="1:14" ht="118.8">
      <c r="A60" s="49"/>
      <c r="B60" s="26" t="s">
        <v>95</v>
      </c>
      <c r="C60" s="23" t="s">
        <v>96</v>
      </c>
      <c r="D60" s="37">
        <v>2</v>
      </c>
      <c r="E60" s="38"/>
      <c r="F60" s="55">
        <f>D60*((1/F56)/(1/D56))</f>
        <v>2.9361702127659575</v>
      </c>
      <c r="G60" s="38"/>
      <c r="H60" s="37">
        <f>F60*((1/H56)/(1/F56))</f>
        <v>4.0588235294117654</v>
      </c>
      <c r="I60" s="38"/>
      <c r="J60" s="29" t="s">
        <v>97</v>
      </c>
      <c r="K60" s="19" t="s">
        <v>98</v>
      </c>
      <c r="L60" s="19"/>
      <c r="M60" s="19" t="s">
        <v>99</v>
      </c>
      <c r="N60" s="19"/>
    </row>
    <row r="61" spans="1:14" ht="26.4">
      <c r="A61" s="49"/>
      <c r="B61" s="26" t="s">
        <v>100</v>
      </c>
      <c r="C61" s="27" t="s">
        <v>96</v>
      </c>
      <c r="D61" s="37">
        <v>2</v>
      </c>
      <c r="E61" s="38"/>
      <c r="F61" s="37">
        <v>3</v>
      </c>
      <c r="G61" s="38"/>
      <c r="H61" s="37">
        <v>4</v>
      </c>
      <c r="I61" s="38"/>
      <c r="J61" s="19" t="s">
        <v>101</v>
      </c>
      <c r="K61" s="19"/>
      <c r="L61" s="19"/>
      <c r="M61" s="19"/>
      <c r="N61" s="19"/>
    </row>
    <row r="62" spans="1:14" ht="39.6">
      <c r="A62" s="49"/>
      <c r="B62" s="26" t="s">
        <v>102</v>
      </c>
      <c r="C62" s="27" t="s">
        <v>96</v>
      </c>
      <c r="D62" s="37">
        <f>D61</f>
        <v>2</v>
      </c>
      <c r="E62" s="38"/>
      <c r="F62" s="37">
        <f>F61/COS($D$35)</f>
        <v>3.0462798356572351</v>
      </c>
      <c r="G62" s="38"/>
      <c r="H62" s="37">
        <f>H61/COS($D$35)</f>
        <v>4.0617064475429805</v>
      </c>
      <c r="I62" s="38"/>
      <c r="J62" s="14" t="s">
        <v>103</v>
      </c>
      <c r="K62" s="19"/>
      <c r="L62" s="19"/>
      <c r="M62" s="19"/>
      <c r="N62" s="19"/>
    </row>
    <row r="63" spans="1:14" ht="39.6">
      <c r="A63" s="49"/>
      <c r="B63" s="26" t="s">
        <v>104</v>
      </c>
      <c r="C63" s="27" t="s">
        <v>96</v>
      </c>
      <c r="D63" s="23">
        <f>D55*D62</f>
        <v>28</v>
      </c>
      <c r="E63" s="28">
        <f>E55*D62</f>
        <v>138</v>
      </c>
      <c r="F63" s="23">
        <f>F55*F62</f>
        <v>42.647917699201294</v>
      </c>
      <c r="G63" s="28">
        <f>G55*F62</f>
        <v>143.17515227589004</v>
      </c>
      <c r="H63" s="23">
        <f>H55*H62</f>
        <v>56.863890265601725</v>
      </c>
      <c r="I63" s="28">
        <f>I55*H62</f>
        <v>138.09801921646132</v>
      </c>
      <c r="J63" s="14" t="s">
        <v>105</v>
      </c>
      <c r="K63" s="19"/>
      <c r="L63" s="19"/>
      <c r="M63" s="19"/>
      <c r="N63" s="19"/>
    </row>
    <row r="64" spans="1:14" ht="39.6">
      <c r="A64" s="49"/>
      <c r="B64" s="26" t="s">
        <v>106</v>
      </c>
      <c r="C64" s="27" t="s">
        <v>96</v>
      </c>
      <c r="D64" s="23">
        <f t="shared" ref="D64:E64" si="0">D63*COS($D$29)</f>
        <v>25.376618037026198</v>
      </c>
      <c r="E64" s="28">
        <f t="shared" si="0"/>
        <v>125.07047461105769</v>
      </c>
      <c r="F64" s="23">
        <f t="shared" ref="F64:I64" si="1">E63*COS($D$33)</f>
        <v>125.07047461105769</v>
      </c>
      <c r="G64" s="28">
        <f t="shared" si="1"/>
        <v>38.652139911684301</v>
      </c>
      <c r="H64" s="23">
        <f t="shared" si="1"/>
        <v>129.76075541779727</v>
      </c>
      <c r="I64" s="28">
        <f t="shared" si="1"/>
        <v>51.536186548912397</v>
      </c>
      <c r="J64" s="14" t="s">
        <v>107</v>
      </c>
      <c r="K64" s="19"/>
      <c r="L64" s="19"/>
      <c r="M64" s="19"/>
      <c r="N64" s="19"/>
    </row>
    <row r="65" spans="1:14" ht="39.6">
      <c r="A65" s="49"/>
      <c r="B65" s="26" t="s">
        <v>108</v>
      </c>
      <c r="C65" s="27" t="s">
        <v>96</v>
      </c>
      <c r="D65" s="23">
        <f t="shared" ref="D65:I65" si="2">D63-(2*D76)</f>
        <v>23</v>
      </c>
      <c r="E65" s="28">
        <f t="shared" si="2"/>
        <v>133</v>
      </c>
      <c r="F65" s="23">
        <f t="shared" si="2"/>
        <v>35.147917699201294</v>
      </c>
      <c r="G65" s="28">
        <f t="shared" si="2"/>
        <v>135.67515227589004</v>
      </c>
      <c r="H65" s="23">
        <f t="shared" si="2"/>
        <v>46.863890265601725</v>
      </c>
      <c r="I65" s="28">
        <f t="shared" si="2"/>
        <v>128.09801921646132</v>
      </c>
      <c r="J65" s="14" t="s">
        <v>109</v>
      </c>
      <c r="K65" s="19"/>
      <c r="L65" s="19"/>
      <c r="M65" s="19"/>
      <c r="N65" s="19"/>
    </row>
    <row r="66" spans="1:14" ht="27.75" customHeight="1">
      <c r="A66" s="49"/>
      <c r="B66" s="26" t="s">
        <v>110</v>
      </c>
      <c r="C66" s="27" t="s">
        <v>96</v>
      </c>
      <c r="D66" s="23">
        <f t="shared" ref="D66:I66" si="3">D63+(2*D75)</f>
        <v>32</v>
      </c>
      <c r="E66" s="28">
        <f t="shared" si="3"/>
        <v>142</v>
      </c>
      <c r="F66" s="23">
        <f t="shared" si="3"/>
        <v>48.647917699201294</v>
      </c>
      <c r="G66" s="28">
        <f t="shared" si="3"/>
        <v>149.17515227589004</v>
      </c>
      <c r="H66" s="23">
        <f t="shared" si="3"/>
        <v>64.863890265601725</v>
      </c>
      <c r="I66" s="28">
        <f t="shared" si="3"/>
        <v>146.09801921646132</v>
      </c>
      <c r="J66" s="14" t="s">
        <v>111</v>
      </c>
      <c r="K66" s="4"/>
    </row>
    <row r="67" spans="1:14" ht="39.6">
      <c r="A67" s="49"/>
      <c r="B67" s="26" t="s">
        <v>112</v>
      </c>
      <c r="C67" s="27" t="s">
        <v>96</v>
      </c>
      <c r="D67" s="23">
        <f t="shared" ref="D67:I67" si="4">D63-(2*D75)</f>
        <v>24</v>
      </c>
      <c r="E67" s="28">
        <f t="shared" si="4"/>
        <v>134</v>
      </c>
      <c r="F67" s="23">
        <f t="shared" si="4"/>
        <v>36.647917699201294</v>
      </c>
      <c r="G67" s="28">
        <f t="shared" si="4"/>
        <v>137.17515227589004</v>
      </c>
      <c r="H67" s="23">
        <f t="shared" si="4"/>
        <v>48.863890265601725</v>
      </c>
      <c r="I67" s="28">
        <f t="shared" si="4"/>
        <v>130.09801921646132</v>
      </c>
      <c r="J67" s="14" t="s">
        <v>113</v>
      </c>
      <c r="K67" s="4"/>
    </row>
    <row r="68" spans="1:14" ht="44.25" customHeight="1">
      <c r="A68" s="49"/>
      <c r="B68" s="30" t="s">
        <v>114</v>
      </c>
      <c r="C68" s="27" t="s">
        <v>115</v>
      </c>
      <c r="D68" s="23">
        <f>ATAN(TAN(D29)/(COS(D30)))</f>
        <v>0.43633231299858238</v>
      </c>
      <c r="E68" s="28">
        <f>ATAN(TAN(D29)/(COS(D30)))</f>
        <v>0.43633231299858238</v>
      </c>
      <c r="F68" s="23">
        <f t="shared" ref="F68:I68" si="5">ATAN(TAN($D$33)/(COS($D$35)))</f>
        <v>0.44222474442054582</v>
      </c>
      <c r="G68" s="28">
        <f t="shared" si="5"/>
        <v>0.44222474442054582</v>
      </c>
      <c r="H68" s="23">
        <f t="shared" si="5"/>
        <v>0.44222474442054582</v>
      </c>
      <c r="I68" s="28">
        <f t="shared" si="5"/>
        <v>0.44222474442054582</v>
      </c>
      <c r="J68" s="14" t="s">
        <v>116</v>
      </c>
      <c r="K68" s="4"/>
    </row>
    <row r="69" spans="1:14" ht="13.2">
      <c r="A69" s="49"/>
      <c r="B69" s="26" t="s">
        <v>117</v>
      </c>
      <c r="C69" s="27" t="s">
        <v>96</v>
      </c>
      <c r="D69" s="37">
        <f>(D63+E63)/2</f>
        <v>83</v>
      </c>
      <c r="E69" s="38"/>
      <c r="F69" s="37">
        <f>(F63+G63)/2</f>
        <v>92.911534987545664</v>
      </c>
      <c r="G69" s="38"/>
      <c r="H69" s="37">
        <f>(H63+I63)/2</f>
        <v>97.480954741031525</v>
      </c>
      <c r="I69" s="38"/>
      <c r="J69" s="21" t="s">
        <v>118</v>
      </c>
    </row>
    <row r="70" spans="1:14" ht="39.6">
      <c r="A70" s="49"/>
      <c r="B70" s="26" t="s">
        <v>119</v>
      </c>
      <c r="C70" s="27" t="s">
        <v>96</v>
      </c>
      <c r="D70" s="23">
        <f t="shared" ref="D70:E70" si="6">(PI()*$D$61)/D55</f>
        <v>0.44879895051282759</v>
      </c>
      <c r="E70" s="28">
        <f t="shared" si="6"/>
        <v>9.1060656625791103E-2</v>
      </c>
      <c r="F70" s="23">
        <f>(PI()*F61)/F55</f>
        <v>0.67319842576924138</v>
      </c>
      <c r="G70" s="28">
        <f>(PI()*F61)/G55</f>
        <v>0.20052719065466765</v>
      </c>
      <c r="H70" s="23">
        <f t="shared" ref="H70:I70" si="7">(PI()*$H$61)/H55</f>
        <v>0.89759790102565518</v>
      </c>
      <c r="I70" s="28">
        <f t="shared" si="7"/>
        <v>0.36959913571644626</v>
      </c>
      <c r="J70" s="14" t="s">
        <v>120</v>
      </c>
      <c r="K70" s="4"/>
    </row>
    <row r="71" spans="1:14" ht="39.6">
      <c r="A71" s="49"/>
      <c r="B71" s="26" t="s">
        <v>121</v>
      </c>
      <c r="C71" s="27" t="s">
        <v>96</v>
      </c>
      <c r="D71" s="23">
        <f t="shared" ref="D71:E71" si="8">D70*COS($D$29)</f>
        <v>0.40674998366365173</v>
      </c>
      <c r="E71" s="28">
        <f t="shared" si="8"/>
        <v>8.2528982192624986E-2</v>
      </c>
      <c r="F71" s="23">
        <f t="shared" ref="F71:I71" si="9">F70*COS($D$32)</f>
        <v>0.66727617256453597</v>
      </c>
      <c r="G71" s="28">
        <f t="shared" si="9"/>
        <v>0.19876311523198945</v>
      </c>
      <c r="H71" s="23">
        <f t="shared" si="9"/>
        <v>0.88970156341938123</v>
      </c>
      <c r="I71" s="28">
        <f t="shared" si="9"/>
        <v>0.3663477025844511</v>
      </c>
      <c r="J71" s="14" t="s">
        <v>122</v>
      </c>
      <c r="K71" s="4"/>
    </row>
    <row r="72" spans="1:14" ht="42" customHeight="1">
      <c r="A72" s="49"/>
      <c r="B72" s="26" t="s">
        <v>123</v>
      </c>
      <c r="C72" s="27" t="s">
        <v>96</v>
      </c>
      <c r="D72" s="23">
        <f>PI()*D62</f>
        <v>6.2831853071795862</v>
      </c>
      <c r="E72" s="28">
        <f>PI()*D62</f>
        <v>6.2831853071795862</v>
      </c>
      <c r="F72" s="23">
        <f>PI()*F62</f>
        <v>9.5701703524794919</v>
      </c>
      <c r="G72" s="28">
        <f>PI()*F62</f>
        <v>9.5701703524794919</v>
      </c>
      <c r="H72" s="23">
        <f>PI()*H62</f>
        <v>12.760227136639324</v>
      </c>
      <c r="I72" s="28">
        <f>PI()*H62</f>
        <v>12.760227136639324</v>
      </c>
      <c r="J72" s="14" t="s">
        <v>124</v>
      </c>
      <c r="K72" s="4"/>
    </row>
    <row r="73" spans="1:14" ht="39.6">
      <c r="A73" s="49"/>
      <c r="B73" s="26" t="s">
        <v>125</v>
      </c>
      <c r="C73" s="27" t="s">
        <v>96</v>
      </c>
      <c r="D73" s="23" t="s">
        <v>126</v>
      </c>
      <c r="E73" s="28" t="s">
        <v>126</v>
      </c>
      <c r="F73" s="23">
        <f t="shared" ref="F73:I73" si="10">F72/COS($D$35)</f>
        <v>9.7178056561876573</v>
      </c>
      <c r="G73" s="28">
        <f t="shared" si="10"/>
        <v>9.7178056561876573</v>
      </c>
      <c r="H73" s="23">
        <f t="shared" si="10"/>
        <v>12.95707420825021</v>
      </c>
      <c r="I73" s="28">
        <f t="shared" si="10"/>
        <v>12.95707420825021</v>
      </c>
      <c r="J73" s="14" t="s">
        <v>127</v>
      </c>
      <c r="K73" s="21"/>
    </row>
    <row r="74" spans="1:14" ht="39.6">
      <c r="A74" s="49"/>
      <c r="B74" s="26" t="s">
        <v>128</v>
      </c>
      <c r="C74" s="27" t="s">
        <v>96</v>
      </c>
      <c r="D74" s="23" t="s">
        <v>126</v>
      </c>
      <c r="E74" s="28" t="s">
        <v>126</v>
      </c>
      <c r="F74" s="23">
        <f t="shared" ref="F74:I74" si="11">F73/TAN($D$35)</f>
        <v>55.112414544515204</v>
      </c>
      <c r="G74" s="28">
        <f t="shared" si="11"/>
        <v>55.112414544515204</v>
      </c>
      <c r="H74" s="23">
        <f t="shared" si="11"/>
        <v>73.483219392686948</v>
      </c>
      <c r="I74" s="28">
        <f t="shared" si="11"/>
        <v>73.483219392686948</v>
      </c>
      <c r="J74" s="14" t="s">
        <v>129</v>
      </c>
      <c r="K74" s="21"/>
    </row>
    <row r="75" spans="1:14" ht="13.2">
      <c r="A75" s="49"/>
      <c r="B75" s="26" t="s">
        <v>130</v>
      </c>
      <c r="C75" s="27" t="s">
        <v>96</v>
      </c>
      <c r="D75" s="23">
        <f>1*D61</f>
        <v>2</v>
      </c>
      <c r="E75" s="28">
        <f>1*D61</f>
        <v>2</v>
      </c>
      <c r="F75" s="23">
        <f>1*F61</f>
        <v>3</v>
      </c>
      <c r="G75" s="28">
        <f>1*F61</f>
        <v>3</v>
      </c>
      <c r="H75" s="23">
        <f>1*H61</f>
        <v>4</v>
      </c>
      <c r="I75" s="28">
        <f>1*H61</f>
        <v>4</v>
      </c>
      <c r="J75" s="66" t="s">
        <v>131</v>
      </c>
      <c r="K75" s="67"/>
    </row>
    <row r="76" spans="1:14" ht="13.2">
      <c r="A76" s="49"/>
      <c r="B76" s="26" t="s">
        <v>132</v>
      </c>
      <c r="C76" s="27" t="s">
        <v>96</v>
      </c>
      <c r="D76" s="23">
        <f>1.25*D61</f>
        <v>2.5</v>
      </c>
      <c r="E76" s="28">
        <f>1.25*D61</f>
        <v>2.5</v>
      </c>
      <c r="F76" s="23">
        <f>1.25*F61</f>
        <v>3.75</v>
      </c>
      <c r="G76" s="28">
        <f>1.25*F61</f>
        <v>3.75</v>
      </c>
      <c r="H76" s="23">
        <f>1.25*H61</f>
        <v>5</v>
      </c>
      <c r="I76" s="28">
        <f>1.25*H61</f>
        <v>5</v>
      </c>
      <c r="J76" s="52"/>
      <c r="K76" s="52"/>
    </row>
    <row r="77" spans="1:14" ht="13.2">
      <c r="A77" s="49"/>
      <c r="B77" s="26" t="s">
        <v>133</v>
      </c>
      <c r="C77" s="27" t="s">
        <v>96</v>
      </c>
      <c r="D77" s="23">
        <f t="shared" ref="D77:I77" si="12">D75+D76</f>
        <v>4.5</v>
      </c>
      <c r="E77" s="28">
        <f t="shared" si="12"/>
        <v>4.5</v>
      </c>
      <c r="F77" s="23">
        <f t="shared" si="12"/>
        <v>6.75</v>
      </c>
      <c r="G77" s="28">
        <f t="shared" si="12"/>
        <v>6.75</v>
      </c>
      <c r="H77" s="23">
        <f t="shared" si="12"/>
        <v>9</v>
      </c>
      <c r="I77" s="28">
        <f t="shared" si="12"/>
        <v>9</v>
      </c>
      <c r="J77" s="14" t="s">
        <v>134</v>
      </c>
    </row>
    <row r="78" spans="1:14" ht="25.5" customHeight="1">
      <c r="A78" s="49"/>
      <c r="B78" s="26" t="s">
        <v>135</v>
      </c>
      <c r="C78" s="27" t="s">
        <v>96</v>
      </c>
      <c r="D78" s="23">
        <f t="shared" ref="D78:I78" si="13">D76-D75</f>
        <v>0.5</v>
      </c>
      <c r="E78" s="28">
        <f t="shared" si="13"/>
        <v>0.5</v>
      </c>
      <c r="F78" s="23">
        <f t="shared" si="13"/>
        <v>0.75</v>
      </c>
      <c r="G78" s="28">
        <f t="shared" si="13"/>
        <v>0.75</v>
      </c>
      <c r="H78" s="23">
        <f t="shared" si="13"/>
        <v>1</v>
      </c>
      <c r="I78" s="28">
        <f t="shared" si="13"/>
        <v>1</v>
      </c>
      <c r="J78" s="14" t="s">
        <v>136</v>
      </c>
    </row>
    <row r="79" spans="1:14" ht="79.2">
      <c r="A79" s="49"/>
      <c r="B79" s="26" t="s">
        <v>137</v>
      </c>
      <c r="C79" s="27" t="s">
        <v>96</v>
      </c>
      <c r="D79" s="23">
        <f>12*D61</f>
        <v>24</v>
      </c>
      <c r="E79" s="28">
        <f>10*D61</f>
        <v>20</v>
      </c>
      <c r="F79" s="23">
        <f t="shared" ref="F79:I79" si="14">2*F74</f>
        <v>110.22482908903041</v>
      </c>
      <c r="G79" s="28">
        <f t="shared" si="14"/>
        <v>110.22482908903041</v>
      </c>
      <c r="H79" s="23">
        <f t="shared" si="14"/>
        <v>146.9664387853739</v>
      </c>
      <c r="I79" s="28">
        <f t="shared" si="14"/>
        <v>146.9664387853739</v>
      </c>
      <c r="J79" s="14" t="s">
        <v>138</v>
      </c>
      <c r="K79" s="31" t="s">
        <v>139</v>
      </c>
      <c r="L79" s="20"/>
    </row>
    <row r="80" spans="1:14" ht="39.6">
      <c r="A80" s="49"/>
      <c r="B80" s="26" t="s">
        <v>140</v>
      </c>
      <c r="C80" s="27" t="s">
        <v>96</v>
      </c>
      <c r="D80" s="37">
        <f>SQRT((((D63/2) + D75)^2) - (((D63/2)*COS($D$29))^2)) + SQRT((((E63/2) + E75)^2) - (((E63/2)*COS($D$29))^2)) - (D69*SIN($D$29))</f>
        <v>8.2904185226728018</v>
      </c>
      <c r="E80" s="38"/>
      <c r="F80" s="37">
        <f>SQRT((F63/2 + F75)^2 - ((F63/2)*COS($D$33))^2) + SQRT((G63/2 + G75)^2 - ((G63/2)*COS($D$33))^2) - ($F$69*SIN($D$33))</f>
        <v>12.298668012637499</v>
      </c>
      <c r="G80" s="38"/>
      <c r="H80" s="37">
        <f>SQRT((H63/2 + H75)^2 - ((H63/2)*COS($D$33))^2) + SQRT((I63/2 + I75)^2 - ((I63/2)*COS($D$33))^2) - (H69*SIN($D$33))</f>
        <v>16.178483534790757</v>
      </c>
      <c r="I80" s="38"/>
      <c r="J80" s="14" t="s">
        <v>141</v>
      </c>
      <c r="K80" s="21"/>
    </row>
    <row r="81" spans="1:11" ht="39.6">
      <c r="A81" s="49"/>
      <c r="B81" s="32" t="s">
        <v>142</v>
      </c>
      <c r="C81" s="27" t="s">
        <v>75</v>
      </c>
      <c r="D81" s="37">
        <f>D80/(D72*COS(D29))</f>
        <v>1.45586422963243</v>
      </c>
      <c r="E81" s="38"/>
      <c r="F81" s="37">
        <f>F80/(F72*COS(F29))</f>
        <v>1.285104398319419</v>
      </c>
      <c r="G81" s="38"/>
      <c r="H81" s="37">
        <f>H80/(H72*COS(H29))</f>
        <v>1.2678836639464164</v>
      </c>
      <c r="I81" s="38"/>
      <c r="J81" s="14" t="s">
        <v>143</v>
      </c>
      <c r="K81" s="21"/>
    </row>
    <row r="82" spans="1:11" ht="39.6">
      <c r="A82" s="49"/>
      <c r="B82" s="26" t="s">
        <v>144</v>
      </c>
      <c r="C82" s="27" t="s">
        <v>75</v>
      </c>
      <c r="D82" s="37" t="s">
        <v>126</v>
      </c>
      <c r="E82" s="38"/>
      <c r="F82" s="37">
        <f>F79/F74</f>
        <v>2</v>
      </c>
      <c r="G82" s="38"/>
      <c r="H82" s="37">
        <f>H79/H74</f>
        <v>2</v>
      </c>
      <c r="I82" s="38"/>
      <c r="J82" s="14" t="s">
        <v>145</v>
      </c>
      <c r="K82" s="21"/>
    </row>
    <row r="83" spans="1:11" ht="13.2">
      <c r="A83" s="50"/>
      <c r="B83" s="33" t="s">
        <v>146</v>
      </c>
      <c r="C83" s="34" t="s">
        <v>75</v>
      </c>
      <c r="D83" s="39">
        <f>D81</f>
        <v>1.45586422963243</v>
      </c>
      <c r="E83" s="40"/>
      <c r="F83" s="39">
        <f>F81+F82</f>
        <v>3.2851043983194188</v>
      </c>
      <c r="G83" s="40"/>
      <c r="H83" s="39">
        <f>H81+H82</f>
        <v>3.2678836639464164</v>
      </c>
      <c r="I83" s="40"/>
    </row>
    <row r="84" spans="1:11" ht="13.2">
      <c r="A84" s="23"/>
    </row>
    <row r="86" spans="1:11" ht="13.2">
      <c r="B86" s="20"/>
      <c r="C86" s="47" t="s">
        <v>63</v>
      </c>
      <c r="D86" s="41" t="s">
        <v>64</v>
      </c>
      <c r="E86" s="42"/>
      <c r="F86" s="43" t="s">
        <v>65</v>
      </c>
      <c r="G86" s="42"/>
      <c r="H86" s="44" t="s">
        <v>66</v>
      </c>
      <c r="I86" s="42"/>
    </row>
    <row r="87" spans="1:11" ht="13.2">
      <c r="A87" s="47" t="s">
        <v>147</v>
      </c>
      <c r="B87" s="34"/>
      <c r="C87" s="46"/>
      <c r="D87" s="36" t="s">
        <v>67</v>
      </c>
      <c r="E87" s="36" t="s">
        <v>68</v>
      </c>
      <c r="F87" s="36" t="s">
        <v>69</v>
      </c>
      <c r="G87" s="36" t="s">
        <v>70</v>
      </c>
      <c r="H87" s="36" t="s">
        <v>71</v>
      </c>
      <c r="I87" s="36" t="s">
        <v>72</v>
      </c>
    </row>
    <row r="88" spans="1:11" ht="39.6">
      <c r="A88" s="45"/>
      <c r="B88" s="23" t="s">
        <v>148</v>
      </c>
      <c r="C88" s="27" t="s">
        <v>149</v>
      </c>
      <c r="D88" s="68">
        <f>D48</f>
        <v>125.66370614359172</v>
      </c>
      <c r="E88" s="69">
        <f>D88/D56</f>
        <v>25.496983855221508</v>
      </c>
      <c r="F88" s="68">
        <f>E88</f>
        <v>25.496983855221508</v>
      </c>
      <c r="G88" s="69">
        <f>F88/F56</f>
        <v>7.5948462547468321</v>
      </c>
      <c r="H88" s="68">
        <f>G88</f>
        <v>7.5948462547468321</v>
      </c>
      <c r="I88" s="69">
        <f>H88/H56</f>
        <v>3.1272896343075192</v>
      </c>
      <c r="J88" s="14" t="s">
        <v>150</v>
      </c>
    </row>
    <row r="89" spans="1:11" ht="39.6">
      <c r="A89" s="45"/>
      <c r="B89" s="23" t="s">
        <v>151</v>
      </c>
      <c r="C89" s="27" t="s">
        <v>152</v>
      </c>
      <c r="D89" s="68">
        <f t="shared" ref="D89:I89" si="15">$D$22/D88</f>
        <v>35.604552319087915</v>
      </c>
      <c r="E89" s="69">
        <f t="shared" si="15"/>
        <v>175.4795792869333</v>
      </c>
      <c r="F89" s="68">
        <f t="shared" si="15"/>
        <v>175.4795792869333</v>
      </c>
      <c r="G89" s="69">
        <f t="shared" si="15"/>
        <v>589.11001617756176</v>
      </c>
      <c r="H89" s="68">
        <f t="shared" si="15"/>
        <v>589.11001617756176</v>
      </c>
      <c r="I89" s="69">
        <f t="shared" si="15"/>
        <v>1430.6957535740785</v>
      </c>
      <c r="J89" s="14" t="s">
        <v>153</v>
      </c>
    </row>
    <row r="90" spans="1:11" ht="13.2">
      <c r="A90" s="45"/>
      <c r="B90" s="23" t="s">
        <v>154</v>
      </c>
      <c r="C90" s="27" t="s">
        <v>155</v>
      </c>
      <c r="D90" s="70">
        <f>D89*1000/(D63/2)</f>
        <v>2543.1823085062797</v>
      </c>
      <c r="E90" s="71"/>
      <c r="F90" s="70">
        <f>F89*1000/(F63/2)</f>
        <v>8229.2214370043985</v>
      </c>
      <c r="G90" s="71"/>
      <c r="H90" s="70">
        <f>H89*1000/(H63/2)</f>
        <v>20720.003975314645</v>
      </c>
      <c r="I90" s="71"/>
      <c r="J90" s="21" t="s">
        <v>156</v>
      </c>
    </row>
    <row r="91" spans="1:11" ht="39.6">
      <c r="A91" s="45"/>
      <c r="B91" s="23" t="s">
        <v>157</v>
      </c>
      <c r="C91" s="27" t="s">
        <v>155</v>
      </c>
      <c r="D91" s="70">
        <f>D90*(TAN($D$29))</f>
        <v>1185.9053865407864</v>
      </c>
      <c r="E91" s="71"/>
      <c r="F91" s="70">
        <f>F90*(TAN($D$33))</f>
        <v>3837.3489767284332</v>
      </c>
      <c r="G91" s="71"/>
      <c r="H91" s="70">
        <f>H90*(TAN($D$33))</f>
        <v>9661.8965306912323</v>
      </c>
      <c r="I91" s="71"/>
      <c r="J91" s="14" t="s">
        <v>158</v>
      </c>
    </row>
    <row r="92" spans="1:11" ht="39.6">
      <c r="A92" s="45"/>
      <c r="B92" s="23" t="s">
        <v>159</v>
      </c>
      <c r="C92" s="27" t="s">
        <v>155</v>
      </c>
      <c r="D92" s="70" t="s">
        <v>126</v>
      </c>
      <c r="E92" s="71"/>
      <c r="F92" s="70">
        <f>F90*TAN($D$35)</f>
        <v>1451.0337695683611</v>
      </c>
      <c r="G92" s="71"/>
      <c r="H92" s="70">
        <f>H90*TAN($D$35)</f>
        <v>3653.495741234623</v>
      </c>
      <c r="I92" s="71"/>
      <c r="J92" s="14" t="s">
        <v>160</v>
      </c>
    </row>
    <row r="93" spans="1:11" ht="39.6">
      <c r="A93" s="46"/>
      <c r="B93" s="35" t="s">
        <v>161</v>
      </c>
      <c r="C93" s="34" t="s">
        <v>155</v>
      </c>
      <c r="D93" s="72">
        <f>D90/(COS($D$29)*COS($D$30))</f>
        <v>2806.0912031018847</v>
      </c>
      <c r="E93" s="73"/>
      <c r="F93" s="72">
        <f>F90/(COS(D33)*COS(D35))</f>
        <v>9220.0139530490487</v>
      </c>
      <c r="G93" s="73"/>
      <c r="H93" s="72">
        <f>H90/(COS(F33)*COS(F35))</f>
        <v>20720.003975314645</v>
      </c>
      <c r="I93" s="73"/>
      <c r="J93" s="14" t="s">
        <v>162</v>
      </c>
    </row>
  </sheetData>
  <mergeCells count="82">
    <mergeCell ref="D93:E93"/>
    <mergeCell ref="A10:A48"/>
    <mergeCell ref="J75:J76"/>
    <mergeCell ref="K75:K76"/>
    <mergeCell ref="F69:G69"/>
    <mergeCell ref="H69:I69"/>
    <mergeCell ref="D92:E92"/>
    <mergeCell ref="D90:E90"/>
    <mergeCell ref="D91:E91"/>
    <mergeCell ref="F92:G92"/>
    <mergeCell ref="H92:I92"/>
    <mergeCell ref="F90:G90"/>
    <mergeCell ref="H90:I90"/>
    <mergeCell ref="F91:G91"/>
    <mergeCell ref="H91:I91"/>
    <mergeCell ref="D61:E61"/>
    <mergeCell ref="F61:G61"/>
    <mergeCell ref="H61:I61"/>
    <mergeCell ref="D62:E62"/>
    <mergeCell ref="F62:G62"/>
    <mergeCell ref="H62:I62"/>
    <mergeCell ref="D59:I59"/>
    <mergeCell ref="D58:E58"/>
    <mergeCell ref="D60:E60"/>
    <mergeCell ref="F60:G60"/>
    <mergeCell ref="H60:I60"/>
    <mergeCell ref="H53:I53"/>
    <mergeCell ref="D56:E56"/>
    <mergeCell ref="F56:G56"/>
    <mergeCell ref="H56:I56"/>
    <mergeCell ref="D57:I57"/>
    <mergeCell ref="C7:E7"/>
    <mergeCell ref="C10:D10"/>
    <mergeCell ref="A2:E2"/>
    <mergeCell ref="A3:E3"/>
    <mergeCell ref="A4:B4"/>
    <mergeCell ref="C4:E4"/>
    <mergeCell ref="A5:B5"/>
    <mergeCell ref="C5:E5"/>
    <mergeCell ref="C6:E6"/>
    <mergeCell ref="A87:A93"/>
    <mergeCell ref="A53:A83"/>
    <mergeCell ref="A6:B6"/>
    <mergeCell ref="A7:B7"/>
    <mergeCell ref="B11:B16"/>
    <mergeCell ref="B17:B18"/>
    <mergeCell ref="B19:B20"/>
    <mergeCell ref="B21:B22"/>
    <mergeCell ref="B47:B48"/>
    <mergeCell ref="B40:B43"/>
    <mergeCell ref="B44:B46"/>
    <mergeCell ref="F93:G93"/>
    <mergeCell ref="H93:I93"/>
    <mergeCell ref="B23:B25"/>
    <mergeCell ref="B27:B30"/>
    <mergeCell ref="B31:B35"/>
    <mergeCell ref="B36:B39"/>
    <mergeCell ref="C86:C87"/>
    <mergeCell ref="C51:C52"/>
    <mergeCell ref="D51:E51"/>
    <mergeCell ref="F51:G51"/>
    <mergeCell ref="H51:I51"/>
    <mergeCell ref="D53:E53"/>
    <mergeCell ref="F80:G80"/>
    <mergeCell ref="F58:G58"/>
    <mergeCell ref="H58:I58"/>
    <mergeCell ref="F53:G53"/>
    <mergeCell ref="D83:E83"/>
    <mergeCell ref="D69:E69"/>
    <mergeCell ref="D86:E86"/>
    <mergeCell ref="F86:G86"/>
    <mergeCell ref="H86:I86"/>
    <mergeCell ref="D80:E80"/>
    <mergeCell ref="H80:I80"/>
    <mergeCell ref="H82:I82"/>
    <mergeCell ref="H83:I83"/>
    <mergeCell ref="F83:G83"/>
    <mergeCell ref="F81:G81"/>
    <mergeCell ref="H81:I81"/>
    <mergeCell ref="D82:E82"/>
    <mergeCell ref="F82:G82"/>
    <mergeCell ref="D81:E81"/>
  </mergeCells>
  <conditionalFormatting sqref="D58:I59">
    <cfRule type="cellIs" dxfId="1" priority="1" operator="lessThan">
      <formula>0.01</formula>
    </cfRule>
    <cfRule type="cellIs" dxfId="0" priority="2" operator="greaterThanOrEqual">
      <formula>0.01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Projeto 1-A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Zancheta, Edson Arthur</cp:lastModifiedBy>
  <dcterms:modified xsi:type="dcterms:W3CDTF">2024-04-24T02:12:46Z</dcterms:modified>
</cp:coreProperties>
</file>