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QUERY" sheetId="2" r:id="rId5"/>
    <sheet state="visible" name="QUERY2" sheetId="3" r:id="rId6"/>
    <sheet state="visible" name="Filter + desplegable" sheetId="4" r:id="rId7"/>
    <sheet state="visible" name="Menu" sheetId="5" r:id="rId8"/>
    <sheet state="visible" name="aux1" sheetId="6" r:id="rId9"/>
    <sheet state="visible" name="aux2" sheetId="7" r:id="rId10"/>
    <sheet state="visible" name="Filtrado" sheetId="8" r:id="rId11"/>
  </sheets>
  <definedNames>
    <definedName localSheetId="7" name="detalle_filtrado">Filtrado!$G$2:$G$1000</definedName>
    <definedName name="intencion">datos!$F$2:$F$321</definedName>
    <definedName name="sector">datos!$E$2:$E$321</definedName>
    <definedName name="detalle_filtrado">'aux2'!$G$2:$G$1000</definedName>
    <definedName name="todos">datos!$A$2:$N$321</definedName>
    <definedName name="detalle">datos!$G$2:$G$321</definedName>
    <definedName name="pais">datos!$D$2:$D$321</definedName>
    <definedName name="intencion_filtrado">'aux1'!$F$2:$F$1000</definedName>
    <definedName hidden="1" localSheetId="0" name="Z_8B476A69_4203_4ACA_B3F1_4E5826B7C46E_.wvu.FilterData">datos!$A$1:$N$322</definedName>
  </definedNames>
  <calcPr/>
  <customWorkbookViews>
    <customWorkbookView activeSheetId="0" maximized="1" windowHeight="0" windowWidth="0" guid="{8B476A69-4203-4ACA-B3F1-4E5826B7C46E}" name="Filtro 1"/>
  </customWorkbookViews>
</workbook>
</file>

<file path=xl/sharedStrings.xml><?xml version="1.0" encoding="utf-8"?>
<sst xmlns="http://schemas.openxmlformats.org/spreadsheetml/2006/main" count="2332" uniqueCount="685">
  <si>
    <t>id</t>
  </si>
  <si>
    <t>Nombre</t>
  </si>
  <si>
    <t>email</t>
  </si>
  <si>
    <t>pais</t>
  </si>
  <si>
    <t>Sector</t>
  </si>
  <si>
    <t>Intención frente a los proyectos</t>
  </si>
  <si>
    <t>Detalle inversión</t>
  </si>
  <si>
    <t>Tiene proyecto</t>
  </si>
  <si>
    <t>Calificación Feria (1-10)</t>
  </si>
  <si>
    <t>Calificación Proyectos (1-10)</t>
  </si>
  <si>
    <t>Expectativa inversión 2021</t>
  </si>
  <si>
    <t>Inversión real 2021</t>
  </si>
  <si>
    <t>Inversión real 2020</t>
  </si>
  <si>
    <t>Inversión real 2019</t>
  </si>
  <si>
    <t>Karlee Sholl</t>
  </si>
  <si>
    <t>ksholl0@ovh.net</t>
  </si>
  <si>
    <t>Perú</t>
  </si>
  <si>
    <t>Educación</t>
  </si>
  <si>
    <t>Conocimiento</t>
  </si>
  <si>
    <t>Capacitarse</t>
  </si>
  <si>
    <t>NO</t>
  </si>
  <si>
    <t>Kermit Wedmore.</t>
  </si>
  <si>
    <t>kwedmore1@deliciousdays.com</t>
  </si>
  <si>
    <t>Paraguay</t>
  </si>
  <si>
    <t>Tecnología</t>
  </si>
  <si>
    <t>Inversión</t>
  </si>
  <si>
    <t>Socio capitalista</t>
  </si>
  <si>
    <t>SI</t>
  </si>
  <si>
    <t>Idell Oulet</t>
  </si>
  <si>
    <t>ioulet2@economist.com</t>
  </si>
  <si>
    <t>Colombia</t>
  </si>
  <si>
    <t>Construcción</t>
  </si>
  <si>
    <t>Trabajo</t>
  </si>
  <si>
    <t>Ofreciendo trabajo</t>
  </si>
  <si>
    <t>Darnall Benedidick</t>
  </si>
  <si>
    <t>dbenedidick3@deviantart.com</t>
  </si>
  <si>
    <t>Argentina</t>
  </si>
  <si>
    <t>Socio de proyecto</t>
  </si>
  <si>
    <t>Brunhilda Kilgannon</t>
  </si>
  <si>
    <t>bkilgannon4@loc.gov</t>
  </si>
  <si>
    <t>Harcourt Spreckley</t>
  </si>
  <si>
    <t>hspreckley5@gnu.org</t>
  </si>
  <si>
    <t>Bolivia</t>
  </si>
  <si>
    <t>Lilas Succamore</t>
  </si>
  <si>
    <t>lsuccamore6@mit.edu</t>
  </si>
  <si>
    <t>Ecuador</t>
  </si>
  <si>
    <t>Tressa Petrescu</t>
  </si>
  <si>
    <t>tpetrescu7@topsy.com</t>
  </si>
  <si>
    <t>Francois Costen</t>
  </si>
  <si>
    <t>fcosten8@ocn.ne.jp</t>
  </si>
  <si>
    <t>Agroindustrial</t>
  </si>
  <si>
    <t>Katerine Boreland</t>
  </si>
  <si>
    <t>kboreland9@netvibes.com</t>
  </si>
  <si>
    <t>Inmobiliario</t>
  </si>
  <si>
    <t>Maje Blaschke</t>
  </si>
  <si>
    <t>mblaschkea@sfgate.com</t>
  </si>
  <si>
    <t>Dicky Marriot</t>
  </si>
  <si>
    <t>dmarriotb@pinterest.com</t>
  </si>
  <si>
    <t>Gunter Bovaird</t>
  </si>
  <si>
    <t>gbovairdc@github.io</t>
  </si>
  <si>
    <t>Buscando trabajo</t>
  </si>
  <si>
    <t>Josey Farens</t>
  </si>
  <si>
    <t>jfarensd@ustream.tv</t>
  </si>
  <si>
    <t>Uruguay</t>
  </si>
  <si>
    <t>Collin Perigeaux</t>
  </si>
  <si>
    <t>cperigeauxe@usgs.gov</t>
  </si>
  <si>
    <t>Melvin Bredbury</t>
  </si>
  <si>
    <t>mbredburyf@imdb.com</t>
  </si>
  <si>
    <t>Araldo Armfirld</t>
  </si>
  <si>
    <t>aarmfirldg@marketwatch.com</t>
  </si>
  <si>
    <t>Tabatha Piscot</t>
  </si>
  <si>
    <t>tpiscoth@wired.com</t>
  </si>
  <si>
    <t>Clo Whitney</t>
  </si>
  <si>
    <t>cwhitneyi@sciencedirect.com</t>
  </si>
  <si>
    <t>Cassaundra Fitton</t>
  </si>
  <si>
    <t>cfittonj@plala.or.jp</t>
  </si>
  <si>
    <t>Dilan Spuner</t>
  </si>
  <si>
    <t>dspunerk@slate.com</t>
  </si>
  <si>
    <t>Brasil</t>
  </si>
  <si>
    <t>Ann-marie Milley</t>
  </si>
  <si>
    <t>amilleyl@redcross.org</t>
  </si>
  <si>
    <t>Hakeem MacGlory</t>
  </si>
  <si>
    <t>hmacglorym@scribd.com</t>
  </si>
  <si>
    <t>Noah Coomes</t>
  </si>
  <si>
    <t>ncoomesn@newyorker.com</t>
  </si>
  <si>
    <t>Colet Misk</t>
  </si>
  <si>
    <t>cmisko@tripadvisor.com</t>
  </si>
  <si>
    <t>Carlyle Ruit</t>
  </si>
  <si>
    <t>cruitp@discuz.net</t>
  </si>
  <si>
    <t>Saba Manilove</t>
  </si>
  <si>
    <t>smaniloveq@bing.com</t>
  </si>
  <si>
    <t>Agnese Staite</t>
  </si>
  <si>
    <t>astaiter@sohu.com</t>
  </si>
  <si>
    <t>Fredrika Djuricic</t>
  </si>
  <si>
    <t>fdjuricics@360.cn</t>
  </si>
  <si>
    <t>Loni Findley</t>
  </si>
  <si>
    <t>lfindleyt@scribd.com</t>
  </si>
  <si>
    <t>Jeno MacDiarmond</t>
  </si>
  <si>
    <t>jmacdiarmondu@sakura.ne.jp</t>
  </si>
  <si>
    <t>Giavani Andreone</t>
  </si>
  <si>
    <t>gandreonev@techcrunch.com</t>
  </si>
  <si>
    <t>Venezuela</t>
  </si>
  <si>
    <t>Carolyne Fudge</t>
  </si>
  <si>
    <t>cfudgew@google.es</t>
  </si>
  <si>
    <t>Stevana Aisbett</t>
  </si>
  <si>
    <t>saisbettx@google.nl</t>
  </si>
  <si>
    <t>Virgil Pickaver</t>
  </si>
  <si>
    <t>vpickavery@behance.net</t>
  </si>
  <si>
    <t>Maureen Alcoran</t>
  </si>
  <si>
    <t>malcoranz@t-online.de</t>
  </si>
  <si>
    <t>Dusty Backs</t>
  </si>
  <si>
    <t>dbacks10@aol.com</t>
  </si>
  <si>
    <t>Hattie Haistwell</t>
  </si>
  <si>
    <t>hhaistwell11@i2i.jp</t>
  </si>
  <si>
    <t>Nerte Dosdale</t>
  </si>
  <si>
    <t>ndosdale12@newsvine.com</t>
  </si>
  <si>
    <t>Mollee Whithalgh</t>
  </si>
  <si>
    <t>mwhithalgh13@elegantthemes.com</t>
  </si>
  <si>
    <t>Ralph McFaul</t>
  </si>
  <si>
    <t>rmcfaul14@1688.com</t>
  </si>
  <si>
    <t>Derward Glenfield</t>
  </si>
  <si>
    <t>dglenfield15@technorati.com</t>
  </si>
  <si>
    <t>Colly Emmanuel</t>
  </si>
  <si>
    <t>cemmanuel16@nsw.gov.au</t>
  </si>
  <si>
    <t>Janenna Pook</t>
  </si>
  <si>
    <t>jpook17@weebly.com</t>
  </si>
  <si>
    <t>Minor Vasyukhnov</t>
  </si>
  <si>
    <t>mvasyukhnov18@amazonaws.com</t>
  </si>
  <si>
    <t>Pryce Armell</t>
  </si>
  <si>
    <t>parmell19@webs.com</t>
  </si>
  <si>
    <t>Constantino Cruikshank</t>
  </si>
  <si>
    <t>ccruikshank1a@netlog.com</t>
  </si>
  <si>
    <t>Lila Oiseau</t>
  </si>
  <si>
    <t>loiseau1b@indiatimes.com</t>
  </si>
  <si>
    <t>Iorgos Castles</t>
  </si>
  <si>
    <t>icastles1c@ehow.com</t>
  </si>
  <si>
    <t>Ernestine Tarbath</t>
  </si>
  <si>
    <t>etarbath1d@globo.com</t>
  </si>
  <si>
    <t>Iain Davydoch</t>
  </si>
  <si>
    <t>idavydoch1e@sourceforge.net</t>
  </si>
  <si>
    <t>Ardelle Udy</t>
  </si>
  <si>
    <t>audy1f@de.vu</t>
  </si>
  <si>
    <t>Larine Markwelley</t>
  </si>
  <si>
    <t>lmarkwelley1g@blogger.com</t>
  </si>
  <si>
    <t>Elsi Zoanetti</t>
  </si>
  <si>
    <t>ezoanetti1h@reverbnation.com</t>
  </si>
  <si>
    <t>Amandi Fruish</t>
  </si>
  <si>
    <t>afruish1i@umn.edu</t>
  </si>
  <si>
    <t>Augustine Sloss</t>
  </si>
  <si>
    <t>asloss1j@virginia.edu</t>
  </si>
  <si>
    <t>Jackelyn Charlo</t>
  </si>
  <si>
    <t>jcharlo1k@google.nl</t>
  </si>
  <si>
    <t>Chile</t>
  </si>
  <si>
    <t>Demetris MacVicar</t>
  </si>
  <si>
    <t>dmacvicar1l@cdc.gov</t>
  </si>
  <si>
    <t>Daffie Whitchurch</t>
  </si>
  <si>
    <t>dwhitchurch1m@issuu.com</t>
  </si>
  <si>
    <t>Lila Collens</t>
  </si>
  <si>
    <t>lcollens1n@salon.com</t>
  </si>
  <si>
    <t>Tobye MacAleese</t>
  </si>
  <si>
    <t>tmacaleese1o@washington.edu</t>
  </si>
  <si>
    <t>Bernardo Lamond</t>
  </si>
  <si>
    <t>blamond1p@icio.us</t>
  </si>
  <si>
    <t>Meghann Kittoe</t>
  </si>
  <si>
    <t>mkittoe1q@diigo.com</t>
  </si>
  <si>
    <t>Man Marchment</t>
  </si>
  <si>
    <t>mmarchment1r@blinklist.com</t>
  </si>
  <si>
    <t>Blake Krochmann</t>
  </si>
  <si>
    <t>bkrochmann1s@wp.com</t>
  </si>
  <si>
    <t>Meghann Brislan</t>
  </si>
  <si>
    <t>mbrislan1t@yale.edu</t>
  </si>
  <si>
    <t>Netty Sidebotton</t>
  </si>
  <si>
    <t>nsidebotton1u@upenn.edu</t>
  </si>
  <si>
    <t>Arlin Blyden</t>
  </si>
  <si>
    <t>ablyden1v@arstechnica.com</t>
  </si>
  <si>
    <t>Otro tipo</t>
  </si>
  <si>
    <t>Patience Shillitto</t>
  </si>
  <si>
    <t>pshillitto1w@homestead.com</t>
  </si>
  <si>
    <t>Derril Plom</t>
  </si>
  <si>
    <t>dplom1x@homestead.com</t>
  </si>
  <si>
    <t>Olav Lead</t>
  </si>
  <si>
    <t>olead1y@economist.com</t>
  </si>
  <si>
    <t>Luisa Hardern</t>
  </si>
  <si>
    <t>lhardern1z@nyu.edu</t>
  </si>
  <si>
    <t>Minda Eates</t>
  </si>
  <si>
    <t>meates20@photobucket.com</t>
  </si>
  <si>
    <t>Wiley Lamberts</t>
  </si>
  <si>
    <t>wlamberts21@nba.com</t>
  </si>
  <si>
    <t>Gregg Montacute</t>
  </si>
  <si>
    <t>gmontacute22@usa.gov</t>
  </si>
  <si>
    <t>Wait Hairsnape</t>
  </si>
  <si>
    <t>whairsnape23@ft.com</t>
  </si>
  <si>
    <t>Cinderella Hasted</t>
  </si>
  <si>
    <t>chasted24@princeton.edu</t>
  </si>
  <si>
    <t>Jethro Cossins</t>
  </si>
  <si>
    <t>jcossins25@mlb.com</t>
  </si>
  <si>
    <t>Tanitansy Martineau</t>
  </si>
  <si>
    <t>tmartineau26@craigslist.org</t>
  </si>
  <si>
    <t>Lynna Crab</t>
  </si>
  <si>
    <t>lcrab27@icio.us</t>
  </si>
  <si>
    <t>Basilius Olney</t>
  </si>
  <si>
    <t>bolney28@howstuffworks.com</t>
  </si>
  <si>
    <t>Deina Kuhnt</t>
  </si>
  <si>
    <t>dkuhnt29@eepurl.com</t>
  </si>
  <si>
    <t>Shari De la Barre</t>
  </si>
  <si>
    <t>sde2a@theglobeandmail.com</t>
  </si>
  <si>
    <t>Shanie Eastup</t>
  </si>
  <si>
    <t>seastup2b@addthis.com</t>
  </si>
  <si>
    <t>Lonny Austing</t>
  </si>
  <si>
    <t>lausting2c@tripadvisor.com</t>
  </si>
  <si>
    <t>Paolo Gartside</t>
  </si>
  <si>
    <t>pgartside2d@clickbank.net</t>
  </si>
  <si>
    <t>Shaylynn Shelmerdine</t>
  </si>
  <si>
    <t>sshelmerdine2e@myspace.com</t>
  </si>
  <si>
    <t>Vitia Treslove</t>
  </si>
  <si>
    <t>vtreslove2f@arizona.edu</t>
  </si>
  <si>
    <t>Lory Abbison</t>
  </si>
  <si>
    <t>labbison2g@who.int</t>
  </si>
  <si>
    <t>Susette Ilson</t>
  </si>
  <si>
    <t>silson2h@soup.io</t>
  </si>
  <si>
    <t>Ruby Peacher</t>
  </si>
  <si>
    <t>rpeacher2i@va.gov</t>
  </si>
  <si>
    <t>Shawna Simkin</t>
  </si>
  <si>
    <t>ssimkin2j@craigslist.org</t>
  </si>
  <si>
    <t>Davida Scorton</t>
  </si>
  <si>
    <t>dscorton2k@icq.com</t>
  </si>
  <si>
    <t>Honoria Littley</t>
  </si>
  <si>
    <t>hlittley2l@blog.com</t>
  </si>
  <si>
    <t>Thekla Scocroft</t>
  </si>
  <si>
    <t>tscocroft2m@usa.gov</t>
  </si>
  <si>
    <t>Cody Jouhan</t>
  </si>
  <si>
    <t>cjouhan2n@oracle.com</t>
  </si>
  <si>
    <t>Deena McIllroy</t>
  </si>
  <si>
    <t>dmcillroy2o@redcross.org</t>
  </si>
  <si>
    <t>Madison Moulds</t>
  </si>
  <si>
    <t>mmoulds2p@jiathis.com</t>
  </si>
  <si>
    <t>Gustaf Jeffcoat</t>
  </si>
  <si>
    <t>gjeffcoat2q@tuttocitta.it</t>
  </si>
  <si>
    <t>Gay Biner</t>
  </si>
  <si>
    <t>gbiner2r@yelp.com</t>
  </si>
  <si>
    <t>Filmore Kelson</t>
  </si>
  <si>
    <t>fkelson2s@topsy.com</t>
  </si>
  <si>
    <t>Shea Birchill</t>
  </si>
  <si>
    <t>sbirchill2t@homestead.com</t>
  </si>
  <si>
    <t>Deedee Hansel</t>
  </si>
  <si>
    <t>dhansel2u@is.gd</t>
  </si>
  <si>
    <t>Lamond Sprague</t>
  </si>
  <si>
    <t>lsprague2v@cmu.edu</t>
  </si>
  <si>
    <t>Skye Trill</t>
  </si>
  <si>
    <t>strill2w@amazon.de</t>
  </si>
  <si>
    <t>Laurena Mulbery</t>
  </si>
  <si>
    <t>lmulbery2x@kickstarter.com</t>
  </si>
  <si>
    <t>Libby Adriaan</t>
  </si>
  <si>
    <t>ladriaan2y@tinypic.com</t>
  </si>
  <si>
    <t>Calhoun Sharram</t>
  </si>
  <si>
    <t>csharram2z@php.net</t>
  </si>
  <si>
    <t>Charline Cello</t>
  </si>
  <si>
    <t>ccello30@ox.ac.uk</t>
  </si>
  <si>
    <t>Jerrold Ashworth</t>
  </si>
  <si>
    <t>jashworth31@bravesites.com</t>
  </si>
  <si>
    <t>Erda Giff</t>
  </si>
  <si>
    <t>egiff32@cmu.edu</t>
  </si>
  <si>
    <t>Ganny Haggart</t>
  </si>
  <si>
    <t>ghaggart33@last.fm</t>
  </si>
  <si>
    <t>Gradey Meadows</t>
  </si>
  <si>
    <t>gmeadows34@list-manage.com</t>
  </si>
  <si>
    <t>Josi Hayball</t>
  </si>
  <si>
    <t>jhayball35@google.it</t>
  </si>
  <si>
    <t>Neysa Raftery</t>
  </si>
  <si>
    <t>nraftery36@t-online.de</t>
  </si>
  <si>
    <t>Lanni Farquarson</t>
  </si>
  <si>
    <t>lfarquarson37@shutterfly.com</t>
  </si>
  <si>
    <t>Diana Sharpous</t>
  </si>
  <si>
    <t>dsharpous38@printfriendly.com</t>
  </si>
  <si>
    <t>Anne-corinne Harkness</t>
  </si>
  <si>
    <t>aharkness39@etsy.com</t>
  </si>
  <si>
    <t>Effie Mabb</t>
  </si>
  <si>
    <t>emabb3a@istockphoto.com</t>
  </si>
  <si>
    <t>Roslyn Slingsby</t>
  </si>
  <si>
    <t>rslingsby3b@simplemachines.org</t>
  </si>
  <si>
    <t>Chrissie Tudgay</t>
  </si>
  <si>
    <t>ctudgay3c@toplist.cz</t>
  </si>
  <si>
    <t>Bunny Balassa</t>
  </si>
  <si>
    <t>bbalassa3d@scientificamerican.com</t>
  </si>
  <si>
    <t>Zaria Drioli</t>
  </si>
  <si>
    <t>zdrioli3e@nationalgeographic.com</t>
  </si>
  <si>
    <t>Radcliffe Mouser</t>
  </si>
  <si>
    <t>rmouser3f@comsenz.com</t>
  </si>
  <si>
    <t>Demetris Bullimore</t>
  </si>
  <si>
    <t>dbullimore3g@techcrunch.com</t>
  </si>
  <si>
    <t>Orland Sirkett</t>
  </si>
  <si>
    <t>osirkett3h@si.edu</t>
  </si>
  <si>
    <t>Kattie Cristofvao</t>
  </si>
  <si>
    <t>kcristofvao3i@arizona.edu</t>
  </si>
  <si>
    <t>Delmor Fancy</t>
  </si>
  <si>
    <t>dfancy3j@icq.com</t>
  </si>
  <si>
    <t>Jefferson Kingswood</t>
  </si>
  <si>
    <t>jkingswood3k@feedburner.com</t>
  </si>
  <si>
    <t>Faunie Burnup</t>
  </si>
  <si>
    <t>fburnup3l@e-recht24.de</t>
  </si>
  <si>
    <t>Aarika Sprouls</t>
  </si>
  <si>
    <t>asprouls3m@accuweather.com</t>
  </si>
  <si>
    <t>Mohammed Frede</t>
  </si>
  <si>
    <t>mfrede3n@fastcompany.com</t>
  </si>
  <si>
    <t>Mufi Agus</t>
  </si>
  <si>
    <t>magus3o@upenn.edu</t>
  </si>
  <si>
    <t>Cherianne Charnley</t>
  </si>
  <si>
    <t>ccharnley3p@addthis.com</t>
  </si>
  <si>
    <t>Joyann Guslon</t>
  </si>
  <si>
    <t>jguslon3q@google.pl</t>
  </si>
  <si>
    <t>Leo Jancso</t>
  </si>
  <si>
    <t>ljancso3r@java.com</t>
  </si>
  <si>
    <t>Rollo Etty</t>
  </si>
  <si>
    <t>retty3s@wiley.com</t>
  </si>
  <si>
    <t>Federico Rex</t>
  </si>
  <si>
    <t>frex3t@usa.gov</t>
  </si>
  <si>
    <t>Cherry Eastment</t>
  </si>
  <si>
    <t>ceastment3u@wikia.com</t>
  </si>
  <si>
    <t>Milicent Bounde</t>
  </si>
  <si>
    <t>mbounde3v@nbcnews.com</t>
  </si>
  <si>
    <t>Ceil Jumont</t>
  </si>
  <si>
    <t>cjumont3w@dyndns.org</t>
  </si>
  <si>
    <t>Cayla Macoun</t>
  </si>
  <si>
    <t>cmacoun3x@dyndns.org</t>
  </si>
  <si>
    <t>Saxon Nacey</t>
  </si>
  <si>
    <t>snacey3y@scientificamerican.com</t>
  </si>
  <si>
    <t>Cathrine Bradford</t>
  </si>
  <si>
    <t>cbradford3z@cargocollective.com</t>
  </si>
  <si>
    <t>Laraine Michelle</t>
  </si>
  <si>
    <t>lmichelle40@creativecommons.org</t>
  </si>
  <si>
    <t>Lyn Rubertis</t>
  </si>
  <si>
    <t>lrubertis41@sun.com</t>
  </si>
  <si>
    <t>Ezmeralda MacNeilly</t>
  </si>
  <si>
    <t>emacneilly42@vistaprint.com</t>
  </si>
  <si>
    <t>Franchot Levison</t>
  </si>
  <si>
    <t>flevison43@com.com</t>
  </si>
  <si>
    <t>Desmond Addams</t>
  </si>
  <si>
    <t>daddams44@imdb.com</t>
  </si>
  <si>
    <t>Roger Elmar</t>
  </si>
  <si>
    <t>relmar45@51.la</t>
  </si>
  <si>
    <t>Adrea Dorset</t>
  </si>
  <si>
    <t>adorset46@pagesperso-orange.fr</t>
  </si>
  <si>
    <t>Vitia Skittrall</t>
  </si>
  <si>
    <t>vskittrall47@163.com</t>
  </si>
  <si>
    <t>Rikki Emery</t>
  </si>
  <si>
    <t>remery48@gov.uk</t>
  </si>
  <si>
    <t>Bo Aughton</t>
  </si>
  <si>
    <t>baughton49@quantcast.com</t>
  </si>
  <si>
    <t>Cory McShane</t>
  </si>
  <si>
    <t>cmcshane4a@squidoo.com</t>
  </si>
  <si>
    <t>Ruthe Ipsley</t>
  </si>
  <si>
    <t>ripsley4b@bluehost.com</t>
  </si>
  <si>
    <t>Asher Witchell</t>
  </si>
  <si>
    <t>awitchell4c@marketwatch.com</t>
  </si>
  <si>
    <t>Chelsea Gerrill</t>
  </si>
  <si>
    <t>cgerrill4d@sohu.com</t>
  </si>
  <si>
    <t>Marcile Seedhouse</t>
  </si>
  <si>
    <t>mseedhouse4e@infoseek.co.jp</t>
  </si>
  <si>
    <t>Bertha Penni</t>
  </si>
  <si>
    <t>bpenni4f@state.tx.us</t>
  </si>
  <si>
    <t>Bev Bartke</t>
  </si>
  <si>
    <t>bbartke4g@mozilla.com</t>
  </si>
  <si>
    <t>Lucky Breache</t>
  </si>
  <si>
    <t>lbreache4h@hibu.com</t>
  </si>
  <si>
    <t>Jermayne Furtado</t>
  </si>
  <si>
    <t>jfurtado4i@bluehost.com</t>
  </si>
  <si>
    <t>Amberly Steptoe</t>
  </si>
  <si>
    <t>asteptoe4j@jimdo.com</t>
  </si>
  <si>
    <t>Klemens Merrgen</t>
  </si>
  <si>
    <t>kmerrgen4k@fotki.com</t>
  </si>
  <si>
    <t>Adiana Etches</t>
  </si>
  <si>
    <t>aetches4l@gravatar.com</t>
  </si>
  <si>
    <t>Constantine McGibbon</t>
  </si>
  <si>
    <t>cmcgibbon4m@istockphoto.com</t>
  </si>
  <si>
    <t>Hughie Dawltrey</t>
  </si>
  <si>
    <t>hdawltrey4n@hud.gov</t>
  </si>
  <si>
    <t>Marianne Dabes</t>
  </si>
  <si>
    <t>mdabes4o@chronoengine.com</t>
  </si>
  <si>
    <t>William Parysowna</t>
  </si>
  <si>
    <t>wparysowna4p@purevolume.com</t>
  </si>
  <si>
    <t>Gav Davio</t>
  </si>
  <si>
    <t>gdavio4q@google.ru</t>
  </si>
  <si>
    <t>Gus Keneford</t>
  </si>
  <si>
    <t>gkeneford4r@google.com.au</t>
  </si>
  <si>
    <t>Johan Kingh</t>
  </si>
  <si>
    <t>jkingh4s@ebay.com</t>
  </si>
  <si>
    <t>Rorie Loadman</t>
  </si>
  <si>
    <t>rloadman4t@studiopress.com</t>
  </si>
  <si>
    <t>Rona Stave</t>
  </si>
  <si>
    <t>rstave4u@ucla.edu</t>
  </si>
  <si>
    <t>Moe Corkill</t>
  </si>
  <si>
    <t>mcorkill4v@ucsd.edu</t>
  </si>
  <si>
    <t>Kerr Risborough</t>
  </si>
  <si>
    <t>krisborough4w@bbb.org</t>
  </si>
  <si>
    <t>Rosemarie Kitchenman</t>
  </si>
  <si>
    <t>rkitchenman4x@ovh.net</t>
  </si>
  <si>
    <t>Nefen Pert</t>
  </si>
  <si>
    <t>npert4y@sfgate.com</t>
  </si>
  <si>
    <t>Roman Klimas</t>
  </si>
  <si>
    <t>rklimas4z@bigcartel.com</t>
  </si>
  <si>
    <t>Cyb Greder</t>
  </si>
  <si>
    <t>cgreder50@psu.edu</t>
  </si>
  <si>
    <t>Lawrence Sancraft</t>
  </si>
  <si>
    <t>lsancraft51@marriott.com</t>
  </si>
  <si>
    <t>Brandais Matyukon</t>
  </si>
  <si>
    <t>bmatyukon52@about.me</t>
  </si>
  <si>
    <t>Althea Vickors</t>
  </si>
  <si>
    <t>avickors53@istockphoto.com</t>
  </si>
  <si>
    <t>Hansiain Charnley</t>
  </si>
  <si>
    <t>hcharnley54@pen.io</t>
  </si>
  <si>
    <t>Stefa Breckin</t>
  </si>
  <si>
    <t>sbreckin55@cornell.edu</t>
  </si>
  <si>
    <t>Glenn Gain</t>
  </si>
  <si>
    <t>ggain56@privacy.gov.au</t>
  </si>
  <si>
    <t>Mala Eastmead</t>
  </si>
  <si>
    <t>meastmead57@princeton.edu</t>
  </si>
  <si>
    <t>Chlo Geikie</t>
  </si>
  <si>
    <t>cgeikie58@vistaprint.com</t>
  </si>
  <si>
    <t>Deny Orrobin</t>
  </si>
  <si>
    <t>dorrobin59@addthis.com</t>
  </si>
  <si>
    <t>Reynard Timmis</t>
  </si>
  <si>
    <t>rtimmis5a@behance.net</t>
  </si>
  <si>
    <t>Theda Dericot</t>
  </si>
  <si>
    <t>tdericot5b@nationalgeographic.com</t>
  </si>
  <si>
    <t>Sergeant Harridge</t>
  </si>
  <si>
    <t>sharridge5c@amazon.com</t>
  </si>
  <si>
    <t>Ludovika Sheavills</t>
  </si>
  <si>
    <t>lsheavills5d@google.cn</t>
  </si>
  <si>
    <t>Marietta O'Hearn</t>
  </si>
  <si>
    <t>mohearn5e@businesswire.com</t>
  </si>
  <si>
    <t>Emelyne Liverseege</t>
  </si>
  <si>
    <t>eliverseege5f@wired.com</t>
  </si>
  <si>
    <t>Gerrie Drennan</t>
  </si>
  <si>
    <t>gdrennan5g@ezinearticles.com</t>
  </si>
  <si>
    <t>Xever Morpeth</t>
  </si>
  <si>
    <t>xmorpeth5h@pinterest.com</t>
  </si>
  <si>
    <t>Nickie Rennebeck</t>
  </si>
  <si>
    <t>nrennebeck5i@adobe.com</t>
  </si>
  <si>
    <t>Donella Tedstone</t>
  </si>
  <si>
    <t>dtedstone5j@yahoo.com</t>
  </si>
  <si>
    <t>Uri Rabat</t>
  </si>
  <si>
    <t>urabat5k@webs.com</t>
  </si>
  <si>
    <t>Vlad Rossiter</t>
  </si>
  <si>
    <t>vrossiter5l@topsy.com</t>
  </si>
  <si>
    <t>Angeline Bruhke</t>
  </si>
  <si>
    <t>abruhke5m@arstechnica.com</t>
  </si>
  <si>
    <t>Farica Titcumb</t>
  </si>
  <si>
    <t>ftitcumb5n@senate.gov</t>
  </si>
  <si>
    <t>Candy Aitchinson</t>
  </si>
  <si>
    <t>caitchinson5o@prlog.org</t>
  </si>
  <si>
    <t>Janel Matusevich</t>
  </si>
  <si>
    <t>jmatusevich5p@posterous.com</t>
  </si>
  <si>
    <t>Lynnell Minet</t>
  </si>
  <si>
    <t>lminet5q@sitemeter.com</t>
  </si>
  <si>
    <t>Justina Duberry</t>
  </si>
  <si>
    <t>jduberry5r@cyberchimps.com</t>
  </si>
  <si>
    <t>Ophelia Chantrell</t>
  </si>
  <si>
    <t>ochantrell5s@narod.ru</t>
  </si>
  <si>
    <t>Ame Cicci</t>
  </si>
  <si>
    <t>acicci5t@google.co.jp</t>
  </si>
  <si>
    <t>Dugald Gerhts</t>
  </si>
  <si>
    <t>dgerhts5u@stanford.edu</t>
  </si>
  <si>
    <t>Teodoor Rastrick</t>
  </si>
  <si>
    <t>trastrick5v@smh.com.au</t>
  </si>
  <si>
    <t>Emory Andrin</t>
  </si>
  <si>
    <t>eandrin5w@nymag.com</t>
  </si>
  <si>
    <t>Maxi Tremmil</t>
  </si>
  <si>
    <t>mtremmil5x@behance.net</t>
  </si>
  <si>
    <t>Colet Spikeings</t>
  </si>
  <si>
    <t>cspikeings5y@newsvine.com</t>
  </si>
  <si>
    <t>Merl Ditchett</t>
  </si>
  <si>
    <t>mditchett5z@dailymail.co.uk</t>
  </si>
  <si>
    <t>Vilma Lower</t>
  </si>
  <si>
    <t>vlower60@cbc.ca</t>
  </si>
  <si>
    <t>Lena Bolesma</t>
  </si>
  <si>
    <t>lbolesma61@weebly.com</t>
  </si>
  <si>
    <t>Susy Klimmek</t>
  </si>
  <si>
    <t>sklimmek62@hubpages.com</t>
  </si>
  <si>
    <t>Thomasin Mulhill</t>
  </si>
  <si>
    <t>tmulhill63@blogtalkradio.com</t>
  </si>
  <si>
    <t>Rog Casbourne</t>
  </si>
  <si>
    <t>rcasbourne64@stumbleupon.com</t>
  </si>
  <si>
    <t>Valentino Aspinwall</t>
  </si>
  <si>
    <t>vaspinwall65@discovery.com</t>
  </si>
  <si>
    <t>Shell Daskiewicz</t>
  </si>
  <si>
    <t>sdaskiewicz66@xing.com</t>
  </si>
  <si>
    <t>Nerissa Giddy</t>
  </si>
  <si>
    <t>ngiddy67@examiner.com</t>
  </si>
  <si>
    <t>Brandice Leopold</t>
  </si>
  <si>
    <t>bleopold68@so-net.ne.jp</t>
  </si>
  <si>
    <t>Shepherd Mapletoft</t>
  </si>
  <si>
    <t>smapletoft69@flavors.me</t>
  </si>
  <si>
    <t>Alastair Bleakley</t>
  </si>
  <si>
    <t>ableakley6a@behance.net</t>
  </si>
  <si>
    <t>Blayne Orrick</t>
  </si>
  <si>
    <t>borrick6b@myspace.com</t>
  </si>
  <si>
    <t>Dennet Dofty</t>
  </si>
  <si>
    <t>ddofty6c@boston.com</t>
  </si>
  <si>
    <t>Tris McElhargy</t>
  </si>
  <si>
    <t>tmcelhargy6d@gizmodo.com</t>
  </si>
  <si>
    <t>Damian Arlett</t>
  </si>
  <si>
    <t>darlett6e@twitter.com</t>
  </si>
  <si>
    <t>Gibb O' Cloney</t>
  </si>
  <si>
    <t>go6f@reference.com</t>
  </si>
  <si>
    <t>Osbert Beig</t>
  </si>
  <si>
    <t>obeig6g@de.vu</t>
  </si>
  <si>
    <t>Godard Hindge</t>
  </si>
  <si>
    <t>ghindge6h@creativecommons.org</t>
  </si>
  <si>
    <t>Lemmie Simoneau</t>
  </si>
  <si>
    <t>lsimoneau6i@netlog.com</t>
  </si>
  <si>
    <t>Jerrilee Greatrex</t>
  </si>
  <si>
    <t>jgreatrex6j@surveymonkey.com</t>
  </si>
  <si>
    <t>Regan Landrieu</t>
  </si>
  <si>
    <t>rlandrieu6k@sitemeter.com</t>
  </si>
  <si>
    <t>Indira Poskitt</t>
  </si>
  <si>
    <t>iposkitt6l@list-manage.com</t>
  </si>
  <si>
    <t>Maxi Lahy</t>
  </si>
  <si>
    <t>mlahy6m@4shared.com</t>
  </si>
  <si>
    <t>Guendolen Blueman</t>
  </si>
  <si>
    <t>gblueman6n@mozilla.org</t>
  </si>
  <si>
    <t>Tracy Prosh</t>
  </si>
  <si>
    <t>tprosh6o@ucsd.edu</t>
  </si>
  <si>
    <t>Holly Brownstein</t>
  </si>
  <si>
    <t>hbrownstein6p@about.me</t>
  </si>
  <si>
    <t>Tersina Jentet</t>
  </si>
  <si>
    <t>tjentet6q@posterous.com</t>
  </si>
  <si>
    <t>Berny MacAdam</t>
  </si>
  <si>
    <t>bmacadam6r@deviantart.com</t>
  </si>
  <si>
    <t>Mabel Marden</t>
  </si>
  <si>
    <t>mmarden6s@quantcast.com</t>
  </si>
  <si>
    <t>Ernesta Revance</t>
  </si>
  <si>
    <t>erevance6t@arstechnica.com</t>
  </si>
  <si>
    <t>Larisa Corby</t>
  </si>
  <si>
    <t>lcorby6u@eepurl.com</t>
  </si>
  <si>
    <t>Charmane Thying</t>
  </si>
  <si>
    <t>cthying6v@wiley.com</t>
  </si>
  <si>
    <t>Glynda Stollberg</t>
  </si>
  <si>
    <t>gstollberg6w@baidu.com</t>
  </si>
  <si>
    <t>Randall Vedeneev</t>
  </si>
  <si>
    <t>rvedeneev6x@bluehost.com</t>
  </si>
  <si>
    <t>Eugen Buxton</t>
  </si>
  <si>
    <t>ebuxton6y@odnoklassniki.ru</t>
  </si>
  <si>
    <t>Elfrieda Koomar</t>
  </si>
  <si>
    <t>ekoomar6z@seattletimes.com</t>
  </si>
  <si>
    <t>Melicent von Nassau</t>
  </si>
  <si>
    <t>mvon70@ft.com</t>
  </si>
  <si>
    <t>Barbara Quinsee</t>
  </si>
  <si>
    <t>bquinsee71@scientificamerican.com</t>
  </si>
  <si>
    <t>Luciano Slemming</t>
  </si>
  <si>
    <t>lslemming72@msu.edu</t>
  </si>
  <si>
    <t>Tildie Janowski</t>
  </si>
  <si>
    <t>tjanowski73@vistaprint.com</t>
  </si>
  <si>
    <t>Jaymie McGrane</t>
  </si>
  <si>
    <t>jmcgrane74@theatlantic.com</t>
  </si>
  <si>
    <t>Lula Behrend</t>
  </si>
  <si>
    <t>lbehrend75@dyndns.org</t>
  </si>
  <si>
    <t>Clayborn Jamblin</t>
  </si>
  <si>
    <t>cjamblin76@columbia.edu</t>
  </si>
  <si>
    <t>Caryn Gounet</t>
  </si>
  <si>
    <t>cgounet77@unblog.fr</t>
  </si>
  <si>
    <t>Carlyn Starsmeare</t>
  </si>
  <si>
    <t>cstarsmeare78@hibu.com</t>
  </si>
  <si>
    <t>Regen Rabjohns</t>
  </si>
  <si>
    <t>rrabjohns79@nature.com</t>
  </si>
  <si>
    <t>Kaila Lace</t>
  </si>
  <si>
    <t>klace7a@state.tx.us</t>
  </si>
  <si>
    <t>Miranda Castell</t>
  </si>
  <si>
    <t>mcastell7b@adobe.com</t>
  </si>
  <si>
    <t>Hyacinthie Brimilcome</t>
  </si>
  <si>
    <t>hbrimilcome7c@trellian.com</t>
  </si>
  <si>
    <t>Karyl Farnham</t>
  </si>
  <si>
    <t>kfarnham7d@irs.gov</t>
  </si>
  <si>
    <t>Herby Croucher</t>
  </si>
  <si>
    <t>hcroucher7e@barnesandnoble.com</t>
  </si>
  <si>
    <t>Marcelia Blackborow</t>
  </si>
  <si>
    <t>mblackborow7f@uol.com.br</t>
  </si>
  <si>
    <t>Hephzibah Batty</t>
  </si>
  <si>
    <t>hbatty7g@samsung.com</t>
  </si>
  <si>
    <t>Clem Leaf</t>
  </si>
  <si>
    <t>cleaf7h@ehow.com</t>
  </si>
  <si>
    <t>Lavinia Bagshawe</t>
  </si>
  <si>
    <t>lbagshawe7i@uiuc.edu</t>
  </si>
  <si>
    <t>Angy Hubbucks</t>
  </si>
  <si>
    <t>ahubbucks7j@pen.io</t>
  </si>
  <si>
    <t>Casi Khan</t>
  </si>
  <si>
    <t>ckhan7k@economist.com</t>
  </si>
  <si>
    <t>Alvera Geddis</t>
  </si>
  <si>
    <t>ageddis7l@fda.gov</t>
  </si>
  <si>
    <t>Lilias Suttie</t>
  </si>
  <si>
    <t>lsuttie7m@wix.com</t>
  </si>
  <si>
    <t>Holmes Brownsell</t>
  </si>
  <si>
    <t>hbrownsell7n@trellian.com</t>
  </si>
  <si>
    <t>Bay Jurn</t>
  </si>
  <si>
    <t>bjurn7o@patch.com</t>
  </si>
  <si>
    <t>Eryn Allwright</t>
  </si>
  <si>
    <t>eallwright7p@apple.com</t>
  </si>
  <si>
    <t>D'arcy Renshall</t>
  </si>
  <si>
    <t>drenshall7q@whitehouse.gov</t>
  </si>
  <si>
    <t>Vaclav Farey</t>
  </si>
  <si>
    <t>vfarey7r@dion.ne.jp</t>
  </si>
  <si>
    <t>Fonz Rookes</t>
  </si>
  <si>
    <t>frookes7s@smh.com.au</t>
  </si>
  <si>
    <t>Koressa Beevis</t>
  </si>
  <si>
    <t>kbeevis7t@chicagotribune.com</t>
  </si>
  <si>
    <t>Jaquith Sturm</t>
  </si>
  <si>
    <t>jsturm7u@wikia.com</t>
  </si>
  <si>
    <t>Othelia Bernocchi</t>
  </si>
  <si>
    <t>obernocchi7v@1und1.de</t>
  </si>
  <si>
    <t>Ardyce Abad</t>
  </si>
  <si>
    <t>aabad7w@nbcnews.com</t>
  </si>
  <si>
    <t>Estell Westwood</t>
  </si>
  <si>
    <t>ewestwood7x@youku.com</t>
  </si>
  <si>
    <t>Leisha Takis</t>
  </si>
  <si>
    <t>ltakis7y@t-online.de</t>
  </si>
  <si>
    <t>Travus Cannavan</t>
  </si>
  <si>
    <t>tcannavan7z@goodreads.com</t>
  </si>
  <si>
    <t>Amalita Seppey</t>
  </si>
  <si>
    <t>aseppey80@yale.edu</t>
  </si>
  <si>
    <t>Janith Szepe</t>
  </si>
  <si>
    <t>jszepe81@cdbaby.com</t>
  </si>
  <si>
    <t>Prue Antram</t>
  </si>
  <si>
    <t>pantram82@wordpress.com</t>
  </si>
  <si>
    <t>Ursala Durban</t>
  </si>
  <si>
    <t>udurban83@mac.com</t>
  </si>
  <si>
    <t>Hadley Fearnley</t>
  </si>
  <si>
    <t>hfearnley84@admin.ch</t>
  </si>
  <si>
    <t>Myrwyn Argente</t>
  </si>
  <si>
    <t>margente85@oakley.com</t>
  </si>
  <si>
    <t>Kessia Torrejon</t>
  </si>
  <si>
    <t>ktorrejon86@cloudflare.com</t>
  </si>
  <si>
    <t>Roderigo Huguet</t>
  </si>
  <si>
    <t>rhuguet87@tmall.com</t>
  </si>
  <si>
    <t>Loella Dudliston</t>
  </si>
  <si>
    <t>ldudliston88@deviantart.com</t>
  </si>
  <si>
    <t>Batsheva Ceaser</t>
  </si>
  <si>
    <t>bceaser89@instagram.com</t>
  </si>
  <si>
    <t>Hattie Howland</t>
  </si>
  <si>
    <t>hhowland8a@sitemeter.com</t>
  </si>
  <si>
    <t>Joyce McColgan</t>
  </si>
  <si>
    <t>jmccolgan8b@miitbeian.gov.cn</t>
  </si>
  <si>
    <t>Tory Oxlee</t>
  </si>
  <si>
    <t>toxlee8c@smugmug.com</t>
  </si>
  <si>
    <t>Bart Arnison</t>
  </si>
  <si>
    <t>barnison8d@mit.edu</t>
  </si>
  <si>
    <t>Jayne Trevallion</t>
  </si>
  <si>
    <t>jtrevallion8e@soundcloud.com</t>
  </si>
  <si>
    <t>Esdras Wennam</t>
  </si>
  <si>
    <t>ewennam8f@sina.com.cn</t>
  </si>
  <si>
    <t>Emmalyn Viall</t>
  </si>
  <si>
    <t>eviall8g@odnoklassniki.ru</t>
  </si>
  <si>
    <t>Fin Dregan</t>
  </si>
  <si>
    <t>fdregan8h@sphinn.com</t>
  </si>
  <si>
    <t>Zed Birchwood</t>
  </si>
  <si>
    <t>zbirchwood8i@cam.ac.uk</t>
  </si>
  <si>
    <t>Misty Vennart</t>
  </si>
  <si>
    <t>mvennart8j@earthlink.net</t>
  </si>
  <si>
    <t>Chico Coppock.</t>
  </si>
  <si>
    <t>ccoppock8k@usnews.com</t>
  </si>
  <si>
    <t>Gael Dell 'Orto</t>
  </si>
  <si>
    <t>gdell8l@state.tx.us</t>
  </si>
  <si>
    <t>Monah Lindenstrauss</t>
  </si>
  <si>
    <t>mlindenstrauss8m@yale.edu</t>
  </si>
  <si>
    <t>Elsie Kiddye</t>
  </si>
  <si>
    <t>ekiddye8n@virginia.edu</t>
  </si>
  <si>
    <t>Vanessa Grimsey</t>
  </si>
  <si>
    <t>vgrimsey8o@google.ca</t>
  </si>
  <si>
    <t>Biddie Bellay</t>
  </si>
  <si>
    <t>bbellay8p@google.es</t>
  </si>
  <si>
    <t>Nikaniki Rallin</t>
  </si>
  <si>
    <t>nrallin8q@usa.gov</t>
  </si>
  <si>
    <t>Katheryn Kernermann</t>
  </si>
  <si>
    <t>kkernermann8r@taobao.com</t>
  </si>
  <si>
    <t>Reginauld Jackling</t>
  </si>
  <si>
    <t>rjackling8s@archive.org</t>
  </si>
  <si>
    <t>Harmonia Gorstidge</t>
  </si>
  <si>
    <t>hgorstidge8t@storify.com</t>
  </si>
  <si>
    <t>Thane Dumphries</t>
  </si>
  <si>
    <t>tdumphries8u@irs.gov</t>
  </si>
  <si>
    <t>Lucio Drinkeld</t>
  </si>
  <si>
    <t>ldrinkeld8v@noaa.gov</t>
  </si>
  <si>
    <t>UNIQUE</t>
  </si>
  <si>
    <t>Lista desplegable</t>
  </si>
  <si>
    <t>Seleccione:</t>
  </si>
  <si>
    <t>Intención</t>
  </si>
  <si>
    <t>Detalle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</si>
</sst>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A64D79"/>
        <bgColor rgb="FFA64D79"/>
      </patternFill>
    </fill>
    <fill>
      <patternFill patternType="solid">
        <fgColor rgb="FFFF9900"/>
        <bgColor rgb="FFFF9900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2" numFmtId="165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3" fontId="5" numFmtId="0" xfId="0" applyAlignment="1" applyFill="1" applyFont="1">
      <alignment readingOrder="0"/>
    </xf>
    <xf borderId="0" fillId="0" fontId="5" numFmtId="0" xfId="0" applyFont="1"/>
    <xf borderId="0" fillId="0" fontId="3" numFmtId="165" xfId="0" applyFont="1" applyNumberFormat="1"/>
    <xf borderId="2" fillId="4" fontId="3" numFmtId="0" xfId="0" applyBorder="1" applyFill="1" applyFont="1"/>
    <xf borderId="3" fillId="4" fontId="3" numFmtId="0" xfId="0" applyBorder="1" applyFont="1"/>
    <xf borderId="4" fillId="4" fontId="3" numFmtId="0" xfId="0" applyBorder="1" applyFont="1"/>
    <xf borderId="5" fillId="4" fontId="3" numFmtId="0" xfId="0" applyBorder="1" applyFont="1"/>
    <xf borderId="2" fillId="5" fontId="3" numFmtId="0" xfId="0" applyAlignment="1" applyBorder="1" applyFill="1" applyFont="1">
      <alignment readingOrder="0"/>
    </xf>
    <xf borderId="4" fillId="5" fontId="3" numFmtId="0" xfId="0" applyAlignment="1" applyBorder="1" applyFont="1">
      <alignment readingOrder="0"/>
    </xf>
    <xf borderId="6" fillId="4" fontId="3" numFmtId="0" xfId="0" applyBorder="1" applyFont="1"/>
    <xf borderId="5" fillId="5" fontId="3" numFmtId="0" xfId="0" applyAlignment="1" applyBorder="1" applyFont="1">
      <alignment readingOrder="0"/>
    </xf>
    <xf borderId="6" fillId="5" fontId="3" numFmtId="0" xfId="0" applyAlignment="1" applyBorder="1" applyFont="1">
      <alignment readingOrder="0"/>
    </xf>
    <xf borderId="7" fillId="5" fontId="3" numFmtId="0" xfId="0" applyAlignment="1" applyBorder="1" applyFont="1">
      <alignment readingOrder="0"/>
    </xf>
    <xf borderId="8" fillId="5" fontId="3" numFmtId="0" xfId="0" applyAlignment="1" applyBorder="1" applyFont="1">
      <alignment readingOrder="0"/>
    </xf>
    <xf borderId="0" fillId="4" fontId="3" numFmtId="0" xfId="0" applyFont="1"/>
    <xf borderId="2" fillId="6" fontId="3" numFmtId="0" xfId="0" applyAlignment="1" applyBorder="1" applyFill="1" applyFont="1">
      <alignment readingOrder="0"/>
    </xf>
    <xf borderId="4" fillId="6" fontId="3" numFmtId="165" xfId="0" applyBorder="1" applyFont="1" applyNumberFormat="1"/>
    <xf borderId="7" fillId="6" fontId="3" numFmtId="0" xfId="0" applyAlignment="1" applyBorder="1" applyFont="1">
      <alignment readingOrder="0"/>
    </xf>
    <xf borderId="8" fillId="6" fontId="3" numFmtId="165" xfId="0" applyBorder="1" applyFont="1" applyNumberFormat="1"/>
    <xf borderId="7" fillId="4" fontId="3" numFmtId="0" xfId="0" applyBorder="1" applyFont="1"/>
    <xf borderId="9" fillId="4" fontId="3" numFmtId="0" xfId="0" applyBorder="1" applyFont="1"/>
    <xf borderId="8" fillId="4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6" t="s">
        <v>20</v>
      </c>
      <c r="I2" s="6">
        <v>3.0</v>
      </c>
      <c r="J2" s="6">
        <v>8.0</v>
      </c>
      <c r="K2" s="7">
        <v>0.0</v>
      </c>
      <c r="L2" s="7">
        <v>0.0</v>
      </c>
      <c r="M2" s="7">
        <v>9.6781441E7</v>
      </c>
      <c r="N2" s="7">
        <v>4.764306E7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4">
        <v>2.0</v>
      </c>
      <c r="B3" s="5" t="s">
        <v>21</v>
      </c>
      <c r="C3" s="5" t="s">
        <v>22</v>
      </c>
      <c r="D3" s="5" t="s">
        <v>23</v>
      </c>
      <c r="E3" s="5" t="s">
        <v>24</v>
      </c>
      <c r="F3" s="5" t="s">
        <v>25</v>
      </c>
      <c r="G3" s="5" t="s">
        <v>26</v>
      </c>
      <c r="H3" s="6" t="s">
        <v>27</v>
      </c>
      <c r="I3" s="6">
        <v>8.0</v>
      </c>
      <c r="J3" s="6">
        <v>7.0</v>
      </c>
      <c r="K3" s="7">
        <v>1.0E7</v>
      </c>
      <c r="L3" s="7">
        <v>4.0848959E7</v>
      </c>
      <c r="M3" s="7">
        <v>9.2963332E7</v>
      </c>
      <c r="N3" s="7">
        <v>4.7565587E7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4">
        <v>3.0</v>
      </c>
      <c r="B4" s="5" t="s">
        <v>28</v>
      </c>
      <c r="C4" s="5" t="s">
        <v>29</v>
      </c>
      <c r="D4" s="5" t="s">
        <v>30</v>
      </c>
      <c r="E4" s="5" t="s">
        <v>31</v>
      </c>
      <c r="F4" s="5" t="s">
        <v>32</v>
      </c>
      <c r="G4" s="5" t="s">
        <v>33</v>
      </c>
      <c r="H4" s="6" t="s">
        <v>20</v>
      </c>
      <c r="I4" s="6">
        <v>5.0</v>
      </c>
      <c r="J4" s="6">
        <v>10.0</v>
      </c>
      <c r="K4" s="7">
        <v>0.0</v>
      </c>
      <c r="L4" s="7">
        <v>0.0</v>
      </c>
      <c r="M4" s="7">
        <v>4.9599457E7</v>
      </c>
      <c r="N4" s="7">
        <v>0.0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4">
        <v>4.0</v>
      </c>
      <c r="B5" s="5" t="s">
        <v>34</v>
      </c>
      <c r="C5" s="5" t="s">
        <v>35</v>
      </c>
      <c r="D5" s="5" t="s">
        <v>36</v>
      </c>
      <c r="E5" s="5" t="s">
        <v>24</v>
      </c>
      <c r="F5" s="5" t="s">
        <v>25</v>
      </c>
      <c r="G5" s="5" t="s">
        <v>37</v>
      </c>
      <c r="H5" s="6" t="s">
        <v>20</v>
      </c>
      <c r="I5" s="6">
        <v>4.0</v>
      </c>
      <c r="J5" s="6">
        <v>8.0</v>
      </c>
      <c r="K5" s="7">
        <v>1.0E7</v>
      </c>
      <c r="L5" s="7">
        <v>7.830888E7</v>
      </c>
      <c r="M5" s="7">
        <v>3248026.0</v>
      </c>
      <c r="N5" s="7">
        <v>2.714327E7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4">
        <v>5.0</v>
      </c>
      <c r="B6" s="5" t="s">
        <v>38</v>
      </c>
      <c r="C6" s="5" t="s">
        <v>39</v>
      </c>
      <c r="D6" s="5" t="s">
        <v>16</v>
      </c>
      <c r="E6" s="5" t="s">
        <v>31</v>
      </c>
      <c r="F6" s="5" t="s">
        <v>25</v>
      </c>
      <c r="G6" s="5" t="s">
        <v>26</v>
      </c>
      <c r="H6" s="6" t="s">
        <v>20</v>
      </c>
      <c r="I6" s="6">
        <v>4.0</v>
      </c>
      <c r="J6" s="6">
        <v>9.0</v>
      </c>
      <c r="K6" s="7">
        <v>5.0E7</v>
      </c>
      <c r="L6" s="7">
        <v>2910571.0</v>
      </c>
      <c r="M6" s="7">
        <v>3.7561085E7</v>
      </c>
      <c r="N6" s="7">
        <v>1.9598007E7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4">
        <v>6.0</v>
      </c>
      <c r="B7" s="5" t="s">
        <v>40</v>
      </c>
      <c r="C7" s="5" t="s">
        <v>41</v>
      </c>
      <c r="D7" s="5" t="s">
        <v>42</v>
      </c>
      <c r="E7" s="5" t="s">
        <v>24</v>
      </c>
      <c r="F7" s="5" t="s">
        <v>25</v>
      </c>
      <c r="G7" s="5" t="s">
        <v>37</v>
      </c>
      <c r="H7" s="6" t="s">
        <v>20</v>
      </c>
      <c r="I7" s="6">
        <v>9.0</v>
      </c>
      <c r="J7" s="6">
        <v>7.0</v>
      </c>
      <c r="K7" s="7">
        <v>9.0E7</v>
      </c>
      <c r="L7" s="7">
        <v>5.0075523E7</v>
      </c>
      <c r="M7" s="7">
        <v>5.9142617E7</v>
      </c>
      <c r="N7" s="7">
        <v>9.5314026E7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">
        <v>7.0</v>
      </c>
      <c r="B8" s="5" t="s">
        <v>43</v>
      </c>
      <c r="C8" s="5" t="s">
        <v>44</v>
      </c>
      <c r="D8" s="5" t="s">
        <v>45</v>
      </c>
      <c r="E8" s="5" t="s">
        <v>24</v>
      </c>
      <c r="F8" s="5" t="s">
        <v>32</v>
      </c>
      <c r="G8" s="5" t="s">
        <v>33</v>
      </c>
      <c r="H8" s="6" t="s">
        <v>20</v>
      </c>
      <c r="I8" s="6">
        <v>5.0</v>
      </c>
      <c r="J8" s="6">
        <v>9.0</v>
      </c>
      <c r="K8" s="7">
        <v>0.0</v>
      </c>
      <c r="L8" s="7">
        <v>0.0</v>
      </c>
      <c r="M8" s="7">
        <v>0.0</v>
      </c>
      <c r="N8" s="7">
        <v>6.7714973E7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>
        <v>8.0</v>
      </c>
      <c r="B9" s="5" t="s">
        <v>46</v>
      </c>
      <c r="C9" s="5" t="s">
        <v>47</v>
      </c>
      <c r="D9" s="5" t="s">
        <v>42</v>
      </c>
      <c r="E9" s="5" t="s">
        <v>24</v>
      </c>
      <c r="F9" s="5" t="s">
        <v>25</v>
      </c>
      <c r="G9" s="5" t="s">
        <v>26</v>
      </c>
      <c r="H9" s="6" t="s">
        <v>27</v>
      </c>
      <c r="I9" s="6">
        <v>8.0</v>
      </c>
      <c r="J9" s="6">
        <v>10.0</v>
      </c>
      <c r="K9" s="7">
        <v>1000000.0</v>
      </c>
      <c r="L9" s="7">
        <v>5305190.0</v>
      </c>
      <c r="M9" s="7">
        <v>5.3291805E7</v>
      </c>
      <c r="N9" s="7">
        <v>8.4809282E7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4">
        <v>9.0</v>
      </c>
      <c r="B10" s="5" t="s">
        <v>48</v>
      </c>
      <c r="C10" s="5" t="s">
        <v>49</v>
      </c>
      <c r="D10" s="5" t="s">
        <v>42</v>
      </c>
      <c r="E10" s="5" t="s">
        <v>50</v>
      </c>
      <c r="F10" s="5" t="s">
        <v>32</v>
      </c>
      <c r="G10" s="5" t="s">
        <v>33</v>
      </c>
      <c r="H10" s="6" t="s">
        <v>27</v>
      </c>
      <c r="I10" s="6">
        <v>8.0</v>
      </c>
      <c r="J10" s="6">
        <v>3.0</v>
      </c>
      <c r="K10" s="7">
        <v>0.0</v>
      </c>
      <c r="L10" s="7">
        <v>0.0</v>
      </c>
      <c r="M10" s="7">
        <v>5.0085574E7</v>
      </c>
      <c r="N10" s="7">
        <v>4.2495353E7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4">
        <v>10.0</v>
      </c>
      <c r="B11" s="5" t="s">
        <v>51</v>
      </c>
      <c r="C11" s="5" t="s">
        <v>52</v>
      </c>
      <c r="D11" s="5" t="s">
        <v>23</v>
      </c>
      <c r="E11" s="5" t="s">
        <v>53</v>
      </c>
      <c r="F11" s="5" t="s">
        <v>25</v>
      </c>
      <c r="G11" s="5" t="s">
        <v>37</v>
      </c>
      <c r="H11" s="6" t="s">
        <v>20</v>
      </c>
      <c r="I11" s="6">
        <v>5.0</v>
      </c>
      <c r="J11" s="6">
        <v>9.0</v>
      </c>
      <c r="K11" s="7">
        <v>1.0E7</v>
      </c>
      <c r="L11" s="7">
        <v>3.894167E7</v>
      </c>
      <c r="M11" s="7">
        <v>6.7846781E7</v>
      </c>
      <c r="N11" s="7">
        <v>8.7726693E7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4">
        <v>11.0</v>
      </c>
      <c r="B12" s="5" t="s">
        <v>54</v>
      </c>
      <c r="C12" s="5" t="s">
        <v>55</v>
      </c>
      <c r="D12" s="5" t="s">
        <v>16</v>
      </c>
      <c r="E12" s="5" t="s">
        <v>24</v>
      </c>
      <c r="F12" s="5" t="s">
        <v>25</v>
      </c>
      <c r="G12" s="5" t="s">
        <v>37</v>
      </c>
      <c r="H12" s="6" t="s">
        <v>20</v>
      </c>
      <c r="I12" s="6">
        <v>4.0</v>
      </c>
      <c r="J12" s="6">
        <v>5.0</v>
      </c>
      <c r="K12" s="7">
        <v>1000000.0</v>
      </c>
      <c r="L12" s="7">
        <v>2.8926771E7</v>
      </c>
      <c r="M12" s="7">
        <v>5.693961E7</v>
      </c>
      <c r="N12" s="7">
        <v>9.2726884E7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>
        <v>12.0</v>
      </c>
      <c r="B13" s="5" t="s">
        <v>56</v>
      </c>
      <c r="C13" s="5" t="s">
        <v>57</v>
      </c>
      <c r="D13" s="5" t="s">
        <v>16</v>
      </c>
      <c r="E13" s="5" t="s">
        <v>24</v>
      </c>
      <c r="F13" s="5" t="s">
        <v>25</v>
      </c>
      <c r="G13" s="5" t="s">
        <v>37</v>
      </c>
      <c r="H13" s="6" t="s">
        <v>20</v>
      </c>
      <c r="I13" s="6">
        <v>3.0</v>
      </c>
      <c r="J13" s="6">
        <v>8.0</v>
      </c>
      <c r="K13" s="7">
        <v>1000000.0</v>
      </c>
      <c r="L13" s="7">
        <v>3.4252074E7</v>
      </c>
      <c r="M13" s="7">
        <v>0.0</v>
      </c>
      <c r="N13" s="7">
        <v>2.2994819E7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4">
        <v>13.0</v>
      </c>
      <c r="B14" s="5" t="s">
        <v>58</v>
      </c>
      <c r="C14" s="5" t="s">
        <v>59</v>
      </c>
      <c r="D14" s="5" t="s">
        <v>23</v>
      </c>
      <c r="E14" s="5" t="s">
        <v>31</v>
      </c>
      <c r="F14" s="5" t="s">
        <v>32</v>
      </c>
      <c r="G14" s="5" t="s">
        <v>60</v>
      </c>
      <c r="H14" s="6" t="s">
        <v>20</v>
      </c>
      <c r="I14" s="6">
        <v>7.0</v>
      </c>
      <c r="J14" s="6">
        <v>9.0</v>
      </c>
      <c r="K14" s="7">
        <v>0.0</v>
      </c>
      <c r="L14" s="7">
        <v>0.0</v>
      </c>
      <c r="M14" s="7">
        <v>4.5347826E7</v>
      </c>
      <c r="N14" s="7">
        <v>1.4301768E7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4">
        <v>14.0</v>
      </c>
      <c r="B15" s="5" t="s">
        <v>61</v>
      </c>
      <c r="C15" s="5" t="s">
        <v>62</v>
      </c>
      <c r="D15" s="5" t="s">
        <v>63</v>
      </c>
      <c r="E15" s="5" t="s">
        <v>24</v>
      </c>
      <c r="F15" s="5" t="s">
        <v>32</v>
      </c>
      <c r="G15" s="5" t="s">
        <v>60</v>
      </c>
      <c r="H15" s="6" t="s">
        <v>27</v>
      </c>
      <c r="I15" s="6">
        <v>4.0</v>
      </c>
      <c r="J15" s="6">
        <v>8.0</v>
      </c>
      <c r="K15" s="7">
        <v>0.0</v>
      </c>
      <c r="L15" s="7">
        <v>0.0</v>
      </c>
      <c r="M15" s="7">
        <v>7.1453938E7</v>
      </c>
      <c r="N15" s="7">
        <v>3.8593802E7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4">
        <v>15.0</v>
      </c>
      <c r="B16" s="5" t="s">
        <v>64</v>
      </c>
      <c r="C16" s="5" t="s">
        <v>65</v>
      </c>
      <c r="D16" s="5" t="s">
        <v>36</v>
      </c>
      <c r="E16" s="5" t="s">
        <v>53</v>
      </c>
      <c r="F16" s="5" t="s">
        <v>25</v>
      </c>
      <c r="G16" s="5" t="s">
        <v>26</v>
      </c>
      <c r="H16" s="6" t="s">
        <v>20</v>
      </c>
      <c r="I16" s="6">
        <v>9.0</v>
      </c>
      <c r="J16" s="6">
        <v>10.0</v>
      </c>
      <c r="K16" s="7">
        <v>2.0E7</v>
      </c>
      <c r="L16" s="7">
        <v>3.2346156E7</v>
      </c>
      <c r="M16" s="7">
        <v>2.2346275E7</v>
      </c>
      <c r="N16" s="7">
        <v>7.3743047E7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4">
        <v>16.0</v>
      </c>
      <c r="B17" s="5" t="s">
        <v>66</v>
      </c>
      <c r="C17" s="5" t="s">
        <v>67</v>
      </c>
      <c r="D17" s="5" t="s">
        <v>45</v>
      </c>
      <c r="E17" s="5" t="s">
        <v>17</v>
      </c>
      <c r="F17" s="5" t="s">
        <v>18</v>
      </c>
      <c r="G17" s="5" t="s">
        <v>19</v>
      </c>
      <c r="H17" s="6" t="s">
        <v>20</v>
      </c>
      <c r="I17" s="6">
        <v>4.0</v>
      </c>
      <c r="J17" s="6">
        <v>6.0</v>
      </c>
      <c r="K17" s="7">
        <v>0.0</v>
      </c>
      <c r="L17" s="7">
        <v>0.0</v>
      </c>
      <c r="M17" s="7">
        <v>9.6357193E7</v>
      </c>
      <c r="N17" s="7">
        <v>6.7901582E7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4">
        <v>17.0</v>
      </c>
      <c r="B18" s="5" t="s">
        <v>68</v>
      </c>
      <c r="C18" s="5" t="s">
        <v>69</v>
      </c>
      <c r="D18" s="5" t="s">
        <v>30</v>
      </c>
      <c r="E18" s="5" t="s">
        <v>24</v>
      </c>
      <c r="F18" s="5" t="s">
        <v>25</v>
      </c>
      <c r="G18" s="5" t="s">
        <v>26</v>
      </c>
      <c r="H18" s="6" t="s">
        <v>20</v>
      </c>
      <c r="I18" s="6">
        <v>5.0</v>
      </c>
      <c r="J18" s="6">
        <v>7.0</v>
      </c>
      <c r="K18" s="7">
        <v>1.0E8</v>
      </c>
      <c r="L18" s="7">
        <v>7.2903049E7</v>
      </c>
      <c r="M18" s="7">
        <v>6.7375493E7</v>
      </c>
      <c r="N18" s="7">
        <v>4753995.0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4">
        <v>18.0</v>
      </c>
      <c r="B19" s="5" t="s">
        <v>70</v>
      </c>
      <c r="C19" s="5" t="s">
        <v>71</v>
      </c>
      <c r="D19" s="5" t="s">
        <v>30</v>
      </c>
      <c r="E19" s="5" t="s">
        <v>17</v>
      </c>
      <c r="F19" s="5" t="s">
        <v>18</v>
      </c>
      <c r="G19" s="5" t="s">
        <v>19</v>
      </c>
      <c r="H19" s="6" t="s">
        <v>20</v>
      </c>
      <c r="I19" s="6">
        <v>6.0</v>
      </c>
      <c r="J19" s="6">
        <v>7.0</v>
      </c>
      <c r="K19" s="7">
        <v>0.0</v>
      </c>
      <c r="L19" s="7">
        <v>0.0</v>
      </c>
      <c r="M19" s="7">
        <v>8.0671052E7</v>
      </c>
      <c r="N19" s="7">
        <v>5.833967E7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4">
        <v>19.0</v>
      </c>
      <c r="B20" s="5" t="s">
        <v>72</v>
      </c>
      <c r="C20" s="5" t="s">
        <v>73</v>
      </c>
      <c r="D20" s="5" t="s">
        <v>42</v>
      </c>
      <c r="E20" s="5" t="s">
        <v>53</v>
      </c>
      <c r="F20" s="5" t="s">
        <v>32</v>
      </c>
      <c r="G20" s="5" t="s">
        <v>60</v>
      </c>
      <c r="H20" s="6" t="s">
        <v>27</v>
      </c>
      <c r="I20" s="6">
        <v>9.0</v>
      </c>
      <c r="J20" s="6">
        <v>8.0</v>
      </c>
      <c r="K20" s="7">
        <v>0.0</v>
      </c>
      <c r="L20" s="7">
        <v>0.0</v>
      </c>
      <c r="M20" s="7">
        <v>0.0</v>
      </c>
      <c r="N20" s="7">
        <v>4.4898366E7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4">
        <v>20.0</v>
      </c>
      <c r="B21" s="5" t="s">
        <v>74</v>
      </c>
      <c r="C21" s="5" t="s">
        <v>75</v>
      </c>
      <c r="D21" s="5" t="s">
        <v>30</v>
      </c>
      <c r="E21" s="5" t="s">
        <v>24</v>
      </c>
      <c r="F21" s="5" t="s">
        <v>25</v>
      </c>
      <c r="G21" s="5" t="s">
        <v>37</v>
      </c>
      <c r="H21" s="6" t="s">
        <v>20</v>
      </c>
      <c r="I21" s="6">
        <v>5.0</v>
      </c>
      <c r="J21" s="6">
        <v>6.0</v>
      </c>
      <c r="K21" s="7">
        <v>1000000.0</v>
      </c>
      <c r="L21" s="7">
        <v>9.6696256E7</v>
      </c>
      <c r="M21" s="7">
        <v>6.2106884E7</v>
      </c>
      <c r="N21" s="7">
        <v>8.522819E7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4">
        <v>21.0</v>
      </c>
      <c r="B22" s="5" t="s">
        <v>76</v>
      </c>
      <c r="C22" s="5" t="s">
        <v>77</v>
      </c>
      <c r="D22" s="5" t="s">
        <v>78</v>
      </c>
      <c r="E22" s="5" t="s">
        <v>24</v>
      </c>
      <c r="F22" s="5" t="s">
        <v>25</v>
      </c>
      <c r="G22" s="5" t="s">
        <v>37</v>
      </c>
      <c r="H22" s="6" t="s">
        <v>20</v>
      </c>
      <c r="I22" s="6">
        <v>6.0</v>
      </c>
      <c r="J22" s="6">
        <v>7.0</v>
      </c>
      <c r="K22" s="7">
        <v>1.0E7</v>
      </c>
      <c r="L22" s="7">
        <v>5.1531809E7</v>
      </c>
      <c r="M22" s="7">
        <v>9.9819688E7</v>
      </c>
      <c r="N22" s="7">
        <v>2.4233431E7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4">
        <v>22.0</v>
      </c>
      <c r="B23" s="5" t="s">
        <v>79</v>
      </c>
      <c r="C23" s="5" t="s">
        <v>80</v>
      </c>
      <c r="D23" s="5" t="s">
        <v>23</v>
      </c>
      <c r="E23" s="5" t="s">
        <v>50</v>
      </c>
      <c r="F23" s="5" t="s">
        <v>25</v>
      </c>
      <c r="G23" s="5" t="s">
        <v>26</v>
      </c>
      <c r="H23" s="6" t="s">
        <v>27</v>
      </c>
      <c r="I23" s="6">
        <v>6.0</v>
      </c>
      <c r="J23" s="6">
        <v>10.0</v>
      </c>
      <c r="K23" s="7">
        <v>0.0</v>
      </c>
      <c r="L23" s="7">
        <v>0.0</v>
      </c>
      <c r="M23" s="7">
        <v>3.4214902E7</v>
      </c>
      <c r="N23" s="7">
        <v>2.4896611E7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4">
        <v>23.0</v>
      </c>
      <c r="B24" s="5" t="s">
        <v>81</v>
      </c>
      <c r="C24" s="5" t="s">
        <v>82</v>
      </c>
      <c r="D24" s="5" t="s">
        <v>16</v>
      </c>
      <c r="E24" s="5" t="s">
        <v>53</v>
      </c>
      <c r="F24" s="5" t="s">
        <v>32</v>
      </c>
      <c r="G24" s="5" t="s">
        <v>33</v>
      </c>
      <c r="H24" s="6" t="s">
        <v>20</v>
      </c>
      <c r="I24" s="6">
        <v>8.0</v>
      </c>
      <c r="J24" s="6">
        <v>5.0</v>
      </c>
      <c r="K24" s="7">
        <v>0.0</v>
      </c>
      <c r="L24" s="7">
        <v>0.0</v>
      </c>
      <c r="M24" s="7">
        <v>7121108.0</v>
      </c>
      <c r="N24" s="7">
        <v>6991703.0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4">
        <v>24.0</v>
      </c>
      <c r="B25" s="5" t="s">
        <v>83</v>
      </c>
      <c r="C25" s="5" t="s">
        <v>84</v>
      </c>
      <c r="D25" s="5" t="s">
        <v>16</v>
      </c>
      <c r="E25" s="5" t="s">
        <v>50</v>
      </c>
      <c r="F25" s="5" t="s">
        <v>25</v>
      </c>
      <c r="G25" s="5" t="s">
        <v>26</v>
      </c>
      <c r="H25" s="6" t="s">
        <v>20</v>
      </c>
      <c r="I25" s="6">
        <v>7.0</v>
      </c>
      <c r="J25" s="6">
        <v>10.0</v>
      </c>
      <c r="K25" s="7">
        <v>2.0E7</v>
      </c>
      <c r="L25" s="7">
        <v>9.3037614E7</v>
      </c>
      <c r="M25" s="7">
        <v>4.8185946E7</v>
      </c>
      <c r="N25" s="7">
        <v>7.50393E7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4">
        <v>25.0</v>
      </c>
      <c r="B26" s="5" t="s">
        <v>85</v>
      </c>
      <c r="C26" s="5" t="s">
        <v>86</v>
      </c>
      <c r="D26" s="5" t="s">
        <v>45</v>
      </c>
      <c r="E26" s="5" t="s">
        <v>24</v>
      </c>
      <c r="F26" s="5" t="s">
        <v>25</v>
      </c>
      <c r="G26" s="5" t="s">
        <v>26</v>
      </c>
      <c r="H26" s="6" t="s">
        <v>20</v>
      </c>
      <c r="I26" s="6">
        <v>9.0</v>
      </c>
      <c r="J26" s="6">
        <v>10.0</v>
      </c>
      <c r="K26" s="7">
        <v>9.0E7</v>
      </c>
      <c r="L26" s="7">
        <v>6.208818E7</v>
      </c>
      <c r="M26" s="7">
        <v>1.8047519E7</v>
      </c>
      <c r="N26" s="7">
        <v>3738158.0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4">
        <v>26.0</v>
      </c>
      <c r="B27" s="5" t="s">
        <v>87</v>
      </c>
      <c r="C27" s="5" t="s">
        <v>88</v>
      </c>
      <c r="D27" s="5" t="s">
        <v>23</v>
      </c>
      <c r="E27" s="5" t="s">
        <v>53</v>
      </c>
      <c r="F27" s="5" t="s">
        <v>25</v>
      </c>
      <c r="G27" s="5" t="s">
        <v>26</v>
      </c>
      <c r="H27" s="6" t="s">
        <v>20</v>
      </c>
      <c r="I27" s="6">
        <v>3.0</v>
      </c>
      <c r="J27" s="6">
        <v>9.0</v>
      </c>
      <c r="K27" s="7">
        <v>1000000.0</v>
      </c>
      <c r="L27" s="7">
        <v>1160848.0</v>
      </c>
      <c r="M27" s="7">
        <v>3.2268145E7</v>
      </c>
      <c r="N27" s="7">
        <v>1.3339687E7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4">
        <v>27.0</v>
      </c>
      <c r="B28" s="5" t="s">
        <v>89</v>
      </c>
      <c r="C28" s="5" t="s">
        <v>90</v>
      </c>
      <c r="D28" s="5" t="s">
        <v>30</v>
      </c>
      <c r="E28" s="5" t="s">
        <v>24</v>
      </c>
      <c r="F28" s="5" t="s">
        <v>32</v>
      </c>
      <c r="G28" s="5" t="s">
        <v>33</v>
      </c>
      <c r="H28" s="6" t="s">
        <v>20</v>
      </c>
      <c r="I28" s="6">
        <v>6.0</v>
      </c>
      <c r="J28" s="6">
        <v>2.0</v>
      </c>
      <c r="K28" s="7">
        <v>0.0</v>
      </c>
      <c r="L28" s="7">
        <v>0.0</v>
      </c>
      <c r="M28" s="7">
        <v>2.1224611E7</v>
      </c>
      <c r="N28" s="7">
        <v>6.2562457E7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4">
        <v>28.0</v>
      </c>
      <c r="B29" s="5" t="s">
        <v>91</v>
      </c>
      <c r="C29" s="5" t="s">
        <v>92</v>
      </c>
      <c r="D29" s="5" t="s">
        <v>30</v>
      </c>
      <c r="E29" s="5" t="s">
        <v>53</v>
      </c>
      <c r="F29" s="5" t="s">
        <v>32</v>
      </c>
      <c r="G29" s="5" t="s">
        <v>33</v>
      </c>
      <c r="H29" s="6" t="s">
        <v>20</v>
      </c>
      <c r="I29" s="6">
        <v>9.0</v>
      </c>
      <c r="J29" s="6">
        <v>9.0</v>
      </c>
      <c r="K29" s="7">
        <v>0.0</v>
      </c>
      <c r="L29" s="7">
        <v>0.0</v>
      </c>
      <c r="M29" s="7">
        <v>8.5434615E7</v>
      </c>
      <c r="N29" s="7">
        <v>7.9508333E7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4">
        <v>29.0</v>
      </c>
      <c r="B30" s="5" t="s">
        <v>93</v>
      </c>
      <c r="C30" s="5" t="s">
        <v>94</v>
      </c>
      <c r="D30" s="5" t="s">
        <v>78</v>
      </c>
      <c r="E30" s="5" t="s">
        <v>24</v>
      </c>
      <c r="F30" s="5" t="s">
        <v>25</v>
      </c>
      <c r="G30" s="5" t="s">
        <v>37</v>
      </c>
      <c r="H30" s="6" t="s">
        <v>20</v>
      </c>
      <c r="I30" s="6">
        <v>8.0</v>
      </c>
      <c r="J30" s="6">
        <v>7.0</v>
      </c>
      <c r="K30" s="7">
        <v>9.0E7</v>
      </c>
      <c r="L30" s="7">
        <v>2.3888885E7</v>
      </c>
      <c r="M30" s="7">
        <v>6.8725539E7</v>
      </c>
      <c r="N30" s="7">
        <v>7.8613526E7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4">
        <v>30.0</v>
      </c>
      <c r="B31" s="5" t="s">
        <v>95</v>
      </c>
      <c r="C31" s="5" t="s">
        <v>96</v>
      </c>
      <c r="D31" s="5" t="s">
        <v>45</v>
      </c>
      <c r="E31" s="5" t="s">
        <v>53</v>
      </c>
      <c r="F31" s="5" t="s">
        <v>25</v>
      </c>
      <c r="G31" s="5" t="s">
        <v>26</v>
      </c>
      <c r="H31" s="6" t="s">
        <v>27</v>
      </c>
      <c r="I31" s="6">
        <v>8.0</v>
      </c>
      <c r="J31" s="6">
        <v>8.0</v>
      </c>
      <c r="K31" s="7">
        <v>1.0E7</v>
      </c>
      <c r="L31" s="7">
        <v>2.3464528E7</v>
      </c>
      <c r="M31" s="7">
        <v>904543.0</v>
      </c>
      <c r="N31" s="7">
        <v>0.0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4">
        <v>31.0</v>
      </c>
      <c r="B32" s="5" t="s">
        <v>97</v>
      </c>
      <c r="C32" s="5" t="s">
        <v>98</v>
      </c>
      <c r="D32" s="5" t="s">
        <v>16</v>
      </c>
      <c r="E32" s="5" t="s">
        <v>50</v>
      </c>
      <c r="F32" s="5" t="s">
        <v>32</v>
      </c>
      <c r="G32" s="5" t="s">
        <v>33</v>
      </c>
      <c r="H32" s="6" t="s">
        <v>20</v>
      </c>
      <c r="I32" s="6">
        <v>6.0</v>
      </c>
      <c r="J32" s="6">
        <v>8.0</v>
      </c>
      <c r="K32" s="7">
        <v>0.0</v>
      </c>
      <c r="L32" s="7">
        <v>0.0</v>
      </c>
      <c r="M32" s="7">
        <v>6.6204884E7</v>
      </c>
      <c r="N32" s="7">
        <v>2.7801447E7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4">
        <v>32.0</v>
      </c>
      <c r="B33" s="5" t="s">
        <v>99</v>
      </c>
      <c r="C33" s="5" t="s">
        <v>100</v>
      </c>
      <c r="D33" s="5" t="s">
        <v>101</v>
      </c>
      <c r="E33" s="5" t="s">
        <v>53</v>
      </c>
      <c r="F33" s="5" t="s">
        <v>32</v>
      </c>
      <c r="G33" s="5" t="s">
        <v>60</v>
      </c>
      <c r="H33" s="6" t="s">
        <v>27</v>
      </c>
      <c r="I33" s="6">
        <v>3.0</v>
      </c>
      <c r="J33" s="6">
        <v>5.0</v>
      </c>
      <c r="K33" s="7">
        <v>0.0</v>
      </c>
      <c r="L33" s="7">
        <v>0.0</v>
      </c>
      <c r="M33" s="7">
        <v>3.0987169E7</v>
      </c>
      <c r="N33" s="7">
        <v>7339680.0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4">
        <v>33.0</v>
      </c>
      <c r="B34" s="5" t="s">
        <v>102</v>
      </c>
      <c r="C34" s="5" t="s">
        <v>103</v>
      </c>
      <c r="D34" s="5" t="s">
        <v>16</v>
      </c>
      <c r="E34" s="5" t="s">
        <v>24</v>
      </c>
      <c r="F34" s="5" t="s">
        <v>25</v>
      </c>
      <c r="G34" s="5" t="s">
        <v>26</v>
      </c>
      <c r="H34" s="6" t="s">
        <v>20</v>
      </c>
      <c r="I34" s="6">
        <v>6.0</v>
      </c>
      <c r="J34" s="6">
        <v>7.0</v>
      </c>
      <c r="K34" s="7">
        <v>1.0E7</v>
      </c>
      <c r="L34" s="7">
        <v>2.2390348E7</v>
      </c>
      <c r="M34" s="7">
        <v>2.4476166E7</v>
      </c>
      <c r="N34" s="7">
        <v>0.0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4">
        <v>34.0</v>
      </c>
      <c r="B35" s="5" t="s">
        <v>104</v>
      </c>
      <c r="C35" s="5" t="s">
        <v>105</v>
      </c>
      <c r="D35" s="5" t="s">
        <v>42</v>
      </c>
      <c r="E35" s="5" t="s">
        <v>53</v>
      </c>
      <c r="F35" s="5" t="s">
        <v>25</v>
      </c>
      <c r="G35" s="5" t="s">
        <v>37</v>
      </c>
      <c r="H35" s="6" t="s">
        <v>20</v>
      </c>
      <c r="I35" s="6">
        <v>6.0</v>
      </c>
      <c r="J35" s="6">
        <v>10.0</v>
      </c>
      <c r="K35" s="7">
        <v>2.0E7</v>
      </c>
      <c r="L35" s="7">
        <v>3.1670482E7</v>
      </c>
      <c r="M35" s="7">
        <v>1.561963E7</v>
      </c>
      <c r="N35" s="7">
        <v>5.983839E7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4">
        <v>35.0</v>
      </c>
      <c r="B36" s="5" t="s">
        <v>106</v>
      </c>
      <c r="C36" s="5" t="s">
        <v>107</v>
      </c>
      <c r="D36" s="5" t="s">
        <v>16</v>
      </c>
      <c r="E36" s="5" t="s">
        <v>31</v>
      </c>
      <c r="F36" s="5" t="s">
        <v>25</v>
      </c>
      <c r="G36" s="5" t="s">
        <v>37</v>
      </c>
      <c r="H36" s="6" t="s">
        <v>20</v>
      </c>
      <c r="I36" s="6">
        <v>8.0</v>
      </c>
      <c r="J36" s="6">
        <v>5.0</v>
      </c>
      <c r="K36" s="7">
        <v>2.0E7</v>
      </c>
      <c r="L36" s="7">
        <v>8.105691E7</v>
      </c>
      <c r="M36" s="7">
        <v>9.6438403E7</v>
      </c>
      <c r="N36" s="7">
        <v>9.0723423E7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4">
        <v>36.0</v>
      </c>
      <c r="B37" s="5" t="s">
        <v>108</v>
      </c>
      <c r="C37" s="5" t="s">
        <v>109</v>
      </c>
      <c r="D37" s="5" t="s">
        <v>78</v>
      </c>
      <c r="E37" s="5" t="s">
        <v>24</v>
      </c>
      <c r="F37" s="5" t="s">
        <v>18</v>
      </c>
      <c r="G37" s="5" t="s">
        <v>19</v>
      </c>
      <c r="H37" s="6" t="s">
        <v>20</v>
      </c>
      <c r="I37" s="6">
        <v>5.0</v>
      </c>
      <c r="J37" s="6">
        <v>7.0</v>
      </c>
      <c r="K37" s="7">
        <v>0.0</v>
      </c>
      <c r="L37" s="7">
        <v>0.0</v>
      </c>
      <c r="M37" s="7">
        <v>0.0</v>
      </c>
      <c r="N37" s="7">
        <v>5.2936315E7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4">
        <v>37.0</v>
      </c>
      <c r="B38" s="5" t="s">
        <v>110</v>
      </c>
      <c r="C38" s="5" t="s">
        <v>111</v>
      </c>
      <c r="D38" s="5" t="s">
        <v>23</v>
      </c>
      <c r="E38" s="5" t="s">
        <v>24</v>
      </c>
      <c r="F38" s="5" t="s">
        <v>25</v>
      </c>
      <c r="G38" s="5" t="s">
        <v>26</v>
      </c>
      <c r="H38" s="6" t="s">
        <v>20</v>
      </c>
      <c r="I38" s="6">
        <v>9.0</v>
      </c>
      <c r="J38" s="6">
        <v>7.0</v>
      </c>
      <c r="K38" s="7">
        <v>3.0E7</v>
      </c>
      <c r="L38" s="7">
        <v>9.1413171E7</v>
      </c>
      <c r="M38" s="7">
        <v>1.3211402E7</v>
      </c>
      <c r="N38" s="7">
        <v>0.0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4">
        <v>38.0</v>
      </c>
      <c r="B39" s="5" t="s">
        <v>112</v>
      </c>
      <c r="C39" s="5" t="s">
        <v>113</v>
      </c>
      <c r="D39" s="5" t="s">
        <v>36</v>
      </c>
      <c r="E39" s="5" t="s">
        <v>31</v>
      </c>
      <c r="F39" s="5" t="s">
        <v>25</v>
      </c>
      <c r="G39" s="5" t="s">
        <v>37</v>
      </c>
      <c r="H39" s="6" t="s">
        <v>20</v>
      </c>
      <c r="I39" s="6">
        <v>4.0</v>
      </c>
      <c r="J39" s="6">
        <v>7.0</v>
      </c>
      <c r="K39" s="7">
        <v>1000000.0</v>
      </c>
      <c r="L39" s="7">
        <v>8.7347043E7</v>
      </c>
      <c r="M39" s="7">
        <v>5.0796112E7</v>
      </c>
      <c r="N39" s="7">
        <v>7.275783E7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4">
        <v>39.0</v>
      </c>
      <c r="B40" s="5" t="s">
        <v>114</v>
      </c>
      <c r="C40" s="5" t="s">
        <v>115</v>
      </c>
      <c r="D40" s="5" t="s">
        <v>16</v>
      </c>
      <c r="E40" s="5" t="s">
        <v>53</v>
      </c>
      <c r="F40" s="5" t="s">
        <v>32</v>
      </c>
      <c r="G40" s="5" t="s">
        <v>60</v>
      </c>
      <c r="H40" s="6" t="s">
        <v>20</v>
      </c>
      <c r="I40" s="6">
        <v>4.0</v>
      </c>
      <c r="J40" s="6">
        <v>9.0</v>
      </c>
      <c r="K40" s="7">
        <v>0.0</v>
      </c>
      <c r="L40" s="7">
        <v>0.0</v>
      </c>
      <c r="M40" s="7">
        <v>3.8721754E7</v>
      </c>
      <c r="N40" s="7">
        <v>7.7230635E7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4">
        <v>40.0</v>
      </c>
      <c r="B41" s="5" t="s">
        <v>116</v>
      </c>
      <c r="C41" s="5" t="s">
        <v>117</v>
      </c>
      <c r="D41" s="5" t="s">
        <v>45</v>
      </c>
      <c r="E41" s="5" t="s">
        <v>24</v>
      </c>
      <c r="F41" s="5" t="s">
        <v>25</v>
      </c>
      <c r="G41" s="5" t="s">
        <v>37</v>
      </c>
      <c r="H41" s="6" t="s">
        <v>20</v>
      </c>
      <c r="I41" s="6">
        <v>9.0</v>
      </c>
      <c r="J41" s="6">
        <v>5.0</v>
      </c>
      <c r="K41" s="7">
        <v>1.0E7</v>
      </c>
      <c r="L41" s="7">
        <v>4.3538967E7</v>
      </c>
      <c r="M41" s="7">
        <v>5161300.0</v>
      </c>
      <c r="N41" s="7">
        <v>8.5417673E7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4">
        <v>41.0</v>
      </c>
      <c r="B42" s="5" t="s">
        <v>118</v>
      </c>
      <c r="C42" s="5" t="s">
        <v>119</v>
      </c>
      <c r="D42" s="5" t="s">
        <v>63</v>
      </c>
      <c r="E42" s="5" t="s">
        <v>24</v>
      </c>
      <c r="F42" s="5" t="s">
        <v>25</v>
      </c>
      <c r="G42" s="5" t="s">
        <v>37</v>
      </c>
      <c r="H42" s="6" t="s">
        <v>27</v>
      </c>
      <c r="I42" s="6">
        <v>6.0</v>
      </c>
      <c r="J42" s="6">
        <v>10.0</v>
      </c>
      <c r="K42" s="7">
        <v>1000000.0</v>
      </c>
      <c r="L42" s="7">
        <v>9.5899452E7</v>
      </c>
      <c r="M42" s="7">
        <v>2565664.0</v>
      </c>
      <c r="N42" s="7">
        <v>3.9602953E7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4">
        <v>42.0</v>
      </c>
      <c r="B43" s="5" t="s">
        <v>120</v>
      </c>
      <c r="C43" s="5" t="s">
        <v>121</v>
      </c>
      <c r="D43" s="5" t="s">
        <v>30</v>
      </c>
      <c r="E43" s="5" t="s">
        <v>24</v>
      </c>
      <c r="F43" s="5" t="s">
        <v>25</v>
      </c>
      <c r="G43" s="5" t="s">
        <v>37</v>
      </c>
      <c r="H43" s="6" t="s">
        <v>27</v>
      </c>
      <c r="I43" s="6">
        <v>8.0</v>
      </c>
      <c r="J43" s="6">
        <v>8.0</v>
      </c>
      <c r="K43" s="7">
        <v>1000000.0</v>
      </c>
      <c r="L43" s="7">
        <v>8.1347428E7</v>
      </c>
      <c r="M43" s="7">
        <v>1.0860215E7</v>
      </c>
      <c r="N43" s="7">
        <v>2.863729E7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4">
        <v>43.0</v>
      </c>
      <c r="B44" s="5" t="s">
        <v>122</v>
      </c>
      <c r="C44" s="5" t="s">
        <v>123</v>
      </c>
      <c r="D44" s="5" t="s">
        <v>78</v>
      </c>
      <c r="E44" s="5" t="s">
        <v>53</v>
      </c>
      <c r="F44" s="5" t="s">
        <v>25</v>
      </c>
      <c r="G44" s="5" t="s">
        <v>37</v>
      </c>
      <c r="H44" s="6" t="s">
        <v>27</v>
      </c>
      <c r="I44" s="6">
        <v>6.0</v>
      </c>
      <c r="J44" s="6">
        <v>10.0</v>
      </c>
      <c r="K44" s="7">
        <v>3.0E7</v>
      </c>
      <c r="L44" s="7">
        <v>5.244286E7</v>
      </c>
      <c r="M44" s="7">
        <v>2659881.0</v>
      </c>
      <c r="N44" s="7">
        <v>8.0287314E7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4">
        <v>44.0</v>
      </c>
      <c r="B45" s="5" t="s">
        <v>124</v>
      </c>
      <c r="C45" s="5" t="s">
        <v>125</v>
      </c>
      <c r="D45" s="5" t="s">
        <v>36</v>
      </c>
      <c r="E45" s="5" t="s">
        <v>24</v>
      </c>
      <c r="F45" s="5" t="s">
        <v>25</v>
      </c>
      <c r="G45" s="5" t="s">
        <v>37</v>
      </c>
      <c r="H45" s="6" t="s">
        <v>27</v>
      </c>
      <c r="I45" s="6">
        <v>7.0</v>
      </c>
      <c r="J45" s="6">
        <v>5.0</v>
      </c>
      <c r="K45" s="7">
        <v>1.0E7</v>
      </c>
      <c r="L45" s="7">
        <v>9.6199053E7</v>
      </c>
      <c r="M45" s="7">
        <v>3.1746355E7</v>
      </c>
      <c r="N45" s="7">
        <v>8.0063468E7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4">
        <v>45.0</v>
      </c>
      <c r="B46" s="5" t="s">
        <v>126</v>
      </c>
      <c r="C46" s="5" t="s">
        <v>127</v>
      </c>
      <c r="D46" s="5" t="s">
        <v>63</v>
      </c>
      <c r="E46" s="5" t="s">
        <v>24</v>
      </c>
      <c r="F46" s="5" t="s">
        <v>25</v>
      </c>
      <c r="G46" s="5" t="s">
        <v>37</v>
      </c>
      <c r="H46" s="6" t="s">
        <v>20</v>
      </c>
      <c r="I46" s="6">
        <v>5.0</v>
      </c>
      <c r="J46" s="6">
        <v>7.0</v>
      </c>
      <c r="K46" s="7">
        <v>1000000.0</v>
      </c>
      <c r="L46" s="7">
        <v>7.1783742E7</v>
      </c>
      <c r="M46" s="7">
        <v>6.4667814E7</v>
      </c>
      <c r="N46" s="7">
        <v>7.065318E7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4">
        <v>46.0</v>
      </c>
      <c r="B47" s="5" t="s">
        <v>128</v>
      </c>
      <c r="C47" s="5" t="s">
        <v>129</v>
      </c>
      <c r="D47" s="5" t="s">
        <v>30</v>
      </c>
      <c r="E47" s="5" t="s">
        <v>53</v>
      </c>
      <c r="F47" s="5" t="s">
        <v>25</v>
      </c>
      <c r="G47" s="5" t="s">
        <v>37</v>
      </c>
      <c r="H47" s="6" t="s">
        <v>20</v>
      </c>
      <c r="I47" s="6">
        <v>3.0</v>
      </c>
      <c r="J47" s="6">
        <v>8.0</v>
      </c>
      <c r="K47" s="7">
        <v>9.0E7</v>
      </c>
      <c r="L47" s="7">
        <v>9.4913746E7</v>
      </c>
      <c r="M47" s="7">
        <v>7.4083223E7</v>
      </c>
      <c r="N47" s="7">
        <v>3.161767E7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4">
        <v>47.0</v>
      </c>
      <c r="B48" s="5" t="s">
        <v>130</v>
      </c>
      <c r="C48" s="5" t="s">
        <v>131</v>
      </c>
      <c r="D48" s="5" t="s">
        <v>16</v>
      </c>
      <c r="E48" s="5" t="s">
        <v>53</v>
      </c>
      <c r="F48" s="5" t="s">
        <v>32</v>
      </c>
      <c r="G48" s="5" t="s">
        <v>33</v>
      </c>
      <c r="H48" s="6" t="s">
        <v>20</v>
      </c>
      <c r="I48" s="6">
        <v>7.0</v>
      </c>
      <c r="J48" s="6">
        <v>9.0</v>
      </c>
      <c r="K48" s="7">
        <v>0.0</v>
      </c>
      <c r="L48" s="7">
        <v>0.0</v>
      </c>
      <c r="M48" s="7">
        <v>6.7753952E7</v>
      </c>
      <c r="N48" s="7">
        <v>7.7205812E7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4">
        <v>48.0</v>
      </c>
      <c r="B49" s="5" t="s">
        <v>132</v>
      </c>
      <c r="C49" s="5" t="s">
        <v>133</v>
      </c>
      <c r="D49" s="5" t="s">
        <v>45</v>
      </c>
      <c r="E49" s="5" t="s">
        <v>24</v>
      </c>
      <c r="F49" s="5" t="s">
        <v>25</v>
      </c>
      <c r="G49" s="5" t="s">
        <v>37</v>
      </c>
      <c r="H49" s="6" t="s">
        <v>27</v>
      </c>
      <c r="I49" s="6">
        <v>5.0</v>
      </c>
      <c r="J49" s="6">
        <v>6.0</v>
      </c>
      <c r="K49" s="7">
        <v>3.0E7</v>
      </c>
      <c r="L49" s="7">
        <v>3.3477783E7</v>
      </c>
      <c r="M49" s="7">
        <v>0.0</v>
      </c>
      <c r="N49" s="7">
        <v>2.7651635E7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4">
        <v>49.0</v>
      </c>
      <c r="B50" s="5" t="s">
        <v>134</v>
      </c>
      <c r="C50" s="5" t="s">
        <v>135</v>
      </c>
      <c r="D50" s="5" t="s">
        <v>23</v>
      </c>
      <c r="E50" s="5" t="s">
        <v>31</v>
      </c>
      <c r="F50" s="5" t="s">
        <v>25</v>
      </c>
      <c r="G50" s="5" t="s">
        <v>26</v>
      </c>
      <c r="H50" s="6" t="s">
        <v>27</v>
      </c>
      <c r="I50" s="6">
        <v>9.0</v>
      </c>
      <c r="J50" s="6">
        <v>9.0</v>
      </c>
      <c r="K50" s="7">
        <v>5.0E7</v>
      </c>
      <c r="L50" s="7">
        <v>2702447.0</v>
      </c>
      <c r="M50" s="7">
        <v>0.0</v>
      </c>
      <c r="N50" s="7">
        <v>4.467176E7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4">
        <v>50.0</v>
      </c>
      <c r="B51" s="5" t="s">
        <v>136</v>
      </c>
      <c r="C51" s="5" t="s">
        <v>137</v>
      </c>
      <c r="D51" s="5" t="s">
        <v>23</v>
      </c>
      <c r="E51" s="5" t="s">
        <v>24</v>
      </c>
      <c r="F51" s="5" t="s">
        <v>25</v>
      </c>
      <c r="G51" s="5" t="s">
        <v>26</v>
      </c>
      <c r="H51" s="6" t="s">
        <v>20</v>
      </c>
      <c r="I51" s="6">
        <v>6.0</v>
      </c>
      <c r="J51" s="6">
        <v>8.0</v>
      </c>
      <c r="K51" s="7">
        <v>5.0E7</v>
      </c>
      <c r="L51" s="7">
        <v>7.0787848E7</v>
      </c>
      <c r="M51" s="7">
        <v>3.3368202E7</v>
      </c>
      <c r="N51" s="7">
        <v>4.3277527E7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4">
        <v>51.0</v>
      </c>
      <c r="B52" s="5" t="s">
        <v>138</v>
      </c>
      <c r="C52" s="5" t="s">
        <v>139</v>
      </c>
      <c r="D52" s="5" t="s">
        <v>42</v>
      </c>
      <c r="E52" s="5" t="s">
        <v>24</v>
      </c>
      <c r="F52" s="5" t="s">
        <v>32</v>
      </c>
      <c r="G52" s="5" t="s">
        <v>33</v>
      </c>
      <c r="H52" s="6" t="s">
        <v>27</v>
      </c>
      <c r="I52" s="6">
        <v>7.0</v>
      </c>
      <c r="J52" s="6">
        <v>5.0</v>
      </c>
      <c r="K52" s="7">
        <v>0.0</v>
      </c>
      <c r="L52" s="7">
        <v>0.0</v>
      </c>
      <c r="M52" s="7">
        <v>4.6563396E7</v>
      </c>
      <c r="N52" s="7">
        <v>6.3313535E7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4">
        <v>52.0</v>
      </c>
      <c r="B53" s="5" t="s">
        <v>140</v>
      </c>
      <c r="C53" s="5" t="s">
        <v>141</v>
      </c>
      <c r="D53" s="5" t="s">
        <v>78</v>
      </c>
      <c r="E53" s="5" t="s">
        <v>24</v>
      </c>
      <c r="F53" s="5" t="s">
        <v>25</v>
      </c>
      <c r="G53" s="5" t="s">
        <v>26</v>
      </c>
      <c r="H53" s="6" t="s">
        <v>20</v>
      </c>
      <c r="I53" s="6">
        <v>5.0</v>
      </c>
      <c r="J53" s="6">
        <v>6.0</v>
      </c>
      <c r="K53" s="7">
        <v>2.0E7</v>
      </c>
      <c r="L53" s="7">
        <v>4.006462E7</v>
      </c>
      <c r="M53" s="7">
        <v>9.8137438E7</v>
      </c>
      <c r="N53" s="7">
        <v>0.0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4">
        <v>53.0</v>
      </c>
      <c r="B54" s="5" t="s">
        <v>142</v>
      </c>
      <c r="C54" s="5" t="s">
        <v>143</v>
      </c>
      <c r="D54" s="5" t="s">
        <v>42</v>
      </c>
      <c r="E54" s="5" t="s">
        <v>24</v>
      </c>
      <c r="F54" s="5" t="s">
        <v>25</v>
      </c>
      <c r="G54" s="5" t="s">
        <v>37</v>
      </c>
      <c r="H54" s="6" t="s">
        <v>20</v>
      </c>
      <c r="I54" s="6">
        <v>4.0</v>
      </c>
      <c r="J54" s="6">
        <v>6.0</v>
      </c>
      <c r="K54" s="7">
        <v>3.0E7</v>
      </c>
      <c r="L54" s="7">
        <v>4.528936E7</v>
      </c>
      <c r="M54" s="7">
        <v>0.0</v>
      </c>
      <c r="N54" s="7">
        <v>4.6980526E7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4">
        <v>54.0</v>
      </c>
      <c r="B55" s="5" t="s">
        <v>144</v>
      </c>
      <c r="C55" s="5" t="s">
        <v>145</v>
      </c>
      <c r="D55" s="5" t="s">
        <v>30</v>
      </c>
      <c r="E55" s="5" t="s">
        <v>53</v>
      </c>
      <c r="F55" s="5" t="s">
        <v>25</v>
      </c>
      <c r="G55" s="5" t="s">
        <v>37</v>
      </c>
      <c r="H55" s="6" t="s">
        <v>20</v>
      </c>
      <c r="I55" s="6">
        <v>7.0</v>
      </c>
      <c r="J55" s="6">
        <v>5.0</v>
      </c>
      <c r="K55" s="7">
        <v>3.0E7</v>
      </c>
      <c r="L55" s="7">
        <v>3.4397393E7</v>
      </c>
      <c r="M55" s="7">
        <v>7.2192037E7</v>
      </c>
      <c r="N55" s="7">
        <v>2.1247716E7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4">
        <v>55.0</v>
      </c>
      <c r="B56" s="5" t="s">
        <v>146</v>
      </c>
      <c r="C56" s="5" t="s">
        <v>147</v>
      </c>
      <c r="D56" s="5" t="s">
        <v>30</v>
      </c>
      <c r="E56" s="5" t="s">
        <v>24</v>
      </c>
      <c r="F56" s="5" t="s">
        <v>32</v>
      </c>
      <c r="G56" s="5" t="s">
        <v>60</v>
      </c>
      <c r="H56" s="6" t="s">
        <v>27</v>
      </c>
      <c r="I56" s="6">
        <v>3.0</v>
      </c>
      <c r="J56" s="6">
        <v>9.0</v>
      </c>
      <c r="K56" s="7">
        <v>0.0</v>
      </c>
      <c r="L56" s="7">
        <v>0.0</v>
      </c>
      <c r="M56" s="7">
        <v>6.9870077E7</v>
      </c>
      <c r="N56" s="7">
        <v>9.844158E7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4">
        <v>56.0</v>
      </c>
      <c r="B57" s="5" t="s">
        <v>148</v>
      </c>
      <c r="C57" s="5" t="s">
        <v>149</v>
      </c>
      <c r="D57" s="5" t="s">
        <v>36</v>
      </c>
      <c r="E57" s="5" t="s">
        <v>53</v>
      </c>
      <c r="F57" s="5" t="s">
        <v>25</v>
      </c>
      <c r="G57" s="5" t="s">
        <v>37</v>
      </c>
      <c r="H57" s="6" t="s">
        <v>20</v>
      </c>
      <c r="I57" s="6">
        <v>3.0</v>
      </c>
      <c r="J57" s="6">
        <v>6.0</v>
      </c>
      <c r="K57" s="7">
        <v>1000000.0</v>
      </c>
      <c r="L57" s="7">
        <v>3.4126405E7</v>
      </c>
      <c r="M57" s="7">
        <v>8.8265167E7</v>
      </c>
      <c r="N57" s="7">
        <v>5.6002928E7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4">
        <v>57.0</v>
      </c>
      <c r="B58" s="5" t="s">
        <v>150</v>
      </c>
      <c r="C58" s="5" t="s">
        <v>151</v>
      </c>
      <c r="D58" s="5" t="s">
        <v>152</v>
      </c>
      <c r="E58" s="5" t="s">
        <v>24</v>
      </c>
      <c r="F58" s="5" t="s">
        <v>25</v>
      </c>
      <c r="G58" s="5" t="s">
        <v>26</v>
      </c>
      <c r="H58" s="6" t="s">
        <v>20</v>
      </c>
      <c r="I58" s="6">
        <v>7.0</v>
      </c>
      <c r="J58" s="6">
        <v>10.0</v>
      </c>
      <c r="K58" s="7">
        <v>1000000.0</v>
      </c>
      <c r="L58" s="7">
        <v>5.3008255E7</v>
      </c>
      <c r="M58" s="7">
        <v>4.691791E7</v>
      </c>
      <c r="N58" s="7">
        <v>4.7557281E7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4">
        <v>58.0</v>
      </c>
      <c r="B59" s="5" t="s">
        <v>153</v>
      </c>
      <c r="C59" s="5" t="s">
        <v>154</v>
      </c>
      <c r="D59" s="5" t="s">
        <v>42</v>
      </c>
      <c r="E59" s="5" t="s">
        <v>24</v>
      </c>
      <c r="F59" s="5" t="s">
        <v>32</v>
      </c>
      <c r="G59" s="5" t="s">
        <v>60</v>
      </c>
      <c r="H59" s="6" t="s">
        <v>20</v>
      </c>
      <c r="I59" s="6">
        <v>5.0</v>
      </c>
      <c r="J59" s="6">
        <v>9.0</v>
      </c>
      <c r="K59" s="7">
        <v>0.0</v>
      </c>
      <c r="L59" s="7">
        <v>0.0</v>
      </c>
      <c r="M59" s="7">
        <v>0.0</v>
      </c>
      <c r="N59" s="7">
        <v>2.267526E7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4">
        <v>59.0</v>
      </c>
      <c r="B60" s="5" t="s">
        <v>155</v>
      </c>
      <c r="C60" s="5" t="s">
        <v>156</v>
      </c>
      <c r="D60" s="5" t="s">
        <v>42</v>
      </c>
      <c r="E60" s="5" t="s">
        <v>24</v>
      </c>
      <c r="F60" s="5" t="s">
        <v>25</v>
      </c>
      <c r="G60" s="5" t="s">
        <v>26</v>
      </c>
      <c r="H60" s="6" t="s">
        <v>20</v>
      </c>
      <c r="I60" s="6">
        <v>9.0</v>
      </c>
      <c r="J60" s="6">
        <v>5.0</v>
      </c>
      <c r="K60" s="7">
        <v>1.0E8</v>
      </c>
      <c r="L60" s="7">
        <v>9.468872E7</v>
      </c>
      <c r="M60" s="7">
        <v>8.6323763E7</v>
      </c>
      <c r="N60" s="7">
        <v>2.0929788E7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4">
        <v>60.0</v>
      </c>
      <c r="B61" s="5" t="s">
        <v>157</v>
      </c>
      <c r="C61" s="5" t="s">
        <v>158</v>
      </c>
      <c r="D61" s="5" t="s">
        <v>30</v>
      </c>
      <c r="E61" s="5" t="s">
        <v>17</v>
      </c>
      <c r="F61" s="5" t="s">
        <v>18</v>
      </c>
      <c r="G61" s="5" t="s">
        <v>19</v>
      </c>
      <c r="H61" s="6" t="s">
        <v>20</v>
      </c>
      <c r="I61" s="6">
        <v>4.0</v>
      </c>
      <c r="J61" s="6">
        <v>8.0</v>
      </c>
      <c r="K61" s="7">
        <v>0.0</v>
      </c>
      <c r="L61" s="7">
        <v>0.0</v>
      </c>
      <c r="M61" s="7">
        <v>9.6750826E7</v>
      </c>
      <c r="N61" s="7">
        <v>3.1435769E7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4">
        <v>61.0</v>
      </c>
      <c r="B62" s="5" t="s">
        <v>159</v>
      </c>
      <c r="C62" s="5" t="s">
        <v>160</v>
      </c>
      <c r="D62" s="5" t="s">
        <v>101</v>
      </c>
      <c r="E62" s="5" t="s">
        <v>53</v>
      </c>
      <c r="F62" s="5" t="s">
        <v>25</v>
      </c>
      <c r="G62" s="5" t="s">
        <v>26</v>
      </c>
      <c r="H62" s="6" t="s">
        <v>20</v>
      </c>
      <c r="I62" s="6">
        <v>5.0</v>
      </c>
      <c r="J62" s="6">
        <v>10.0</v>
      </c>
      <c r="K62" s="7">
        <v>1.0E7</v>
      </c>
      <c r="L62" s="7">
        <v>8.9686683E7</v>
      </c>
      <c r="M62" s="7">
        <v>6.2448793E7</v>
      </c>
      <c r="N62" s="7">
        <v>2.68126E7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4">
        <v>62.0</v>
      </c>
      <c r="B63" s="5" t="s">
        <v>161</v>
      </c>
      <c r="C63" s="5" t="s">
        <v>162</v>
      </c>
      <c r="D63" s="5" t="s">
        <v>36</v>
      </c>
      <c r="E63" s="5" t="s">
        <v>24</v>
      </c>
      <c r="F63" s="5" t="s">
        <v>25</v>
      </c>
      <c r="G63" s="5" t="s">
        <v>37</v>
      </c>
      <c r="H63" s="6" t="s">
        <v>20</v>
      </c>
      <c r="I63" s="6">
        <v>3.0</v>
      </c>
      <c r="J63" s="6">
        <v>10.0</v>
      </c>
      <c r="K63" s="7">
        <v>3.0E7</v>
      </c>
      <c r="L63" s="7">
        <v>3.2890743E7</v>
      </c>
      <c r="M63" s="7">
        <v>0.0</v>
      </c>
      <c r="N63" s="7">
        <v>3.986462E7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4">
        <v>63.0</v>
      </c>
      <c r="B64" s="5" t="s">
        <v>163</v>
      </c>
      <c r="C64" s="5" t="s">
        <v>164</v>
      </c>
      <c r="D64" s="5" t="s">
        <v>152</v>
      </c>
      <c r="E64" s="5" t="s">
        <v>53</v>
      </c>
      <c r="F64" s="5" t="s">
        <v>25</v>
      </c>
      <c r="G64" s="5" t="s">
        <v>26</v>
      </c>
      <c r="H64" s="6" t="s">
        <v>20</v>
      </c>
      <c r="I64" s="6">
        <v>3.0</v>
      </c>
      <c r="J64" s="6">
        <v>10.0</v>
      </c>
      <c r="K64" s="7">
        <v>1.0E7</v>
      </c>
      <c r="L64" s="7">
        <v>3.2370896E7</v>
      </c>
      <c r="M64" s="7">
        <v>9.6066942E7</v>
      </c>
      <c r="N64" s="7">
        <v>3767736.0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4">
        <v>64.0</v>
      </c>
      <c r="B65" s="5" t="s">
        <v>165</v>
      </c>
      <c r="C65" s="5" t="s">
        <v>166</v>
      </c>
      <c r="D65" s="5" t="s">
        <v>36</v>
      </c>
      <c r="E65" s="5" t="s">
        <v>53</v>
      </c>
      <c r="F65" s="5" t="s">
        <v>32</v>
      </c>
      <c r="G65" s="5" t="s">
        <v>33</v>
      </c>
      <c r="H65" s="6" t="s">
        <v>20</v>
      </c>
      <c r="I65" s="6">
        <v>5.0</v>
      </c>
      <c r="J65" s="6">
        <v>5.0</v>
      </c>
      <c r="K65" s="7">
        <v>0.0</v>
      </c>
      <c r="L65" s="7">
        <v>0.0</v>
      </c>
      <c r="M65" s="7">
        <v>2.4514428E7</v>
      </c>
      <c r="N65" s="7">
        <v>2.7890231E7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4">
        <v>65.0</v>
      </c>
      <c r="B66" s="5" t="s">
        <v>167</v>
      </c>
      <c r="C66" s="5" t="s">
        <v>168</v>
      </c>
      <c r="D66" s="5" t="s">
        <v>101</v>
      </c>
      <c r="E66" s="5" t="s">
        <v>24</v>
      </c>
      <c r="F66" s="5" t="s">
        <v>25</v>
      </c>
      <c r="G66" s="5" t="s">
        <v>26</v>
      </c>
      <c r="H66" s="6" t="s">
        <v>27</v>
      </c>
      <c r="I66" s="6">
        <v>7.0</v>
      </c>
      <c r="J66" s="6">
        <v>7.0</v>
      </c>
      <c r="K66" s="7">
        <v>1.0E7</v>
      </c>
      <c r="L66" s="7">
        <v>3.1953589E7</v>
      </c>
      <c r="M66" s="7">
        <v>4.0068224E7</v>
      </c>
      <c r="N66" s="7">
        <v>8.0951038E7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4">
        <v>66.0</v>
      </c>
      <c r="B67" s="5" t="s">
        <v>169</v>
      </c>
      <c r="C67" s="5" t="s">
        <v>170</v>
      </c>
      <c r="D67" s="5" t="s">
        <v>152</v>
      </c>
      <c r="E67" s="5" t="s">
        <v>24</v>
      </c>
      <c r="F67" s="5" t="s">
        <v>25</v>
      </c>
      <c r="G67" s="5" t="s">
        <v>26</v>
      </c>
      <c r="H67" s="6" t="s">
        <v>20</v>
      </c>
      <c r="I67" s="6">
        <v>7.0</v>
      </c>
      <c r="J67" s="6">
        <v>5.0</v>
      </c>
      <c r="K67" s="7">
        <v>5.0E7</v>
      </c>
      <c r="L67" s="7">
        <v>7.8205651E7</v>
      </c>
      <c r="M67" s="7">
        <v>6.238118E7</v>
      </c>
      <c r="N67" s="7">
        <v>6508585.0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4">
        <v>67.0</v>
      </c>
      <c r="B68" s="5" t="s">
        <v>171</v>
      </c>
      <c r="C68" s="5" t="s">
        <v>172</v>
      </c>
      <c r="D68" s="5" t="s">
        <v>101</v>
      </c>
      <c r="E68" s="5" t="s">
        <v>50</v>
      </c>
      <c r="F68" s="5" t="s">
        <v>32</v>
      </c>
      <c r="G68" s="5" t="s">
        <v>60</v>
      </c>
      <c r="H68" s="6" t="s">
        <v>20</v>
      </c>
      <c r="I68" s="6">
        <v>5.0</v>
      </c>
      <c r="J68" s="6">
        <v>4.0</v>
      </c>
      <c r="K68" s="7">
        <v>0.0</v>
      </c>
      <c r="L68" s="7">
        <v>0.0</v>
      </c>
      <c r="M68" s="7">
        <v>3.4584522E7</v>
      </c>
      <c r="N68" s="7">
        <v>0.0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4">
        <v>68.0</v>
      </c>
      <c r="B69" s="5" t="s">
        <v>173</v>
      </c>
      <c r="C69" s="5" t="s">
        <v>174</v>
      </c>
      <c r="D69" s="5" t="s">
        <v>78</v>
      </c>
      <c r="E69" s="5" t="s">
        <v>24</v>
      </c>
      <c r="F69" s="5" t="s">
        <v>18</v>
      </c>
      <c r="G69" s="5" t="s">
        <v>175</v>
      </c>
      <c r="H69" s="6" t="s">
        <v>20</v>
      </c>
      <c r="I69" s="6">
        <v>7.0</v>
      </c>
      <c r="J69" s="6">
        <v>7.0</v>
      </c>
      <c r="K69" s="7">
        <v>0.0</v>
      </c>
      <c r="L69" s="7">
        <v>0.0</v>
      </c>
      <c r="M69" s="7">
        <v>7.6942676E7</v>
      </c>
      <c r="N69" s="7">
        <v>7.4216691E7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4">
        <v>69.0</v>
      </c>
      <c r="B70" s="5" t="s">
        <v>176</v>
      </c>
      <c r="C70" s="5" t="s">
        <v>177</v>
      </c>
      <c r="D70" s="5" t="s">
        <v>42</v>
      </c>
      <c r="E70" s="5" t="s">
        <v>53</v>
      </c>
      <c r="F70" s="5" t="s">
        <v>25</v>
      </c>
      <c r="G70" s="5" t="s">
        <v>37</v>
      </c>
      <c r="H70" s="6" t="s">
        <v>27</v>
      </c>
      <c r="I70" s="6">
        <v>8.0</v>
      </c>
      <c r="J70" s="6">
        <v>9.0</v>
      </c>
      <c r="K70" s="7">
        <v>5000000.0</v>
      </c>
      <c r="L70" s="7">
        <v>7.0270294E7</v>
      </c>
      <c r="M70" s="7">
        <v>1.9588762E7</v>
      </c>
      <c r="N70" s="7">
        <v>7.8634577E7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4">
        <v>70.0</v>
      </c>
      <c r="B71" s="5" t="s">
        <v>178</v>
      </c>
      <c r="C71" s="5" t="s">
        <v>179</v>
      </c>
      <c r="D71" s="5" t="s">
        <v>101</v>
      </c>
      <c r="E71" s="5" t="s">
        <v>50</v>
      </c>
      <c r="F71" s="5" t="s">
        <v>32</v>
      </c>
      <c r="G71" s="5" t="s">
        <v>60</v>
      </c>
      <c r="H71" s="6" t="s">
        <v>20</v>
      </c>
      <c r="I71" s="6">
        <v>3.0</v>
      </c>
      <c r="J71" s="6">
        <v>5.0</v>
      </c>
      <c r="K71" s="7">
        <v>0.0</v>
      </c>
      <c r="L71" s="7">
        <v>0.0</v>
      </c>
      <c r="M71" s="7">
        <v>8.5955846E7</v>
      </c>
      <c r="N71" s="7">
        <v>2.5891596E7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4">
        <v>71.0</v>
      </c>
      <c r="B72" s="5" t="s">
        <v>180</v>
      </c>
      <c r="C72" s="5" t="s">
        <v>181</v>
      </c>
      <c r="D72" s="5" t="s">
        <v>16</v>
      </c>
      <c r="E72" s="5" t="s">
        <v>50</v>
      </c>
      <c r="F72" s="5" t="s">
        <v>25</v>
      </c>
      <c r="G72" s="5" t="s">
        <v>37</v>
      </c>
      <c r="H72" s="6" t="s">
        <v>27</v>
      </c>
      <c r="I72" s="6">
        <v>8.0</v>
      </c>
      <c r="J72" s="6">
        <v>10.0</v>
      </c>
      <c r="K72" s="7">
        <v>2.0E7</v>
      </c>
      <c r="L72" s="7">
        <v>6.2745331E7</v>
      </c>
      <c r="M72" s="7">
        <v>3.9843357E7</v>
      </c>
      <c r="N72" s="7">
        <v>6.4840967E7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4">
        <v>72.0</v>
      </c>
      <c r="B73" s="5" t="s">
        <v>182</v>
      </c>
      <c r="C73" s="5" t="s">
        <v>183</v>
      </c>
      <c r="D73" s="5" t="s">
        <v>16</v>
      </c>
      <c r="E73" s="5" t="s">
        <v>24</v>
      </c>
      <c r="F73" s="5" t="s">
        <v>32</v>
      </c>
      <c r="G73" s="5" t="s">
        <v>33</v>
      </c>
      <c r="H73" s="6" t="s">
        <v>20</v>
      </c>
      <c r="I73" s="6">
        <v>5.0</v>
      </c>
      <c r="J73" s="6">
        <v>7.0</v>
      </c>
      <c r="K73" s="7">
        <v>0.0</v>
      </c>
      <c r="L73" s="7">
        <v>0.0</v>
      </c>
      <c r="M73" s="7">
        <v>8.2583322E7</v>
      </c>
      <c r="N73" s="7">
        <v>809058.0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4">
        <v>73.0</v>
      </c>
      <c r="B74" s="5" t="s">
        <v>184</v>
      </c>
      <c r="C74" s="5" t="s">
        <v>185</v>
      </c>
      <c r="D74" s="5" t="s">
        <v>45</v>
      </c>
      <c r="E74" s="5" t="s">
        <v>24</v>
      </c>
      <c r="F74" s="5" t="s">
        <v>25</v>
      </c>
      <c r="G74" s="5" t="s">
        <v>37</v>
      </c>
      <c r="H74" s="6" t="s">
        <v>27</v>
      </c>
      <c r="I74" s="6">
        <v>6.0</v>
      </c>
      <c r="J74" s="6">
        <v>6.0</v>
      </c>
      <c r="K74" s="7">
        <v>1.0E7</v>
      </c>
      <c r="L74" s="7">
        <v>5.9890317E7</v>
      </c>
      <c r="M74" s="7">
        <v>4.2451842E7</v>
      </c>
      <c r="N74" s="7">
        <v>0.0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4">
        <v>74.0</v>
      </c>
      <c r="B75" s="5" t="s">
        <v>186</v>
      </c>
      <c r="C75" s="5" t="s">
        <v>187</v>
      </c>
      <c r="D75" s="5" t="s">
        <v>45</v>
      </c>
      <c r="E75" s="5" t="s">
        <v>50</v>
      </c>
      <c r="F75" s="5" t="s">
        <v>25</v>
      </c>
      <c r="G75" s="5" t="s">
        <v>26</v>
      </c>
      <c r="H75" s="6" t="s">
        <v>20</v>
      </c>
      <c r="I75" s="6">
        <v>3.0</v>
      </c>
      <c r="J75" s="6">
        <v>6.0</v>
      </c>
      <c r="K75" s="7">
        <v>1.0E7</v>
      </c>
      <c r="L75" s="7">
        <v>9.7449662E7</v>
      </c>
      <c r="M75" s="7">
        <v>4.962416E7</v>
      </c>
      <c r="N75" s="7">
        <v>1.7854677E7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4">
        <v>75.0</v>
      </c>
      <c r="B76" s="5" t="s">
        <v>188</v>
      </c>
      <c r="C76" s="5" t="s">
        <v>189</v>
      </c>
      <c r="D76" s="5" t="s">
        <v>16</v>
      </c>
      <c r="E76" s="5" t="s">
        <v>31</v>
      </c>
      <c r="F76" s="5" t="s">
        <v>32</v>
      </c>
      <c r="G76" s="5" t="s">
        <v>33</v>
      </c>
      <c r="H76" s="6" t="s">
        <v>20</v>
      </c>
      <c r="I76" s="6">
        <v>8.0</v>
      </c>
      <c r="J76" s="6">
        <v>10.0</v>
      </c>
      <c r="K76" s="7">
        <v>0.0</v>
      </c>
      <c r="L76" s="7">
        <v>0.0</v>
      </c>
      <c r="M76" s="7">
        <v>4.4422091E7</v>
      </c>
      <c r="N76" s="7">
        <v>8898260.0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4">
        <v>76.0</v>
      </c>
      <c r="B77" s="5" t="s">
        <v>190</v>
      </c>
      <c r="C77" s="5" t="s">
        <v>191</v>
      </c>
      <c r="D77" s="5" t="s">
        <v>101</v>
      </c>
      <c r="E77" s="5" t="s">
        <v>24</v>
      </c>
      <c r="F77" s="5" t="s">
        <v>32</v>
      </c>
      <c r="G77" s="5" t="s">
        <v>60</v>
      </c>
      <c r="H77" s="6" t="s">
        <v>20</v>
      </c>
      <c r="I77" s="6">
        <v>5.0</v>
      </c>
      <c r="J77" s="6">
        <v>7.0</v>
      </c>
      <c r="K77" s="7">
        <v>0.0</v>
      </c>
      <c r="L77" s="7">
        <v>0.0</v>
      </c>
      <c r="M77" s="7">
        <v>0.0</v>
      </c>
      <c r="N77" s="7">
        <v>6.3436099E7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4">
        <v>77.0</v>
      </c>
      <c r="B78" s="5" t="s">
        <v>192</v>
      </c>
      <c r="C78" s="5" t="s">
        <v>193</v>
      </c>
      <c r="D78" s="5" t="s">
        <v>78</v>
      </c>
      <c r="E78" s="5" t="s">
        <v>24</v>
      </c>
      <c r="F78" s="5" t="s">
        <v>25</v>
      </c>
      <c r="G78" s="5" t="s">
        <v>26</v>
      </c>
      <c r="H78" s="6" t="s">
        <v>27</v>
      </c>
      <c r="I78" s="6">
        <v>8.0</v>
      </c>
      <c r="J78" s="6">
        <v>9.0</v>
      </c>
      <c r="K78" s="7">
        <v>1.0E7</v>
      </c>
      <c r="L78" s="7">
        <v>9.9989764E7</v>
      </c>
      <c r="M78" s="7">
        <v>8030175.0</v>
      </c>
      <c r="N78" s="7">
        <v>3.7676206E7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4">
        <v>78.0</v>
      </c>
      <c r="B79" s="5" t="s">
        <v>194</v>
      </c>
      <c r="C79" s="5" t="s">
        <v>195</v>
      </c>
      <c r="D79" s="5" t="s">
        <v>23</v>
      </c>
      <c r="E79" s="5" t="s">
        <v>24</v>
      </c>
      <c r="F79" s="5" t="s">
        <v>32</v>
      </c>
      <c r="G79" s="5" t="s">
        <v>60</v>
      </c>
      <c r="H79" s="6" t="s">
        <v>27</v>
      </c>
      <c r="I79" s="6">
        <v>4.0</v>
      </c>
      <c r="J79" s="6">
        <v>5.0</v>
      </c>
      <c r="K79" s="7">
        <v>0.0</v>
      </c>
      <c r="L79" s="7">
        <v>0.0</v>
      </c>
      <c r="M79" s="7">
        <v>1.2862402E7</v>
      </c>
      <c r="N79" s="7">
        <v>6.8922404E7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4">
        <v>79.0</v>
      </c>
      <c r="B80" s="5" t="s">
        <v>196</v>
      </c>
      <c r="C80" s="5" t="s">
        <v>197</v>
      </c>
      <c r="D80" s="5" t="s">
        <v>23</v>
      </c>
      <c r="E80" s="5" t="s">
        <v>53</v>
      </c>
      <c r="F80" s="5" t="s">
        <v>32</v>
      </c>
      <c r="G80" s="5" t="s">
        <v>60</v>
      </c>
      <c r="H80" s="6" t="s">
        <v>27</v>
      </c>
      <c r="I80" s="6">
        <v>9.0</v>
      </c>
      <c r="J80" s="6">
        <v>9.0</v>
      </c>
      <c r="K80" s="7">
        <v>0.0</v>
      </c>
      <c r="L80" s="7">
        <v>0.0</v>
      </c>
      <c r="M80" s="7">
        <v>4.6914257E7</v>
      </c>
      <c r="N80" s="7">
        <v>4.3734508E7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4">
        <v>80.0</v>
      </c>
      <c r="B81" s="5" t="s">
        <v>198</v>
      </c>
      <c r="C81" s="5" t="s">
        <v>199</v>
      </c>
      <c r="D81" s="5" t="s">
        <v>30</v>
      </c>
      <c r="E81" s="5" t="s">
        <v>17</v>
      </c>
      <c r="F81" s="5" t="s">
        <v>18</v>
      </c>
      <c r="G81" s="5" t="s">
        <v>19</v>
      </c>
      <c r="H81" s="6" t="s">
        <v>20</v>
      </c>
      <c r="I81" s="6">
        <v>6.0</v>
      </c>
      <c r="J81" s="6">
        <v>10.0</v>
      </c>
      <c r="K81" s="7">
        <v>0.0</v>
      </c>
      <c r="L81" s="7">
        <v>0.0</v>
      </c>
      <c r="M81" s="7">
        <v>9.5212463E7</v>
      </c>
      <c r="N81" s="7">
        <v>0.0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4">
        <v>81.0</v>
      </c>
      <c r="B82" s="5" t="s">
        <v>200</v>
      </c>
      <c r="C82" s="5" t="s">
        <v>201</v>
      </c>
      <c r="D82" s="5" t="s">
        <v>42</v>
      </c>
      <c r="E82" s="5" t="s">
        <v>24</v>
      </c>
      <c r="F82" s="5" t="s">
        <v>25</v>
      </c>
      <c r="G82" s="5" t="s">
        <v>26</v>
      </c>
      <c r="H82" s="6" t="s">
        <v>20</v>
      </c>
      <c r="I82" s="6">
        <v>3.0</v>
      </c>
      <c r="J82" s="6">
        <v>9.0</v>
      </c>
      <c r="K82" s="7">
        <v>5000000.0</v>
      </c>
      <c r="L82" s="7">
        <v>3.2915397E7</v>
      </c>
      <c r="M82" s="7">
        <v>7.4493461E7</v>
      </c>
      <c r="N82" s="7">
        <v>151779.0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4">
        <v>82.0</v>
      </c>
      <c r="B83" s="5" t="s">
        <v>202</v>
      </c>
      <c r="C83" s="5" t="s">
        <v>203</v>
      </c>
      <c r="D83" s="5" t="s">
        <v>78</v>
      </c>
      <c r="E83" s="5" t="s">
        <v>53</v>
      </c>
      <c r="F83" s="5" t="s">
        <v>32</v>
      </c>
      <c r="G83" s="5" t="s">
        <v>60</v>
      </c>
      <c r="H83" s="6" t="s">
        <v>20</v>
      </c>
      <c r="I83" s="6">
        <v>3.0</v>
      </c>
      <c r="J83" s="6">
        <v>7.0</v>
      </c>
      <c r="K83" s="7">
        <v>0.0</v>
      </c>
      <c r="L83" s="7">
        <v>0.0</v>
      </c>
      <c r="M83" s="7">
        <v>4.3223505E7</v>
      </c>
      <c r="N83" s="7">
        <v>0.0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4">
        <v>83.0</v>
      </c>
      <c r="B84" s="5" t="s">
        <v>204</v>
      </c>
      <c r="C84" s="5" t="s">
        <v>205</v>
      </c>
      <c r="D84" s="5" t="s">
        <v>36</v>
      </c>
      <c r="E84" s="5" t="s">
        <v>24</v>
      </c>
      <c r="F84" s="5" t="s">
        <v>32</v>
      </c>
      <c r="G84" s="5" t="s">
        <v>60</v>
      </c>
      <c r="H84" s="6" t="s">
        <v>20</v>
      </c>
      <c r="I84" s="6">
        <v>7.0</v>
      </c>
      <c r="J84" s="6">
        <v>10.0</v>
      </c>
      <c r="K84" s="7">
        <v>0.0</v>
      </c>
      <c r="L84" s="7">
        <v>0.0</v>
      </c>
      <c r="M84" s="7">
        <v>1.4141858E7</v>
      </c>
      <c r="N84" s="7">
        <v>8.7162317E7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4">
        <v>84.0</v>
      </c>
      <c r="B85" s="5" t="s">
        <v>206</v>
      </c>
      <c r="C85" s="5" t="s">
        <v>207</v>
      </c>
      <c r="D85" s="5" t="s">
        <v>36</v>
      </c>
      <c r="E85" s="5" t="s">
        <v>24</v>
      </c>
      <c r="F85" s="5" t="s">
        <v>32</v>
      </c>
      <c r="G85" s="5" t="s">
        <v>60</v>
      </c>
      <c r="H85" s="6" t="s">
        <v>20</v>
      </c>
      <c r="I85" s="6">
        <v>3.0</v>
      </c>
      <c r="J85" s="6">
        <v>7.0</v>
      </c>
      <c r="K85" s="7">
        <v>0.0</v>
      </c>
      <c r="L85" s="7">
        <v>0.0</v>
      </c>
      <c r="M85" s="7">
        <v>2.9525162E7</v>
      </c>
      <c r="N85" s="7">
        <v>0.0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4">
        <v>85.0</v>
      </c>
      <c r="B86" s="5" t="s">
        <v>208</v>
      </c>
      <c r="C86" s="5" t="s">
        <v>209</v>
      </c>
      <c r="D86" s="5" t="s">
        <v>42</v>
      </c>
      <c r="E86" s="5" t="s">
        <v>24</v>
      </c>
      <c r="F86" s="5" t="s">
        <v>32</v>
      </c>
      <c r="G86" s="5" t="s">
        <v>33</v>
      </c>
      <c r="H86" s="6" t="s">
        <v>27</v>
      </c>
      <c r="I86" s="6">
        <v>7.0</v>
      </c>
      <c r="J86" s="6">
        <v>4.0</v>
      </c>
      <c r="K86" s="7">
        <v>0.0</v>
      </c>
      <c r="L86" s="7">
        <v>0.0</v>
      </c>
      <c r="M86" s="7">
        <v>2.9366791E7</v>
      </c>
      <c r="N86" s="7">
        <v>8.9805774E7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4">
        <v>86.0</v>
      </c>
      <c r="B87" s="5" t="s">
        <v>210</v>
      </c>
      <c r="C87" s="5" t="s">
        <v>211</v>
      </c>
      <c r="D87" s="5" t="s">
        <v>23</v>
      </c>
      <c r="E87" s="5" t="s">
        <v>24</v>
      </c>
      <c r="F87" s="5" t="s">
        <v>32</v>
      </c>
      <c r="G87" s="5" t="s">
        <v>60</v>
      </c>
      <c r="H87" s="6" t="s">
        <v>27</v>
      </c>
      <c r="I87" s="6">
        <v>9.0</v>
      </c>
      <c r="J87" s="6">
        <v>5.0</v>
      </c>
      <c r="K87" s="7">
        <v>0.0</v>
      </c>
      <c r="L87" s="7">
        <v>0.0</v>
      </c>
      <c r="M87" s="7">
        <v>7.3195518E7</v>
      </c>
      <c r="N87" s="7">
        <v>1.0695678E7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4">
        <v>87.0</v>
      </c>
      <c r="B88" s="5" t="s">
        <v>212</v>
      </c>
      <c r="C88" s="5" t="s">
        <v>213</v>
      </c>
      <c r="D88" s="5" t="s">
        <v>23</v>
      </c>
      <c r="E88" s="5" t="s">
        <v>24</v>
      </c>
      <c r="F88" s="5" t="s">
        <v>32</v>
      </c>
      <c r="G88" s="5" t="s">
        <v>60</v>
      </c>
      <c r="H88" s="6" t="s">
        <v>20</v>
      </c>
      <c r="I88" s="6">
        <v>3.0</v>
      </c>
      <c r="J88" s="6">
        <v>6.0</v>
      </c>
      <c r="K88" s="7">
        <v>0.0</v>
      </c>
      <c r="L88" s="7">
        <v>0.0</v>
      </c>
      <c r="M88" s="7">
        <v>1432950.0</v>
      </c>
      <c r="N88" s="7">
        <v>2.9672451E7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4">
        <v>88.0</v>
      </c>
      <c r="B89" s="5" t="s">
        <v>214</v>
      </c>
      <c r="C89" s="5" t="s">
        <v>215</v>
      </c>
      <c r="D89" s="5" t="s">
        <v>30</v>
      </c>
      <c r="E89" s="5" t="s">
        <v>24</v>
      </c>
      <c r="F89" s="5" t="s">
        <v>25</v>
      </c>
      <c r="G89" s="5" t="s">
        <v>26</v>
      </c>
      <c r="H89" s="6" t="s">
        <v>27</v>
      </c>
      <c r="I89" s="6">
        <v>8.0</v>
      </c>
      <c r="J89" s="6">
        <v>7.0</v>
      </c>
      <c r="K89" s="7">
        <v>1000000.0</v>
      </c>
      <c r="L89" s="7">
        <v>7.7159264E7</v>
      </c>
      <c r="M89" s="7">
        <v>0.0</v>
      </c>
      <c r="N89" s="7">
        <v>9.7234303E7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4">
        <v>89.0</v>
      </c>
      <c r="B90" s="5" t="s">
        <v>216</v>
      </c>
      <c r="C90" s="5" t="s">
        <v>217</v>
      </c>
      <c r="D90" s="5" t="s">
        <v>23</v>
      </c>
      <c r="E90" s="5" t="s">
        <v>24</v>
      </c>
      <c r="F90" s="5" t="s">
        <v>25</v>
      </c>
      <c r="G90" s="5" t="s">
        <v>26</v>
      </c>
      <c r="H90" s="6" t="s">
        <v>20</v>
      </c>
      <c r="I90" s="6">
        <v>7.0</v>
      </c>
      <c r="J90" s="6">
        <v>10.0</v>
      </c>
      <c r="K90" s="7">
        <v>1.0E8</v>
      </c>
      <c r="L90" s="7">
        <v>1.2451199E7</v>
      </c>
      <c r="M90" s="7">
        <v>7.4231711E7</v>
      </c>
      <c r="N90" s="7">
        <v>4.2951226E7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4">
        <v>90.0</v>
      </c>
      <c r="B91" s="5" t="s">
        <v>218</v>
      </c>
      <c r="C91" s="5" t="s">
        <v>219</v>
      </c>
      <c r="D91" s="5" t="s">
        <v>63</v>
      </c>
      <c r="E91" s="5" t="s">
        <v>31</v>
      </c>
      <c r="F91" s="5" t="s">
        <v>25</v>
      </c>
      <c r="G91" s="5" t="s">
        <v>26</v>
      </c>
      <c r="H91" s="6" t="s">
        <v>27</v>
      </c>
      <c r="I91" s="6">
        <v>3.0</v>
      </c>
      <c r="J91" s="6">
        <v>9.0</v>
      </c>
      <c r="K91" s="7">
        <v>9.0E7</v>
      </c>
      <c r="L91" s="7">
        <v>1.3287929E7</v>
      </c>
      <c r="M91" s="7">
        <v>2.7090183E7</v>
      </c>
      <c r="N91" s="7">
        <v>7.9518711E7</v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4">
        <v>91.0</v>
      </c>
      <c r="B92" s="5" t="s">
        <v>220</v>
      </c>
      <c r="C92" s="5" t="s">
        <v>221</v>
      </c>
      <c r="D92" s="5" t="s">
        <v>101</v>
      </c>
      <c r="E92" s="5" t="s">
        <v>17</v>
      </c>
      <c r="F92" s="5" t="s">
        <v>18</v>
      </c>
      <c r="G92" s="5" t="s">
        <v>19</v>
      </c>
      <c r="H92" s="6" t="s">
        <v>20</v>
      </c>
      <c r="I92" s="6">
        <v>6.0</v>
      </c>
      <c r="J92" s="6">
        <v>5.0</v>
      </c>
      <c r="K92" s="7">
        <v>0.0</v>
      </c>
      <c r="L92" s="7">
        <v>0.0</v>
      </c>
      <c r="M92" s="7">
        <v>2.0898506E7</v>
      </c>
      <c r="N92" s="7">
        <v>2.4525645E7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4">
        <v>92.0</v>
      </c>
      <c r="B93" s="5" t="s">
        <v>222</v>
      </c>
      <c r="C93" s="5" t="s">
        <v>223</v>
      </c>
      <c r="D93" s="5" t="s">
        <v>45</v>
      </c>
      <c r="E93" s="5" t="s">
        <v>24</v>
      </c>
      <c r="F93" s="5" t="s">
        <v>25</v>
      </c>
      <c r="G93" s="5" t="s">
        <v>26</v>
      </c>
      <c r="H93" s="6" t="s">
        <v>20</v>
      </c>
      <c r="I93" s="6">
        <v>8.0</v>
      </c>
      <c r="J93" s="6">
        <v>7.0</v>
      </c>
      <c r="K93" s="7">
        <v>5000000.0</v>
      </c>
      <c r="L93" s="7">
        <v>3.7959268E7</v>
      </c>
      <c r="M93" s="7">
        <v>6.9132389E7</v>
      </c>
      <c r="N93" s="7">
        <v>9.9564796E7</v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4">
        <v>93.0</v>
      </c>
      <c r="B94" s="5" t="s">
        <v>224</v>
      </c>
      <c r="C94" s="5" t="s">
        <v>225</v>
      </c>
      <c r="D94" s="5" t="s">
        <v>78</v>
      </c>
      <c r="E94" s="5" t="s">
        <v>24</v>
      </c>
      <c r="F94" s="5" t="s">
        <v>32</v>
      </c>
      <c r="G94" s="5" t="s">
        <v>60</v>
      </c>
      <c r="H94" s="6" t="s">
        <v>27</v>
      </c>
      <c r="I94" s="6">
        <v>3.0</v>
      </c>
      <c r="J94" s="6">
        <v>6.0</v>
      </c>
      <c r="K94" s="7">
        <v>0.0</v>
      </c>
      <c r="L94" s="7">
        <v>0.0</v>
      </c>
      <c r="M94" s="7">
        <v>2.6450622E7</v>
      </c>
      <c r="N94" s="7">
        <v>4227264.0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4">
        <v>94.0</v>
      </c>
      <c r="B95" s="5" t="s">
        <v>226</v>
      </c>
      <c r="C95" s="5" t="s">
        <v>227</v>
      </c>
      <c r="D95" s="5" t="s">
        <v>30</v>
      </c>
      <c r="E95" s="5" t="s">
        <v>24</v>
      </c>
      <c r="F95" s="5" t="s">
        <v>32</v>
      </c>
      <c r="G95" s="5" t="s">
        <v>60</v>
      </c>
      <c r="H95" s="6" t="s">
        <v>27</v>
      </c>
      <c r="I95" s="6">
        <v>6.0</v>
      </c>
      <c r="J95" s="6">
        <v>5.0</v>
      </c>
      <c r="K95" s="7">
        <v>0.0</v>
      </c>
      <c r="L95" s="7">
        <v>0.0</v>
      </c>
      <c r="M95" s="7">
        <v>0.0</v>
      </c>
      <c r="N95" s="7">
        <v>5.437664E7</v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4">
        <v>95.0</v>
      </c>
      <c r="B96" s="5" t="s">
        <v>228</v>
      </c>
      <c r="C96" s="5" t="s">
        <v>229</v>
      </c>
      <c r="D96" s="5" t="s">
        <v>36</v>
      </c>
      <c r="E96" s="5" t="s">
        <v>24</v>
      </c>
      <c r="F96" s="5" t="s">
        <v>25</v>
      </c>
      <c r="G96" s="5" t="s">
        <v>37</v>
      </c>
      <c r="H96" s="6" t="s">
        <v>20</v>
      </c>
      <c r="I96" s="6">
        <v>7.0</v>
      </c>
      <c r="J96" s="6">
        <v>9.0</v>
      </c>
      <c r="K96" s="7">
        <v>9.0E7</v>
      </c>
      <c r="L96" s="7">
        <v>2.9991873E7</v>
      </c>
      <c r="M96" s="7">
        <v>3.9252741E7</v>
      </c>
      <c r="N96" s="7">
        <v>1.5542722E7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4">
        <v>96.0</v>
      </c>
      <c r="B97" s="5" t="s">
        <v>230</v>
      </c>
      <c r="C97" s="5" t="s">
        <v>231</v>
      </c>
      <c r="D97" s="5" t="s">
        <v>36</v>
      </c>
      <c r="E97" s="5" t="s">
        <v>24</v>
      </c>
      <c r="F97" s="5" t="s">
        <v>25</v>
      </c>
      <c r="G97" s="5" t="s">
        <v>37</v>
      </c>
      <c r="H97" s="6" t="s">
        <v>20</v>
      </c>
      <c r="I97" s="6">
        <v>6.0</v>
      </c>
      <c r="J97" s="6">
        <v>10.0</v>
      </c>
      <c r="K97" s="7">
        <v>1.0E7</v>
      </c>
      <c r="L97" s="7">
        <v>7303129.0</v>
      </c>
      <c r="M97" s="7">
        <v>3765621.0</v>
      </c>
      <c r="N97" s="7">
        <v>1.8125151E7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4">
        <v>97.0</v>
      </c>
      <c r="B98" s="5" t="s">
        <v>232</v>
      </c>
      <c r="C98" s="5" t="s">
        <v>233</v>
      </c>
      <c r="D98" s="5" t="s">
        <v>63</v>
      </c>
      <c r="E98" s="5" t="s">
        <v>24</v>
      </c>
      <c r="F98" s="5" t="s">
        <v>25</v>
      </c>
      <c r="G98" s="5" t="s">
        <v>37</v>
      </c>
      <c r="H98" s="6" t="s">
        <v>20</v>
      </c>
      <c r="I98" s="6">
        <v>3.0</v>
      </c>
      <c r="J98" s="6">
        <v>9.0</v>
      </c>
      <c r="K98" s="7">
        <v>3.0E7</v>
      </c>
      <c r="L98" s="7">
        <v>4.4457754E7</v>
      </c>
      <c r="M98" s="7">
        <v>0.0</v>
      </c>
      <c r="N98" s="7">
        <v>6.2249765E7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4">
        <v>98.0</v>
      </c>
      <c r="B99" s="5" t="s">
        <v>234</v>
      </c>
      <c r="C99" s="5" t="s">
        <v>235</v>
      </c>
      <c r="D99" s="5" t="s">
        <v>30</v>
      </c>
      <c r="E99" s="5" t="s">
        <v>24</v>
      </c>
      <c r="F99" s="5" t="s">
        <v>25</v>
      </c>
      <c r="G99" s="5" t="s">
        <v>26</v>
      </c>
      <c r="H99" s="6" t="s">
        <v>20</v>
      </c>
      <c r="I99" s="6">
        <v>4.0</v>
      </c>
      <c r="J99" s="6">
        <v>10.0</v>
      </c>
      <c r="K99" s="7">
        <v>1.0E7</v>
      </c>
      <c r="L99" s="7">
        <v>5.4467236E7</v>
      </c>
      <c r="M99" s="7">
        <v>0.0</v>
      </c>
      <c r="N99" s="7">
        <v>1234692.0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4">
        <v>99.0</v>
      </c>
      <c r="B100" s="5" t="s">
        <v>236</v>
      </c>
      <c r="C100" s="5" t="s">
        <v>237</v>
      </c>
      <c r="D100" s="5" t="s">
        <v>78</v>
      </c>
      <c r="E100" s="5" t="s">
        <v>24</v>
      </c>
      <c r="F100" s="5" t="s">
        <v>25</v>
      </c>
      <c r="G100" s="5" t="s">
        <v>37</v>
      </c>
      <c r="H100" s="6" t="s">
        <v>20</v>
      </c>
      <c r="I100" s="6">
        <v>4.0</v>
      </c>
      <c r="J100" s="6">
        <v>10.0</v>
      </c>
      <c r="K100" s="7">
        <v>1.0E7</v>
      </c>
      <c r="L100" s="7">
        <v>1.7991607E7</v>
      </c>
      <c r="M100" s="7">
        <v>0.0</v>
      </c>
      <c r="N100" s="7">
        <v>174626.0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4">
        <v>100.0</v>
      </c>
      <c r="B101" s="5" t="s">
        <v>238</v>
      </c>
      <c r="C101" s="5" t="s">
        <v>239</v>
      </c>
      <c r="D101" s="5" t="s">
        <v>63</v>
      </c>
      <c r="E101" s="5" t="s">
        <v>24</v>
      </c>
      <c r="F101" s="5" t="s">
        <v>32</v>
      </c>
      <c r="G101" s="5" t="s">
        <v>33</v>
      </c>
      <c r="H101" s="6" t="s">
        <v>20</v>
      </c>
      <c r="I101" s="6">
        <v>5.0</v>
      </c>
      <c r="J101" s="6">
        <v>10.0</v>
      </c>
      <c r="K101" s="7">
        <v>0.0</v>
      </c>
      <c r="L101" s="7">
        <v>0.0</v>
      </c>
      <c r="M101" s="7">
        <v>2.4965127E7</v>
      </c>
      <c r="N101" s="7">
        <v>4.1129782E7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4">
        <v>101.0</v>
      </c>
      <c r="B102" s="5" t="s">
        <v>240</v>
      </c>
      <c r="C102" s="5" t="s">
        <v>241</v>
      </c>
      <c r="D102" s="5" t="s">
        <v>23</v>
      </c>
      <c r="E102" s="5" t="s">
        <v>31</v>
      </c>
      <c r="F102" s="5" t="s">
        <v>25</v>
      </c>
      <c r="G102" s="5" t="s">
        <v>37</v>
      </c>
      <c r="H102" s="6" t="s">
        <v>20</v>
      </c>
      <c r="I102" s="6">
        <v>6.0</v>
      </c>
      <c r="J102" s="6">
        <v>7.0</v>
      </c>
      <c r="K102" s="7">
        <v>1000000.0</v>
      </c>
      <c r="L102" s="7">
        <v>8.7347043E7</v>
      </c>
      <c r="M102" s="7">
        <v>5.0796112E7</v>
      </c>
      <c r="N102" s="7">
        <v>7.275783E7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4">
        <v>102.0</v>
      </c>
      <c r="B103" s="5" t="s">
        <v>242</v>
      </c>
      <c r="C103" s="5" t="s">
        <v>243</v>
      </c>
      <c r="D103" s="5" t="s">
        <v>30</v>
      </c>
      <c r="E103" s="5" t="s">
        <v>53</v>
      </c>
      <c r="F103" s="5" t="s">
        <v>32</v>
      </c>
      <c r="G103" s="5" t="s">
        <v>60</v>
      </c>
      <c r="H103" s="6" t="s">
        <v>20</v>
      </c>
      <c r="I103" s="6">
        <v>9.0</v>
      </c>
      <c r="J103" s="6">
        <v>7.0</v>
      </c>
      <c r="K103" s="7">
        <v>0.0</v>
      </c>
      <c r="L103" s="7">
        <v>0.0</v>
      </c>
      <c r="M103" s="7">
        <v>3.8721754E7</v>
      </c>
      <c r="N103" s="7">
        <v>7.7230635E7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4">
        <v>103.0</v>
      </c>
      <c r="B104" s="5" t="s">
        <v>244</v>
      </c>
      <c r="C104" s="5" t="s">
        <v>245</v>
      </c>
      <c r="D104" s="5" t="s">
        <v>45</v>
      </c>
      <c r="E104" s="5" t="s">
        <v>24</v>
      </c>
      <c r="F104" s="5" t="s">
        <v>25</v>
      </c>
      <c r="G104" s="5" t="s">
        <v>37</v>
      </c>
      <c r="H104" s="6" t="s">
        <v>20</v>
      </c>
      <c r="I104" s="6">
        <v>5.0</v>
      </c>
      <c r="J104" s="6">
        <v>7.0</v>
      </c>
      <c r="K104" s="7">
        <v>1.0E7</v>
      </c>
      <c r="L104" s="7">
        <v>4.3538967E7</v>
      </c>
      <c r="M104" s="7">
        <v>5161300.0</v>
      </c>
      <c r="N104" s="7">
        <v>8.5417673E7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4">
        <v>104.0</v>
      </c>
      <c r="B105" s="5" t="s">
        <v>246</v>
      </c>
      <c r="C105" s="5" t="s">
        <v>247</v>
      </c>
      <c r="D105" s="5" t="s">
        <v>16</v>
      </c>
      <c r="E105" s="5" t="s">
        <v>24</v>
      </c>
      <c r="F105" s="5" t="s">
        <v>25</v>
      </c>
      <c r="G105" s="5" t="s">
        <v>37</v>
      </c>
      <c r="H105" s="6" t="s">
        <v>27</v>
      </c>
      <c r="I105" s="6">
        <v>6.0</v>
      </c>
      <c r="J105" s="6">
        <v>9.0</v>
      </c>
      <c r="K105" s="7">
        <v>1000000.0</v>
      </c>
      <c r="L105" s="7">
        <v>9.5899452E7</v>
      </c>
      <c r="M105" s="7">
        <v>2565664.0</v>
      </c>
      <c r="N105" s="7">
        <v>3.9602953E7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4">
        <v>105.0</v>
      </c>
      <c r="B106" s="5" t="s">
        <v>248</v>
      </c>
      <c r="C106" s="5" t="s">
        <v>249</v>
      </c>
      <c r="D106" s="5" t="s">
        <v>23</v>
      </c>
      <c r="E106" s="5" t="s">
        <v>24</v>
      </c>
      <c r="F106" s="5" t="s">
        <v>25</v>
      </c>
      <c r="G106" s="5" t="s">
        <v>37</v>
      </c>
      <c r="H106" s="6" t="s">
        <v>27</v>
      </c>
      <c r="I106" s="6">
        <v>6.0</v>
      </c>
      <c r="J106" s="6">
        <v>5.0</v>
      </c>
      <c r="K106" s="7">
        <v>1000000.0</v>
      </c>
      <c r="L106" s="7">
        <v>8.1347428E7</v>
      </c>
      <c r="M106" s="7">
        <v>1.0860215E7</v>
      </c>
      <c r="N106" s="7">
        <v>2.863729E7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4">
        <v>106.0</v>
      </c>
      <c r="B107" s="5" t="s">
        <v>250</v>
      </c>
      <c r="C107" s="5" t="s">
        <v>251</v>
      </c>
      <c r="D107" s="5" t="s">
        <v>16</v>
      </c>
      <c r="E107" s="5" t="s">
        <v>53</v>
      </c>
      <c r="F107" s="5" t="s">
        <v>25</v>
      </c>
      <c r="G107" s="5" t="s">
        <v>37</v>
      </c>
      <c r="H107" s="6" t="s">
        <v>27</v>
      </c>
      <c r="I107" s="6">
        <v>8.0</v>
      </c>
      <c r="J107" s="6">
        <v>10.0</v>
      </c>
      <c r="K107" s="7">
        <v>3.0E7</v>
      </c>
      <c r="L107" s="7">
        <v>5.244286E7</v>
      </c>
      <c r="M107" s="7">
        <v>2659881.0</v>
      </c>
      <c r="N107" s="7">
        <v>8.0287314E7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4">
        <v>107.0</v>
      </c>
      <c r="B108" s="5" t="s">
        <v>252</v>
      </c>
      <c r="C108" s="5" t="s">
        <v>253</v>
      </c>
      <c r="D108" s="5" t="s">
        <v>152</v>
      </c>
      <c r="E108" s="5" t="s">
        <v>24</v>
      </c>
      <c r="F108" s="5" t="s">
        <v>25</v>
      </c>
      <c r="G108" s="5" t="s">
        <v>37</v>
      </c>
      <c r="H108" s="6" t="s">
        <v>27</v>
      </c>
      <c r="I108" s="6">
        <v>7.0</v>
      </c>
      <c r="J108" s="6">
        <v>8.0</v>
      </c>
      <c r="K108" s="7">
        <v>1.0E7</v>
      </c>
      <c r="L108" s="7">
        <v>9.6199053E7</v>
      </c>
      <c r="M108" s="7">
        <v>3.1746355E7</v>
      </c>
      <c r="N108" s="7">
        <v>8.0063468E7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4">
        <v>108.0</v>
      </c>
      <c r="B109" s="5" t="s">
        <v>254</v>
      </c>
      <c r="C109" s="5" t="s">
        <v>255</v>
      </c>
      <c r="D109" s="5" t="s">
        <v>30</v>
      </c>
      <c r="E109" s="5" t="s">
        <v>24</v>
      </c>
      <c r="F109" s="5" t="s">
        <v>25</v>
      </c>
      <c r="G109" s="5" t="s">
        <v>37</v>
      </c>
      <c r="H109" s="6" t="s">
        <v>20</v>
      </c>
      <c r="I109" s="6">
        <v>9.0</v>
      </c>
      <c r="J109" s="6">
        <v>10.0</v>
      </c>
      <c r="K109" s="7">
        <v>1000000.0</v>
      </c>
      <c r="L109" s="7">
        <v>7.1783742E7</v>
      </c>
      <c r="M109" s="7">
        <v>6.4667814E7</v>
      </c>
      <c r="N109" s="7">
        <v>7.065318E7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4">
        <v>109.0</v>
      </c>
      <c r="B110" s="5" t="s">
        <v>256</v>
      </c>
      <c r="C110" s="5" t="s">
        <v>257</v>
      </c>
      <c r="D110" s="5" t="s">
        <v>23</v>
      </c>
      <c r="E110" s="5" t="s">
        <v>53</v>
      </c>
      <c r="F110" s="5" t="s">
        <v>25</v>
      </c>
      <c r="G110" s="5" t="s">
        <v>37</v>
      </c>
      <c r="H110" s="6" t="s">
        <v>20</v>
      </c>
      <c r="I110" s="6">
        <v>3.0</v>
      </c>
      <c r="J110" s="6">
        <v>5.0</v>
      </c>
      <c r="K110" s="7">
        <v>9.0E7</v>
      </c>
      <c r="L110" s="7">
        <v>9.4913746E7</v>
      </c>
      <c r="M110" s="7">
        <v>7.4083223E7</v>
      </c>
      <c r="N110" s="7">
        <v>3.161767E7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4">
        <v>110.0</v>
      </c>
      <c r="B111" s="5" t="s">
        <v>258</v>
      </c>
      <c r="C111" s="5" t="s">
        <v>259</v>
      </c>
      <c r="D111" s="5" t="s">
        <v>42</v>
      </c>
      <c r="E111" s="5" t="s">
        <v>53</v>
      </c>
      <c r="F111" s="5" t="s">
        <v>32</v>
      </c>
      <c r="G111" s="5" t="s">
        <v>33</v>
      </c>
      <c r="H111" s="6" t="s">
        <v>20</v>
      </c>
      <c r="I111" s="6">
        <v>6.0</v>
      </c>
      <c r="J111" s="6">
        <v>7.0</v>
      </c>
      <c r="K111" s="7">
        <v>0.0</v>
      </c>
      <c r="L111" s="7">
        <v>0.0</v>
      </c>
      <c r="M111" s="7">
        <v>6.7753952E7</v>
      </c>
      <c r="N111" s="7">
        <v>7.7205812E7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4">
        <v>111.0</v>
      </c>
      <c r="B112" s="5" t="s">
        <v>260</v>
      </c>
      <c r="C112" s="5" t="s">
        <v>261</v>
      </c>
      <c r="D112" s="5" t="s">
        <v>16</v>
      </c>
      <c r="E112" s="5" t="s">
        <v>24</v>
      </c>
      <c r="F112" s="5" t="s">
        <v>25</v>
      </c>
      <c r="G112" s="5" t="s">
        <v>37</v>
      </c>
      <c r="H112" s="6" t="s">
        <v>27</v>
      </c>
      <c r="I112" s="6">
        <v>9.0</v>
      </c>
      <c r="J112" s="6">
        <v>8.0</v>
      </c>
      <c r="K112" s="7">
        <v>3.0E7</v>
      </c>
      <c r="L112" s="7">
        <v>3.3477783E7</v>
      </c>
      <c r="M112" s="7">
        <v>0.0</v>
      </c>
      <c r="N112" s="7">
        <v>2.7651635E7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4">
        <v>112.0</v>
      </c>
      <c r="B113" s="5" t="s">
        <v>262</v>
      </c>
      <c r="C113" s="5" t="s">
        <v>263</v>
      </c>
      <c r="D113" s="5" t="s">
        <v>45</v>
      </c>
      <c r="E113" s="5" t="s">
        <v>31</v>
      </c>
      <c r="F113" s="5" t="s">
        <v>25</v>
      </c>
      <c r="G113" s="5" t="s">
        <v>26</v>
      </c>
      <c r="H113" s="6" t="s">
        <v>27</v>
      </c>
      <c r="I113" s="6">
        <v>8.0</v>
      </c>
      <c r="J113" s="6">
        <v>9.0</v>
      </c>
      <c r="K113" s="7">
        <v>5.0E7</v>
      </c>
      <c r="L113" s="7">
        <v>2702447.0</v>
      </c>
      <c r="M113" s="7">
        <v>0.0</v>
      </c>
      <c r="N113" s="7">
        <v>4.467176E7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4">
        <v>113.0</v>
      </c>
      <c r="B114" s="5" t="s">
        <v>264</v>
      </c>
      <c r="C114" s="5" t="s">
        <v>265</v>
      </c>
      <c r="D114" s="5" t="s">
        <v>36</v>
      </c>
      <c r="E114" s="5" t="s">
        <v>24</v>
      </c>
      <c r="F114" s="5" t="s">
        <v>25</v>
      </c>
      <c r="G114" s="5" t="s">
        <v>26</v>
      </c>
      <c r="H114" s="6" t="s">
        <v>20</v>
      </c>
      <c r="I114" s="6">
        <v>8.0</v>
      </c>
      <c r="J114" s="6">
        <v>6.0</v>
      </c>
      <c r="K114" s="7">
        <v>5.0E7</v>
      </c>
      <c r="L114" s="7">
        <v>7.0787848E7</v>
      </c>
      <c r="M114" s="7">
        <v>3.3368202E7</v>
      </c>
      <c r="N114" s="7">
        <v>4.3277527E7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4">
        <v>114.0</v>
      </c>
      <c r="B115" s="5" t="s">
        <v>266</v>
      </c>
      <c r="C115" s="5" t="s">
        <v>267</v>
      </c>
      <c r="D115" s="5" t="s">
        <v>16</v>
      </c>
      <c r="E115" s="5" t="s">
        <v>24</v>
      </c>
      <c r="F115" s="5" t="s">
        <v>32</v>
      </c>
      <c r="G115" s="5" t="s">
        <v>33</v>
      </c>
      <c r="H115" s="6" t="s">
        <v>27</v>
      </c>
      <c r="I115" s="6">
        <v>6.0</v>
      </c>
      <c r="J115" s="6">
        <v>9.0</v>
      </c>
      <c r="K115" s="7">
        <v>0.0</v>
      </c>
      <c r="L115" s="7">
        <v>0.0</v>
      </c>
      <c r="M115" s="7">
        <v>4.6563396E7</v>
      </c>
      <c r="N115" s="7">
        <v>6.3313535E7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4">
        <v>115.0</v>
      </c>
      <c r="B116" s="5" t="s">
        <v>268</v>
      </c>
      <c r="C116" s="5" t="s">
        <v>269</v>
      </c>
      <c r="D116" s="5" t="s">
        <v>30</v>
      </c>
      <c r="E116" s="5" t="s">
        <v>24</v>
      </c>
      <c r="F116" s="5" t="s">
        <v>25</v>
      </c>
      <c r="G116" s="5" t="s">
        <v>26</v>
      </c>
      <c r="H116" s="6" t="s">
        <v>20</v>
      </c>
      <c r="I116" s="6">
        <v>3.0</v>
      </c>
      <c r="J116" s="6">
        <v>8.0</v>
      </c>
      <c r="K116" s="7">
        <v>2.0E7</v>
      </c>
      <c r="L116" s="7">
        <v>4.006462E7</v>
      </c>
      <c r="M116" s="7">
        <v>9.8137438E7</v>
      </c>
      <c r="N116" s="7">
        <v>0.0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4">
        <v>116.0</v>
      </c>
      <c r="B117" s="5" t="s">
        <v>270</v>
      </c>
      <c r="C117" s="5" t="s">
        <v>271</v>
      </c>
      <c r="D117" s="5" t="s">
        <v>152</v>
      </c>
      <c r="E117" s="5" t="s">
        <v>24</v>
      </c>
      <c r="F117" s="5" t="s">
        <v>25</v>
      </c>
      <c r="G117" s="5" t="s">
        <v>37</v>
      </c>
      <c r="H117" s="6" t="s">
        <v>20</v>
      </c>
      <c r="I117" s="6">
        <v>6.0</v>
      </c>
      <c r="J117" s="6">
        <v>5.0</v>
      </c>
      <c r="K117" s="7">
        <v>3.0E7</v>
      </c>
      <c r="L117" s="7">
        <v>4.528936E7</v>
      </c>
      <c r="M117" s="7">
        <v>0.0</v>
      </c>
      <c r="N117" s="7">
        <v>4.6980526E7</v>
      </c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4">
        <v>117.0</v>
      </c>
      <c r="B118" s="5" t="s">
        <v>272</v>
      </c>
      <c r="C118" s="5" t="s">
        <v>273</v>
      </c>
      <c r="D118" s="5" t="s">
        <v>152</v>
      </c>
      <c r="E118" s="5" t="s">
        <v>53</v>
      </c>
      <c r="F118" s="5" t="s">
        <v>25</v>
      </c>
      <c r="G118" s="5" t="s">
        <v>37</v>
      </c>
      <c r="H118" s="6" t="s">
        <v>20</v>
      </c>
      <c r="I118" s="6">
        <v>6.0</v>
      </c>
      <c r="J118" s="6">
        <v>6.0</v>
      </c>
      <c r="K118" s="7">
        <v>3.0E7</v>
      </c>
      <c r="L118" s="7">
        <v>3.4397393E7</v>
      </c>
      <c r="M118" s="7">
        <v>7.2192037E7</v>
      </c>
      <c r="N118" s="7">
        <v>2.1247716E7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4">
        <v>118.0</v>
      </c>
      <c r="B119" s="5" t="s">
        <v>274</v>
      </c>
      <c r="C119" s="5" t="s">
        <v>275</v>
      </c>
      <c r="D119" s="5" t="s">
        <v>63</v>
      </c>
      <c r="E119" s="5" t="s">
        <v>24</v>
      </c>
      <c r="F119" s="5" t="s">
        <v>32</v>
      </c>
      <c r="G119" s="5" t="s">
        <v>60</v>
      </c>
      <c r="H119" s="6" t="s">
        <v>27</v>
      </c>
      <c r="I119" s="6">
        <v>8.0</v>
      </c>
      <c r="J119" s="6">
        <v>6.0</v>
      </c>
      <c r="K119" s="7">
        <v>0.0</v>
      </c>
      <c r="L119" s="7">
        <v>0.0</v>
      </c>
      <c r="M119" s="7">
        <v>6.9870077E7</v>
      </c>
      <c r="N119" s="7">
        <v>9.844158E7</v>
      </c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4">
        <v>119.0</v>
      </c>
      <c r="B120" s="5" t="s">
        <v>276</v>
      </c>
      <c r="C120" s="5" t="s">
        <v>277</v>
      </c>
      <c r="D120" s="5" t="s">
        <v>63</v>
      </c>
      <c r="E120" s="5" t="s">
        <v>53</v>
      </c>
      <c r="F120" s="5" t="s">
        <v>25</v>
      </c>
      <c r="G120" s="5" t="s">
        <v>37</v>
      </c>
      <c r="H120" s="6" t="s">
        <v>20</v>
      </c>
      <c r="I120" s="6">
        <v>5.0</v>
      </c>
      <c r="J120" s="6">
        <v>5.0</v>
      </c>
      <c r="K120" s="7">
        <v>1000000.0</v>
      </c>
      <c r="L120" s="7">
        <v>3.4126405E7</v>
      </c>
      <c r="M120" s="7">
        <v>8.8265167E7</v>
      </c>
      <c r="N120" s="7">
        <v>5.6002928E7</v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4">
        <v>120.0</v>
      </c>
      <c r="B121" s="5" t="s">
        <v>278</v>
      </c>
      <c r="C121" s="5" t="s">
        <v>279</v>
      </c>
      <c r="D121" s="5" t="s">
        <v>23</v>
      </c>
      <c r="E121" s="5" t="s">
        <v>24</v>
      </c>
      <c r="F121" s="5" t="s">
        <v>25</v>
      </c>
      <c r="G121" s="5" t="s">
        <v>26</v>
      </c>
      <c r="H121" s="6" t="s">
        <v>20</v>
      </c>
      <c r="I121" s="6">
        <v>9.0</v>
      </c>
      <c r="J121" s="6">
        <v>9.0</v>
      </c>
      <c r="K121" s="7">
        <v>1000000.0</v>
      </c>
      <c r="L121" s="7">
        <v>5.3008255E7</v>
      </c>
      <c r="M121" s="7">
        <v>4.691791E7</v>
      </c>
      <c r="N121" s="7">
        <v>4.7557281E7</v>
      </c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4">
        <v>121.0</v>
      </c>
      <c r="B122" s="5" t="s">
        <v>280</v>
      </c>
      <c r="C122" s="5" t="s">
        <v>281</v>
      </c>
      <c r="D122" s="5" t="s">
        <v>23</v>
      </c>
      <c r="E122" s="5" t="s">
        <v>24</v>
      </c>
      <c r="F122" s="5" t="s">
        <v>32</v>
      </c>
      <c r="G122" s="5" t="s">
        <v>60</v>
      </c>
      <c r="H122" s="6" t="s">
        <v>20</v>
      </c>
      <c r="I122" s="6">
        <v>4.0</v>
      </c>
      <c r="J122" s="6">
        <v>6.0</v>
      </c>
      <c r="K122" s="7">
        <v>0.0</v>
      </c>
      <c r="L122" s="7">
        <v>0.0</v>
      </c>
      <c r="M122" s="7">
        <v>0.0</v>
      </c>
      <c r="N122" s="7">
        <v>2.267526E7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4">
        <v>122.0</v>
      </c>
      <c r="B123" s="5" t="s">
        <v>282</v>
      </c>
      <c r="C123" s="5" t="s">
        <v>283</v>
      </c>
      <c r="D123" s="5" t="s">
        <v>42</v>
      </c>
      <c r="E123" s="5" t="s">
        <v>24</v>
      </c>
      <c r="F123" s="5" t="s">
        <v>25</v>
      </c>
      <c r="G123" s="5" t="s">
        <v>26</v>
      </c>
      <c r="H123" s="6" t="s">
        <v>20</v>
      </c>
      <c r="I123" s="6">
        <v>4.0</v>
      </c>
      <c r="J123" s="6">
        <v>10.0</v>
      </c>
      <c r="K123" s="7">
        <v>1.0E8</v>
      </c>
      <c r="L123" s="7">
        <v>9.468872E7</v>
      </c>
      <c r="M123" s="7">
        <v>8.6323763E7</v>
      </c>
      <c r="N123" s="7">
        <v>2.0929788E7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4">
        <v>123.0</v>
      </c>
      <c r="B124" s="5" t="s">
        <v>284</v>
      </c>
      <c r="C124" s="5" t="s">
        <v>285</v>
      </c>
      <c r="D124" s="5" t="s">
        <v>78</v>
      </c>
      <c r="E124" s="5" t="s">
        <v>17</v>
      </c>
      <c r="F124" s="5" t="s">
        <v>18</v>
      </c>
      <c r="G124" s="5" t="s">
        <v>19</v>
      </c>
      <c r="H124" s="6" t="s">
        <v>20</v>
      </c>
      <c r="I124" s="6">
        <v>9.0</v>
      </c>
      <c r="J124" s="6">
        <v>9.0</v>
      </c>
      <c r="K124" s="7">
        <v>0.0</v>
      </c>
      <c r="L124" s="7">
        <v>0.0</v>
      </c>
      <c r="M124" s="7">
        <v>9.6750826E7</v>
      </c>
      <c r="N124" s="7">
        <v>3.1435769E7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4">
        <v>124.0</v>
      </c>
      <c r="B125" s="5" t="s">
        <v>286</v>
      </c>
      <c r="C125" s="5" t="s">
        <v>287</v>
      </c>
      <c r="D125" s="5" t="s">
        <v>23</v>
      </c>
      <c r="E125" s="5" t="s">
        <v>53</v>
      </c>
      <c r="F125" s="5" t="s">
        <v>25</v>
      </c>
      <c r="G125" s="5" t="s">
        <v>26</v>
      </c>
      <c r="H125" s="6" t="s">
        <v>20</v>
      </c>
      <c r="I125" s="6">
        <v>6.0</v>
      </c>
      <c r="J125" s="6">
        <v>5.0</v>
      </c>
      <c r="K125" s="7">
        <v>1.0E7</v>
      </c>
      <c r="L125" s="7">
        <v>8.9686683E7</v>
      </c>
      <c r="M125" s="7">
        <v>6.2448793E7</v>
      </c>
      <c r="N125" s="7">
        <v>2.68126E7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4">
        <v>125.0</v>
      </c>
      <c r="B126" s="5" t="s">
        <v>288</v>
      </c>
      <c r="C126" s="5" t="s">
        <v>289</v>
      </c>
      <c r="D126" s="5" t="s">
        <v>36</v>
      </c>
      <c r="E126" s="5" t="s">
        <v>24</v>
      </c>
      <c r="F126" s="5" t="s">
        <v>25</v>
      </c>
      <c r="G126" s="5" t="s">
        <v>37</v>
      </c>
      <c r="H126" s="6" t="s">
        <v>20</v>
      </c>
      <c r="I126" s="6">
        <v>8.0</v>
      </c>
      <c r="J126" s="6">
        <v>8.0</v>
      </c>
      <c r="K126" s="7">
        <v>3.0E7</v>
      </c>
      <c r="L126" s="7">
        <v>3.2890743E7</v>
      </c>
      <c r="M126" s="7">
        <v>0.0</v>
      </c>
      <c r="N126" s="7">
        <v>3.986462E7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4">
        <v>126.0</v>
      </c>
      <c r="B127" s="5" t="s">
        <v>290</v>
      </c>
      <c r="C127" s="5" t="s">
        <v>291</v>
      </c>
      <c r="D127" s="5" t="s">
        <v>42</v>
      </c>
      <c r="E127" s="5" t="s">
        <v>53</v>
      </c>
      <c r="F127" s="5" t="s">
        <v>25</v>
      </c>
      <c r="G127" s="5" t="s">
        <v>26</v>
      </c>
      <c r="H127" s="6" t="s">
        <v>20</v>
      </c>
      <c r="I127" s="6">
        <v>6.0</v>
      </c>
      <c r="J127" s="6">
        <v>10.0</v>
      </c>
      <c r="K127" s="7">
        <v>1.0E7</v>
      </c>
      <c r="L127" s="7">
        <v>3.2370896E7</v>
      </c>
      <c r="M127" s="7">
        <v>9.6066942E7</v>
      </c>
      <c r="N127" s="7">
        <v>3767736.0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4">
        <v>127.0</v>
      </c>
      <c r="B128" s="5" t="s">
        <v>292</v>
      </c>
      <c r="C128" s="5" t="s">
        <v>293</v>
      </c>
      <c r="D128" s="5" t="s">
        <v>30</v>
      </c>
      <c r="E128" s="5" t="s">
        <v>53</v>
      </c>
      <c r="F128" s="5" t="s">
        <v>32</v>
      </c>
      <c r="G128" s="5" t="s">
        <v>33</v>
      </c>
      <c r="H128" s="6" t="s">
        <v>20</v>
      </c>
      <c r="I128" s="6">
        <v>7.0</v>
      </c>
      <c r="J128" s="6">
        <v>10.0</v>
      </c>
      <c r="K128" s="7">
        <v>0.0</v>
      </c>
      <c r="L128" s="7">
        <v>0.0</v>
      </c>
      <c r="M128" s="7">
        <v>2.4514428E7</v>
      </c>
      <c r="N128" s="7">
        <v>2.7890231E7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4">
        <v>128.0</v>
      </c>
      <c r="B129" s="5" t="s">
        <v>294</v>
      </c>
      <c r="C129" s="5" t="s">
        <v>295</v>
      </c>
      <c r="D129" s="5" t="s">
        <v>36</v>
      </c>
      <c r="E129" s="5" t="s">
        <v>24</v>
      </c>
      <c r="F129" s="5" t="s">
        <v>25</v>
      </c>
      <c r="G129" s="5" t="s">
        <v>26</v>
      </c>
      <c r="H129" s="6" t="s">
        <v>27</v>
      </c>
      <c r="I129" s="6">
        <v>5.0</v>
      </c>
      <c r="J129" s="6">
        <v>10.0</v>
      </c>
      <c r="K129" s="7">
        <v>1.0E7</v>
      </c>
      <c r="L129" s="7">
        <v>3.1953589E7</v>
      </c>
      <c r="M129" s="7">
        <v>4.0068224E7</v>
      </c>
      <c r="N129" s="7">
        <v>8.0951038E7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4">
        <v>129.0</v>
      </c>
      <c r="B130" s="5" t="s">
        <v>296</v>
      </c>
      <c r="C130" s="5" t="s">
        <v>297</v>
      </c>
      <c r="D130" s="5" t="s">
        <v>30</v>
      </c>
      <c r="E130" s="5" t="s">
        <v>24</v>
      </c>
      <c r="F130" s="5" t="s">
        <v>25</v>
      </c>
      <c r="G130" s="5" t="s">
        <v>26</v>
      </c>
      <c r="H130" s="6" t="s">
        <v>20</v>
      </c>
      <c r="I130" s="6">
        <v>3.0</v>
      </c>
      <c r="J130" s="6">
        <v>5.0</v>
      </c>
      <c r="K130" s="7">
        <v>5.0E7</v>
      </c>
      <c r="L130" s="7">
        <v>7.8205651E7</v>
      </c>
      <c r="M130" s="7">
        <v>6.238118E7</v>
      </c>
      <c r="N130" s="7">
        <v>6508585.0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4">
        <v>130.0</v>
      </c>
      <c r="B131" s="5" t="s">
        <v>298</v>
      </c>
      <c r="C131" s="5" t="s">
        <v>299</v>
      </c>
      <c r="D131" s="5" t="s">
        <v>42</v>
      </c>
      <c r="E131" s="5" t="s">
        <v>50</v>
      </c>
      <c r="F131" s="5" t="s">
        <v>32</v>
      </c>
      <c r="G131" s="5" t="s">
        <v>60</v>
      </c>
      <c r="H131" s="6" t="s">
        <v>20</v>
      </c>
      <c r="I131" s="6">
        <v>7.0</v>
      </c>
      <c r="J131" s="6">
        <v>7.0</v>
      </c>
      <c r="K131" s="7">
        <v>0.0</v>
      </c>
      <c r="L131" s="7">
        <v>0.0</v>
      </c>
      <c r="M131" s="7">
        <v>3.4584522E7</v>
      </c>
      <c r="N131" s="7">
        <v>0.0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4">
        <v>131.0</v>
      </c>
      <c r="B132" s="5" t="s">
        <v>300</v>
      </c>
      <c r="C132" s="5" t="s">
        <v>301</v>
      </c>
      <c r="D132" s="5" t="s">
        <v>42</v>
      </c>
      <c r="E132" s="5" t="s">
        <v>24</v>
      </c>
      <c r="F132" s="5" t="s">
        <v>18</v>
      </c>
      <c r="G132" s="5" t="s">
        <v>175</v>
      </c>
      <c r="H132" s="6" t="s">
        <v>20</v>
      </c>
      <c r="I132" s="6">
        <v>5.0</v>
      </c>
      <c r="J132" s="6">
        <v>5.0</v>
      </c>
      <c r="K132" s="7">
        <v>0.0</v>
      </c>
      <c r="L132" s="7">
        <v>2.5891596E7</v>
      </c>
      <c r="M132" s="7">
        <v>7.6942676E7</v>
      </c>
      <c r="N132" s="7">
        <v>7.4216691E7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4">
        <v>132.0</v>
      </c>
      <c r="B133" s="5" t="s">
        <v>302</v>
      </c>
      <c r="C133" s="5" t="s">
        <v>303</v>
      </c>
      <c r="D133" s="5" t="s">
        <v>36</v>
      </c>
      <c r="E133" s="5" t="s">
        <v>53</v>
      </c>
      <c r="F133" s="5" t="s">
        <v>25</v>
      </c>
      <c r="G133" s="5" t="s">
        <v>37</v>
      </c>
      <c r="H133" s="6" t="s">
        <v>27</v>
      </c>
      <c r="I133" s="6">
        <v>9.0</v>
      </c>
      <c r="J133" s="6">
        <v>4.0</v>
      </c>
      <c r="K133" s="7">
        <v>5000000.0</v>
      </c>
      <c r="L133" s="7">
        <v>7.0270294E7</v>
      </c>
      <c r="M133" s="7">
        <v>1.9588762E7</v>
      </c>
      <c r="N133" s="7">
        <v>7.8634577E7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4">
        <v>133.0</v>
      </c>
      <c r="B134" s="5" t="s">
        <v>304</v>
      </c>
      <c r="C134" s="5" t="s">
        <v>305</v>
      </c>
      <c r="D134" s="5" t="s">
        <v>42</v>
      </c>
      <c r="E134" s="5" t="s">
        <v>50</v>
      </c>
      <c r="F134" s="5" t="s">
        <v>32</v>
      </c>
      <c r="G134" s="5" t="s">
        <v>60</v>
      </c>
      <c r="H134" s="6" t="s">
        <v>20</v>
      </c>
      <c r="I134" s="6">
        <v>6.0</v>
      </c>
      <c r="J134" s="6">
        <v>7.0</v>
      </c>
      <c r="K134" s="7">
        <v>0.0</v>
      </c>
      <c r="L134" s="7">
        <v>0.0</v>
      </c>
      <c r="M134" s="7">
        <v>8.5955846E7</v>
      </c>
      <c r="N134" s="7">
        <v>2.5891596E7</v>
      </c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4">
        <v>134.0</v>
      </c>
      <c r="B135" s="5" t="s">
        <v>306</v>
      </c>
      <c r="C135" s="5" t="s">
        <v>307</v>
      </c>
      <c r="D135" s="5" t="s">
        <v>78</v>
      </c>
      <c r="E135" s="5" t="s">
        <v>50</v>
      </c>
      <c r="F135" s="5" t="s">
        <v>25</v>
      </c>
      <c r="G135" s="5" t="s">
        <v>37</v>
      </c>
      <c r="H135" s="6" t="s">
        <v>27</v>
      </c>
      <c r="I135" s="6">
        <v>7.0</v>
      </c>
      <c r="J135" s="6">
        <v>9.0</v>
      </c>
      <c r="K135" s="7">
        <v>2.0E7</v>
      </c>
      <c r="L135" s="7">
        <v>6.2745331E7</v>
      </c>
      <c r="M135" s="7">
        <v>3.9843357E7</v>
      </c>
      <c r="N135" s="7">
        <v>6.4840967E7</v>
      </c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4">
        <v>135.0</v>
      </c>
      <c r="B136" s="5" t="s">
        <v>308</v>
      </c>
      <c r="C136" s="5" t="s">
        <v>309</v>
      </c>
      <c r="D136" s="5" t="s">
        <v>23</v>
      </c>
      <c r="E136" s="5" t="s">
        <v>24</v>
      </c>
      <c r="F136" s="5" t="s">
        <v>32</v>
      </c>
      <c r="G136" s="5" t="s">
        <v>33</v>
      </c>
      <c r="H136" s="6" t="s">
        <v>20</v>
      </c>
      <c r="I136" s="6">
        <v>5.0</v>
      </c>
      <c r="J136" s="6">
        <v>5.0</v>
      </c>
      <c r="K136" s="7">
        <v>0.0</v>
      </c>
      <c r="L136" s="7">
        <v>0.0</v>
      </c>
      <c r="M136" s="7">
        <v>8.2583322E7</v>
      </c>
      <c r="N136" s="7">
        <v>809058.0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4">
        <v>136.0</v>
      </c>
      <c r="B137" s="5" t="s">
        <v>310</v>
      </c>
      <c r="C137" s="5" t="s">
        <v>311</v>
      </c>
      <c r="D137" s="5" t="s">
        <v>78</v>
      </c>
      <c r="E137" s="5" t="s">
        <v>24</v>
      </c>
      <c r="F137" s="5" t="s">
        <v>25</v>
      </c>
      <c r="G137" s="5" t="s">
        <v>37</v>
      </c>
      <c r="H137" s="6" t="s">
        <v>27</v>
      </c>
      <c r="I137" s="6">
        <v>4.0</v>
      </c>
      <c r="J137" s="6">
        <v>10.0</v>
      </c>
      <c r="K137" s="7">
        <v>1.0E7</v>
      </c>
      <c r="L137" s="7">
        <v>5.9890317E7</v>
      </c>
      <c r="M137" s="7">
        <v>4.2451842E7</v>
      </c>
      <c r="N137" s="7">
        <v>0.0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4">
        <v>137.0</v>
      </c>
      <c r="B138" s="5" t="s">
        <v>312</v>
      </c>
      <c r="C138" s="5" t="s">
        <v>313</v>
      </c>
      <c r="D138" s="5" t="s">
        <v>63</v>
      </c>
      <c r="E138" s="5" t="s">
        <v>50</v>
      </c>
      <c r="F138" s="5" t="s">
        <v>25</v>
      </c>
      <c r="G138" s="5" t="s">
        <v>26</v>
      </c>
      <c r="H138" s="6" t="s">
        <v>20</v>
      </c>
      <c r="I138" s="6">
        <v>7.0</v>
      </c>
      <c r="J138" s="6">
        <v>7.0</v>
      </c>
      <c r="K138" s="7">
        <v>1.0E7</v>
      </c>
      <c r="L138" s="7">
        <v>9.7449662E7</v>
      </c>
      <c r="M138" s="7">
        <v>4.962416E7</v>
      </c>
      <c r="N138" s="7">
        <v>1.7854677E7</v>
      </c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4">
        <v>138.0</v>
      </c>
      <c r="B139" s="5" t="s">
        <v>314</v>
      </c>
      <c r="C139" s="5" t="s">
        <v>315</v>
      </c>
      <c r="D139" s="5" t="s">
        <v>16</v>
      </c>
      <c r="E139" s="5" t="s">
        <v>31</v>
      </c>
      <c r="F139" s="5" t="s">
        <v>32</v>
      </c>
      <c r="G139" s="5" t="s">
        <v>33</v>
      </c>
      <c r="H139" s="6" t="s">
        <v>20</v>
      </c>
      <c r="I139" s="6">
        <v>3.0</v>
      </c>
      <c r="J139" s="6">
        <v>6.0</v>
      </c>
      <c r="K139" s="7">
        <v>0.0</v>
      </c>
      <c r="L139" s="7">
        <v>0.0</v>
      </c>
      <c r="M139" s="7">
        <v>4.4422091E7</v>
      </c>
      <c r="N139" s="7">
        <v>8898260.0</v>
      </c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4">
        <v>139.0</v>
      </c>
      <c r="B140" s="5" t="s">
        <v>316</v>
      </c>
      <c r="C140" s="5" t="s">
        <v>317</v>
      </c>
      <c r="D140" s="5" t="s">
        <v>23</v>
      </c>
      <c r="E140" s="5" t="s">
        <v>24</v>
      </c>
      <c r="F140" s="5" t="s">
        <v>32</v>
      </c>
      <c r="G140" s="5" t="s">
        <v>60</v>
      </c>
      <c r="H140" s="6" t="s">
        <v>20</v>
      </c>
      <c r="I140" s="6">
        <v>3.0</v>
      </c>
      <c r="J140" s="6">
        <v>6.0</v>
      </c>
      <c r="K140" s="7">
        <v>0.0</v>
      </c>
      <c r="L140" s="7">
        <v>0.0</v>
      </c>
      <c r="M140" s="7">
        <v>0.0</v>
      </c>
      <c r="N140" s="7">
        <v>6.3436099E7</v>
      </c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4">
        <v>140.0</v>
      </c>
      <c r="B141" s="5" t="s">
        <v>318</v>
      </c>
      <c r="C141" s="5" t="s">
        <v>319</v>
      </c>
      <c r="D141" s="5" t="s">
        <v>23</v>
      </c>
      <c r="E141" s="5" t="s">
        <v>24</v>
      </c>
      <c r="F141" s="5" t="s">
        <v>25</v>
      </c>
      <c r="G141" s="5" t="s">
        <v>26</v>
      </c>
      <c r="H141" s="6" t="s">
        <v>27</v>
      </c>
      <c r="I141" s="6">
        <v>7.0</v>
      </c>
      <c r="J141" s="6">
        <v>10.0</v>
      </c>
      <c r="K141" s="7">
        <v>1.0E7</v>
      </c>
      <c r="L141" s="7">
        <v>9.9989764E7</v>
      </c>
      <c r="M141" s="7">
        <v>8030175.0</v>
      </c>
      <c r="N141" s="7">
        <v>3.7676206E7</v>
      </c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4">
        <v>141.0</v>
      </c>
      <c r="B142" s="5" t="s">
        <v>320</v>
      </c>
      <c r="C142" s="5" t="s">
        <v>321</v>
      </c>
      <c r="D142" s="5" t="s">
        <v>101</v>
      </c>
      <c r="E142" s="5" t="s">
        <v>24</v>
      </c>
      <c r="F142" s="5" t="s">
        <v>32</v>
      </c>
      <c r="G142" s="5" t="s">
        <v>60</v>
      </c>
      <c r="H142" s="6" t="s">
        <v>27</v>
      </c>
      <c r="I142" s="6">
        <v>5.0</v>
      </c>
      <c r="J142" s="6">
        <v>7.0</v>
      </c>
      <c r="K142" s="7">
        <v>0.0</v>
      </c>
      <c r="L142" s="7">
        <v>0.0</v>
      </c>
      <c r="M142" s="7">
        <v>1.2862402E7</v>
      </c>
      <c r="N142" s="7">
        <v>6.8922404E7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4">
        <v>142.0</v>
      </c>
      <c r="B143" s="5" t="s">
        <v>322</v>
      </c>
      <c r="C143" s="5" t="s">
        <v>323</v>
      </c>
      <c r="D143" s="5" t="s">
        <v>36</v>
      </c>
      <c r="E143" s="5" t="s">
        <v>53</v>
      </c>
      <c r="F143" s="5" t="s">
        <v>32</v>
      </c>
      <c r="G143" s="5" t="s">
        <v>60</v>
      </c>
      <c r="H143" s="6" t="s">
        <v>27</v>
      </c>
      <c r="I143" s="6">
        <v>9.0</v>
      </c>
      <c r="J143" s="6">
        <v>9.0</v>
      </c>
      <c r="K143" s="7">
        <v>0.0</v>
      </c>
      <c r="L143" s="7">
        <v>0.0</v>
      </c>
      <c r="M143" s="7">
        <v>4.6914257E7</v>
      </c>
      <c r="N143" s="7">
        <v>4.3734508E7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4">
        <v>143.0</v>
      </c>
      <c r="B144" s="5" t="s">
        <v>324</v>
      </c>
      <c r="C144" s="5" t="s">
        <v>325</v>
      </c>
      <c r="D144" s="5" t="s">
        <v>101</v>
      </c>
      <c r="E144" s="5" t="s">
        <v>17</v>
      </c>
      <c r="F144" s="5" t="s">
        <v>18</v>
      </c>
      <c r="G144" s="5" t="s">
        <v>19</v>
      </c>
      <c r="H144" s="6" t="s">
        <v>20</v>
      </c>
      <c r="I144" s="6">
        <v>4.0</v>
      </c>
      <c r="J144" s="6">
        <v>5.0</v>
      </c>
      <c r="K144" s="7">
        <v>0.0</v>
      </c>
      <c r="L144" s="7">
        <v>0.0</v>
      </c>
      <c r="M144" s="7">
        <v>9.5212463E7</v>
      </c>
      <c r="N144" s="7">
        <v>0.0</v>
      </c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4">
        <v>144.0</v>
      </c>
      <c r="B145" s="5" t="s">
        <v>326</v>
      </c>
      <c r="C145" s="5" t="s">
        <v>327</v>
      </c>
      <c r="D145" s="5" t="s">
        <v>23</v>
      </c>
      <c r="E145" s="5" t="s">
        <v>24</v>
      </c>
      <c r="F145" s="5" t="s">
        <v>25</v>
      </c>
      <c r="G145" s="5" t="s">
        <v>26</v>
      </c>
      <c r="H145" s="6" t="s">
        <v>20</v>
      </c>
      <c r="I145" s="6">
        <v>5.0</v>
      </c>
      <c r="J145" s="6">
        <v>9.0</v>
      </c>
      <c r="K145" s="7">
        <v>5000000.0</v>
      </c>
      <c r="L145" s="7">
        <v>3.2915397E7</v>
      </c>
      <c r="M145" s="7">
        <v>7.4493461E7</v>
      </c>
      <c r="N145" s="7">
        <v>151779.0</v>
      </c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4">
        <v>145.0</v>
      </c>
      <c r="B146" s="5" t="s">
        <v>328</v>
      </c>
      <c r="C146" s="5" t="s">
        <v>329</v>
      </c>
      <c r="D146" s="5" t="s">
        <v>23</v>
      </c>
      <c r="E146" s="5" t="s">
        <v>53</v>
      </c>
      <c r="F146" s="5" t="s">
        <v>32</v>
      </c>
      <c r="G146" s="5" t="s">
        <v>60</v>
      </c>
      <c r="H146" s="6" t="s">
        <v>20</v>
      </c>
      <c r="I146" s="6">
        <v>3.0</v>
      </c>
      <c r="J146" s="6">
        <v>10.0</v>
      </c>
      <c r="K146" s="7">
        <v>0.0</v>
      </c>
      <c r="L146" s="7">
        <v>0.0</v>
      </c>
      <c r="M146" s="7">
        <v>4.3223505E7</v>
      </c>
      <c r="N146" s="7">
        <v>0.0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4">
        <v>146.0</v>
      </c>
      <c r="B147" s="5" t="s">
        <v>330</v>
      </c>
      <c r="C147" s="5" t="s">
        <v>331</v>
      </c>
      <c r="D147" s="5" t="s">
        <v>152</v>
      </c>
      <c r="E147" s="5" t="s">
        <v>24</v>
      </c>
      <c r="F147" s="5" t="s">
        <v>32</v>
      </c>
      <c r="G147" s="5" t="s">
        <v>60</v>
      </c>
      <c r="H147" s="6" t="s">
        <v>20</v>
      </c>
      <c r="I147" s="6">
        <v>3.0</v>
      </c>
      <c r="J147" s="6">
        <v>9.0</v>
      </c>
      <c r="K147" s="7">
        <v>0.0</v>
      </c>
      <c r="L147" s="7">
        <v>0.0</v>
      </c>
      <c r="M147" s="7">
        <v>1.4141858E7</v>
      </c>
      <c r="N147" s="7">
        <v>8.7162317E7</v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4">
        <v>147.0</v>
      </c>
      <c r="B148" s="5" t="s">
        <v>332</v>
      </c>
      <c r="C148" s="5" t="s">
        <v>333</v>
      </c>
      <c r="D148" s="5" t="s">
        <v>42</v>
      </c>
      <c r="E148" s="5" t="s">
        <v>24</v>
      </c>
      <c r="F148" s="5" t="s">
        <v>32</v>
      </c>
      <c r="G148" s="5" t="s">
        <v>60</v>
      </c>
      <c r="H148" s="6" t="s">
        <v>20</v>
      </c>
      <c r="I148" s="6">
        <v>5.0</v>
      </c>
      <c r="J148" s="6">
        <v>7.0</v>
      </c>
      <c r="K148" s="7">
        <v>0.0</v>
      </c>
      <c r="L148" s="7">
        <v>0.0</v>
      </c>
      <c r="M148" s="7">
        <v>2.9525162E7</v>
      </c>
      <c r="N148" s="7">
        <v>0.0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4">
        <v>148.0</v>
      </c>
      <c r="B149" s="5" t="s">
        <v>334</v>
      </c>
      <c r="C149" s="5" t="s">
        <v>335</v>
      </c>
      <c r="D149" s="5" t="s">
        <v>78</v>
      </c>
      <c r="E149" s="5" t="s">
        <v>24</v>
      </c>
      <c r="F149" s="5" t="s">
        <v>32</v>
      </c>
      <c r="G149" s="5" t="s">
        <v>33</v>
      </c>
      <c r="H149" s="6" t="s">
        <v>27</v>
      </c>
      <c r="I149" s="6">
        <v>7.0</v>
      </c>
      <c r="J149" s="6">
        <v>10.0</v>
      </c>
      <c r="K149" s="7">
        <v>0.0</v>
      </c>
      <c r="L149" s="7">
        <v>0.0</v>
      </c>
      <c r="M149" s="7">
        <v>2.9366791E7</v>
      </c>
      <c r="N149" s="7">
        <v>8.9805774E7</v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4">
        <v>149.0</v>
      </c>
      <c r="B150" s="5" t="s">
        <v>336</v>
      </c>
      <c r="C150" s="5" t="s">
        <v>337</v>
      </c>
      <c r="D150" s="5" t="s">
        <v>152</v>
      </c>
      <c r="E150" s="5" t="s">
        <v>24</v>
      </c>
      <c r="F150" s="5" t="s">
        <v>32</v>
      </c>
      <c r="G150" s="5" t="s">
        <v>60</v>
      </c>
      <c r="H150" s="6" t="s">
        <v>27</v>
      </c>
      <c r="I150" s="6">
        <v>7.0</v>
      </c>
      <c r="J150" s="6">
        <v>7.0</v>
      </c>
      <c r="K150" s="7">
        <v>0.0</v>
      </c>
      <c r="L150" s="7">
        <v>0.0</v>
      </c>
      <c r="M150" s="7">
        <v>7.3195518E7</v>
      </c>
      <c r="N150" s="7">
        <v>1.0695678E7</v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4">
        <v>150.0</v>
      </c>
      <c r="B151" s="5" t="s">
        <v>338</v>
      </c>
      <c r="C151" s="5" t="s">
        <v>339</v>
      </c>
      <c r="D151" s="5" t="s">
        <v>23</v>
      </c>
      <c r="E151" s="5" t="s">
        <v>24</v>
      </c>
      <c r="F151" s="5" t="s">
        <v>32</v>
      </c>
      <c r="G151" s="5" t="s">
        <v>60</v>
      </c>
      <c r="H151" s="6" t="s">
        <v>20</v>
      </c>
      <c r="I151" s="6">
        <v>5.0</v>
      </c>
      <c r="J151" s="6">
        <v>4.0</v>
      </c>
      <c r="K151" s="7">
        <v>0.0</v>
      </c>
      <c r="L151" s="7">
        <v>0.0</v>
      </c>
      <c r="M151" s="7">
        <v>1432950.0</v>
      </c>
      <c r="N151" s="7">
        <v>2.9672451E7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4">
        <v>151.0</v>
      </c>
      <c r="B152" s="5" t="s">
        <v>340</v>
      </c>
      <c r="C152" s="5" t="s">
        <v>341</v>
      </c>
      <c r="D152" s="5" t="s">
        <v>30</v>
      </c>
      <c r="E152" s="5" t="s">
        <v>24</v>
      </c>
      <c r="F152" s="5" t="s">
        <v>25</v>
      </c>
      <c r="G152" s="5" t="s">
        <v>26</v>
      </c>
      <c r="H152" s="6" t="s">
        <v>27</v>
      </c>
      <c r="I152" s="6">
        <v>7.0</v>
      </c>
      <c r="J152" s="6">
        <v>5.0</v>
      </c>
      <c r="K152" s="7">
        <v>1000000.0</v>
      </c>
      <c r="L152" s="7">
        <v>7.7159264E7</v>
      </c>
      <c r="M152" s="7">
        <v>0.0</v>
      </c>
      <c r="N152" s="7">
        <v>9.7234303E7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4">
        <v>152.0</v>
      </c>
      <c r="B153" s="5" t="s">
        <v>342</v>
      </c>
      <c r="C153" s="5" t="s">
        <v>343</v>
      </c>
      <c r="D153" s="5" t="s">
        <v>23</v>
      </c>
      <c r="E153" s="5" t="s">
        <v>24</v>
      </c>
      <c r="F153" s="5" t="s">
        <v>25</v>
      </c>
      <c r="G153" s="5" t="s">
        <v>26</v>
      </c>
      <c r="H153" s="6" t="s">
        <v>20</v>
      </c>
      <c r="I153" s="6">
        <v>8.0</v>
      </c>
      <c r="J153" s="6">
        <v>6.0</v>
      </c>
      <c r="K153" s="7">
        <v>1.0E8</v>
      </c>
      <c r="L153" s="7">
        <v>1.2451199E7</v>
      </c>
      <c r="M153" s="7">
        <v>7.4231711E7</v>
      </c>
      <c r="N153" s="7">
        <v>4.2951226E7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4">
        <v>153.0</v>
      </c>
      <c r="B154" s="5" t="s">
        <v>344</v>
      </c>
      <c r="C154" s="5" t="s">
        <v>345</v>
      </c>
      <c r="D154" s="5" t="s">
        <v>16</v>
      </c>
      <c r="E154" s="5" t="s">
        <v>31</v>
      </c>
      <c r="F154" s="5" t="s">
        <v>25</v>
      </c>
      <c r="G154" s="5" t="s">
        <v>26</v>
      </c>
      <c r="H154" s="6" t="s">
        <v>27</v>
      </c>
      <c r="I154" s="6">
        <v>3.0</v>
      </c>
      <c r="J154" s="6">
        <v>7.0</v>
      </c>
      <c r="K154" s="7">
        <v>9.0E7</v>
      </c>
      <c r="L154" s="7">
        <v>1.3287929E7</v>
      </c>
      <c r="M154" s="7">
        <v>2.7090183E7</v>
      </c>
      <c r="N154" s="7">
        <v>7.9518711E7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4">
        <v>154.0</v>
      </c>
      <c r="B155" s="5" t="s">
        <v>346</v>
      </c>
      <c r="C155" s="5" t="s">
        <v>347</v>
      </c>
      <c r="D155" s="5" t="s">
        <v>45</v>
      </c>
      <c r="E155" s="5" t="s">
        <v>17</v>
      </c>
      <c r="F155" s="5" t="s">
        <v>18</v>
      </c>
      <c r="G155" s="5" t="s">
        <v>19</v>
      </c>
      <c r="H155" s="6" t="s">
        <v>20</v>
      </c>
      <c r="I155" s="6">
        <v>8.0</v>
      </c>
      <c r="J155" s="6">
        <v>10.0</v>
      </c>
      <c r="K155" s="7">
        <v>0.0</v>
      </c>
      <c r="L155" s="7">
        <v>0.0</v>
      </c>
      <c r="M155" s="7">
        <v>2.0898506E7</v>
      </c>
      <c r="N155" s="7">
        <v>2.4525645E7</v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4">
        <v>155.0</v>
      </c>
      <c r="B156" s="5" t="s">
        <v>348</v>
      </c>
      <c r="C156" s="5" t="s">
        <v>349</v>
      </c>
      <c r="D156" s="5" t="s">
        <v>45</v>
      </c>
      <c r="E156" s="5" t="s">
        <v>24</v>
      </c>
      <c r="F156" s="5" t="s">
        <v>25</v>
      </c>
      <c r="G156" s="5" t="s">
        <v>26</v>
      </c>
      <c r="H156" s="6" t="s">
        <v>20</v>
      </c>
      <c r="I156" s="6">
        <v>5.0</v>
      </c>
      <c r="J156" s="6">
        <v>9.0</v>
      </c>
      <c r="K156" s="7">
        <v>5000000.0</v>
      </c>
      <c r="L156" s="7">
        <v>3.7959268E7</v>
      </c>
      <c r="M156" s="7">
        <v>6.9132389E7</v>
      </c>
      <c r="N156" s="7">
        <v>9.9564796E7</v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4">
        <v>156.0</v>
      </c>
      <c r="B157" s="5" t="s">
        <v>350</v>
      </c>
      <c r="C157" s="5" t="s">
        <v>351</v>
      </c>
      <c r="D157" s="5" t="s">
        <v>23</v>
      </c>
      <c r="E157" s="5" t="s">
        <v>24</v>
      </c>
      <c r="F157" s="5" t="s">
        <v>32</v>
      </c>
      <c r="G157" s="5" t="s">
        <v>60</v>
      </c>
      <c r="H157" s="6" t="s">
        <v>27</v>
      </c>
      <c r="I157" s="6">
        <v>6.0</v>
      </c>
      <c r="J157" s="6">
        <v>5.0</v>
      </c>
      <c r="K157" s="7">
        <v>0.0</v>
      </c>
      <c r="L157" s="7">
        <v>0.0</v>
      </c>
      <c r="M157" s="7">
        <v>2.6450622E7</v>
      </c>
      <c r="N157" s="7">
        <v>4227264.0</v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4">
        <v>157.0</v>
      </c>
      <c r="B158" s="5" t="s">
        <v>352</v>
      </c>
      <c r="C158" s="5" t="s">
        <v>353</v>
      </c>
      <c r="D158" s="5" t="s">
        <v>78</v>
      </c>
      <c r="E158" s="5" t="s">
        <v>24</v>
      </c>
      <c r="F158" s="5" t="s">
        <v>32</v>
      </c>
      <c r="G158" s="5" t="s">
        <v>60</v>
      </c>
      <c r="H158" s="6" t="s">
        <v>27</v>
      </c>
      <c r="I158" s="6">
        <v>3.0</v>
      </c>
      <c r="J158" s="6">
        <v>7.0</v>
      </c>
      <c r="K158" s="7">
        <v>0.0</v>
      </c>
      <c r="L158" s="7">
        <v>0.0</v>
      </c>
      <c r="M158" s="7">
        <v>0.0</v>
      </c>
      <c r="N158" s="7">
        <v>5.437664E7</v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4">
        <v>158.0</v>
      </c>
      <c r="B159" s="5" t="s">
        <v>354</v>
      </c>
      <c r="C159" s="5" t="s">
        <v>355</v>
      </c>
      <c r="D159" s="5" t="s">
        <v>63</v>
      </c>
      <c r="E159" s="5" t="s">
        <v>24</v>
      </c>
      <c r="F159" s="5" t="s">
        <v>25</v>
      </c>
      <c r="G159" s="5" t="s">
        <v>37</v>
      </c>
      <c r="H159" s="6" t="s">
        <v>20</v>
      </c>
      <c r="I159" s="6">
        <v>8.0</v>
      </c>
      <c r="J159" s="6">
        <v>6.0</v>
      </c>
      <c r="K159" s="7">
        <v>9.0E7</v>
      </c>
      <c r="L159" s="7">
        <v>2.9991873E7</v>
      </c>
      <c r="M159" s="7">
        <v>3.9252741E7</v>
      </c>
      <c r="N159" s="7">
        <v>1.5542722E7</v>
      </c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4">
        <v>159.0</v>
      </c>
      <c r="B160" s="5" t="s">
        <v>356</v>
      </c>
      <c r="C160" s="5" t="s">
        <v>357</v>
      </c>
      <c r="D160" s="5" t="s">
        <v>30</v>
      </c>
      <c r="E160" s="5" t="s">
        <v>24</v>
      </c>
      <c r="F160" s="5" t="s">
        <v>25</v>
      </c>
      <c r="G160" s="5" t="s">
        <v>37</v>
      </c>
      <c r="H160" s="6" t="s">
        <v>20</v>
      </c>
      <c r="I160" s="6">
        <v>5.0</v>
      </c>
      <c r="J160" s="6">
        <v>5.0</v>
      </c>
      <c r="K160" s="7">
        <v>1.0E7</v>
      </c>
      <c r="L160" s="7">
        <v>7303129.0</v>
      </c>
      <c r="M160" s="7">
        <v>3765621.0</v>
      </c>
      <c r="N160" s="7">
        <v>1.8125151E7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4">
        <v>160.0</v>
      </c>
      <c r="B161" s="5" t="s">
        <v>358</v>
      </c>
      <c r="C161" s="5" t="s">
        <v>359</v>
      </c>
      <c r="D161" s="5" t="s">
        <v>16</v>
      </c>
      <c r="E161" s="5" t="s">
        <v>24</v>
      </c>
      <c r="F161" s="5" t="s">
        <v>25</v>
      </c>
      <c r="G161" s="5" t="s">
        <v>37</v>
      </c>
      <c r="H161" s="6" t="s">
        <v>20</v>
      </c>
      <c r="I161" s="6">
        <v>8.0</v>
      </c>
      <c r="J161" s="6">
        <v>9.0</v>
      </c>
      <c r="K161" s="7">
        <v>3.0E7</v>
      </c>
      <c r="L161" s="7">
        <v>4.4457754E7</v>
      </c>
      <c r="M161" s="7">
        <v>0.0</v>
      </c>
      <c r="N161" s="7">
        <v>6.2249765E7</v>
      </c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4">
        <v>161.0</v>
      </c>
      <c r="B162" s="5" t="s">
        <v>360</v>
      </c>
      <c r="C162" s="5" t="s">
        <v>361</v>
      </c>
      <c r="D162" s="5" t="s">
        <v>23</v>
      </c>
      <c r="E162" s="5" t="s">
        <v>24</v>
      </c>
      <c r="F162" s="5" t="s">
        <v>25</v>
      </c>
      <c r="G162" s="5" t="s">
        <v>26</v>
      </c>
      <c r="H162" s="6" t="s">
        <v>20</v>
      </c>
      <c r="I162" s="6">
        <v>4.0</v>
      </c>
      <c r="J162" s="6">
        <v>10.0</v>
      </c>
      <c r="K162" s="7">
        <v>1.0E7</v>
      </c>
      <c r="L162" s="7">
        <v>5.4467236E7</v>
      </c>
      <c r="M162" s="7">
        <v>0.0</v>
      </c>
      <c r="N162" s="7">
        <v>1234692.0</v>
      </c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4">
        <v>162.0</v>
      </c>
      <c r="B163" s="5" t="s">
        <v>362</v>
      </c>
      <c r="C163" s="5" t="s">
        <v>363</v>
      </c>
      <c r="D163" s="5" t="s">
        <v>30</v>
      </c>
      <c r="E163" s="5" t="s">
        <v>24</v>
      </c>
      <c r="F163" s="5" t="s">
        <v>25</v>
      </c>
      <c r="G163" s="5" t="s">
        <v>37</v>
      </c>
      <c r="H163" s="6" t="s">
        <v>20</v>
      </c>
      <c r="I163" s="6">
        <v>9.0</v>
      </c>
      <c r="J163" s="6">
        <v>9.0</v>
      </c>
      <c r="K163" s="7">
        <v>1.0E7</v>
      </c>
      <c r="L163" s="7">
        <v>1.7991607E7</v>
      </c>
      <c r="M163" s="7">
        <v>0.0</v>
      </c>
      <c r="N163" s="7">
        <v>174626.0</v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4">
        <v>163.0</v>
      </c>
      <c r="B164" s="5" t="s">
        <v>364</v>
      </c>
      <c r="C164" s="5" t="s">
        <v>365</v>
      </c>
      <c r="D164" s="5" t="s">
        <v>23</v>
      </c>
      <c r="E164" s="5" t="s">
        <v>24</v>
      </c>
      <c r="F164" s="5" t="s">
        <v>32</v>
      </c>
      <c r="G164" s="5" t="s">
        <v>33</v>
      </c>
      <c r="H164" s="6" t="s">
        <v>20</v>
      </c>
      <c r="I164" s="6">
        <v>6.0</v>
      </c>
      <c r="J164" s="6">
        <v>10.0</v>
      </c>
      <c r="K164" s="7">
        <v>0.0</v>
      </c>
      <c r="L164" s="7">
        <v>0.0</v>
      </c>
      <c r="M164" s="7">
        <v>2.4965127E7</v>
      </c>
      <c r="N164" s="7">
        <v>4.1129782E7</v>
      </c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4">
        <v>164.0</v>
      </c>
      <c r="B165" s="5" t="s">
        <v>366</v>
      </c>
      <c r="C165" s="5" t="s">
        <v>367</v>
      </c>
      <c r="D165" s="5" t="s">
        <v>101</v>
      </c>
      <c r="E165" s="5" t="s">
        <v>31</v>
      </c>
      <c r="F165" s="5" t="s">
        <v>25</v>
      </c>
      <c r="G165" s="5" t="s">
        <v>37</v>
      </c>
      <c r="H165" s="6" t="s">
        <v>20</v>
      </c>
      <c r="I165" s="6">
        <v>3.0</v>
      </c>
      <c r="J165" s="6">
        <v>10.0</v>
      </c>
      <c r="K165" s="7">
        <v>1000000.0</v>
      </c>
      <c r="L165" s="7">
        <v>8.7347043E7</v>
      </c>
      <c r="M165" s="7">
        <v>5.0796112E7</v>
      </c>
      <c r="N165" s="7">
        <v>7.275783E7</v>
      </c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4">
        <v>165.0</v>
      </c>
      <c r="B166" s="5" t="s">
        <v>368</v>
      </c>
      <c r="C166" s="5" t="s">
        <v>369</v>
      </c>
      <c r="D166" s="5" t="s">
        <v>36</v>
      </c>
      <c r="E166" s="5" t="s">
        <v>53</v>
      </c>
      <c r="F166" s="5" t="s">
        <v>32</v>
      </c>
      <c r="G166" s="5" t="s">
        <v>60</v>
      </c>
      <c r="H166" s="6" t="s">
        <v>20</v>
      </c>
      <c r="I166" s="6">
        <v>3.0</v>
      </c>
      <c r="J166" s="6">
        <v>10.0</v>
      </c>
      <c r="K166" s="7">
        <v>0.0</v>
      </c>
      <c r="L166" s="7">
        <v>0.0</v>
      </c>
      <c r="M166" s="7">
        <v>3.8721754E7</v>
      </c>
      <c r="N166" s="7">
        <v>7.7230635E7</v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4">
        <v>166.0</v>
      </c>
      <c r="B167" s="5" t="s">
        <v>370</v>
      </c>
      <c r="C167" s="5" t="s">
        <v>371</v>
      </c>
      <c r="D167" s="5" t="s">
        <v>78</v>
      </c>
      <c r="E167" s="5" t="s">
        <v>24</v>
      </c>
      <c r="F167" s="5" t="s">
        <v>25</v>
      </c>
      <c r="G167" s="5" t="s">
        <v>37</v>
      </c>
      <c r="H167" s="6" t="s">
        <v>20</v>
      </c>
      <c r="I167" s="6">
        <v>7.0</v>
      </c>
      <c r="J167" s="6">
        <v>7.0</v>
      </c>
      <c r="K167" s="7">
        <v>1.0E7</v>
      </c>
      <c r="L167" s="7">
        <v>4.3538967E7</v>
      </c>
      <c r="M167" s="7">
        <v>5161300.0</v>
      </c>
      <c r="N167" s="7">
        <v>8.5417673E7</v>
      </c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4">
        <v>167.0</v>
      </c>
      <c r="B168" s="5" t="s">
        <v>372</v>
      </c>
      <c r="C168" s="5" t="s">
        <v>373</v>
      </c>
      <c r="D168" s="5" t="s">
        <v>63</v>
      </c>
      <c r="E168" s="5" t="s">
        <v>24</v>
      </c>
      <c r="F168" s="5" t="s">
        <v>25</v>
      </c>
      <c r="G168" s="5" t="s">
        <v>37</v>
      </c>
      <c r="H168" s="6" t="s">
        <v>27</v>
      </c>
      <c r="I168" s="6">
        <v>3.0</v>
      </c>
      <c r="J168" s="6">
        <v>7.0</v>
      </c>
      <c r="K168" s="7">
        <v>1000000.0</v>
      </c>
      <c r="L168" s="7">
        <v>9.5899452E7</v>
      </c>
      <c r="M168" s="7">
        <v>2565664.0</v>
      </c>
      <c r="N168" s="7">
        <v>3.9602953E7</v>
      </c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4">
        <v>168.0</v>
      </c>
      <c r="B169" s="5" t="s">
        <v>374</v>
      </c>
      <c r="C169" s="5" t="s">
        <v>375</v>
      </c>
      <c r="D169" s="5" t="s">
        <v>23</v>
      </c>
      <c r="E169" s="5" t="s">
        <v>24</v>
      </c>
      <c r="F169" s="5" t="s">
        <v>25</v>
      </c>
      <c r="G169" s="5" t="s">
        <v>37</v>
      </c>
      <c r="H169" s="6" t="s">
        <v>27</v>
      </c>
      <c r="I169" s="6">
        <v>7.0</v>
      </c>
      <c r="J169" s="6">
        <v>7.0</v>
      </c>
      <c r="K169" s="7">
        <v>1000000.0</v>
      </c>
      <c r="L169" s="7">
        <v>8.1347428E7</v>
      </c>
      <c r="M169" s="7">
        <v>1.0860215E7</v>
      </c>
      <c r="N169" s="7">
        <v>2.863729E7</v>
      </c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4">
        <v>169.0</v>
      </c>
      <c r="B170" s="5" t="s">
        <v>376</v>
      </c>
      <c r="C170" s="5" t="s">
        <v>377</v>
      </c>
      <c r="D170" s="5" t="s">
        <v>30</v>
      </c>
      <c r="E170" s="5" t="s">
        <v>53</v>
      </c>
      <c r="F170" s="5" t="s">
        <v>25</v>
      </c>
      <c r="G170" s="5" t="s">
        <v>37</v>
      </c>
      <c r="H170" s="6" t="s">
        <v>27</v>
      </c>
      <c r="I170" s="6">
        <v>9.0</v>
      </c>
      <c r="J170" s="6">
        <v>9.0</v>
      </c>
      <c r="K170" s="7">
        <v>3.0E7</v>
      </c>
      <c r="L170" s="7">
        <v>5.244286E7</v>
      </c>
      <c r="M170" s="7">
        <v>2659881.0</v>
      </c>
      <c r="N170" s="7">
        <v>8.0287314E7</v>
      </c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4">
        <v>170.0</v>
      </c>
      <c r="B171" s="5" t="s">
        <v>378</v>
      </c>
      <c r="C171" s="5" t="s">
        <v>379</v>
      </c>
      <c r="D171" s="5" t="s">
        <v>36</v>
      </c>
      <c r="E171" s="5" t="s">
        <v>24</v>
      </c>
      <c r="F171" s="5" t="s">
        <v>25</v>
      </c>
      <c r="G171" s="5" t="s">
        <v>37</v>
      </c>
      <c r="H171" s="6" t="s">
        <v>27</v>
      </c>
      <c r="I171" s="6">
        <v>3.0</v>
      </c>
      <c r="J171" s="6">
        <v>5.0</v>
      </c>
      <c r="K171" s="7">
        <v>1.0E7</v>
      </c>
      <c r="L171" s="7">
        <v>9.6199053E7</v>
      </c>
      <c r="M171" s="7">
        <v>3.1746355E7</v>
      </c>
      <c r="N171" s="7">
        <v>8.0063468E7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4">
        <v>171.0</v>
      </c>
      <c r="B172" s="5" t="s">
        <v>380</v>
      </c>
      <c r="C172" s="5" t="s">
        <v>381</v>
      </c>
      <c r="D172" s="5" t="s">
        <v>30</v>
      </c>
      <c r="E172" s="5" t="s">
        <v>24</v>
      </c>
      <c r="F172" s="5" t="s">
        <v>25</v>
      </c>
      <c r="G172" s="5" t="s">
        <v>37</v>
      </c>
      <c r="H172" s="6" t="s">
        <v>20</v>
      </c>
      <c r="I172" s="6">
        <v>8.0</v>
      </c>
      <c r="J172" s="6">
        <v>10.0</v>
      </c>
      <c r="K172" s="7">
        <v>1000000.0</v>
      </c>
      <c r="L172" s="7">
        <v>7.1783742E7</v>
      </c>
      <c r="M172" s="7">
        <v>6.4667814E7</v>
      </c>
      <c r="N172" s="7">
        <v>7.065318E7</v>
      </c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4">
        <v>172.0</v>
      </c>
      <c r="B173" s="5" t="s">
        <v>382</v>
      </c>
      <c r="C173" s="5" t="s">
        <v>383</v>
      </c>
      <c r="D173" s="5" t="s">
        <v>16</v>
      </c>
      <c r="E173" s="5" t="s">
        <v>53</v>
      </c>
      <c r="F173" s="5" t="s">
        <v>25</v>
      </c>
      <c r="G173" s="5" t="s">
        <v>37</v>
      </c>
      <c r="H173" s="6" t="s">
        <v>20</v>
      </c>
      <c r="I173" s="6">
        <v>7.0</v>
      </c>
      <c r="J173" s="6">
        <v>8.0</v>
      </c>
      <c r="K173" s="7">
        <v>9.0E7</v>
      </c>
      <c r="L173" s="7">
        <v>9.4913746E7</v>
      </c>
      <c r="M173" s="7">
        <v>7.4083223E7</v>
      </c>
      <c r="N173" s="7">
        <v>3.161767E7</v>
      </c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4">
        <v>173.0</v>
      </c>
      <c r="B174" s="5" t="s">
        <v>384</v>
      </c>
      <c r="C174" s="5" t="s">
        <v>385</v>
      </c>
      <c r="D174" s="5" t="s">
        <v>45</v>
      </c>
      <c r="E174" s="5" t="s">
        <v>53</v>
      </c>
      <c r="F174" s="5" t="s">
        <v>32</v>
      </c>
      <c r="G174" s="5" t="s">
        <v>33</v>
      </c>
      <c r="H174" s="6" t="s">
        <v>20</v>
      </c>
      <c r="I174" s="6">
        <v>3.0</v>
      </c>
      <c r="J174" s="6">
        <v>10.0</v>
      </c>
      <c r="K174" s="7">
        <v>0.0</v>
      </c>
      <c r="L174" s="7">
        <v>0.0</v>
      </c>
      <c r="M174" s="7">
        <v>6.7753952E7</v>
      </c>
      <c r="N174" s="7">
        <v>7.7205812E7</v>
      </c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4">
        <v>174.0</v>
      </c>
      <c r="B175" s="5" t="s">
        <v>386</v>
      </c>
      <c r="C175" s="5" t="s">
        <v>387</v>
      </c>
      <c r="D175" s="5" t="s">
        <v>16</v>
      </c>
      <c r="E175" s="5" t="s">
        <v>24</v>
      </c>
      <c r="F175" s="5" t="s">
        <v>25</v>
      </c>
      <c r="G175" s="5" t="s">
        <v>37</v>
      </c>
      <c r="H175" s="6" t="s">
        <v>27</v>
      </c>
      <c r="I175" s="6">
        <v>6.0</v>
      </c>
      <c r="J175" s="6">
        <v>5.0</v>
      </c>
      <c r="K175" s="7">
        <v>3.0E7</v>
      </c>
      <c r="L175" s="7">
        <v>3.3477783E7</v>
      </c>
      <c r="M175" s="7">
        <v>0.0</v>
      </c>
      <c r="N175" s="7">
        <v>2.7651635E7</v>
      </c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4">
        <v>175.0</v>
      </c>
      <c r="B176" s="5" t="s">
        <v>388</v>
      </c>
      <c r="C176" s="5" t="s">
        <v>389</v>
      </c>
      <c r="D176" s="5" t="s">
        <v>45</v>
      </c>
      <c r="E176" s="5" t="s">
        <v>31</v>
      </c>
      <c r="F176" s="5" t="s">
        <v>25</v>
      </c>
      <c r="G176" s="5" t="s">
        <v>26</v>
      </c>
      <c r="H176" s="6" t="s">
        <v>27</v>
      </c>
      <c r="I176" s="6">
        <v>8.0</v>
      </c>
      <c r="J176" s="6">
        <v>7.0</v>
      </c>
      <c r="K176" s="7">
        <v>5.0E7</v>
      </c>
      <c r="L176" s="7">
        <v>2702447.0</v>
      </c>
      <c r="M176" s="7">
        <v>0.0</v>
      </c>
      <c r="N176" s="7">
        <v>4.467176E7</v>
      </c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4">
        <v>176.0</v>
      </c>
      <c r="B177" s="5" t="s">
        <v>390</v>
      </c>
      <c r="C177" s="5" t="s">
        <v>391</v>
      </c>
      <c r="D177" s="5" t="s">
        <v>30</v>
      </c>
      <c r="E177" s="5" t="s">
        <v>24</v>
      </c>
      <c r="F177" s="5" t="s">
        <v>25</v>
      </c>
      <c r="G177" s="5" t="s">
        <v>26</v>
      </c>
      <c r="H177" s="6" t="s">
        <v>20</v>
      </c>
      <c r="I177" s="6">
        <v>3.0</v>
      </c>
      <c r="J177" s="6">
        <v>8.0</v>
      </c>
      <c r="K177" s="7">
        <v>5.0E7</v>
      </c>
      <c r="L177" s="7">
        <v>7.0787848E7</v>
      </c>
      <c r="M177" s="7">
        <v>3.3368202E7</v>
      </c>
      <c r="N177" s="7">
        <v>4.3277527E7</v>
      </c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4">
        <v>177.0</v>
      </c>
      <c r="B178" s="5" t="s">
        <v>392</v>
      </c>
      <c r="C178" s="5" t="s">
        <v>393</v>
      </c>
      <c r="D178" s="5" t="s">
        <v>101</v>
      </c>
      <c r="E178" s="5" t="s">
        <v>24</v>
      </c>
      <c r="F178" s="5" t="s">
        <v>32</v>
      </c>
      <c r="G178" s="5" t="s">
        <v>33</v>
      </c>
      <c r="H178" s="6" t="s">
        <v>27</v>
      </c>
      <c r="I178" s="6">
        <v>6.0</v>
      </c>
      <c r="J178" s="6">
        <v>9.0</v>
      </c>
      <c r="K178" s="7">
        <v>0.0</v>
      </c>
      <c r="L178" s="7">
        <v>0.0</v>
      </c>
      <c r="M178" s="7">
        <v>4.6563396E7</v>
      </c>
      <c r="N178" s="7">
        <v>6.3313535E7</v>
      </c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4">
        <v>178.0</v>
      </c>
      <c r="B179" s="5" t="s">
        <v>394</v>
      </c>
      <c r="C179" s="5" t="s">
        <v>395</v>
      </c>
      <c r="D179" s="5" t="s">
        <v>16</v>
      </c>
      <c r="E179" s="5" t="s">
        <v>24</v>
      </c>
      <c r="F179" s="5" t="s">
        <v>25</v>
      </c>
      <c r="G179" s="5" t="s">
        <v>26</v>
      </c>
      <c r="H179" s="6" t="s">
        <v>20</v>
      </c>
      <c r="I179" s="6">
        <v>7.0</v>
      </c>
      <c r="J179" s="6">
        <v>6.0</v>
      </c>
      <c r="K179" s="7">
        <v>2.0E7</v>
      </c>
      <c r="L179" s="7">
        <v>4.006462E7</v>
      </c>
      <c r="M179" s="7">
        <v>9.8137438E7</v>
      </c>
      <c r="N179" s="7">
        <v>0.0</v>
      </c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4">
        <v>179.0</v>
      </c>
      <c r="B180" s="5" t="s">
        <v>396</v>
      </c>
      <c r="C180" s="5" t="s">
        <v>397</v>
      </c>
      <c r="D180" s="5" t="s">
        <v>78</v>
      </c>
      <c r="E180" s="5" t="s">
        <v>24</v>
      </c>
      <c r="F180" s="5" t="s">
        <v>25</v>
      </c>
      <c r="G180" s="5" t="s">
        <v>37</v>
      </c>
      <c r="H180" s="6" t="s">
        <v>20</v>
      </c>
      <c r="I180" s="6">
        <v>6.0</v>
      </c>
      <c r="J180" s="6">
        <v>9.0</v>
      </c>
      <c r="K180" s="7">
        <v>3.0E7</v>
      </c>
      <c r="L180" s="7">
        <v>4.528936E7</v>
      </c>
      <c r="M180" s="7">
        <v>0.0</v>
      </c>
      <c r="N180" s="7">
        <v>4.6980526E7</v>
      </c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4">
        <v>180.0</v>
      </c>
      <c r="B181" s="5" t="s">
        <v>398</v>
      </c>
      <c r="C181" s="5" t="s">
        <v>399</v>
      </c>
      <c r="D181" s="5" t="s">
        <v>23</v>
      </c>
      <c r="E181" s="5" t="s">
        <v>53</v>
      </c>
      <c r="F181" s="5" t="s">
        <v>25</v>
      </c>
      <c r="G181" s="5" t="s">
        <v>37</v>
      </c>
      <c r="H181" s="6" t="s">
        <v>20</v>
      </c>
      <c r="I181" s="6">
        <v>3.0</v>
      </c>
      <c r="J181" s="6">
        <v>8.0</v>
      </c>
      <c r="K181" s="7">
        <v>3.0E7</v>
      </c>
      <c r="L181" s="7">
        <v>3.4397393E7</v>
      </c>
      <c r="M181" s="7">
        <v>7.2192037E7</v>
      </c>
      <c r="N181" s="7">
        <v>2.1247716E7</v>
      </c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4">
        <v>181.0</v>
      </c>
      <c r="B182" s="5" t="s">
        <v>400</v>
      </c>
      <c r="C182" s="5" t="s">
        <v>401</v>
      </c>
      <c r="D182" s="5" t="s">
        <v>152</v>
      </c>
      <c r="E182" s="5" t="s">
        <v>24</v>
      </c>
      <c r="F182" s="5" t="s">
        <v>32</v>
      </c>
      <c r="G182" s="5" t="s">
        <v>60</v>
      </c>
      <c r="H182" s="6" t="s">
        <v>27</v>
      </c>
      <c r="I182" s="6">
        <v>4.0</v>
      </c>
      <c r="J182" s="6">
        <v>5.0</v>
      </c>
      <c r="K182" s="7">
        <v>0.0</v>
      </c>
      <c r="L182" s="7">
        <v>0.0</v>
      </c>
      <c r="M182" s="7">
        <v>6.9870077E7</v>
      </c>
      <c r="N182" s="7">
        <v>9.844158E7</v>
      </c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4">
        <v>182.0</v>
      </c>
      <c r="B183" s="5" t="s">
        <v>402</v>
      </c>
      <c r="C183" s="5" t="s">
        <v>403</v>
      </c>
      <c r="D183" s="5" t="s">
        <v>63</v>
      </c>
      <c r="E183" s="5" t="s">
        <v>53</v>
      </c>
      <c r="F183" s="5" t="s">
        <v>25</v>
      </c>
      <c r="G183" s="5" t="s">
        <v>37</v>
      </c>
      <c r="H183" s="6" t="s">
        <v>20</v>
      </c>
      <c r="I183" s="6">
        <v>4.0</v>
      </c>
      <c r="J183" s="6">
        <v>6.0</v>
      </c>
      <c r="K183" s="7">
        <v>1000000.0</v>
      </c>
      <c r="L183" s="7">
        <v>3.4126405E7</v>
      </c>
      <c r="M183" s="7">
        <v>8.8265167E7</v>
      </c>
      <c r="N183" s="7">
        <v>5.6002928E7</v>
      </c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4">
        <v>183.0</v>
      </c>
      <c r="B184" s="5" t="s">
        <v>404</v>
      </c>
      <c r="C184" s="5" t="s">
        <v>405</v>
      </c>
      <c r="D184" s="5" t="s">
        <v>36</v>
      </c>
      <c r="E184" s="5" t="s">
        <v>24</v>
      </c>
      <c r="F184" s="5" t="s">
        <v>25</v>
      </c>
      <c r="G184" s="5" t="s">
        <v>26</v>
      </c>
      <c r="H184" s="6" t="s">
        <v>20</v>
      </c>
      <c r="I184" s="6">
        <v>5.0</v>
      </c>
      <c r="J184" s="6">
        <v>6.0</v>
      </c>
      <c r="K184" s="7">
        <v>1000000.0</v>
      </c>
      <c r="L184" s="7">
        <v>5.3008255E7</v>
      </c>
      <c r="M184" s="7">
        <v>4.691791E7</v>
      </c>
      <c r="N184" s="7">
        <v>4.7557281E7</v>
      </c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4">
        <v>184.0</v>
      </c>
      <c r="B185" s="5" t="s">
        <v>406</v>
      </c>
      <c r="C185" s="5" t="s">
        <v>407</v>
      </c>
      <c r="D185" s="5" t="s">
        <v>36</v>
      </c>
      <c r="E185" s="5" t="s">
        <v>24</v>
      </c>
      <c r="F185" s="5" t="s">
        <v>32</v>
      </c>
      <c r="G185" s="5" t="s">
        <v>60</v>
      </c>
      <c r="H185" s="6" t="s">
        <v>20</v>
      </c>
      <c r="I185" s="6">
        <v>6.0</v>
      </c>
      <c r="J185" s="6">
        <v>5.0</v>
      </c>
      <c r="K185" s="7">
        <v>0.0</v>
      </c>
      <c r="L185" s="7">
        <v>0.0</v>
      </c>
      <c r="M185" s="7">
        <v>0.0</v>
      </c>
      <c r="N185" s="7">
        <v>2.267526E7</v>
      </c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4">
        <v>185.0</v>
      </c>
      <c r="B186" s="5" t="s">
        <v>408</v>
      </c>
      <c r="C186" s="5" t="s">
        <v>409</v>
      </c>
      <c r="D186" s="5" t="s">
        <v>63</v>
      </c>
      <c r="E186" s="5" t="s">
        <v>24</v>
      </c>
      <c r="F186" s="5" t="s">
        <v>25</v>
      </c>
      <c r="G186" s="5" t="s">
        <v>26</v>
      </c>
      <c r="H186" s="6" t="s">
        <v>20</v>
      </c>
      <c r="I186" s="6">
        <v>9.0</v>
      </c>
      <c r="J186" s="6">
        <v>9.0</v>
      </c>
      <c r="K186" s="7">
        <v>1.0E8</v>
      </c>
      <c r="L186" s="7">
        <v>9.468872E7</v>
      </c>
      <c r="M186" s="7">
        <v>8.6323763E7</v>
      </c>
      <c r="N186" s="7">
        <v>2.0929788E7</v>
      </c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4">
        <v>186.0</v>
      </c>
      <c r="B187" s="5" t="s">
        <v>410</v>
      </c>
      <c r="C187" s="5" t="s">
        <v>411</v>
      </c>
      <c r="D187" s="5" t="s">
        <v>23</v>
      </c>
      <c r="E187" s="5" t="s">
        <v>17</v>
      </c>
      <c r="F187" s="5" t="s">
        <v>18</v>
      </c>
      <c r="G187" s="5" t="s">
        <v>19</v>
      </c>
      <c r="H187" s="6" t="s">
        <v>20</v>
      </c>
      <c r="I187" s="6">
        <v>5.0</v>
      </c>
      <c r="J187" s="6">
        <v>6.0</v>
      </c>
      <c r="K187" s="7">
        <v>0.0</v>
      </c>
      <c r="L187" s="7">
        <v>0.0</v>
      </c>
      <c r="M187" s="7">
        <v>9.6750826E7</v>
      </c>
      <c r="N187" s="7">
        <v>3.1435769E7</v>
      </c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4">
        <v>187.0</v>
      </c>
      <c r="B188" s="5" t="s">
        <v>412</v>
      </c>
      <c r="C188" s="5" t="s">
        <v>413</v>
      </c>
      <c r="D188" s="5" t="s">
        <v>78</v>
      </c>
      <c r="E188" s="5" t="s">
        <v>53</v>
      </c>
      <c r="F188" s="5" t="s">
        <v>25</v>
      </c>
      <c r="G188" s="5" t="s">
        <v>26</v>
      </c>
      <c r="H188" s="6" t="s">
        <v>20</v>
      </c>
      <c r="I188" s="6">
        <v>6.0</v>
      </c>
      <c r="J188" s="6">
        <v>10.0</v>
      </c>
      <c r="K188" s="7">
        <v>1.0E7</v>
      </c>
      <c r="L188" s="7">
        <v>8.9686683E7</v>
      </c>
      <c r="M188" s="7">
        <v>6.2448793E7</v>
      </c>
      <c r="N188" s="7">
        <v>2.68126E7</v>
      </c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4">
        <v>188.0</v>
      </c>
      <c r="B189" s="5" t="s">
        <v>414</v>
      </c>
      <c r="C189" s="5" t="s">
        <v>415</v>
      </c>
      <c r="D189" s="5" t="s">
        <v>23</v>
      </c>
      <c r="E189" s="5" t="s">
        <v>24</v>
      </c>
      <c r="F189" s="5" t="s">
        <v>25</v>
      </c>
      <c r="G189" s="5" t="s">
        <v>37</v>
      </c>
      <c r="H189" s="6" t="s">
        <v>20</v>
      </c>
      <c r="I189" s="6">
        <v>6.0</v>
      </c>
      <c r="J189" s="6">
        <v>9.0</v>
      </c>
      <c r="K189" s="7">
        <v>3.0E7</v>
      </c>
      <c r="L189" s="7">
        <v>3.2890743E7</v>
      </c>
      <c r="M189" s="7">
        <v>0.0</v>
      </c>
      <c r="N189" s="7">
        <v>3.986462E7</v>
      </c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4">
        <v>189.0</v>
      </c>
      <c r="B190" s="5" t="s">
        <v>416</v>
      </c>
      <c r="C190" s="5" t="s">
        <v>417</v>
      </c>
      <c r="D190" s="5" t="s">
        <v>23</v>
      </c>
      <c r="E190" s="5" t="s">
        <v>53</v>
      </c>
      <c r="F190" s="5" t="s">
        <v>25</v>
      </c>
      <c r="G190" s="5" t="s">
        <v>26</v>
      </c>
      <c r="H190" s="6" t="s">
        <v>20</v>
      </c>
      <c r="I190" s="6">
        <v>8.0</v>
      </c>
      <c r="J190" s="6">
        <v>5.0</v>
      </c>
      <c r="K190" s="7">
        <v>1.0E7</v>
      </c>
      <c r="L190" s="7">
        <v>3.2370896E7</v>
      </c>
      <c r="M190" s="7">
        <v>9.6066942E7</v>
      </c>
      <c r="N190" s="7">
        <v>3767736.0</v>
      </c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4">
        <v>190.0</v>
      </c>
      <c r="B191" s="5" t="s">
        <v>418</v>
      </c>
      <c r="C191" s="5" t="s">
        <v>419</v>
      </c>
      <c r="D191" s="5" t="s">
        <v>36</v>
      </c>
      <c r="E191" s="5" t="s">
        <v>53</v>
      </c>
      <c r="F191" s="5" t="s">
        <v>32</v>
      </c>
      <c r="G191" s="5" t="s">
        <v>33</v>
      </c>
      <c r="H191" s="6" t="s">
        <v>20</v>
      </c>
      <c r="I191" s="6">
        <v>7.0</v>
      </c>
      <c r="J191" s="6">
        <v>8.0</v>
      </c>
      <c r="K191" s="7">
        <v>0.0</v>
      </c>
      <c r="L191" s="7">
        <v>0.0</v>
      </c>
      <c r="M191" s="7">
        <v>2.4514428E7</v>
      </c>
      <c r="N191" s="7">
        <v>2.7890231E7</v>
      </c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4">
        <v>191.0</v>
      </c>
      <c r="B192" s="5" t="s">
        <v>420</v>
      </c>
      <c r="C192" s="5" t="s">
        <v>421</v>
      </c>
      <c r="D192" s="5" t="s">
        <v>16</v>
      </c>
      <c r="E192" s="5" t="s">
        <v>24</v>
      </c>
      <c r="F192" s="5" t="s">
        <v>25</v>
      </c>
      <c r="G192" s="5" t="s">
        <v>26</v>
      </c>
      <c r="H192" s="6" t="s">
        <v>27</v>
      </c>
      <c r="I192" s="6">
        <v>9.0</v>
      </c>
      <c r="J192" s="6">
        <v>10.0</v>
      </c>
      <c r="K192" s="7">
        <v>1.0E7</v>
      </c>
      <c r="L192" s="7">
        <v>3.1953589E7</v>
      </c>
      <c r="M192" s="7">
        <v>4.0068224E7</v>
      </c>
      <c r="N192" s="7">
        <v>8.0951038E7</v>
      </c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4">
        <v>192.0</v>
      </c>
      <c r="B193" s="5" t="s">
        <v>422</v>
      </c>
      <c r="C193" s="5" t="s">
        <v>423</v>
      </c>
      <c r="D193" s="5" t="s">
        <v>16</v>
      </c>
      <c r="E193" s="5" t="s">
        <v>24</v>
      </c>
      <c r="F193" s="5" t="s">
        <v>25</v>
      </c>
      <c r="G193" s="5" t="s">
        <v>26</v>
      </c>
      <c r="H193" s="6" t="s">
        <v>20</v>
      </c>
      <c r="I193" s="6">
        <v>3.0</v>
      </c>
      <c r="J193" s="6">
        <v>10.0</v>
      </c>
      <c r="K193" s="7">
        <v>5.0E7</v>
      </c>
      <c r="L193" s="7">
        <v>7.8205651E7</v>
      </c>
      <c r="M193" s="7">
        <v>6.238118E7</v>
      </c>
      <c r="N193" s="7">
        <v>6508585.0</v>
      </c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4">
        <v>193.0</v>
      </c>
      <c r="B194" s="5" t="s">
        <v>424</v>
      </c>
      <c r="C194" s="5" t="s">
        <v>425</v>
      </c>
      <c r="D194" s="5" t="s">
        <v>16</v>
      </c>
      <c r="E194" s="5" t="s">
        <v>50</v>
      </c>
      <c r="F194" s="5" t="s">
        <v>32</v>
      </c>
      <c r="G194" s="5" t="s">
        <v>60</v>
      </c>
      <c r="H194" s="6" t="s">
        <v>20</v>
      </c>
      <c r="I194" s="6">
        <v>6.0</v>
      </c>
      <c r="J194" s="6">
        <v>10.0</v>
      </c>
      <c r="K194" s="7">
        <v>0.0</v>
      </c>
      <c r="L194" s="7">
        <v>0.0</v>
      </c>
      <c r="M194" s="7">
        <v>3.4584522E7</v>
      </c>
      <c r="N194" s="7">
        <v>0.0</v>
      </c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4">
        <v>194.0</v>
      </c>
      <c r="B195" s="5" t="s">
        <v>426</v>
      </c>
      <c r="C195" s="5" t="s">
        <v>427</v>
      </c>
      <c r="D195" s="5" t="s">
        <v>16</v>
      </c>
      <c r="E195" s="5" t="s">
        <v>24</v>
      </c>
      <c r="F195" s="5" t="s">
        <v>18</v>
      </c>
      <c r="G195" s="5" t="s">
        <v>175</v>
      </c>
      <c r="H195" s="6" t="s">
        <v>20</v>
      </c>
      <c r="I195" s="6">
        <v>9.0</v>
      </c>
      <c r="J195" s="6">
        <v>5.0</v>
      </c>
      <c r="K195" s="7">
        <v>0.0</v>
      </c>
      <c r="L195" s="7">
        <v>0.0</v>
      </c>
      <c r="M195" s="7">
        <v>7.6942676E7</v>
      </c>
      <c r="N195" s="7">
        <v>7.4216691E7</v>
      </c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4">
        <v>195.0</v>
      </c>
      <c r="B196" s="5" t="s">
        <v>428</v>
      </c>
      <c r="C196" s="5" t="s">
        <v>429</v>
      </c>
      <c r="D196" s="5" t="s">
        <v>36</v>
      </c>
      <c r="E196" s="5" t="s">
        <v>53</v>
      </c>
      <c r="F196" s="5" t="s">
        <v>25</v>
      </c>
      <c r="G196" s="5" t="s">
        <v>37</v>
      </c>
      <c r="H196" s="6" t="s">
        <v>27</v>
      </c>
      <c r="I196" s="6">
        <v>8.0</v>
      </c>
      <c r="J196" s="6">
        <v>7.0</v>
      </c>
      <c r="K196" s="7">
        <v>5000000.0</v>
      </c>
      <c r="L196" s="7">
        <v>7.0270294E7</v>
      </c>
      <c r="M196" s="7">
        <v>1.9588762E7</v>
      </c>
      <c r="N196" s="7">
        <v>7.8634577E7</v>
      </c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4">
        <v>196.0</v>
      </c>
      <c r="B197" s="5" t="s">
        <v>430</v>
      </c>
      <c r="C197" s="5" t="s">
        <v>431</v>
      </c>
      <c r="D197" s="5" t="s">
        <v>23</v>
      </c>
      <c r="E197" s="5" t="s">
        <v>50</v>
      </c>
      <c r="F197" s="5" t="s">
        <v>32</v>
      </c>
      <c r="G197" s="5" t="s">
        <v>60</v>
      </c>
      <c r="H197" s="6" t="s">
        <v>20</v>
      </c>
      <c r="I197" s="6">
        <v>8.0</v>
      </c>
      <c r="J197" s="6">
        <v>5.0</v>
      </c>
      <c r="K197" s="7">
        <v>0.0</v>
      </c>
      <c r="L197" s="7">
        <v>0.0</v>
      </c>
      <c r="M197" s="7">
        <v>8.5955846E7</v>
      </c>
      <c r="N197" s="7">
        <v>2.5891596E7</v>
      </c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4">
        <v>197.0</v>
      </c>
      <c r="B198" s="5" t="s">
        <v>432</v>
      </c>
      <c r="C198" s="5" t="s">
        <v>433</v>
      </c>
      <c r="D198" s="5" t="s">
        <v>45</v>
      </c>
      <c r="E198" s="5" t="s">
        <v>50</v>
      </c>
      <c r="F198" s="5" t="s">
        <v>25</v>
      </c>
      <c r="G198" s="5" t="s">
        <v>37</v>
      </c>
      <c r="H198" s="6" t="s">
        <v>27</v>
      </c>
      <c r="I198" s="6">
        <v>6.0</v>
      </c>
      <c r="J198" s="6">
        <v>4.0</v>
      </c>
      <c r="K198" s="7">
        <v>2.0E7</v>
      </c>
      <c r="L198" s="7">
        <v>6.2745331E7</v>
      </c>
      <c r="M198" s="7">
        <v>3.9843357E7</v>
      </c>
      <c r="N198" s="7">
        <v>6.4840967E7</v>
      </c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4">
        <v>198.0</v>
      </c>
      <c r="B199" s="5" t="s">
        <v>434</v>
      </c>
      <c r="C199" s="5" t="s">
        <v>435</v>
      </c>
      <c r="D199" s="5" t="s">
        <v>101</v>
      </c>
      <c r="E199" s="5" t="s">
        <v>24</v>
      </c>
      <c r="F199" s="5" t="s">
        <v>32</v>
      </c>
      <c r="G199" s="5" t="s">
        <v>33</v>
      </c>
      <c r="H199" s="6" t="s">
        <v>20</v>
      </c>
      <c r="I199" s="6">
        <v>3.0</v>
      </c>
      <c r="J199" s="6">
        <v>7.0</v>
      </c>
      <c r="K199" s="7">
        <v>0.0</v>
      </c>
      <c r="L199" s="7">
        <v>0.0</v>
      </c>
      <c r="M199" s="7">
        <v>8.2583322E7</v>
      </c>
      <c r="N199" s="7">
        <v>809058.0</v>
      </c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4">
        <v>199.0</v>
      </c>
      <c r="B200" s="5" t="s">
        <v>436</v>
      </c>
      <c r="C200" s="5" t="s">
        <v>437</v>
      </c>
      <c r="D200" s="5" t="s">
        <v>42</v>
      </c>
      <c r="E200" s="5" t="s">
        <v>24</v>
      </c>
      <c r="F200" s="5" t="s">
        <v>25</v>
      </c>
      <c r="G200" s="5" t="s">
        <v>37</v>
      </c>
      <c r="H200" s="6" t="s">
        <v>27</v>
      </c>
      <c r="I200" s="6">
        <v>6.0</v>
      </c>
      <c r="J200" s="6">
        <v>9.0</v>
      </c>
      <c r="K200" s="7">
        <v>1.0E7</v>
      </c>
      <c r="L200" s="7">
        <v>5.9890317E7</v>
      </c>
      <c r="M200" s="7">
        <v>4.2451842E7</v>
      </c>
      <c r="N200" s="7">
        <v>0.0</v>
      </c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4">
        <v>200.0</v>
      </c>
      <c r="B201" s="5" t="s">
        <v>438</v>
      </c>
      <c r="C201" s="5" t="s">
        <v>439</v>
      </c>
      <c r="D201" s="5" t="s">
        <v>45</v>
      </c>
      <c r="E201" s="5" t="s">
        <v>50</v>
      </c>
      <c r="F201" s="5" t="s">
        <v>25</v>
      </c>
      <c r="G201" s="5" t="s">
        <v>26</v>
      </c>
      <c r="H201" s="6" t="s">
        <v>20</v>
      </c>
      <c r="I201" s="6">
        <v>6.0</v>
      </c>
      <c r="J201" s="6">
        <v>5.0</v>
      </c>
      <c r="K201" s="7">
        <v>1.0E7</v>
      </c>
      <c r="L201" s="7">
        <v>9.7449662E7</v>
      </c>
      <c r="M201" s="7">
        <v>4.962416E7</v>
      </c>
      <c r="N201" s="7">
        <v>1.7854677E7</v>
      </c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4">
        <v>201.0</v>
      </c>
      <c r="B202" s="5" t="s">
        <v>440</v>
      </c>
      <c r="C202" s="5" t="s">
        <v>441</v>
      </c>
      <c r="D202" s="5" t="s">
        <v>63</v>
      </c>
      <c r="E202" s="5" t="s">
        <v>31</v>
      </c>
      <c r="F202" s="5" t="s">
        <v>32</v>
      </c>
      <c r="G202" s="5" t="s">
        <v>33</v>
      </c>
      <c r="H202" s="6" t="s">
        <v>20</v>
      </c>
      <c r="I202" s="6">
        <v>8.0</v>
      </c>
      <c r="J202" s="6">
        <v>10.0</v>
      </c>
      <c r="K202" s="7">
        <v>0.0</v>
      </c>
      <c r="L202" s="7">
        <v>0.0</v>
      </c>
      <c r="M202" s="7">
        <v>4.4422091E7</v>
      </c>
      <c r="N202" s="7">
        <v>8898260.0</v>
      </c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4">
        <v>202.0</v>
      </c>
      <c r="B203" s="5" t="s">
        <v>442</v>
      </c>
      <c r="C203" s="5" t="s">
        <v>443</v>
      </c>
      <c r="D203" s="5" t="s">
        <v>45</v>
      </c>
      <c r="E203" s="5" t="s">
        <v>24</v>
      </c>
      <c r="F203" s="5" t="s">
        <v>32</v>
      </c>
      <c r="G203" s="5" t="s">
        <v>60</v>
      </c>
      <c r="H203" s="6" t="s">
        <v>20</v>
      </c>
      <c r="I203" s="6">
        <v>5.0</v>
      </c>
      <c r="J203" s="6">
        <v>7.0</v>
      </c>
      <c r="K203" s="7">
        <v>0.0</v>
      </c>
      <c r="L203" s="7">
        <v>0.0</v>
      </c>
      <c r="M203" s="7">
        <v>0.0</v>
      </c>
      <c r="N203" s="7">
        <v>6.3436099E7</v>
      </c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4">
        <v>203.0</v>
      </c>
      <c r="B204" s="5" t="s">
        <v>444</v>
      </c>
      <c r="C204" s="5" t="s">
        <v>445</v>
      </c>
      <c r="D204" s="5" t="s">
        <v>16</v>
      </c>
      <c r="E204" s="5" t="s">
        <v>24</v>
      </c>
      <c r="F204" s="5" t="s">
        <v>25</v>
      </c>
      <c r="G204" s="5" t="s">
        <v>26</v>
      </c>
      <c r="H204" s="6" t="s">
        <v>27</v>
      </c>
      <c r="I204" s="6">
        <v>9.0</v>
      </c>
      <c r="J204" s="6">
        <v>6.0</v>
      </c>
      <c r="K204" s="7">
        <v>1.0E7</v>
      </c>
      <c r="L204" s="7">
        <v>9.9989764E7</v>
      </c>
      <c r="M204" s="7">
        <v>8030175.0</v>
      </c>
      <c r="N204" s="7">
        <v>3.7676206E7</v>
      </c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4">
        <v>204.0</v>
      </c>
      <c r="B205" s="5" t="s">
        <v>446</v>
      </c>
      <c r="C205" s="5" t="s">
        <v>447</v>
      </c>
      <c r="D205" s="5" t="s">
        <v>101</v>
      </c>
      <c r="E205" s="5" t="s">
        <v>24</v>
      </c>
      <c r="F205" s="5" t="s">
        <v>32</v>
      </c>
      <c r="G205" s="5" t="s">
        <v>60</v>
      </c>
      <c r="H205" s="6" t="s">
        <v>27</v>
      </c>
      <c r="I205" s="6">
        <v>4.0</v>
      </c>
      <c r="J205" s="6">
        <v>6.0</v>
      </c>
      <c r="K205" s="7">
        <v>0.0</v>
      </c>
      <c r="L205" s="7">
        <v>0.0</v>
      </c>
      <c r="M205" s="7">
        <v>1.2862402E7</v>
      </c>
      <c r="N205" s="7">
        <v>6.8922404E7</v>
      </c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4">
        <v>205.0</v>
      </c>
      <c r="B206" s="5" t="s">
        <v>448</v>
      </c>
      <c r="C206" s="5" t="s">
        <v>449</v>
      </c>
      <c r="D206" s="5" t="s">
        <v>36</v>
      </c>
      <c r="E206" s="5" t="s">
        <v>53</v>
      </c>
      <c r="F206" s="5" t="s">
        <v>32</v>
      </c>
      <c r="G206" s="5" t="s">
        <v>60</v>
      </c>
      <c r="H206" s="6" t="s">
        <v>27</v>
      </c>
      <c r="I206" s="6">
        <v>4.0</v>
      </c>
      <c r="J206" s="6">
        <v>10.0</v>
      </c>
      <c r="K206" s="7">
        <v>0.0</v>
      </c>
      <c r="L206" s="7">
        <v>0.0</v>
      </c>
      <c r="M206" s="7">
        <v>4.6914257E7</v>
      </c>
      <c r="N206" s="7">
        <v>4.3734508E7</v>
      </c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4">
        <v>206.0</v>
      </c>
      <c r="B207" s="5" t="s">
        <v>450</v>
      </c>
      <c r="C207" s="5" t="s">
        <v>451</v>
      </c>
      <c r="D207" s="5" t="s">
        <v>152</v>
      </c>
      <c r="E207" s="5" t="s">
        <v>17</v>
      </c>
      <c r="F207" s="5" t="s">
        <v>18</v>
      </c>
      <c r="G207" s="5" t="s">
        <v>19</v>
      </c>
      <c r="H207" s="6" t="s">
        <v>20</v>
      </c>
      <c r="I207" s="6">
        <v>9.0</v>
      </c>
      <c r="J207" s="6">
        <v>7.0</v>
      </c>
      <c r="K207" s="7">
        <v>0.0</v>
      </c>
      <c r="L207" s="7">
        <v>0.0</v>
      </c>
      <c r="M207" s="7">
        <v>9.5212463E7</v>
      </c>
      <c r="N207" s="7">
        <v>0.0</v>
      </c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4">
        <v>207.0</v>
      </c>
      <c r="B208" s="5" t="s">
        <v>452</v>
      </c>
      <c r="C208" s="5" t="s">
        <v>453</v>
      </c>
      <c r="D208" s="5" t="s">
        <v>152</v>
      </c>
      <c r="E208" s="5" t="s">
        <v>24</v>
      </c>
      <c r="F208" s="5" t="s">
        <v>25</v>
      </c>
      <c r="G208" s="5" t="s">
        <v>26</v>
      </c>
      <c r="H208" s="6" t="s">
        <v>20</v>
      </c>
      <c r="I208" s="6">
        <v>6.0</v>
      </c>
      <c r="J208" s="6">
        <v>9.0</v>
      </c>
      <c r="K208" s="7">
        <v>5000000.0</v>
      </c>
      <c r="L208" s="7">
        <v>3.2915397E7</v>
      </c>
      <c r="M208" s="7">
        <v>7.4493461E7</v>
      </c>
      <c r="N208" s="7">
        <v>151779.0</v>
      </c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4">
        <v>208.0</v>
      </c>
      <c r="B209" s="5" t="s">
        <v>454</v>
      </c>
      <c r="C209" s="5" t="s">
        <v>455</v>
      </c>
      <c r="D209" s="5" t="s">
        <v>23</v>
      </c>
      <c r="E209" s="5" t="s">
        <v>53</v>
      </c>
      <c r="F209" s="5" t="s">
        <v>32</v>
      </c>
      <c r="G209" s="5" t="s">
        <v>60</v>
      </c>
      <c r="H209" s="6" t="s">
        <v>20</v>
      </c>
      <c r="I209" s="6">
        <v>8.0</v>
      </c>
      <c r="J209" s="6">
        <v>5.0</v>
      </c>
      <c r="K209" s="7">
        <v>0.0</v>
      </c>
      <c r="L209" s="7">
        <v>0.0</v>
      </c>
      <c r="M209" s="7">
        <v>4.3223505E7</v>
      </c>
      <c r="N209" s="7">
        <v>0.0</v>
      </c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4">
        <v>209.0</v>
      </c>
      <c r="B210" s="5" t="s">
        <v>456</v>
      </c>
      <c r="C210" s="5" t="s">
        <v>457</v>
      </c>
      <c r="D210" s="5" t="s">
        <v>42</v>
      </c>
      <c r="E210" s="5" t="s">
        <v>24</v>
      </c>
      <c r="F210" s="5" t="s">
        <v>32</v>
      </c>
      <c r="G210" s="5" t="s">
        <v>60</v>
      </c>
      <c r="H210" s="6" t="s">
        <v>20</v>
      </c>
      <c r="I210" s="6">
        <v>6.0</v>
      </c>
      <c r="J210" s="6">
        <v>9.0</v>
      </c>
      <c r="K210" s="7">
        <v>0.0</v>
      </c>
      <c r="L210" s="7">
        <v>0.0</v>
      </c>
      <c r="M210" s="7">
        <v>1.4141858E7</v>
      </c>
      <c r="N210" s="7">
        <v>8.7162317E7</v>
      </c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4">
        <v>210.0</v>
      </c>
      <c r="B211" s="5" t="s">
        <v>458</v>
      </c>
      <c r="C211" s="5" t="s">
        <v>459</v>
      </c>
      <c r="D211" s="5" t="s">
        <v>23</v>
      </c>
      <c r="E211" s="5" t="s">
        <v>24</v>
      </c>
      <c r="F211" s="5" t="s">
        <v>32</v>
      </c>
      <c r="G211" s="5" t="s">
        <v>60</v>
      </c>
      <c r="H211" s="6" t="s">
        <v>20</v>
      </c>
      <c r="I211" s="6">
        <v>7.0</v>
      </c>
      <c r="J211" s="6">
        <v>10.0</v>
      </c>
      <c r="K211" s="7">
        <v>0.0</v>
      </c>
      <c r="L211" s="7">
        <v>0.0</v>
      </c>
      <c r="M211" s="7">
        <v>2.9525162E7</v>
      </c>
      <c r="N211" s="7">
        <v>0.0</v>
      </c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4">
        <v>211.0</v>
      </c>
      <c r="B212" s="5" t="s">
        <v>460</v>
      </c>
      <c r="C212" s="5" t="s">
        <v>461</v>
      </c>
      <c r="D212" s="5" t="s">
        <v>23</v>
      </c>
      <c r="E212" s="5" t="s">
        <v>24</v>
      </c>
      <c r="F212" s="5" t="s">
        <v>32</v>
      </c>
      <c r="G212" s="5" t="s">
        <v>33</v>
      </c>
      <c r="H212" s="6" t="s">
        <v>27</v>
      </c>
      <c r="I212" s="6">
        <v>5.0</v>
      </c>
      <c r="J212" s="6">
        <v>9.0</v>
      </c>
      <c r="K212" s="7">
        <v>0.0</v>
      </c>
      <c r="L212" s="7">
        <v>0.0</v>
      </c>
      <c r="M212" s="7">
        <v>2.9366791E7</v>
      </c>
      <c r="N212" s="7">
        <v>8.9805774E7</v>
      </c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4">
        <v>212.0</v>
      </c>
      <c r="B213" s="5" t="s">
        <v>462</v>
      </c>
      <c r="C213" s="5" t="s">
        <v>463</v>
      </c>
      <c r="D213" s="5" t="s">
        <v>42</v>
      </c>
      <c r="E213" s="5" t="s">
        <v>24</v>
      </c>
      <c r="F213" s="5" t="s">
        <v>32</v>
      </c>
      <c r="G213" s="5" t="s">
        <v>60</v>
      </c>
      <c r="H213" s="6" t="s">
        <v>27</v>
      </c>
      <c r="I213" s="6">
        <v>3.0</v>
      </c>
      <c r="J213" s="6">
        <v>7.0</v>
      </c>
      <c r="K213" s="7">
        <v>0.0</v>
      </c>
      <c r="L213" s="7">
        <v>0.0</v>
      </c>
      <c r="M213" s="7">
        <v>7.3195518E7</v>
      </c>
      <c r="N213" s="7">
        <v>1.0695678E7</v>
      </c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4">
        <v>213.0</v>
      </c>
      <c r="B214" s="5" t="s">
        <v>464</v>
      </c>
      <c r="C214" s="5" t="s">
        <v>465</v>
      </c>
      <c r="D214" s="5" t="s">
        <v>23</v>
      </c>
      <c r="E214" s="5" t="s">
        <v>24</v>
      </c>
      <c r="F214" s="5" t="s">
        <v>32</v>
      </c>
      <c r="G214" s="5" t="s">
        <v>60</v>
      </c>
      <c r="H214" s="6" t="s">
        <v>20</v>
      </c>
      <c r="I214" s="6">
        <v>7.0</v>
      </c>
      <c r="J214" s="6">
        <v>10.0</v>
      </c>
      <c r="K214" s="7">
        <v>0.0</v>
      </c>
      <c r="L214" s="7">
        <v>0.0</v>
      </c>
      <c r="M214" s="7">
        <v>1432950.0</v>
      </c>
      <c r="N214" s="7">
        <v>2.9672451E7</v>
      </c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4">
        <v>214.0</v>
      </c>
      <c r="B215" s="5" t="s">
        <v>466</v>
      </c>
      <c r="C215" s="5" t="s">
        <v>467</v>
      </c>
      <c r="D215" s="5" t="s">
        <v>101</v>
      </c>
      <c r="E215" s="5" t="s">
        <v>24</v>
      </c>
      <c r="F215" s="5" t="s">
        <v>25</v>
      </c>
      <c r="G215" s="5" t="s">
        <v>26</v>
      </c>
      <c r="H215" s="6" t="s">
        <v>27</v>
      </c>
      <c r="I215" s="6">
        <v>5.0</v>
      </c>
      <c r="J215" s="6">
        <v>7.0</v>
      </c>
      <c r="K215" s="7">
        <v>1000000.0</v>
      </c>
      <c r="L215" s="7">
        <v>7.7159264E7</v>
      </c>
      <c r="M215" s="7">
        <v>0.0</v>
      </c>
      <c r="N215" s="7">
        <v>9.7234303E7</v>
      </c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4">
        <v>215.0</v>
      </c>
      <c r="B216" s="5" t="s">
        <v>468</v>
      </c>
      <c r="C216" s="5" t="s">
        <v>469</v>
      </c>
      <c r="D216" s="5" t="s">
        <v>101</v>
      </c>
      <c r="E216" s="5" t="s">
        <v>24</v>
      </c>
      <c r="F216" s="5" t="s">
        <v>25</v>
      </c>
      <c r="G216" s="5" t="s">
        <v>26</v>
      </c>
      <c r="H216" s="6" t="s">
        <v>20</v>
      </c>
      <c r="I216" s="6">
        <v>9.0</v>
      </c>
      <c r="J216" s="6">
        <v>4.0</v>
      </c>
      <c r="K216" s="7">
        <v>1.0E8</v>
      </c>
      <c r="L216" s="7">
        <v>1.2451199E7</v>
      </c>
      <c r="M216" s="7">
        <v>7.4231711E7</v>
      </c>
      <c r="N216" s="7">
        <v>4.2951226E7</v>
      </c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4">
        <v>216.0</v>
      </c>
      <c r="B217" s="5" t="s">
        <v>470</v>
      </c>
      <c r="C217" s="5" t="s">
        <v>471</v>
      </c>
      <c r="D217" s="5" t="s">
        <v>36</v>
      </c>
      <c r="E217" s="5" t="s">
        <v>31</v>
      </c>
      <c r="F217" s="5" t="s">
        <v>25</v>
      </c>
      <c r="G217" s="5" t="s">
        <v>26</v>
      </c>
      <c r="H217" s="6" t="s">
        <v>27</v>
      </c>
      <c r="I217" s="6">
        <v>6.0</v>
      </c>
      <c r="J217" s="6">
        <v>5.0</v>
      </c>
      <c r="K217" s="7">
        <v>9.0E7</v>
      </c>
      <c r="L217" s="7">
        <v>1.3287929E7</v>
      </c>
      <c r="M217" s="7">
        <v>2.7090183E7</v>
      </c>
      <c r="N217" s="7">
        <v>7.9518711E7</v>
      </c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4">
        <v>217.0</v>
      </c>
      <c r="B218" s="5" t="s">
        <v>472</v>
      </c>
      <c r="C218" s="5" t="s">
        <v>473</v>
      </c>
      <c r="D218" s="5" t="s">
        <v>42</v>
      </c>
      <c r="E218" s="5" t="s">
        <v>17</v>
      </c>
      <c r="F218" s="5" t="s">
        <v>18</v>
      </c>
      <c r="G218" s="5" t="s">
        <v>175</v>
      </c>
      <c r="H218" s="6" t="s">
        <v>20</v>
      </c>
      <c r="I218" s="6">
        <v>7.0</v>
      </c>
      <c r="J218" s="6">
        <v>6.0</v>
      </c>
      <c r="K218" s="7">
        <v>0.0</v>
      </c>
      <c r="L218" s="7">
        <v>0.0</v>
      </c>
      <c r="M218" s="7">
        <v>2.0898506E7</v>
      </c>
      <c r="N218" s="7">
        <v>2.4525645E7</v>
      </c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4">
        <v>218.0</v>
      </c>
      <c r="B219" s="5" t="s">
        <v>474</v>
      </c>
      <c r="C219" s="5" t="s">
        <v>475</v>
      </c>
      <c r="D219" s="5" t="s">
        <v>45</v>
      </c>
      <c r="E219" s="5" t="s">
        <v>24</v>
      </c>
      <c r="F219" s="5" t="s">
        <v>25</v>
      </c>
      <c r="G219" s="5" t="s">
        <v>26</v>
      </c>
      <c r="H219" s="6" t="s">
        <v>20</v>
      </c>
      <c r="I219" s="6">
        <v>5.0</v>
      </c>
      <c r="J219" s="6">
        <v>7.0</v>
      </c>
      <c r="K219" s="7">
        <v>5000000.0</v>
      </c>
      <c r="L219" s="7">
        <v>3.7959268E7</v>
      </c>
      <c r="M219" s="7">
        <v>6.9132389E7</v>
      </c>
      <c r="N219" s="7">
        <v>9.9564796E7</v>
      </c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4">
        <v>219.0</v>
      </c>
      <c r="B220" s="5" t="s">
        <v>476</v>
      </c>
      <c r="C220" s="5" t="s">
        <v>477</v>
      </c>
      <c r="D220" s="5" t="s">
        <v>30</v>
      </c>
      <c r="E220" s="5" t="s">
        <v>24</v>
      </c>
      <c r="F220" s="5" t="s">
        <v>32</v>
      </c>
      <c r="G220" s="5" t="s">
        <v>60</v>
      </c>
      <c r="H220" s="6" t="s">
        <v>27</v>
      </c>
      <c r="I220" s="6">
        <v>4.0</v>
      </c>
      <c r="J220" s="6">
        <v>10.0</v>
      </c>
      <c r="K220" s="7">
        <v>0.0</v>
      </c>
      <c r="L220" s="7">
        <v>0.0</v>
      </c>
      <c r="M220" s="7">
        <v>2.6450622E7</v>
      </c>
      <c r="N220" s="7">
        <v>4227264.0</v>
      </c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4">
        <v>220.0</v>
      </c>
      <c r="B221" s="5" t="s">
        <v>478</v>
      </c>
      <c r="C221" s="5" t="s">
        <v>479</v>
      </c>
      <c r="D221" s="5" t="s">
        <v>63</v>
      </c>
      <c r="E221" s="5" t="s">
        <v>24</v>
      </c>
      <c r="F221" s="5" t="s">
        <v>32</v>
      </c>
      <c r="G221" s="5" t="s">
        <v>60</v>
      </c>
      <c r="H221" s="6" t="s">
        <v>27</v>
      </c>
      <c r="I221" s="6">
        <v>7.0</v>
      </c>
      <c r="J221" s="6">
        <v>9.0</v>
      </c>
      <c r="K221" s="7">
        <v>0.0</v>
      </c>
      <c r="L221" s="7">
        <v>0.0</v>
      </c>
      <c r="M221" s="7">
        <v>0.0</v>
      </c>
      <c r="N221" s="7">
        <v>5.437664E7</v>
      </c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4">
        <v>221.0</v>
      </c>
      <c r="B222" s="5" t="s">
        <v>480</v>
      </c>
      <c r="C222" s="5" t="s">
        <v>481</v>
      </c>
      <c r="D222" s="5" t="s">
        <v>63</v>
      </c>
      <c r="E222" s="5" t="s">
        <v>24</v>
      </c>
      <c r="F222" s="5" t="s">
        <v>25</v>
      </c>
      <c r="G222" s="5" t="s">
        <v>37</v>
      </c>
      <c r="H222" s="6" t="s">
        <v>20</v>
      </c>
      <c r="I222" s="6">
        <v>3.0</v>
      </c>
      <c r="J222" s="6">
        <v>5.0</v>
      </c>
      <c r="K222" s="7">
        <v>9.0E7</v>
      </c>
      <c r="L222" s="7">
        <v>2.9991873E7</v>
      </c>
      <c r="M222" s="7">
        <v>3.9252741E7</v>
      </c>
      <c r="N222" s="7">
        <v>1.5542722E7</v>
      </c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4">
        <v>222.0</v>
      </c>
      <c r="B223" s="5" t="s">
        <v>482</v>
      </c>
      <c r="C223" s="5" t="s">
        <v>483</v>
      </c>
      <c r="D223" s="5" t="s">
        <v>30</v>
      </c>
      <c r="E223" s="5" t="s">
        <v>24</v>
      </c>
      <c r="F223" s="5" t="s">
        <v>25</v>
      </c>
      <c r="G223" s="5" t="s">
        <v>37</v>
      </c>
      <c r="H223" s="6" t="s">
        <v>20</v>
      </c>
      <c r="I223" s="6">
        <v>3.0</v>
      </c>
      <c r="J223" s="6">
        <v>7.0</v>
      </c>
      <c r="K223" s="7">
        <v>1.0E7</v>
      </c>
      <c r="L223" s="7">
        <v>7303129.0</v>
      </c>
      <c r="M223" s="7">
        <v>3765621.0</v>
      </c>
      <c r="N223" s="7">
        <v>1.8125151E7</v>
      </c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4">
        <v>223.0</v>
      </c>
      <c r="B224" s="5" t="s">
        <v>484</v>
      </c>
      <c r="C224" s="5" t="s">
        <v>485</v>
      </c>
      <c r="D224" s="5" t="s">
        <v>152</v>
      </c>
      <c r="E224" s="5" t="s">
        <v>24</v>
      </c>
      <c r="F224" s="5" t="s">
        <v>25</v>
      </c>
      <c r="G224" s="5" t="s">
        <v>37</v>
      </c>
      <c r="H224" s="6" t="s">
        <v>20</v>
      </c>
      <c r="I224" s="6">
        <v>7.0</v>
      </c>
      <c r="J224" s="6">
        <v>6.0</v>
      </c>
      <c r="K224" s="7">
        <v>3.0E7</v>
      </c>
      <c r="L224" s="7">
        <v>4.4457754E7</v>
      </c>
      <c r="M224" s="7">
        <v>0.0</v>
      </c>
      <c r="N224" s="7">
        <v>6.2249765E7</v>
      </c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4">
        <v>224.0</v>
      </c>
      <c r="B225" s="5" t="s">
        <v>486</v>
      </c>
      <c r="C225" s="5" t="s">
        <v>487</v>
      </c>
      <c r="D225" s="5" t="s">
        <v>16</v>
      </c>
      <c r="E225" s="5" t="s">
        <v>24</v>
      </c>
      <c r="F225" s="5" t="s">
        <v>25</v>
      </c>
      <c r="G225" s="5" t="s">
        <v>26</v>
      </c>
      <c r="H225" s="6" t="s">
        <v>20</v>
      </c>
      <c r="I225" s="6">
        <v>5.0</v>
      </c>
      <c r="J225" s="6">
        <v>5.0</v>
      </c>
      <c r="K225" s="7">
        <v>1.0E7</v>
      </c>
      <c r="L225" s="7">
        <v>5.4467236E7</v>
      </c>
      <c r="M225" s="7">
        <v>0.0</v>
      </c>
      <c r="N225" s="7">
        <v>1234692.0</v>
      </c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4">
        <v>225.0</v>
      </c>
      <c r="B226" s="5" t="s">
        <v>488</v>
      </c>
      <c r="C226" s="5" t="s">
        <v>489</v>
      </c>
      <c r="D226" s="5" t="s">
        <v>45</v>
      </c>
      <c r="E226" s="5" t="s">
        <v>24</v>
      </c>
      <c r="F226" s="5" t="s">
        <v>25</v>
      </c>
      <c r="G226" s="5" t="s">
        <v>37</v>
      </c>
      <c r="H226" s="6" t="s">
        <v>20</v>
      </c>
      <c r="I226" s="6">
        <v>9.0</v>
      </c>
      <c r="J226" s="6">
        <v>9.0</v>
      </c>
      <c r="K226" s="7">
        <v>1.0E7</v>
      </c>
      <c r="L226" s="7">
        <v>1.7991607E7</v>
      </c>
      <c r="M226" s="7">
        <v>0.0</v>
      </c>
      <c r="N226" s="7">
        <v>174626.0</v>
      </c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4">
        <v>226.0</v>
      </c>
      <c r="B227" s="5" t="s">
        <v>490</v>
      </c>
      <c r="C227" s="5" t="s">
        <v>491</v>
      </c>
      <c r="D227" s="5" t="s">
        <v>152</v>
      </c>
      <c r="E227" s="5" t="s">
        <v>24</v>
      </c>
      <c r="F227" s="5" t="s">
        <v>32</v>
      </c>
      <c r="G227" s="5" t="s">
        <v>33</v>
      </c>
      <c r="H227" s="6" t="s">
        <v>20</v>
      </c>
      <c r="I227" s="6">
        <v>4.0</v>
      </c>
      <c r="J227" s="6">
        <v>10.0</v>
      </c>
      <c r="K227" s="7">
        <v>0.0</v>
      </c>
      <c r="L227" s="7">
        <v>0.0</v>
      </c>
      <c r="M227" s="7">
        <v>2.4965127E7</v>
      </c>
      <c r="N227" s="7">
        <v>4.1129782E7</v>
      </c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4">
        <v>227.0</v>
      </c>
      <c r="B228" s="5" t="s">
        <v>492</v>
      </c>
      <c r="C228" s="5" t="s">
        <v>493</v>
      </c>
      <c r="D228" s="5" t="s">
        <v>23</v>
      </c>
      <c r="E228" s="5" t="s">
        <v>31</v>
      </c>
      <c r="F228" s="5" t="s">
        <v>25</v>
      </c>
      <c r="G228" s="5" t="s">
        <v>37</v>
      </c>
      <c r="H228" s="6" t="s">
        <v>20</v>
      </c>
      <c r="I228" s="6">
        <v>5.0</v>
      </c>
      <c r="J228" s="6">
        <v>9.0</v>
      </c>
      <c r="K228" s="7">
        <v>1000000.0</v>
      </c>
      <c r="L228" s="7">
        <v>8.7347043E7</v>
      </c>
      <c r="M228" s="7">
        <v>5.0796112E7</v>
      </c>
      <c r="N228" s="7">
        <v>7.275783E7</v>
      </c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4">
        <v>228.0</v>
      </c>
      <c r="B229" s="5" t="s">
        <v>494</v>
      </c>
      <c r="C229" s="5" t="s">
        <v>495</v>
      </c>
      <c r="D229" s="5" t="s">
        <v>42</v>
      </c>
      <c r="E229" s="5" t="s">
        <v>53</v>
      </c>
      <c r="F229" s="5" t="s">
        <v>32</v>
      </c>
      <c r="G229" s="5" t="s">
        <v>60</v>
      </c>
      <c r="H229" s="6" t="s">
        <v>20</v>
      </c>
      <c r="I229" s="6">
        <v>3.0</v>
      </c>
      <c r="J229" s="6">
        <v>10.0</v>
      </c>
      <c r="K229" s="7">
        <v>0.0</v>
      </c>
      <c r="L229" s="7">
        <v>0.0</v>
      </c>
      <c r="M229" s="7">
        <v>3.8721754E7</v>
      </c>
      <c r="N229" s="7">
        <v>7.7230635E7</v>
      </c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4">
        <v>229.0</v>
      </c>
      <c r="B230" s="5" t="s">
        <v>496</v>
      </c>
      <c r="C230" s="5" t="s">
        <v>497</v>
      </c>
      <c r="D230" s="5" t="s">
        <v>30</v>
      </c>
      <c r="E230" s="5" t="s">
        <v>24</v>
      </c>
      <c r="F230" s="5" t="s">
        <v>25</v>
      </c>
      <c r="G230" s="5" t="s">
        <v>37</v>
      </c>
      <c r="H230" s="6" t="s">
        <v>20</v>
      </c>
      <c r="I230" s="6">
        <v>3.0</v>
      </c>
      <c r="J230" s="6">
        <v>10.0</v>
      </c>
      <c r="K230" s="7">
        <v>1.0E7</v>
      </c>
      <c r="L230" s="7">
        <v>4.3538967E7</v>
      </c>
      <c r="M230" s="7">
        <v>5161300.0</v>
      </c>
      <c r="N230" s="7">
        <v>8.5417673E7</v>
      </c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4">
        <v>230.0</v>
      </c>
      <c r="B231" s="5" t="s">
        <v>498</v>
      </c>
      <c r="C231" s="5" t="s">
        <v>499</v>
      </c>
      <c r="D231" s="5" t="s">
        <v>101</v>
      </c>
      <c r="E231" s="5" t="s">
        <v>24</v>
      </c>
      <c r="F231" s="5" t="s">
        <v>25</v>
      </c>
      <c r="G231" s="5" t="s">
        <v>37</v>
      </c>
      <c r="H231" s="6" t="s">
        <v>27</v>
      </c>
      <c r="I231" s="6">
        <v>5.0</v>
      </c>
      <c r="J231" s="6">
        <v>10.0</v>
      </c>
      <c r="K231" s="7">
        <v>1000000.0</v>
      </c>
      <c r="L231" s="7">
        <v>9.5899452E7</v>
      </c>
      <c r="M231" s="7">
        <v>2565664.0</v>
      </c>
      <c r="N231" s="7">
        <v>3.9602953E7</v>
      </c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4">
        <v>231.0</v>
      </c>
      <c r="B232" s="5" t="s">
        <v>500</v>
      </c>
      <c r="C232" s="5" t="s">
        <v>501</v>
      </c>
      <c r="D232" s="5" t="s">
        <v>101</v>
      </c>
      <c r="E232" s="5" t="s">
        <v>24</v>
      </c>
      <c r="F232" s="5" t="s">
        <v>25</v>
      </c>
      <c r="G232" s="5" t="s">
        <v>37</v>
      </c>
      <c r="H232" s="6" t="s">
        <v>27</v>
      </c>
      <c r="I232" s="6">
        <v>7.0</v>
      </c>
      <c r="J232" s="6">
        <v>7.0</v>
      </c>
      <c r="K232" s="7">
        <v>1000000.0</v>
      </c>
      <c r="L232" s="7">
        <v>8.1347428E7</v>
      </c>
      <c r="M232" s="7">
        <v>1.0860215E7</v>
      </c>
      <c r="N232" s="7">
        <v>2.863729E7</v>
      </c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4">
        <v>232.0</v>
      </c>
      <c r="B233" s="5" t="s">
        <v>502</v>
      </c>
      <c r="C233" s="5" t="s">
        <v>503</v>
      </c>
      <c r="D233" s="5" t="s">
        <v>63</v>
      </c>
      <c r="E233" s="5" t="s">
        <v>53</v>
      </c>
      <c r="F233" s="5" t="s">
        <v>25</v>
      </c>
      <c r="G233" s="5" t="s">
        <v>37</v>
      </c>
      <c r="H233" s="6" t="s">
        <v>27</v>
      </c>
      <c r="I233" s="6">
        <v>7.0</v>
      </c>
      <c r="J233" s="6">
        <v>7.0</v>
      </c>
      <c r="K233" s="7">
        <v>3.0E7</v>
      </c>
      <c r="L233" s="7">
        <v>5.244286E7</v>
      </c>
      <c r="M233" s="7">
        <v>2659881.0</v>
      </c>
      <c r="N233" s="7">
        <v>8.0287314E7</v>
      </c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4">
        <v>233.0</v>
      </c>
      <c r="B234" s="5" t="s">
        <v>504</v>
      </c>
      <c r="C234" s="5" t="s">
        <v>505</v>
      </c>
      <c r="D234" s="5" t="s">
        <v>101</v>
      </c>
      <c r="E234" s="5" t="s">
        <v>24</v>
      </c>
      <c r="F234" s="5" t="s">
        <v>25</v>
      </c>
      <c r="G234" s="5" t="s">
        <v>37</v>
      </c>
      <c r="H234" s="6" t="s">
        <v>27</v>
      </c>
      <c r="I234" s="6">
        <v>5.0</v>
      </c>
      <c r="J234" s="6">
        <v>7.0</v>
      </c>
      <c r="K234" s="7">
        <v>1.0E7</v>
      </c>
      <c r="L234" s="7">
        <v>9.6199053E7</v>
      </c>
      <c r="M234" s="7">
        <v>3.1746355E7</v>
      </c>
      <c r="N234" s="7">
        <v>8.0063468E7</v>
      </c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4">
        <v>234.0</v>
      </c>
      <c r="B235" s="5" t="s">
        <v>506</v>
      </c>
      <c r="C235" s="5" t="s">
        <v>507</v>
      </c>
      <c r="D235" s="5" t="s">
        <v>30</v>
      </c>
      <c r="E235" s="5" t="s">
        <v>24</v>
      </c>
      <c r="F235" s="5" t="s">
        <v>25</v>
      </c>
      <c r="G235" s="5" t="s">
        <v>37</v>
      </c>
      <c r="H235" s="6" t="s">
        <v>20</v>
      </c>
      <c r="I235" s="6">
        <v>7.0</v>
      </c>
      <c r="J235" s="6">
        <v>9.0</v>
      </c>
      <c r="K235" s="7">
        <v>1000000.0</v>
      </c>
      <c r="L235" s="7">
        <v>7.1783742E7</v>
      </c>
      <c r="M235" s="7">
        <v>6.4667814E7</v>
      </c>
      <c r="N235" s="7">
        <v>7.065318E7</v>
      </c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4">
        <v>235.0</v>
      </c>
      <c r="B236" s="5" t="s">
        <v>508</v>
      </c>
      <c r="C236" s="5" t="s">
        <v>509</v>
      </c>
      <c r="D236" s="5" t="s">
        <v>42</v>
      </c>
      <c r="E236" s="5" t="s">
        <v>53</v>
      </c>
      <c r="F236" s="5" t="s">
        <v>25</v>
      </c>
      <c r="G236" s="5" t="s">
        <v>37</v>
      </c>
      <c r="H236" s="6" t="s">
        <v>20</v>
      </c>
      <c r="I236" s="6">
        <v>8.0</v>
      </c>
      <c r="J236" s="6">
        <v>5.0</v>
      </c>
      <c r="K236" s="7">
        <v>9.0E7</v>
      </c>
      <c r="L236" s="7">
        <v>9.4913746E7</v>
      </c>
      <c r="M236" s="7">
        <v>7.4083223E7</v>
      </c>
      <c r="N236" s="7">
        <v>3.161767E7</v>
      </c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4">
        <v>236.0</v>
      </c>
      <c r="B237" s="5" t="s">
        <v>510</v>
      </c>
      <c r="C237" s="5" t="s">
        <v>511</v>
      </c>
      <c r="D237" s="5" t="s">
        <v>30</v>
      </c>
      <c r="E237" s="5" t="s">
        <v>53</v>
      </c>
      <c r="F237" s="5" t="s">
        <v>32</v>
      </c>
      <c r="G237" s="5" t="s">
        <v>33</v>
      </c>
      <c r="H237" s="6" t="s">
        <v>20</v>
      </c>
      <c r="I237" s="6">
        <v>3.0</v>
      </c>
      <c r="J237" s="6">
        <v>10.0</v>
      </c>
      <c r="K237" s="7">
        <v>0.0</v>
      </c>
      <c r="L237" s="7">
        <v>0.0</v>
      </c>
      <c r="M237" s="7">
        <v>6.7753952E7</v>
      </c>
      <c r="N237" s="7">
        <v>7.7205812E7</v>
      </c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4">
        <v>237.0</v>
      </c>
      <c r="B238" s="5" t="s">
        <v>512</v>
      </c>
      <c r="C238" s="5" t="s">
        <v>513</v>
      </c>
      <c r="D238" s="5" t="s">
        <v>45</v>
      </c>
      <c r="E238" s="5" t="s">
        <v>24</v>
      </c>
      <c r="F238" s="5" t="s">
        <v>25</v>
      </c>
      <c r="G238" s="5" t="s">
        <v>37</v>
      </c>
      <c r="H238" s="6" t="s">
        <v>27</v>
      </c>
      <c r="I238" s="6">
        <v>8.0</v>
      </c>
      <c r="J238" s="6">
        <v>8.0</v>
      </c>
      <c r="K238" s="7">
        <v>3.0E7</v>
      </c>
      <c r="L238" s="7">
        <v>3.3477783E7</v>
      </c>
      <c r="M238" s="7">
        <v>0.0</v>
      </c>
      <c r="N238" s="7">
        <v>2.7651635E7</v>
      </c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4">
        <v>238.0</v>
      </c>
      <c r="B239" s="5" t="s">
        <v>514</v>
      </c>
      <c r="C239" s="5" t="s">
        <v>515</v>
      </c>
      <c r="D239" s="5" t="s">
        <v>45</v>
      </c>
      <c r="E239" s="5" t="s">
        <v>31</v>
      </c>
      <c r="F239" s="5" t="s">
        <v>25</v>
      </c>
      <c r="G239" s="5" t="s">
        <v>26</v>
      </c>
      <c r="H239" s="6" t="s">
        <v>27</v>
      </c>
      <c r="I239" s="6">
        <v>5.0</v>
      </c>
      <c r="J239" s="6">
        <v>10.0</v>
      </c>
      <c r="K239" s="7">
        <v>5.0E7</v>
      </c>
      <c r="L239" s="7">
        <v>2702447.0</v>
      </c>
      <c r="M239" s="7">
        <v>0.0</v>
      </c>
      <c r="N239" s="7">
        <v>4.467176E7</v>
      </c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4">
        <v>239.0</v>
      </c>
      <c r="B240" s="5" t="s">
        <v>516</v>
      </c>
      <c r="C240" s="5" t="s">
        <v>517</v>
      </c>
      <c r="D240" s="5" t="s">
        <v>16</v>
      </c>
      <c r="E240" s="5" t="s">
        <v>24</v>
      </c>
      <c r="F240" s="5" t="s">
        <v>25</v>
      </c>
      <c r="G240" s="5" t="s">
        <v>26</v>
      </c>
      <c r="H240" s="6" t="s">
        <v>20</v>
      </c>
      <c r="I240" s="6">
        <v>6.0</v>
      </c>
      <c r="J240" s="6">
        <v>5.0</v>
      </c>
      <c r="K240" s="7">
        <v>5.0E7</v>
      </c>
      <c r="L240" s="7">
        <v>7.0787848E7</v>
      </c>
      <c r="M240" s="7">
        <v>3.3368202E7</v>
      </c>
      <c r="N240" s="7">
        <v>4.3277527E7</v>
      </c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4">
        <v>240.0</v>
      </c>
      <c r="B241" s="5" t="s">
        <v>518</v>
      </c>
      <c r="C241" s="5" t="s">
        <v>519</v>
      </c>
      <c r="D241" s="5" t="s">
        <v>23</v>
      </c>
      <c r="E241" s="5" t="s">
        <v>24</v>
      </c>
      <c r="F241" s="5" t="s">
        <v>32</v>
      </c>
      <c r="G241" s="5" t="s">
        <v>33</v>
      </c>
      <c r="H241" s="6" t="s">
        <v>27</v>
      </c>
      <c r="I241" s="6">
        <v>3.0</v>
      </c>
      <c r="J241" s="6">
        <v>7.0</v>
      </c>
      <c r="K241" s="7">
        <v>0.0</v>
      </c>
      <c r="L241" s="7">
        <v>0.0</v>
      </c>
      <c r="M241" s="7">
        <v>4.6563396E7</v>
      </c>
      <c r="N241" s="7">
        <v>6.3313535E7</v>
      </c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4">
        <v>241.0</v>
      </c>
      <c r="B242" s="5" t="s">
        <v>520</v>
      </c>
      <c r="C242" s="5" t="s">
        <v>521</v>
      </c>
      <c r="D242" s="5" t="s">
        <v>23</v>
      </c>
      <c r="E242" s="5" t="s">
        <v>24</v>
      </c>
      <c r="F242" s="5" t="s">
        <v>25</v>
      </c>
      <c r="G242" s="5" t="s">
        <v>26</v>
      </c>
      <c r="H242" s="6" t="s">
        <v>20</v>
      </c>
      <c r="I242" s="6">
        <v>8.0</v>
      </c>
      <c r="J242" s="6">
        <v>8.0</v>
      </c>
      <c r="K242" s="7">
        <v>2.0E7</v>
      </c>
      <c r="L242" s="7">
        <v>4.006462E7</v>
      </c>
      <c r="M242" s="7">
        <v>9.8137438E7</v>
      </c>
      <c r="N242" s="7">
        <v>0.0</v>
      </c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4">
        <v>242.0</v>
      </c>
      <c r="B243" s="5" t="s">
        <v>522</v>
      </c>
      <c r="C243" s="5" t="s">
        <v>523</v>
      </c>
      <c r="D243" s="5" t="s">
        <v>23</v>
      </c>
      <c r="E243" s="5" t="s">
        <v>24</v>
      </c>
      <c r="F243" s="5" t="s">
        <v>25</v>
      </c>
      <c r="G243" s="5" t="s">
        <v>37</v>
      </c>
      <c r="H243" s="6" t="s">
        <v>20</v>
      </c>
      <c r="I243" s="6">
        <v>5.0</v>
      </c>
      <c r="J243" s="6">
        <v>9.0</v>
      </c>
      <c r="K243" s="7">
        <v>3.0E7</v>
      </c>
      <c r="L243" s="7">
        <v>4.528936E7</v>
      </c>
      <c r="M243" s="7">
        <v>0.0</v>
      </c>
      <c r="N243" s="7">
        <v>4.6980526E7</v>
      </c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4">
        <v>243.0</v>
      </c>
      <c r="B244" s="5" t="s">
        <v>524</v>
      </c>
      <c r="C244" s="5" t="s">
        <v>525</v>
      </c>
      <c r="D244" s="5" t="s">
        <v>23</v>
      </c>
      <c r="E244" s="5" t="s">
        <v>53</v>
      </c>
      <c r="F244" s="5" t="s">
        <v>25</v>
      </c>
      <c r="G244" s="5" t="s">
        <v>37</v>
      </c>
      <c r="H244" s="6" t="s">
        <v>20</v>
      </c>
      <c r="I244" s="6">
        <v>8.0</v>
      </c>
      <c r="J244" s="6">
        <v>6.0</v>
      </c>
      <c r="K244" s="7">
        <v>3.0E7</v>
      </c>
      <c r="L244" s="7">
        <v>3.4397393E7</v>
      </c>
      <c r="M244" s="7">
        <v>7.2192037E7</v>
      </c>
      <c r="N244" s="7">
        <v>2.1247716E7</v>
      </c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4">
        <v>244.0</v>
      </c>
      <c r="B245" s="5" t="s">
        <v>526</v>
      </c>
      <c r="C245" s="5" t="s">
        <v>527</v>
      </c>
      <c r="D245" s="5" t="s">
        <v>30</v>
      </c>
      <c r="E245" s="5" t="s">
        <v>24</v>
      </c>
      <c r="F245" s="5" t="s">
        <v>32</v>
      </c>
      <c r="G245" s="5" t="s">
        <v>60</v>
      </c>
      <c r="H245" s="6" t="s">
        <v>27</v>
      </c>
      <c r="I245" s="6">
        <v>4.0</v>
      </c>
      <c r="J245" s="6">
        <v>9.0</v>
      </c>
      <c r="K245" s="7">
        <v>0.0</v>
      </c>
      <c r="L245" s="7">
        <v>0.0</v>
      </c>
      <c r="M245" s="7">
        <v>6.9870077E7</v>
      </c>
      <c r="N245" s="7">
        <v>9.844158E7</v>
      </c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4">
        <v>245.0</v>
      </c>
      <c r="B246" s="5" t="s">
        <v>528</v>
      </c>
      <c r="C246" s="5" t="s">
        <v>529</v>
      </c>
      <c r="D246" s="5" t="s">
        <v>78</v>
      </c>
      <c r="E246" s="5" t="s">
        <v>53</v>
      </c>
      <c r="F246" s="5" t="s">
        <v>25</v>
      </c>
      <c r="G246" s="5" t="s">
        <v>37</v>
      </c>
      <c r="H246" s="6" t="s">
        <v>20</v>
      </c>
      <c r="I246" s="6">
        <v>9.0</v>
      </c>
      <c r="J246" s="6">
        <v>8.0</v>
      </c>
      <c r="K246" s="7">
        <v>1000000.0</v>
      </c>
      <c r="L246" s="7">
        <v>3.4126405E7</v>
      </c>
      <c r="M246" s="7">
        <v>8.8265167E7</v>
      </c>
      <c r="N246" s="7">
        <v>5.6002928E7</v>
      </c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4">
        <v>246.0</v>
      </c>
      <c r="B247" s="5" t="s">
        <v>530</v>
      </c>
      <c r="C247" s="5" t="s">
        <v>531</v>
      </c>
      <c r="D247" s="5" t="s">
        <v>63</v>
      </c>
      <c r="E247" s="5" t="s">
        <v>24</v>
      </c>
      <c r="F247" s="5" t="s">
        <v>25</v>
      </c>
      <c r="G247" s="5" t="s">
        <v>26</v>
      </c>
      <c r="H247" s="6" t="s">
        <v>20</v>
      </c>
      <c r="I247" s="6">
        <v>6.0</v>
      </c>
      <c r="J247" s="6">
        <v>5.0</v>
      </c>
      <c r="K247" s="7">
        <v>1000000.0</v>
      </c>
      <c r="L247" s="7">
        <v>5.3008255E7</v>
      </c>
      <c r="M247" s="7">
        <v>4.691791E7</v>
      </c>
      <c r="N247" s="7">
        <v>4.7557281E7</v>
      </c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4">
        <v>247.0</v>
      </c>
      <c r="B248" s="5" t="s">
        <v>532</v>
      </c>
      <c r="C248" s="5" t="s">
        <v>533</v>
      </c>
      <c r="D248" s="5" t="s">
        <v>42</v>
      </c>
      <c r="E248" s="5" t="s">
        <v>24</v>
      </c>
      <c r="F248" s="5" t="s">
        <v>32</v>
      </c>
      <c r="G248" s="5" t="s">
        <v>60</v>
      </c>
      <c r="H248" s="6" t="s">
        <v>20</v>
      </c>
      <c r="I248" s="6">
        <v>3.0</v>
      </c>
      <c r="J248" s="6">
        <v>6.0</v>
      </c>
      <c r="K248" s="7">
        <v>0.0</v>
      </c>
      <c r="L248" s="7">
        <v>0.0</v>
      </c>
      <c r="M248" s="7">
        <v>0.0</v>
      </c>
      <c r="N248" s="7">
        <v>2.267526E7</v>
      </c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4">
        <v>248.0</v>
      </c>
      <c r="B249" s="5" t="s">
        <v>534</v>
      </c>
      <c r="C249" s="5" t="s">
        <v>535</v>
      </c>
      <c r="D249" s="5" t="s">
        <v>101</v>
      </c>
      <c r="E249" s="5" t="s">
        <v>24</v>
      </c>
      <c r="F249" s="5" t="s">
        <v>25</v>
      </c>
      <c r="G249" s="5" t="s">
        <v>26</v>
      </c>
      <c r="H249" s="6" t="s">
        <v>20</v>
      </c>
      <c r="I249" s="6">
        <v>3.0</v>
      </c>
      <c r="J249" s="6">
        <v>6.0</v>
      </c>
      <c r="K249" s="7">
        <v>1.0E8</v>
      </c>
      <c r="L249" s="7">
        <v>9.468872E7</v>
      </c>
      <c r="M249" s="7">
        <v>8.6323763E7</v>
      </c>
      <c r="N249" s="7">
        <v>2.0929788E7</v>
      </c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4">
        <v>249.0</v>
      </c>
      <c r="B250" s="5" t="s">
        <v>536</v>
      </c>
      <c r="C250" s="5" t="s">
        <v>537</v>
      </c>
      <c r="D250" s="5" t="s">
        <v>63</v>
      </c>
      <c r="E250" s="5" t="s">
        <v>17</v>
      </c>
      <c r="F250" s="5" t="s">
        <v>18</v>
      </c>
      <c r="G250" s="5" t="s">
        <v>19</v>
      </c>
      <c r="H250" s="6" t="s">
        <v>20</v>
      </c>
      <c r="I250" s="6">
        <v>7.0</v>
      </c>
      <c r="J250" s="6">
        <v>5.0</v>
      </c>
      <c r="K250" s="7">
        <v>0.0</v>
      </c>
      <c r="L250" s="7">
        <v>0.0</v>
      </c>
      <c r="M250" s="7">
        <v>9.6750826E7</v>
      </c>
      <c r="N250" s="7">
        <v>3.1435769E7</v>
      </c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4">
        <v>250.0</v>
      </c>
      <c r="B251" s="5" t="s">
        <v>538</v>
      </c>
      <c r="C251" s="5" t="s">
        <v>539</v>
      </c>
      <c r="D251" s="5" t="s">
        <v>16</v>
      </c>
      <c r="E251" s="5" t="s">
        <v>53</v>
      </c>
      <c r="F251" s="5" t="s">
        <v>25</v>
      </c>
      <c r="G251" s="5" t="s">
        <v>26</v>
      </c>
      <c r="H251" s="6" t="s">
        <v>20</v>
      </c>
      <c r="I251" s="6">
        <v>3.0</v>
      </c>
      <c r="J251" s="6">
        <v>9.0</v>
      </c>
      <c r="K251" s="7">
        <v>1.0E7</v>
      </c>
      <c r="L251" s="7">
        <v>8.9686683E7</v>
      </c>
      <c r="M251" s="7">
        <v>6.2448793E7</v>
      </c>
      <c r="N251" s="7">
        <v>2.68126E7</v>
      </c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4">
        <v>251.0</v>
      </c>
      <c r="B252" s="5" t="s">
        <v>540</v>
      </c>
      <c r="C252" s="5" t="s">
        <v>541</v>
      </c>
      <c r="D252" s="5" t="s">
        <v>45</v>
      </c>
      <c r="E252" s="5" t="s">
        <v>24</v>
      </c>
      <c r="F252" s="5" t="s">
        <v>25</v>
      </c>
      <c r="G252" s="5" t="s">
        <v>37</v>
      </c>
      <c r="H252" s="6" t="s">
        <v>20</v>
      </c>
      <c r="I252" s="6">
        <v>7.0</v>
      </c>
      <c r="J252" s="6">
        <v>6.0</v>
      </c>
      <c r="K252" s="7">
        <v>3.0E7</v>
      </c>
      <c r="L252" s="7">
        <v>3.2890743E7</v>
      </c>
      <c r="M252" s="7">
        <v>0.0</v>
      </c>
      <c r="N252" s="7">
        <v>3.986462E7</v>
      </c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4">
        <v>252.0</v>
      </c>
      <c r="B253" s="5" t="s">
        <v>542</v>
      </c>
      <c r="C253" s="5" t="s">
        <v>543</v>
      </c>
      <c r="D253" s="5" t="s">
        <v>30</v>
      </c>
      <c r="E253" s="5" t="s">
        <v>53</v>
      </c>
      <c r="F253" s="5" t="s">
        <v>25</v>
      </c>
      <c r="G253" s="5" t="s">
        <v>26</v>
      </c>
      <c r="H253" s="6" t="s">
        <v>20</v>
      </c>
      <c r="I253" s="6">
        <v>9.0</v>
      </c>
      <c r="J253" s="6">
        <v>10.0</v>
      </c>
      <c r="K253" s="7">
        <v>1.0E7</v>
      </c>
      <c r="L253" s="7">
        <v>3.2370896E7</v>
      </c>
      <c r="M253" s="7">
        <v>9.6066942E7</v>
      </c>
      <c r="N253" s="7">
        <v>3767736.0</v>
      </c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4">
        <v>253.0</v>
      </c>
      <c r="B254" s="5" t="s">
        <v>544</v>
      </c>
      <c r="C254" s="5" t="s">
        <v>545</v>
      </c>
      <c r="D254" s="5" t="s">
        <v>36</v>
      </c>
      <c r="E254" s="5" t="s">
        <v>53</v>
      </c>
      <c r="F254" s="5" t="s">
        <v>32</v>
      </c>
      <c r="G254" s="5" t="s">
        <v>33</v>
      </c>
      <c r="H254" s="6" t="s">
        <v>20</v>
      </c>
      <c r="I254" s="6">
        <v>3.0</v>
      </c>
      <c r="J254" s="6">
        <v>9.0</v>
      </c>
      <c r="K254" s="7">
        <v>0.0</v>
      </c>
      <c r="L254" s="7">
        <v>0.0</v>
      </c>
      <c r="M254" s="7">
        <v>2.4514428E7</v>
      </c>
      <c r="N254" s="7">
        <v>2.7890231E7</v>
      </c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4">
        <v>254.0</v>
      </c>
      <c r="B255" s="5" t="s">
        <v>546</v>
      </c>
      <c r="C255" s="5" t="s">
        <v>547</v>
      </c>
      <c r="D255" s="5" t="s">
        <v>30</v>
      </c>
      <c r="E255" s="5" t="s">
        <v>24</v>
      </c>
      <c r="F255" s="5" t="s">
        <v>25</v>
      </c>
      <c r="G255" s="5" t="s">
        <v>26</v>
      </c>
      <c r="H255" s="6" t="s">
        <v>27</v>
      </c>
      <c r="I255" s="6">
        <v>8.0</v>
      </c>
      <c r="J255" s="6">
        <v>5.0</v>
      </c>
      <c r="K255" s="7">
        <v>1.0E7</v>
      </c>
      <c r="L255" s="7">
        <v>3.1953589E7</v>
      </c>
      <c r="M255" s="7">
        <v>4.0068224E7</v>
      </c>
      <c r="N255" s="7">
        <v>8.0951038E7</v>
      </c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4">
        <v>255.0</v>
      </c>
      <c r="B256" s="5" t="s">
        <v>548</v>
      </c>
      <c r="C256" s="5" t="s">
        <v>549</v>
      </c>
      <c r="D256" s="5" t="s">
        <v>23</v>
      </c>
      <c r="E256" s="5" t="s">
        <v>24</v>
      </c>
      <c r="F256" s="5" t="s">
        <v>25</v>
      </c>
      <c r="G256" s="5" t="s">
        <v>26</v>
      </c>
      <c r="H256" s="6" t="s">
        <v>20</v>
      </c>
      <c r="I256" s="6">
        <v>7.0</v>
      </c>
      <c r="J256" s="6">
        <v>8.0</v>
      </c>
      <c r="K256" s="7">
        <v>5.0E7</v>
      </c>
      <c r="L256" s="7">
        <v>7.8205651E7</v>
      </c>
      <c r="M256" s="7">
        <v>6.238118E7</v>
      </c>
      <c r="N256" s="7">
        <v>6508585.0</v>
      </c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4">
        <v>256.0</v>
      </c>
      <c r="B257" s="5" t="s">
        <v>550</v>
      </c>
      <c r="C257" s="5" t="s">
        <v>551</v>
      </c>
      <c r="D257" s="5" t="s">
        <v>16</v>
      </c>
      <c r="E257" s="5" t="s">
        <v>50</v>
      </c>
      <c r="F257" s="5" t="s">
        <v>32</v>
      </c>
      <c r="G257" s="5" t="s">
        <v>60</v>
      </c>
      <c r="H257" s="6" t="s">
        <v>20</v>
      </c>
      <c r="I257" s="6">
        <v>3.0</v>
      </c>
      <c r="J257" s="6">
        <v>10.0</v>
      </c>
      <c r="K257" s="7">
        <v>0.0</v>
      </c>
      <c r="L257" s="7">
        <v>0.0</v>
      </c>
      <c r="M257" s="7">
        <v>3.4584522E7</v>
      </c>
      <c r="N257" s="7">
        <v>0.0</v>
      </c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4">
        <v>257.0</v>
      </c>
      <c r="B258" s="5" t="s">
        <v>552</v>
      </c>
      <c r="C258" s="5" t="s">
        <v>553</v>
      </c>
      <c r="D258" s="5" t="s">
        <v>23</v>
      </c>
      <c r="E258" s="5" t="s">
        <v>24</v>
      </c>
      <c r="F258" s="5" t="s">
        <v>18</v>
      </c>
      <c r="G258" s="5" t="s">
        <v>175</v>
      </c>
      <c r="H258" s="6" t="s">
        <v>20</v>
      </c>
      <c r="I258" s="6">
        <v>6.0</v>
      </c>
      <c r="J258" s="6">
        <v>10.0</v>
      </c>
      <c r="K258" s="7">
        <v>0.0</v>
      </c>
      <c r="L258" s="7">
        <v>0.0</v>
      </c>
      <c r="M258" s="7">
        <v>7.6942676E7</v>
      </c>
      <c r="N258" s="7">
        <v>7.4216691E7</v>
      </c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4">
        <v>258.0</v>
      </c>
      <c r="B259" s="5" t="s">
        <v>554</v>
      </c>
      <c r="C259" s="5" t="s">
        <v>555</v>
      </c>
      <c r="D259" s="5" t="s">
        <v>16</v>
      </c>
      <c r="E259" s="5" t="s">
        <v>53</v>
      </c>
      <c r="F259" s="5" t="s">
        <v>25</v>
      </c>
      <c r="G259" s="5" t="s">
        <v>37</v>
      </c>
      <c r="H259" s="6" t="s">
        <v>27</v>
      </c>
      <c r="I259" s="6">
        <v>8.0</v>
      </c>
      <c r="J259" s="6">
        <v>10.0</v>
      </c>
      <c r="K259" s="7">
        <v>5000000.0</v>
      </c>
      <c r="L259" s="7">
        <v>7.0270294E7</v>
      </c>
      <c r="M259" s="7">
        <v>1.9588762E7</v>
      </c>
      <c r="N259" s="7">
        <v>7.8634577E7</v>
      </c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4">
        <v>259.0</v>
      </c>
      <c r="B260" s="5" t="s">
        <v>556</v>
      </c>
      <c r="C260" s="5" t="s">
        <v>557</v>
      </c>
      <c r="D260" s="5" t="s">
        <v>42</v>
      </c>
      <c r="E260" s="5" t="s">
        <v>50</v>
      </c>
      <c r="F260" s="5" t="s">
        <v>32</v>
      </c>
      <c r="G260" s="5" t="s">
        <v>60</v>
      </c>
      <c r="H260" s="6" t="s">
        <v>20</v>
      </c>
      <c r="I260" s="6">
        <v>3.0</v>
      </c>
      <c r="J260" s="6">
        <v>5.0</v>
      </c>
      <c r="K260" s="7">
        <v>0.0</v>
      </c>
      <c r="L260" s="7">
        <v>0.0</v>
      </c>
      <c r="M260" s="7">
        <v>8.5955846E7</v>
      </c>
      <c r="N260" s="7">
        <v>2.5891596E7</v>
      </c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4">
        <v>260.0</v>
      </c>
      <c r="B261" s="5" t="s">
        <v>558</v>
      </c>
      <c r="C261" s="5" t="s">
        <v>559</v>
      </c>
      <c r="D261" s="5" t="s">
        <v>63</v>
      </c>
      <c r="E261" s="5" t="s">
        <v>50</v>
      </c>
      <c r="F261" s="5" t="s">
        <v>25</v>
      </c>
      <c r="G261" s="5" t="s">
        <v>37</v>
      </c>
      <c r="H261" s="6" t="s">
        <v>27</v>
      </c>
      <c r="I261" s="6">
        <v>6.0</v>
      </c>
      <c r="J261" s="6">
        <v>7.0</v>
      </c>
      <c r="K261" s="7">
        <v>2.0E7</v>
      </c>
      <c r="L261" s="7">
        <v>6.2745331E7</v>
      </c>
      <c r="M261" s="7">
        <v>3.9843357E7</v>
      </c>
      <c r="N261" s="7">
        <v>6.4840967E7</v>
      </c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4">
        <v>261.0</v>
      </c>
      <c r="B262" s="5" t="s">
        <v>560</v>
      </c>
      <c r="C262" s="5" t="s">
        <v>561</v>
      </c>
      <c r="D262" s="5" t="s">
        <v>30</v>
      </c>
      <c r="E262" s="5" t="s">
        <v>24</v>
      </c>
      <c r="F262" s="5" t="s">
        <v>32</v>
      </c>
      <c r="G262" s="5" t="s">
        <v>33</v>
      </c>
      <c r="H262" s="6" t="s">
        <v>20</v>
      </c>
      <c r="I262" s="6">
        <v>7.0</v>
      </c>
      <c r="J262" s="6">
        <v>5.0</v>
      </c>
      <c r="K262" s="7">
        <v>0.0</v>
      </c>
      <c r="L262" s="7">
        <v>0.0</v>
      </c>
      <c r="M262" s="7">
        <v>8.2583322E7</v>
      </c>
      <c r="N262" s="7">
        <v>809058.0</v>
      </c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4">
        <v>262.0</v>
      </c>
      <c r="B263" s="5" t="s">
        <v>562</v>
      </c>
      <c r="C263" s="5" t="s">
        <v>563</v>
      </c>
      <c r="D263" s="5" t="s">
        <v>23</v>
      </c>
      <c r="E263" s="5" t="s">
        <v>24</v>
      </c>
      <c r="F263" s="5" t="s">
        <v>25</v>
      </c>
      <c r="G263" s="5" t="s">
        <v>37</v>
      </c>
      <c r="H263" s="6" t="s">
        <v>27</v>
      </c>
      <c r="I263" s="6">
        <v>6.0</v>
      </c>
      <c r="J263" s="6">
        <v>4.0</v>
      </c>
      <c r="K263" s="7">
        <v>1.0E7</v>
      </c>
      <c r="L263" s="7">
        <v>5.9890317E7</v>
      </c>
      <c r="M263" s="7">
        <v>4.2451842E7</v>
      </c>
      <c r="N263" s="7">
        <v>0.0</v>
      </c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4">
        <v>263.0</v>
      </c>
      <c r="B264" s="5" t="s">
        <v>564</v>
      </c>
      <c r="C264" s="5" t="s">
        <v>565</v>
      </c>
      <c r="D264" s="5" t="s">
        <v>78</v>
      </c>
      <c r="E264" s="5" t="s">
        <v>50</v>
      </c>
      <c r="F264" s="5" t="s">
        <v>25</v>
      </c>
      <c r="G264" s="5" t="s">
        <v>26</v>
      </c>
      <c r="H264" s="6" t="s">
        <v>20</v>
      </c>
      <c r="I264" s="6">
        <v>3.0</v>
      </c>
      <c r="J264" s="6">
        <v>7.0</v>
      </c>
      <c r="K264" s="7">
        <v>1.0E7</v>
      </c>
      <c r="L264" s="7">
        <v>9.7449662E7</v>
      </c>
      <c r="M264" s="7">
        <v>4.962416E7</v>
      </c>
      <c r="N264" s="7">
        <v>1.7854677E7</v>
      </c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4">
        <v>264.0</v>
      </c>
      <c r="B265" s="5" t="s">
        <v>566</v>
      </c>
      <c r="C265" s="5" t="s">
        <v>567</v>
      </c>
      <c r="D265" s="5" t="s">
        <v>23</v>
      </c>
      <c r="E265" s="5" t="s">
        <v>31</v>
      </c>
      <c r="F265" s="5" t="s">
        <v>32</v>
      </c>
      <c r="G265" s="5" t="s">
        <v>33</v>
      </c>
      <c r="H265" s="6" t="s">
        <v>20</v>
      </c>
      <c r="I265" s="6">
        <v>4.0</v>
      </c>
      <c r="J265" s="6">
        <v>9.0</v>
      </c>
      <c r="K265" s="7">
        <v>0.0</v>
      </c>
      <c r="L265" s="7">
        <v>0.0</v>
      </c>
      <c r="M265" s="7">
        <v>4.4422091E7</v>
      </c>
      <c r="N265" s="7">
        <v>8898260.0</v>
      </c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4">
        <v>265.0</v>
      </c>
      <c r="B266" s="5" t="s">
        <v>568</v>
      </c>
      <c r="C266" s="5" t="s">
        <v>569</v>
      </c>
      <c r="D266" s="5" t="s">
        <v>23</v>
      </c>
      <c r="E266" s="5" t="s">
        <v>24</v>
      </c>
      <c r="F266" s="5" t="s">
        <v>32</v>
      </c>
      <c r="G266" s="5" t="s">
        <v>60</v>
      </c>
      <c r="H266" s="6" t="s">
        <v>20</v>
      </c>
      <c r="I266" s="6">
        <v>4.0</v>
      </c>
      <c r="J266" s="6">
        <v>5.0</v>
      </c>
      <c r="K266" s="7">
        <v>0.0</v>
      </c>
      <c r="L266" s="7">
        <v>0.0</v>
      </c>
      <c r="M266" s="7">
        <v>0.0</v>
      </c>
      <c r="N266" s="7">
        <v>6.3436099E7</v>
      </c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4">
        <v>266.0</v>
      </c>
      <c r="B267" s="5" t="s">
        <v>570</v>
      </c>
      <c r="C267" s="5" t="s">
        <v>571</v>
      </c>
      <c r="D267" s="5" t="s">
        <v>23</v>
      </c>
      <c r="E267" s="5" t="s">
        <v>24</v>
      </c>
      <c r="F267" s="5" t="s">
        <v>25</v>
      </c>
      <c r="G267" s="5" t="s">
        <v>26</v>
      </c>
      <c r="H267" s="6" t="s">
        <v>27</v>
      </c>
      <c r="I267" s="6">
        <v>5.0</v>
      </c>
      <c r="J267" s="6">
        <v>10.0</v>
      </c>
      <c r="K267" s="7">
        <v>1.0E7</v>
      </c>
      <c r="L267" s="7">
        <v>9.9989764E7</v>
      </c>
      <c r="M267" s="7">
        <v>8030175.0</v>
      </c>
      <c r="N267" s="7">
        <v>3.7676206E7</v>
      </c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4">
        <v>267.0</v>
      </c>
      <c r="B268" s="5" t="s">
        <v>572</v>
      </c>
      <c r="C268" s="5" t="s">
        <v>573</v>
      </c>
      <c r="D268" s="5" t="s">
        <v>23</v>
      </c>
      <c r="E268" s="5" t="s">
        <v>24</v>
      </c>
      <c r="F268" s="5" t="s">
        <v>32</v>
      </c>
      <c r="G268" s="5" t="s">
        <v>60</v>
      </c>
      <c r="H268" s="6" t="s">
        <v>27</v>
      </c>
      <c r="I268" s="6">
        <v>6.0</v>
      </c>
      <c r="J268" s="6">
        <v>7.0</v>
      </c>
      <c r="K268" s="7">
        <v>0.0</v>
      </c>
      <c r="L268" s="7">
        <v>0.0</v>
      </c>
      <c r="M268" s="7">
        <v>1.2862402E7</v>
      </c>
      <c r="N268" s="7">
        <v>6.8922404E7</v>
      </c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4">
        <v>268.0</v>
      </c>
      <c r="B269" s="5" t="s">
        <v>574</v>
      </c>
      <c r="C269" s="5" t="s">
        <v>575</v>
      </c>
      <c r="D269" s="5" t="s">
        <v>45</v>
      </c>
      <c r="E269" s="5" t="s">
        <v>53</v>
      </c>
      <c r="F269" s="5" t="s">
        <v>32</v>
      </c>
      <c r="G269" s="5" t="s">
        <v>60</v>
      </c>
      <c r="H269" s="6" t="s">
        <v>27</v>
      </c>
      <c r="I269" s="6">
        <v>9.0</v>
      </c>
      <c r="J269" s="6">
        <v>6.0</v>
      </c>
      <c r="K269" s="7">
        <v>0.0</v>
      </c>
      <c r="L269" s="7">
        <v>0.0</v>
      </c>
      <c r="M269" s="7">
        <v>4.6914257E7</v>
      </c>
      <c r="N269" s="7">
        <v>4.3734508E7</v>
      </c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4">
        <v>269.0</v>
      </c>
      <c r="B270" s="5" t="s">
        <v>576</v>
      </c>
      <c r="C270" s="5" t="s">
        <v>577</v>
      </c>
      <c r="D270" s="5" t="s">
        <v>23</v>
      </c>
      <c r="E270" s="5" t="s">
        <v>17</v>
      </c>
      <c r="F270" s="5" t="s">
        <v>18</v>
      </c>
      <c r="G270" s="5" t="s">
        <v>19</v>
      </c>
      <c r="H270" s="6" t="s">
        <v>20</v>
      </c>
      <c r="I270" s="6">
        <v>5.0</v>
      </c>
      <c r="J270" s="6">
        <v>6.0</v>
      </c>
      <c r="K270" s="7">
        <v>0.0</v>
      </c>
      <c r="L270" s="7">
        <v>0.0</v>
      </c>
      <c r="M270" s="7">
        <v>9.5212463E7</v>
      </c>
      <c r="N270" s="7">
        <v>0.0</v>
      </c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4">
        <v>270.0</v>
      </c>
      <c r="B271" s="5" t="s">
        <v>578</v>
      </c>
      <c r="C271" s="5" t="s">
        <v>579</v>
      </c>
      <c r="D271" s="5" t="s">
        <v>45</v>
      </c>
      <c r="E271" s="5" t="s">
        <v>24</v>
      </c>
      <c r="F271" s="5" t="s">
        <v>25</v>
      </c>
      <c r="G271" s="5" t="s">
        <v>26</v>
      </c>
      <c r="H271" s="6" t="s">
        <v>20</v>
      </c>
      <c r="I271" s="6">
        <v>6.0</v>
      </c>
      <c r="J271" s="6">
        <v>10.0</v>
      </c>
      <c r="K271" s="7">
        <v>5000000.0</v>
      </c>
      <c r="L271" s="7">
        <v>3.2915397E7</v>
      </c>
      <c r="M271" s="7">
        <v>7.4493461E7</v>
      </c>
      <c r="N271" s="7">
        <v>151779.0</v>
      </c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4">
        <v>271.0</v>
      </c>
      <c r="B272" s="5" t="s">
        <v>580</v>
      </c>
      <c r="C272" s="5" t="s">
        <v>581</v>
      </c>
      <c r="D272" s="5" t="s">
        <v>45</v>
      </c>
      <c r="E272" s="5" t="s">
        <v>53</v>
      </c>
      <c r="F272" s="5" t="s">
        <v>32</v>
      </c>
      <c r="G272" s="5" t="s">
        <v>60</v>
      </c>
      <c r="H272" s="6" t="s">
        <v>20</v>
      </c>
      <c r="I272" s="6">
        <v>6.0</v>
      </c>
      <c r="J272" s="6">
        <v>7.0</v>
      </c>
      <c r="K272" s="7">
        <v>0.0</v>
      </c>
      <c r="L272" s="7">
        <v>0.0</v>
      </c>
      <c r="M272" s="7">
        <v>4.3223505E7</v>
      </c>
      <c r="N272" s="7">
        <v>0.0</v>
      </c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4">
        <v>272.0</v>
      </c>
      <c r="B273" s="5" t="s">
        <v>582</v>
      </c>
      <c r="C273" s="5" t="s">
        <v>583</v>
      </c>
      <c r="D273" s="5" t="s">
        <v>63</v>
      </c>
      <c r="E273" s="5" t="s">
        <v>24</v>
      </c>
      <c r="F273" s="5" t="s">
        <v>32</v>
      </c>
      <c r="G273" s="5" t="s">
        <v>60</v>
      </c>
      <c r="H273" s="6" t="s">
        <v>20</v>
      </c>
      <c r="I273" s="6">
        <v>8.0</v>
      </c>
      <c r="J273" s="6">
        <v>9.0</v>
      </c>
      <c r="K273" s="7">
        <v>0.0</v>
      </c>
      <c r="L273" s="7">
        <v>0.0</v>
      </c>
      <c r="M273" s="7">
        <v>1.4141858E7</v>
      </c>
      <c r="N273" s="7">
        <v>8.7162317E7</v>
      </c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4">
        <v>273.0</v>
      </c>
      <c r="B274" s="5" t="s">
        <v>584</v>
      </c>
      <c r="C274" s="5" t="s">
        <v>585</v>
      </c>
      <c r="D274" s="5" t="s">
        <v>16</v>
      </c>
      <c r="E274" s="5" t="s">
        <v>24</v>
      </c>
      <c r="F274" s="5" t="s">
        <v>32</v>
      </c>
      <c r="G274" s="5" t="s">
        <v>60</v>
      </c>
      <c r="H274" s="6" t="s">
        <v>20</v>
      </c>
      <c r="I274" s="6">
        <v>7.0</v>
      </c>
      <c r="J274" s="6">
        <v>5.0</v>
      </c>
      <c r="K274" s="7">
        <v>0.0</v>
      </c>
      <c r="L274" s="7">
        <v>0.0</v>
      </c>
      <c r="M274" s="7">
        <v>2.9525162E7</v>
      </c>
      <c r="N274" s="7">
        <v>0.0</v>
      </c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4">
        <v>274.0</v>
      </c>
      <c r="B275" s="5" t="s">
        <v>586</v>
      </c>
      <c r="C275" s="5" t="s">
        <v>587</v>
      </c>
      <c r="D275" s="5" t="s">
        <v>63</v>
      </c>
      <c r="E275" s="5" t="s">
        <v>24</v>
      </c>
      <c r="F275" s="5" t="s">
        <v>32</v>
      </c>
      <c r="G275" s="5" t="s">
        <v>33</v>
      </c>
      <c r="H275" s="6" t="s">
        <v>27</v>
      </c>
      <c r="I275" s="6">
        <v>9.0</v>
      </c>
      <c r="J275" s="6">
        <v>9.0</v>
      </c>
      <c r="K275" s="7">
        <v>0.0</v>
      </c>
      <c r="L275" s="7">
        <v>0.0</v>
      </c>
      <c r="M275" s="7">
        <v>2.9366791E7</v>
      </c>
      <c r="N275" s="7">
        <v>8.9805774E7</v>
      </c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4">
        <v>275.0</v>
      </c>
      <c r="B276" s="5" t="s">
        <v>588</v>
      </c>
      <c r="C276" s="5" t="s">
        <v>589</v>
      </c>
      <c r="D276" s="5" t="s">
        <v>16</v>
      </c>
      <c r="E276" s="5" t="s">
        <v>24</v>
      </c>
      <c r="F276" s="5" t="s">
        <v>32</v>
      </c>
      <c r="G276" s="5" t="s">
        <v>60</v>
      </c>
      <c r="H276" s="6" t="s">
        <v>27</v>
      </c>
      <c r="I276" s="6">
        <v>3.0</v>
      </c>
      <c r="J276" s="6">
        <v>10.0</v>
      </c>
      <c r="K276" s="7">
        <v>0.0</v>
      </c>
      <c r="L276" s="7">
        <v>0.0</v>
      </c>
      <c r="M276" s="7">
        <v>7.3195518E7</v>
      </c>
      <c r="N276" s="7">
        <v>1.0695678E7</v>
      </c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4">
        <v>276.0</v>
      </c>
      <c r="B277" s="5" t="s">
        <v>590</v>
      </c>
      <c r="C277" s="5" t="s">
        <v>591</v>
      </c>
      <c r="D277" s="5" t="s">
        <v>78</v>
      </c>
      <c r="E277" s="5" t="s">
        <v>24</v>
      </c>
      <c r="F277" s="5" t="s">
        <v>32</v>
      </c>
      <c r="G277" s="5" t="s">
        <v>60</v>
      </c>
      <c r="H277" s="6" t="s">
        <v>20</v>
      </c>
      <c r="I277" s="6">
        <v>6.0</v>
      </c>
      <c r="J277" s="6">
        <v>9.0</v>
      </c>
      <c r="K277" s="7">
        <v>0.0</v>
      </c>
      <c r="L277" s="7">
        <v>0.0</v>
      </c>
      <c r="M277" s="7">
        <v>1432950.0</v>
      </c>
      <c r="N277" s="7">
        <v>2.9672451E7</v>
      </c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4">
        <v>277.0</v>
      </c>
      <c r="B278" s="5" t="s">
        <v>592</v>
      </c>
      <c r="C278" s="5" t="s">
        <v>593</v>
      </c>
      <c r="D278" s="5" t="s">
        <v>78</v>
      </c>
      <c r="E278" s="5" t="s">
        <v>24</v>
      </c>
      <c r="F278" s="5" t="s">
        <v>25</v>
      </c>
      <c r="G278" s="5" t="s">
        <v>26</v>
      </c>
      <c r="H278" s="6" t="s">
        <v>27</v>
      </c>
      <c r="I278" s="6">
        <v>9.0</v>
      </c>
      <c r="J278" s="6">
        <v>7.0</v>
      </c>
      <c r="K278" s="7">
        <v>1000000.0</v>
      </c>
      <c r="L278" s="7">
        <v>7.7159264E7</v>
      </c>
      <c r="M278" s="7">
        <v>0.0</v>
      </c>
      <c r="N278" s="7">
        <v>9.7234303E7</v>
      </c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4">
        <v>278.0</v>
      </c>
      <c r="B279" s="5" t="s">
        <v>594</v>
      </c>
      <c r="C279" s="5" t="s">
        <v>595</v>
      </c>
      <c r="D279" s="5" t="s">
        <v>63</v>
      </c>
      <c r="E279" s="5" t="s">
        <v>24</v>
      </c>
      <c r="F279" s="5" t="s">
        <v>25</v>
      </c>
      <c r="G279" s="5" t="s">
        <v>26</v>
      </c>
      <c r="H279" s="6" t="s">
        <v>20</v>
      </c>
      <c r="I279" s="6">
        <v>8.0</v>
      </c>
      <c r="J279" s="6">
        <v>10.0</v>
      </c>
      <c r="K279" s="7">
        <v>1.0E8</v>
      </c>
      <c r="L279" s="7">
        <v>1.2451199E7</v>
      </c>
      <c r="M279" s="7">
        <v>7.4231711E7</v>
      </c>
      <c r="N279" s="7">
        <v>4.2951226E7</v>
      </c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4">
        <v>279.0</v>
      </c>
      <c r="B280" s="5" t="s">
        <v>596</v>
      </c>
      <c r="C280" s="5" t="s">
        <v>597</v>
      </c>
      <c r="D280" s="5" t="s">
        <v>78</v>
      </c>
      <c r="E280" s="5" t="s">
        <v>31</v>
      </c>
      <c r="F280" s="5" t="s">
        <v>25</v>
      </c>
      <c r="G280" s="5" t="s">
        <v>26</v>
      </c>
      <c r="H280" s="6" t="s">
        <v>27</v>
      </c>
      <c r="I280" s="6">
        <v>8.0</v>
      </c>
      <c r="J280" s="6">
        <v>7.0</v>
      </c>
      <c r="K280" s="7">
        <v>9.0E7</v>
      </c>
      <c r="L280" s="7">
        <v>1.3287929E7</v>
      </c>
      <c r="M280" s="7">
        <v>2.7090183E7</v>
      </c>
      <c r="N280" s="7">
        <v>7.9518711E7</v>
      </c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4">
        <v>280.0</v>
      </c>
      <c r="B281" s="5" t="s">
        <v>598</v>
      </c>
      <c r="C281" s="5" t="s">
        <v>599</v>
      </c>
      <c r="D281" s="5" t="s">
        <v>42</v>
      </c>
      <c r="E281" s="5" t="s">
        <v>17</v>
      </c>
      <c r="F281" s="5" t="s">
        <v>18</v>
      </c>
      <c r="G281" s="5" t="s">
        <v>175</v>
      </c>
      <c r="H281" s="6" t="s">
        <v>20</v>
      </c>
      <c r="I281" s="6">
        <v>6.0</v>
      </c>
      <c r="J281" s="6">
        <v>4.0</v>
      </c>
      <c r="K281" s="7">
        <v>0.0</v>
      </c>
      <c r="L281" s="7">
        <v>0.0</v>
      </c>
      <c r="M281" s="7">
        <v>2.0898506E7</v>
      </c>
      <c r="N281" s="7">
        <v>2.4525645E7</v>
      </c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4">
        <v>281.0</v>
      </c>
      <c r="B282" s="5" t="s">
        <v>600</v>
      </c>
      <c r="C282" s="5" t="s">
        <v>601</v>
      </c>
      <c r="D282" s="5" t="s">
        <v>63</v>
      </c>
      <c r="E282" s="5" t="s">
        <v>24</v>
      </c>
      <c r="F282" s="5" t="s">
        <v>25</v>
      </c>
      <c r="G282" s="5" t="s">
        <v>26</v>
      </c>
      <c r="H282" s="6" t="s">
        <v>20</v>
      </c>
      <c r="I282" s="6">
        <v>3.0</v>
      </c>
      <c r="J282" s="6">
        <v>5.0</v>
      </c>
      <c r="K282" s="7">
        <v>5000000.0</v>
      </c>
      <c r="L282" s="7">
        <v>3.7959268E7</v>
      </c>
      <c r="M282" s="7">
        <v>6.9132389E7</v>
      </c>
      <c r="N282" s="7">
        <v>9.9564796E7</v>
      </c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4">
        <v>282.0</v>
      </c>
      <c r="B283" s="5" t="s">
        <v>602</v>
      </c>
      <c r="C283" s="5" t="s">
        <v>603</v>
      </c>
      <c r="D283" s="5" t="s">
        <v>36</v>
      </c>
      <c r="E283" s="5" t="s">
        <v>24</v>
      </c>
      <c r="F283" s="5" t="s">
        <v>32</v>
      </c>
      <c r="G283" s="5" t="s">
        <v>60</v>
      </c>
      <c r="H283" s="6" t="s">
        <v>27</v>
      </c>
      <c r="I283" s="6">
        <v>6.0</v>
      </c>
      <c r="J283" s="6">
        <v>6.0</v>
      </c>
      <c r="K283" s="7">
        <v>0.0</v>
      </c>
      <c r="L283" s="7">
        <v>0.0</v>
      </c>
      <c r="M283" s="7">
        <v>2.6450622E7</v>
      </c>
      <c r="N283" s="7">
        <v>4227264.0</v>
      </c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4">
        <v>283.0</v>
      </c>
      <c r="B284" s="5" t="s">
        <v>604</v>
      </c>
      <c r="C284" s="5" t="s">
        <v>605</v>
      </c>
      <c r="D284" s="5" t="s">
        <v>30</v>
      </c>
      <c r="E284" s="5" t="s">
        <v>24</v>
      </c>
      <c r="F284" s="5" t="s">
        <v>32</v>
      </c>
      <c r="G284" s="5" t="s">
        <v>60</v>
      </c>
      <c r="H284" s="6" t="s">
        <v>27</v>
      </c>
      <c r="I284" s="6">
        <v>6.0</v>
      </c>
      <c r="J284" s="6">
        <v>7.0</v>
      </c>
      <c r="K284" s="7">
        <v>0.0</v>
      </c>
      <c r="L284" s="7">
        <v>0.0</v>
      </c>
      <c r="M284" s="7">
        <v>0.0</v>
      </c>
      <c r="N284" s="7">
        <v>5.437664E7</v>
      </c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4">
        <v>284.0</v>
      </c>
      <c r="B285" s="5" t="s">
        <v>606</v>
      </c>
      <c r="C285" s="5" t="s">
        <v>607</v>
      </c>
      <c r="D285" s="5" t="s">
        <v>36</v>
      </c>
      <c r="E285" s="5" t="s">
        <v>24</v>
      </c>
      <c r="F285" s="5" t="s">
        <v>25</v>
      </c>
      <c r="G285" s="5" t="s">
        <v>37</v>
      </c>
      <c r="H285" s="6" t="s">
        <v>20</v>
      </c>
      <c r="I285" s="6">
        <v>8.0</v>
      </c>
      <c r="J285" s="6">
        <v>10.0</v>
      </c>
      <c r="K285" s="7">
        <v>9.0E7</v>
      </c>
      <c r="L285" s="7">
        <v>2.9991873E7</v>
      </c>
      <c r="M285" s="7">
        <v>3.9252741E7</v>
      </c>
      <c r="N285" s="7">
        <v>1.5542722E7</v>
      </c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4">
        <v>285.0</v>
      </c>
      <c r="B286" s="5" t="s">
        <v>608</v>
      </c>
      <c r="C286" s="5" t="s">
        <v>609</v>
      </c>
      <c r="D286" s="5" t="s">
        <v>16</v>
      </c>
      <c r="E286" s="5" t="s">
        <v>24</v>
      </c>
      <c r="F286" s="5" t="s">
        <v>25</v>
      </c>
      <c r="G286" s="5" t="s">
        <v>37</v>
      </c>
      <c r="H286" s="6" t="s">
        <v>20</v>
      </c>
      <c r="I286" s="6">
        <v>5.0</v>
      </c>
      <c r="J286" s="6">
        <v>9.0</v>
      </c>
      <c r="K286" s="7">
        <v>1.0E7</v>
      </c>
      <c r="L286" s="7">
        <v>7303129.0</v>
      </c>
      <c r="M286" s="7">
        <v>3765621.0</v>
      </c>
      <c r="N286" s="7">
        <v>1.8125151E7</v>
      </c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4">
        <v>286.0</v>
      </c>
      <c r="B287" s="5" t="s">
        <v>610</v>
      </c>
      <c r="C287" s="5" t="s">
        <v>611</v>
      </c>
      <c r="D287" s="5" t="s">
        <v>78</v>
      </c>
      <c r="E287" s="5" t="s">
        <v>24</v>
      </c>
      <c r="F287" s="5" t="s">
        <v>25</v>
      </c>
      <c r="G287" s="5" t="s">
        <v>37</v>
      </c>
      <c r="H287" s="6" t="s">
        <v>20</v>
      </c>
      <c r="I287" s="6">
        <v>9.0</v>
      </c>
      <c r="J287" s="6">
        <v>5.0</v>
      </c>
      <c r="K287" s="7">
        <v>3.0E7</v>
      </c>
      <c r="L287" s="7">
        <v>4.4457754E7</v>
      </c>
      <c r="M287" s="7">
        <v>0.0</v>
      </c>
      <c r="N287" s="7">
        <v>6.2249765E7</v>
      </c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4">
        <v>287.0</v>
      </c>
      <c r="B288" s="5" t="s">
        <v>612</v>
      </c>
      <c r="C288" s="5" t="s">
        <v>613</v>
      </c>
      <c r="D288" s="5" t="s">
        <v>45</v>
      </c>
      <c r="E288" s="5" t="s">
        <v>24</v>
      </c>
      <c r="F288" s="5" t="s">
        <v>25</v>
      </c>
      <c r="G288" s="5" t="s">
        <v>26</v>
      </c>
      <c r="H288" s="6" t="s">
        <v>20</v>
      </c>
      <c r="I288" s="6">
        <v>4.0</v>
      </c>
      <c r="J288" s="6">
        <v>7.0</v>
      </c>
      <c r="K288" s="7">
        <v>1.0E7</v>
      </c>
      <c r="L288" s="7">
        <v>5.4467236E7</v>
      </c>
      <c r="M288" s="7">
        <v>0.0</v>
      </c>
      <c r="N288" s="7">
        <v>1234692.0</v>
      </c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4">
        <v>288.0</v>
      </c>
      <c r="B289" s="5" t="s">
        <v>614</v>
      </c>
      <c r="C289" s="5" t="s">
        <v>615</v>
      </c>
      <c r="D289" s="5" t="s">
        <v>78</v>
      </c>
      <c r="E289" s="5" t="s">
        <v>24</v>
      </c>
      <c r="F289" s="5" t="s">
        <v>25</v>
      </c>
      <c r="G289" s="5" t="s">
        <v>37</v>
      </c>
      <c r="H289" s="6" t="s">
        <v>20</v>
      </c>
      <c r="I289" s="6">
        <v>4.0</v>
      </c>
      <c r="J289" s="6">
        <v>6.0</v>
      </c>
      <c r="K289" s="7">
        <v>1.0E7</v>
      </c>
      <c r="L289" s="7">
        <v>1.7991607E7</v>
      </c>
      <c r="M289" s="7">
        <v>0.0</v>
      </c>
      <c r="N289" s="7">
        <v>174626.0</v>
      </c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4">
        <v>289.0</v>
      </c>
      <c r="B290" s="5" t="s">
        <v>616</v>
      </c>
      <c r="C290" s="5" t="s">
        <v>617</v>
      </c>
      <c r="D290" s="5" t="s">
        <v>78</v>
      </c>
      <c r="E290" s="5" t="s">
        <v>24</v>
      </c>
      <c r="F290" s="5" t="s">
        <v>32</v>
      </c>
      <c r="G290" s="5" t="s">
        <v>33</v>
      </c>
      <c r="H290" s="6" t="s">
        <v>20</v>
      </c>
      <c r="I290" s="6">
        <v>9.0</v>
      </c>
      <c r="J290" s="6">
        <v>5.0</v>
      </c>
      <c r="K290" s="7">
        <v>0.0</v>
      </c>
      <c r="L290" s="7">
        <v>0.0</v>
      </c>
      <c r="M290" s="7">
        <v>2.4965127E7</v>
      </c>
      <c r="N290" s="7">
        <v>4.1129782E7</v>
      </c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4">
        <v>290.0</v>
      </c>
      <c r="B291" s="5" t="s">
        <v>618</v>
      </c>
      <c r="C291" s="5" t="s">
        <v>619</v>
      </c>
      <c r="D291" s="5" t="s">
        <v>23</v>
      </c>
      <c r="E291" s="5" t="s">
        <v>31</v>
      </c>
      <c r="F291" s="5" t="s">
        <v>25</v>
      </c>
      <c r="G291" s="5" t="s">
        <v>37</v>
      </c>
      <c r="H291" s="6" t="s">
        <v>20</v>
      </c>
      <c r="I291" s="6">
        <v>6.0</v>
      </c>
      <c r="J291" s="6">
        <v>9.0</v>
      </c>
      <c r="K291" s="7">
        <v>1000000.0</v>
      </c>
      <c r="L291" s="7">
        <v>8.7347043E7</v>
      </c>
      <c r="M291" s="7">
        <v>5.0796112E7</v>
      </c>
      <c r="N291" s="7">
        <v>7.275783E7</v>
      </c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4">
        <v>291.0</v>
      </c>
      <c r="B292" s="5" t="s">
        <v>620</v>
      </c>
      <c r="C292" s="5" t="s">
        <v>621</v>
      </c>
      <c r="D292" s="5" t="s">
        <v>63</v>
      </c>
      <c r="E292" s="5" t="s">
        <v>53</v>
      </c>
      <c r="F292" s="5" t="s">
        <v>32</v>
      </c>
      <c r="G292" s="5" t="s">
        <v>60</v>
      </c>
      <c r="H292" s="6" t="s">
        <v>20</v>
      </c>
      <c r="I292" s="6">
        <v>8.0</v>
      </c>
      <c r="J292" s="6">
        <v>10.0</v>
      </c>
      <c r="K292" s="7">
        <v>0.0</v>
      </c>
      <c r="L292" s="7">
        <v>0.0</v>
      </c>
      <c r="M292" s="7">
        <v>3.8721754E7</v>
      </c>
      <c r="N292" s="7">
        <v>7.7230635E7</v>
      </c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4">
        <v>292.0</v>
      </c>
      <c r="B293" s="5" t="s">
        <v>622</v>
      </c>
      <c r="C293" s="5" t="s">
        <v>623</v>
      </c>
      <c r="D293" s="5" t="s">
        <v>101</v>
      </c>
      <c r="E293" s="5" t="s">
        <v>24</v>
      </c>
      <c r="F293" s="5" t="s">
        <v>25</v>
      </c>
      <c r="G293" s="5" t="s">
        <v>37</v>
      </c>
      <c r="H293" s="6" t="s">
        <v>20</v>
      </c>
      <c r="I293" s="6">
        <v>6.0</v>
      </c>
      <c r="J293" s="6">
        <v>9.0</v>
      </c>
      <c r="K293" s="7">
        <v>1.0E7</v>
      </c>
      <c r="L293" s="7">
        <v>4.3538967E7</v>
      </c>
      <c r="M293" s="7">
        <v>5161300.0</v>
      </c>
      <c r="N293" s="7">
        <v>8.5417673E7</v>
      </c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4">
        <v>293.0</v>
      </c>
      <c r="B294" s="5" t="s">
        <v>624</v>
      </c>
      <c r="C294" s="5" t="s">
        <v>625</v>
      </c>
      <c r="D294" s="5" t="s">
        <v>16</v>
      </c>
      <c r="E294" s="5" t="s">
        <v>24</v>
      </c>
      <c r="F294" s="5" t="s">
        <v>25</v>
      </c>
      <c r="G294" s="5" t="s">
        <v>37</v>
      </c>
      <c r="H294" s="6" t="s">
        <v>27</v>
      </c>
      <c r="I294" s="6">
        <v>7.0</v>
      </c>
      <c r="J294" s="6">
        <v>10.0</v>
      </c>
      <c r="K294" s="7">
        <v>1000000.0</v>
      </c>
      <c r="L294" s="7">
        <v>9.5899452E7</v>
      </c>
      <c r="M294" s="7">
        <v>2565664.0</v>
      </c>
      <c r="N294" s="7">
        <v>3.9602953E7</v>
      </c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4">
        <v>294.0</v>
      </c>
      <c r="B295" s="5" t="s">
        <v>626</v>
      </c>
      <c r="C295" s="5" t="s">
        <v>627</v>
      </c>
      <c r="D295" s="5" t="s">
        <v>36</v>
      </c>
      <c r="E295" s="5" t="s">
        <v>24</v>
      </c>
      <c r="F295" s="5" t="s">
        <v>25</v>
      </c>
      <c r="G295" s="5" t="s">
        <v>37</v>
      </c>
      <c r="H295" s="6" t="s">
        <v>27</v>
      </c>
      <c r="I295" s="6">
        <v>5.0</v>
      </c>
      <c r="J295" s="6">
        <v>10.0</v>
      </c>
      <c r="K295" s="7">
        <v>1000000.0</v>
      </c>
      <c r="L295" s="7">
        <v>8.1347428E7</v>
      </c>
      <c r="M295" s="7">
        <v>1.0860215E7</v>
      </c>
      <c r="N295" s="7">
        <v>2.863729E7</v>
      </c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4">
        <v>295.0</v>
      </c>
      <c r="B296" s="5" t="s">
        <v>628</v>
      </c>
      <c r="C296" s="5" t="s">
        <v>629</v>
      </c>
      <c r="D296" s="5" t="s">
        <v>63</v>
      </c>
      <c r="E296" s="5" t="s">
        <v>53</v>
      </c>
      <c r="F296" s="5" t="s">
        <v>25</v>
      </c>
      <c r="G296" s="5" t="s">
        <v>37</v>
      </c>
      <c r="H296" s="6" t="s">
        <v>27</v>
      </c>
      <c r="I296" s="6">
        <v>3.0</v>
      </c>
      <c r="J296" s="6">
        <v>10.0</v>
      </c>
      <c r="K296" s="7">
        <v>3.0E7</v>
      </c>
      <c r="L296" s="7">
        <v>5.244286E7</v>
      </c>
      <c r="M296" s="7">
        <v>2659881.0</v>
      </c>
      <c r="N296" s="7">
        <v>8.0287314E7</v>
      </c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4">
        <v>296.0</v>
      </c>
      <c r="B297" s="5" t="s">
        <v>630</v>
      </c>
      <c r="C297" s="5" t="s">
        <v>631</v>
      </c>
      <c r="D297" s="5" t="s">
        <v>23</v>
      </c>
      <c r="E297" s="5" t="s">
        <v>24</v>
      </c>
      <c r="F297" s="5" t="s">
        <v>25</v>
      </c>
      <c r="G297" s="5" t="s">
        <v>37</v>
      </c>
      <c r="H297" s="6" t="s">
        <v>27</v>
      </c>
      <c r="I297" s="6">
        <v>7.0</v>
      </c>
      <c r="J297" s="6">
        <v>7.0</v>
      </c>
      <c r="K297" s="7">
        <v>1.0E7</v>
      </c>
      <c r="L297" s="7">
        <v>9.6199053E7</v>
      </c>
      <c r="M297" s="7">
        <v>3.1746355E7</v>
      </c>
      <c r="N297" s="7">
        <v>8.0063468E7</v>
      </c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4">
        <v>297.0</v>
      </c>
      <c r="B298" s="5" t="s">
        <v>632</v>
      </c>
      <c r="C298" s="5" t="s">
        <v>633</v>
      </c>
      <c r="D298" s="5" t="s">
        <v>101</v>
      </c>
      <c r="E298" s="5" t="s">
        <v>24</v>
      </c>
      <c r="F298" s="5" t="s">
        <v>25</v>
      </c>
      <c r="G298" s="5" t="s">
        <v>37</v>
      </c>
      <c r="H298" s="6" t="s">
        <v>20</v>
      </c>
      <c r="I298" s="6">
        <v>5.0</v>
      </c>
      <c r="J298" s="6">
        <v>7.0</v>
      </c>
      <c r="K298" s="7">
        <v>1000000.0</v>
      </c>
      <c r="L298" s="7">
        <v>7.1783742E7</v>
      </c>
      <c r="M298" s="7">
        <v>6.4667814E7</v>
      </c>
      <c r="N298" s="7">
        <v>7.065318E7</v>
      </c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4">
        <v>298.0</v>
      </c>
      <c r="B299" s="5" t="s">
        <v>634</v>
      </c>
      <c r="C299" s="5" t="s">
        <v>635</v>
      </c>
      <c r="D299" s="5" t="s">
        <v>101</v>
      </c>
      <c r="E299" s="5" t="s">
        <v>53</v>
      </c>
      <c r="F299" s="5" t="s">
        <v>25</v>
      </c>
      <c r="G299" s="5" t="s">
        <v>37</v>
      </c>
      <c r="H299" s="6" t="s">
        <v>20</v>
      </c>
      <c r="I299" s="6">
        <v>9.0</v>
      </c>
      <c r="J299" s="6">
        <v>7.0</v>
      </c>
      <c r="K299" s="7">
        <v>9.0E7</v>
      </c>
      <c r="L299" s="7">
        <v>9.4913746E7</v>
      </c>
      <c r="M299" s="7">
        <v>7.4083223E7</v>
      </c>
      <c r="N299" s="7">
        <v>3.161767E7</v>
      </c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4">
        <v>299.0</v>
      </c>
      <c r="B300" s="5" t="s">
        <v>636</v>
      </c>
      <c r="C300" s="5" t="s">
        <v>637</v>
      </c>
      <c r="D300" s="5" t="s">
        <v>101</v>
      </c>
      <c r="E300" s="5" t="s">
        <v>53</v>
      </c>
      <c r="F300" s="5" t="s">
        <v>32</v>
      </c>
      <c r="G300" s="5" t="s">
        <v>33</v>
      </c>
      <c r="H300" s="6" t="s">
        <v>20</v>
      </c>
      <c r="I300" s="6">
        <v>6.0</v>
      </c>
      <c r="J300" s="6">
        <v>9.0</v>
      </c>
      <c r="K300" s="7">
        <v>0.0</v>
      </c>
      <c r="L300" s="7">
        <v>0.0</v>
      </c>
      <c r="M300" s="7">
        <v>6.7753952E7</v>
      </c>
      <c r="N300" s="7">
        <v>7.7205812E7</v>
      </c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4">
        <v>300.0</v>
      </c>
      <c r="B301" s="5" t="s">
        <v>638</v>
      </c>
      <c r="C301" s="5" t="s">
        <v>639</v>
      </c>
      <c r="D301" s="5" t="s">
        <v>23</v>
      </c>
      <c r="E301" s="5" t="s">
        <v>24</v>
      </c>
      <c r="F301" s="5" t="s">
        <v>25</v>
      </c>
      <c r="G301" s="5" t="s">
        <v>37</v>
      </c>
      <c r="H301" s="6" t="s">
        <v>27</v>
      </c>
      <c r="I301" s="6">
        <v>7.0</v>
      </c>
      <c r="J301" s="6">
        <v>5.0</v>
      </c>
      <c r="K301" s="7">
        <v>3.0E7</v>
      </c>
      <c r="L301" s="7">
        <v>3.3477783E7</v>
      </c>
      <c r="M301" s="7">
        <v>0.0</v>
      </c>
      <c r="N301" s="7">
        <v>2.7651635E7</v>
      </c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4">
        <v>301.0</v>
      </c>
      <c r="B302" s="5" t="s">
        <v>640</v>
      </c>
      <c r="C302" s="5" t="s">
        <v>641</v>
      </c>
      <c r="D302" s="5" t="s">
        <v>16</v>
      </c>
      <c r="E302" s="5" t="s">
        <v>31</v>
      </c>
      <c r="F302" s="5" t="s">
        <v>25</v>
      </c>
      <c r="G302" s="5" t="s">
        <v>26</v>
      </c>
      <c r="H302" s="6" t="s">
        <v>27</v>
      </c>
      <c r="I302" s="6">
        <v>5.0</v>
      </c>
      <c r="J302" s="6">
        <v>10.0</v>
      </c>
      <c r="K302" s="7">
        <v>5.0E7</v>
      </c>
      <c r="L302" s="7">
        <v>2702447.0</v>
      </c>
      <c r="M302" s="7">
        <v>0.0</v>
      </c>
      <c r="N302" s="7">
        <v>4.467176E7</v>
      </c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4">
        <v>302.0</v>
      </c>
      <c r="B303" s="5" t="s">
        <v>642</v>
      </c>
      <c r="C303" s="5" t="s">
        <v>643</v>
      </c>
      <c r="D303" s="5" t="s">
        <v>36</v>
      </c>
      <c r="E303" s="5" t="s">
        <v>24</v>
      </c>
      <c r="F303" s="5" t="s">
        <v>25</v>
      </c>
      <c r="G303" s="5" t="s">
        <v>26</v>
      </c>
      <c r="H303" s="6" t="s">
        <v>20</v>
      </c>
      <c r="I303" s="6">
        <v>4.0</v>
      </c>
      <c r="J303" s="6">
        <v>8.0</v>
      </c>
      <c r="K303" s="7">
        <v>5.0E7</v>
      </c>
      <c r="L303" s="7">
        <v>7.0787848E7</v>
      </c>
      <c r="M303" s="7">
        <v>3.3368202E7</v>
      </c>
      <c r="N303" s="7">
        <v>4.3277527E7</v>
      </c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4">
        <v>303.0</v>
      </c>
      <c r="B304" s="5" t="s">
        <v>644</v>
      </c>
      <c r="C304" s="5" t="s">
        <v>645</v>
      </c>
      <c r="D304" s="5" t="s">
        <v>45</v>
      </c>
      <c r="E304" s="5" t="s">
        <v>24</v>
      </c>
      <c r="F304" s="5" t="s">
        <v>32</v>
      </c>
      <c r="G304" s="5" t="s">
        <v>33</v>
      </c>
      <c r="H304" s="6" t="s">
        <v>27</v>
      </c>
      <c r="I304" s="6">
        <v>7.0</v>
      </c>
      <c r="J304" s="6">
        <v>10.0</v>
      </c>
      <c r="K304" s="7">
        <v>0.0</v>
      </c>
      <c r="L304" s="7">
        <v>0.0</v>
      </c>
      <c r="M304" s="7">
        <v>4.6563396E7</v>
      </c>
      <c r="N304" s="7">
        <v>6.3313535E7</v>
      </c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4">
        <v>304.0</v>
      </c>
      <c r="B305" s="5" t="s">
        <v>646</v>
      </c>
      <c r="C305" s="5" t="s">
        <v>647</v>
      </c>
      <c r="D305" s="5" t="s">
        <v>45</v>
      </c>
      <c r="E305" s="5" t="s">
        <v>24</v>
      </c>
      <c r="F305" s="5" t="s">
        <v>25</v>
      </c>
      <c r="G305" s="5" t="s">
        <v>26</v>
      </c>
      <c r="H305" s="6" t="s">
        <v>20</v>
      </c>
      <c r="I305" s="6">
        <v>3.0</v>
      </c>
      <c r="J305" s="6">
        <v>5.0</v>
      </c>
      <c r="K305" s="7">
        <v>2.0E7</v>
      </c>
      <c r="L305" s="7">
        <v>4.006462E7</v>
      </c>
      <c r="M305" s="7">
        <v>9.8137438E7</v>
      </c>
      <c r="N305" s="7">
        <v>0.0</v>
      </c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4">
        <v>305.0</v>
      </c>
      <c r="B306" s="5" t="s">
        <v>648</v>
      </c>
      <c r="C306" s="5" t="s">
        <v>649</v>
      </c>
      <c r="D306" s="5" t="s">
        <v>78</v>
      </c>
      <c r="E306" s="5" t="s">
        <v>24</v>
      </c>
      <c r="F306" s="5" t="s">
        <v>25</v>
      </c>
      <c r="G306" s="5" t="s">
        <v>37</v>
      </c>
      <c r="H306" s="6" t="s">
        <v>20</v>
      </c>
      <c r="I306" s="6">
        <v>3.0</v>
      </c>
      <c r="J306" s="6">
        <v>7.0</v>
      </c>
      <c r="K306" s="7">
        <v>3.0E7</v>
      </c>
      <c r="L306" s="7">
        <v>4.528936E7</v>
      </c>
      <c r="M306" s="7">
        <v>0.0</v>
      </c>
      <c r="N306" s="7">
        <v>4.6980526E7</v>
      </c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4">
        <v>306.0</v>
      </c>
      <c r="B307" s="5" t="s">
        <v>650</v>
      </c>
      <c r="C307" s="5" t="s">
        <v>651</v>
      </c>
      <c r="D307" s="5" t="s">
        <v>45</v>
      </c>
      <c r="E307" s="5" t="s">
        <v>53</v>
      </c>
      <c r="F307" s="5" t="s">
        <v>25</v>
      </c>
      <c r="G307" s="5" t="s">
        <v>37</v>
      </c>
      <c r="H307" s="6" t="s">
        <v>20</v>
      </c>
      <c r="I307" s="6">
        <v>7.0</v>
      </c>
      <c r="J307" s="6">
        <v>8.0</v>
      </c>
      <c r="K307" s="7">
        <v>3.0E7</v>
      </c>
      <c r="L307" s="7">
        <v>3.4397393E7</v>
      </c>
      <c r="M307" s="7">
        <v>7.2192037E7</v>
      </c>
      <c r="N307" s="7">
        <v>2.1247716E7</v>
      </c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4">
        <v>307.0</v>
      </c>
      <c r="B308" s="5" t="s">
        <v>652</v>
      </c>
      <c r="C308" s="5" t="s">
        <v>653</v>
      </c>
      <c r="D308" s="5" t="s">
        <v>16</v>
      </c>
      <c r="E308" s="5" t="s">
        <v>24</v>
      </c>
      <c r="F308" s="5" t="s">
        <v>32</v>
      </c>
      <c r="G308" s="5" t="s">
        <v>60</v>
      </c>
      <c r="H308" s="6" t="s">
        <v>27</v>
      </c>
      <c r="I308" s="6">
        <v>5.0</v>
      </c>
      <c r="J308" s="6">
        <v>9.0</v>
      </c>
      <c r="K308" s="7">
        <v>0.0</v>
      </c>
      <c r="L308" s="7">
        <v>0.0</v>
      </c>
      <c r="M308" s="7">
        <v>6.9870077E7</v>
      </c>
      <c r="N308" s="7">
        <v>9.844158E7</v>
      </c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4">
        <v>308.0</v>
      </c>
      <c r="B309" s="5" t="s">
        <v>654</v>
      </c>
      <c r="C309" s="5" t="s">
        <v>655</v>
      </c>
      <c r="D309" s="5" t="s">
        <v>23</v>
      </c>
      <c r="E309" s="5" t="s">
        <v>53</v>
      </c>
      <c r="F309" s="5" t="s">
        <v>25</v>
      </c>
      <c r="G309" s="5" t="s">
        <v>37</v>
      </c>
      <c r="H309" s="6" t="s">
        <v>20</v>
      </c>
      <c r="I309" s="6">
        <v>9.0</v>
      </c>
      <c r="J309" s="6">
        <v>6.0</v>
      </c>
      <c r="K309" s="7">
        <v>1000000.0</v>
      </c>
      <c r="L309" s="7">
        <v>3.4126405E7</v>
      </c>
      <c r="M309" s="7">
        <v>8.8265167E7</v>
      </c>
      <c r="N309" s="7">
        <v>5.6002928E7</v>
      </c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4">
        <v>309.0</v>
      </c>
      <c r="B310" s="5" t="s">
        <v>656</v>
      </c>
      <c r="C310" s="5" t="s">
        <v>657</v>
      </c>
      <c r="D310" s="5" t="s">
        <v>42</v>
      </c>
      <c r="E310" s="5" t="s">
        <v>24</v>
      </c>
      <c r="F310" s="5" t="s">
        <v>25</v>
      </c>
      <c r="G310" s="5" t="s">
        <v>26</v>
      </c>
      <c r="H310" s="6" t="s">
        <v>20</v>
      </c>
      <c r="I310" s="6">
        <v>4.0</v>
      </c>
      <c r="J310" s="6">
        <v>9.0</v>
      </c>
      <c r="K310" s="7">
        <v>1000000.0</v>
      </c>
      <c r="L310" s="7">
        <v>5.3008255E7</v>
      </c>
      <c r="M310" s="7">
        <v>4.691791E7</v>
      </c>
      <c r="N310" s="7">
        <v>4.7557281E7</v>
      </c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4">
        <v>310.0</v>
      </c>
      <c r="B311" s="5" t="s">
        <v>658</v>
      </c>
      <c r="C311" s="5" t="s">
        <v>659</v>
      </c>
      <c r="D311" s="5" t="s">
        <v>30</v>
      </c>
      <c r="E311" s="5" t="s">
        <v>24</v>
      </c>
      <c r="F311" s="5" t="s">
        <v>32</v>
      </c>
      <c r="G311" s="5" t="s">
        <v>60</v>
      </c>
      <c r="H311" s="6" t="s">
        <v>20</v>
      </c>
      <c r="I311" s="6">
        <v>5.0</v>
      </c>
      <c r="J311" s="6">
        <v>8.0</v>
      </c>
      <c r="K311" s="7">
        <v>0.0</v>
      </c>
      <c r="L311" s="7">
        <v>0.0</v>
      </c>
      <c r="M311" s="7">
        <v>0.0</v>
      </c>
      <c r="N311" s="7">
        <v>2.267526E7</v>
      </c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4">
        <v>311.0</v>
      </c>
      <c r="B312" s="5" t="s">
        <v>660</v>
      </c>
      <c r="C312" s="5" t="s">
        <v>661</v>
      </c>
      <c r="D312" s="5" t="s">
        <v>23</v>
      </c>
      <c r="E312" s="5" t="s">
        <v>24</v>
      </c>
      <c r="F312" s="5" t="s">
        <v>25</v>
      </c>
      <c r="G312" s="5" t="s">
        <v>26</v>
      </c>
      <c r="H312" s="6" t="s">
        <v>20</v>
      </c>
      <c r="I312" s="6">
        <v>3.0</v>
      </c>
      <c r="J312" s="6">
        <v>5.0</v>
      </c>
      <c r="K312" s="7">
        <v>1.0E8</v>
      </c>
      <c r="L312" s="7">
        <v>9.468872E7</v>
      </c>
      <c r="M312" s="7">
        <v>8.6323763E7</v>
      </c>
      <c r="N312" s="7">
        <v>2.0929788E7</v>
      </c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4">
        <v>312.0</v>
      </c>
      <c r="B313" s="5" t="s">
        <v>662</v>
      </c>
      <c r="C313" s="5" t="s">
        <v>663</v>
      </c>
      <c r="D313" s="5" t="s">
        <v>45</v>
      </c>
      <c r="E313" s="5" t="s">
        <v>17</v>
      </c>
      <c r="F313" s="5" t="s">
        <v>18</v>
      </c>
      <c r="G313" s="5" t="s">
        <v>19</v>
      </c>
      <c r="H313" s="6" t="s">
        <v>20</v>
      </c>
      <c r="I313" s="6">
        <v>3.0</v>
      </c>
      <c r="J313" s="6">
        <v>6.0</v>
      </c>
      <c r="K313" s="7">
        <v>0.0</v>
      </c>
      <c r="L313" s="7">
        <v>0.0</v>
      </c>
      <c r="M313" s="7">
        <v>9.6750826E7</v>
      </c>
      <c r="N313" s="7">
        <v>3.1435769E7</v>
      </c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4">
        <v>313.0</v>
      </c>
      <c r="B314" s="5" t="s">
        <v>664</v>
      </c>
      <c r="C314" s="5" t="s">
        <v>665</v>
      </c>
      <c r="D314" s="5" t="s">
        <v>63</v>
      </c>
      <c r="E314" s="5" t="s">
        <v>53</v>
      </c>
      <c r="F314" s="5" t="s">
        <v>25</v>
      </c>
      <c r="G314" s="5" t="s">
        <v>26</v>
      </c>
      <c r="H314" s="6" t="s">
        <v>20</v>
      </c>
      <c r="I314" s="6">
        <v>5.0</v>
      </c>
      <c r="J314" s="6">
        <v>6.0</v>
      </c>
      <c r="K314" s="7">
        <v>1.0E7</v>
      </c>
      <c r="L314" s="7">
        <v>8.9686683E7</v>
      </c>
      <c r="M314" s="7">
        <v>6.2448793E7</v>
      </c>
      <c r="N314" s="7">
        <v>2.68126E7</v>
      </c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4">
        <v>314.0</v>
      </c>
      <c r="B315" s="5" t="s">
        <v>666</v>
      </c>
      <c r="C315" s="5" t="s">
        <v>667</v>
      </c>
      <c r="D315" s="5" t="s">
        <v>63</v>
      </c>
      <c r="E315" s="5" t="s">
        <v>24</v>
      </c>
      <c r="F315" s="5" t="s">
        <v>25</v>
      </c>
      <c r="G315" s="5" t="s">
        <v>37</v>
      </c>
      <c r="H315" s="6" t="s">
        <v>20</v>
      </c>
      <c r="I315" s="6">
        <v>7.0</v>
      </c>
      <c r="J315" s="6">
        <v>5.0</v>
      </c>
      <c r="K315" s="7">
        <v>3.0E7</v>
      </c>
      <c r="L315" s="7">
        <v>3.2890743E7</v>
      </c>
      <c r="M315" s="7">
        <v>0.0</v>
      </c>
      <c r="N315" s="7">
        <v>3.986462E7</v>
      </c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4">
        <v>315.0</v>
      </c>
      <c r="B316" s="5" t="s">
        <v>668</v>
      </c>
      <c r="C316" s="5" t="s">
        <v>669</v>
      </c>
      <c r="D316" s="5" t="s">
        <v>101</v>
      </c>
      <c r="E316" s="5" t="s">
        <v>53</v>
      </c>
      <c r="F316" s="5" t="s">
        <v>25</v>
      </c>
      <c r="G316" s="5" t="s">
        <v>26</v>
      </c>
      <c r="H316" s="6" t="s">
        <v>20</v>
      </c>
      <c r="I316" s="6">
        <v>7.0</v>
      </c>
      <c r="J316" s="6">
        <v>9.0</v>
      </c>
      <c r="K316" s="7">
        <v>1.0E7</v>
      </c>
      <c r="L316" s="7">
        <v>3.2370896E7</v>
      </c>
      <c r="M316" s="7">
        <v>9.6066942E7</v>
      </c>
      <c r="N316" s="7">
        <v>3767736.0</v>
      </c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4">
        <v>316.0</v>
      </c>
      <c r="B317" s="5" t="s">
        <v>670</v>
      </c>
      <c r="C317" s="5" t="s">
        <v>671</v>
      </c>
      <c r="D317" s="5" t="s">
        <v>101</v>
      </c>
      <c r="E317" s="5" t="s">
        <v>53</v>
      </c>
      <c r="F317" s="5" t="s">
        <v>32</v>
      </c>
      <c r="G317" s="5" t="s">
        <v>33</v>
      </c>
      <c r="H317" s="6" t="s">
        <v>20</v>
      </c>
      <c r="I317" s="6">
        <v>5.0</v>
      </c>
      <c r="J317" s="6">
        <v>6.0</v>
      </c>
      <c r="K317" s="7">
        <v>0.0</v>
      </c>
      <c r="L317" s="7">
        <v>0.0</v>
      </c>
      <c r="M317" s="7">
        <v>2.4514428E7</v>
      </c>
      <c r="N317" s="7">
        <v>2.7890231E7</v>
      </c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4">
        <v>317.0</v>
      </c>
      <c r="B318" s="5" t="s">
        <v>672</v>
      </c>
      <c r="C318" s="5" t="s">
        <v>673</v>
      </c>
      <c r="D318" s="5" t="s">
        <v>63</v>
      </c>
      <c r="E318" s="5" t="s">
        <v>24</v>
      </c>
      <c r="F318" s="5" t="s">
        <v>25</v>
      </c>
      <c r="G318" s="5" t="s">
        <v>26</v>
      </c>
      <c r="H318" s="6" t="s">
        <v>27</v>
      </c>
      <c r="I318" s="6">
        <v>7.0</v>
      </c>
      <c r="J318" s="6">
        <v>10.0</v>
      </c>
      <c r="K318" s="7">
        <v>1.0E7</v>
      </c>
      <c r="L318" s="7">
        <v>3.1953589E7</v>
      </c>
      <c r="M318" s="7">
        <v>4.0068224E7</v>
      </c>
      <c r="N318" s="7">
        <v>8.0951038E7</v>
      </c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4">
        <v>318.0</v>
      </c>
      <c r="B319" s="5" t="s">
        <v>674</v>
      </c>
      <c r="C319" s="5" t="s">
        <v>675</v>
      </c>
      <c r="D319" s="5" t="s">
        <v>45</v>
      </c>
      <c r="E319" s="5" t="s">
        <v>24</v>
      </c>
      <c r="F319" s="5" t="s">
        <v>25</v>
      </c>
      <c r="G319" s="5" t="s">
        <v>26</v>
      </c>
      <c r="H319" s="6" t="s">
        <v>20</v>
      </c>
      <c r="I319" s="6">
        <v>8.0</v>
      </c>
      <c r="J319" s="6">
        <v>9.0</v>
      </c>
      <c r="K319" s="7">
        <v>5.0E7</v>
      </c>
      <c r="L319" s="7">
        <v>7.8205651E7</v>
      </c>
      <c r="M319" s="7">
        <v>6.238118E7</v>
      </c>
      <c r="N319" s="7">
        <v>6508585.0</v>
      </c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4">
        <v>319.0</v>
      </c>
      <c r="B320" s="5" t="s">
        <v>676</v>
      </c>
      <c r="C320" s="5" t="s">
        <v>677</v>
      </c>
      <c r="D320" s="5" t="s">
        <v>36</v>
      </c>
      <c r="E320" s="5" t="s">
        <v>50</v>
      </c>
      <c r="F320" s="5" t="s">
        <v>32</v>
      </c>
      <c r="G320" s="5" t="s">
        <v>60</v>
      </c>
      <c r="H320" s="6" t="s">
        <v>20</v>
      </c>
      <c r="I320" s="6">
        <v>3.0</v>
      </c>
      <c r="J320" s="6">
        <v>5.0</v>
      </c>
      <c r="K320" s="7">
        <v>0.0</v>
      </c>
      <c r="L320" s="7">
        <v>0.0</v>
      </c>
      <c r="M320" s="7">
        <v>3.4584522E7</v>
      </c>
      <c r="N320" s="7">
        <v>0.0</v>
      </c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4">
        <v>320.0</v>
      </c>
      <c r="B321" s="5" t="s">
        <v>678</v>
      </c>
      <c r="C321" s="5" t="s">
        <v>679</v>
      </c>
      <c r="D321" s="5" t="s">
        <v>36</v>
      </c>
      <c r="E321" s="5" t="s">
        <v>24</v>
      </c>
      <c r="F321" s="5" t="s">
        <v>18</v>
      </c>
      <c r="G321" s="5" t="s">
        <v>175</v>
      </c>
      <c r="H321" s="6" t="s">
        <v>20</v>
      </c>
      <c r="I321" s="6">
        <v>8.0</v>
      </c>
      <c r="J321" s="6">
        <v>8.0</v>
      </c>
      <c r="K321" s="7">
        <v>0.0</v>
      </c>
      <c r="L321" s="7">
        <v>0.0</v>
      </c>
      <c r="M321" s="7">
        <v>7.6942676E7</v>
      </c>
      <c r="N321" s="7">
        <v>7.4216691E7</v>
      </c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</sheetData>
  <customSheetViews>
    <customSheetView guid="{8B476A69-4203-4ACA-B3F1-4E5826B7C46E}" filter="1" showAutoFilter="1">
      <autoFilter ref="$A$1:$N$322">
        <filterColumn colId="4">
          <filters>
            <filter val="Educación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>
      <c r="A2" s="9">
        <f>IFERROR(__xludf.DUMMYFUNCTION("QUERY(datos!A2:G321,""SELECT * WHERE D = 'Perú' OR D = 'Uruguay'"")"),1.0)</f>
        <v>1</v>
      </c>
      <c r="B2" s="9" t="str">
        <f>IFERROR(__xludf.DUMMYFUNCTION("""COMPUTED_VALUE"""),"Karlee Sholl")</f>
        <v>Karlee Sholl</v>
      </c>
      <c r="C2" s="9" t="str">
        <f>IFERROR(__xludf.DUMMYFUNCTION("""COMPUTED_VALUE"""),"ksholl0@ovh.net")</f>
        <v>ksholl0@ovh.net</v>
      </c>
      <c r="D2" s="9" t="str">
        <f>IFERROR(__xludf.DUMMYFUNCTION("""COMPUTED_VALUE"""),"Perú")</f>
        <v>Perú</v>
      </c>
      <c r="E2" s="9" t="str">
        <f>IFERROR(__xludf.DUMMYFUNCTION("""COMPUTED_VALUE"""),"Educación")</f>
        <v>Educación</v>
      </c>
      <c r="F2" s="9" t="str">
        <f>IFERROR(__xludf.DUMMYFUNCTION("""COMPUTED_VALUE"""),"Conocimiento")</f>
        <v>Conocimiento</v>
      </c>
      <c r="G2" s="9" t="str">
        <f>IFERROR(__xludf.DUMMYFUNCTION("""COMPUTED_VALUE"""),"Capacitarse")</f>
        <v>Capacitarse</v>
      </c>
    </row>
    <row r="3">
      <c r="A3" s="9">
        <f>IFERROR(__xludf.DUMMYFUNCTION("""COMPUTED_VALUE"""),5.0)</f>
        <v>5</v>
      </c>
      <c r="B3" s="9" t="str">
        <f>IFERROR(__xludf.DUMMYFUNCTION("""COMPUTED_VALUE"""),"Brunhilda Kilgannon")</f>
        <v>Brunhilda Kilgannon</v>
      </c>
      <c r="C3" s="9" t="str">
        <f>IFERROR(__xludf.DUMMYFUNCTION("""COMPUTED_VALUE"""),"bkilgannon4@loc.gov")</f>
        <v>bkilgannon4@loc.gov</v>
      </c>
      <c r="D3" s="9" t="str">
        <f>IFERROR(__xludf.DUMMYFUNCTION("""COMPUTED_VALUE"""),"Perú")</f>
        <v>Perú</v>
      </c>
      <c r="E3" s="9" t="str">
        <f>IFERROR(__xludf.DUMMYFUNCTION("""COMPUTED_VALUE"""),"Construcción")</f>
        <v>Construcción</v>
      </c>
      <c r="F3" s="9" t="str">
        <f>IFERROR(__xludf.DUMMYFUNCTION("""COMPUTED_VALUE"""),"Inversión")</f>
        <v>Inversión</v>
      </c>
      <c r="G3" s="9" t="str">
        <f>IFERROR(__xludf.DUMMYFUNCTION("""COMPUTED_VALUE"""),"Socio capitalista")</f>
        <v>Socio capitalista</v>
      </c>
    </row>
    <row r="4">
      <c r="A4" s="9">
        <f>IFERROR(__xludf.DUMMYFUNCTION("""COMPUTED_VALUE"""),11.0)</f>
        <v>11</v>
      </c>
      <c r="B4" s="9" t="str">
        <f>IFERROR(__xludf.DUMMYFUNCTION("""COMPUTED_VALUE"""),"Maje Blaschke")</f>
        <v>Maje Blaschke</v>
      </c>
      <c r="C4" s="9" t="str">
        <f>IFERROR(__xludf.DUMMYFUNCTION("""COMPUTED_VALUE"""),"mblaschkea@sfgate.com")</f>
        <v>mblaschkea@sfgate.com</v>
      </c>
      <c r="D4" s="9" t="str">
        <f>IFERROR(__xludf.DUMMYFUNCTION("""COMPUTED_VALUE"""),"Perú")</f>
        <v>Perú</v>
      </c>
      <c r="E4" s="9" t="str">
        <f>IFERROR(__xludf.DUMMYFUNCTION("""COMPUTED_VALUE"""),"Tecnología")</f>
        <v>Tecnología</v>
      </c>
      <c r="F4" s="9" t="str">
        <f>IFERROR(__xludf.DUMMYFUNCTION("""COMPUTED_VALUE"""),"Inversión")</f>
        <v>Inversión</v>
      </c>
      <c r="G4" s="9" t="str">
        <f>IFERROR(__xludf.DUMMYFUNCTION("""COMPUTED_VALUE"""),"Socio de proyecto")</f>
        <v>Socio de proyecto</v>
      </c>
    </row>
    <row r="5">
      <c r="A5" s="9">
        <f>IFERROR(__xludf.DUMMYFUNCTION("""COMPUTED_VALUE"""),12.0)</f>
        <v>12</v>
      </c>
      <c r="B5" s="9" t="str">
        <f>IFERROR(__xludf.DUMMYFUNCTION("""COMPUTED_VALUE"""),"Dicky Marriot")</f>
        <v>Dicky Marriot</v>
      </c>
      <c r="C5" s="9" t="str">
        <f>IFERROR(__xludf.DUMMYFUNCTION("""COMPUTED_VALUE"""),"dmarriotb@pinterest.com")</f>
        <v>dmarriotb@pinterest.com</v>
      </c>
      <c r="D5" s="9" t="str">
        <f>IFERROR(__xludf.DUMMYFUNCTION("""COMPUTED_VALUE"""),"Perú")</f>
        <v>Perú</v>
      </c>
      <c r="E5" s="9" t="str">
        <f>IFERROR(__xludf.DUMMYFUNCTION("""COMPUTED_VALUE"""),"Tecnología")</f>
        <v>Tecnología</v>
      </c>
      <c r="F5" s="9" t="str">
        <f>IFERROR(__xludf.DUMMYFUNCTION("""COMPUTED_VALUE"""),"Inversión")</f>
        <v>Inversión</v>
      </c>
      <c r="G5" s="9" t="str">
        <f>IFERROR(__xludf.DUMMYFUNCTION("""COMPUTED_VALUE"""),"Socio de proyecto")</f>
        <v>Socio de proyecto</v>
      </c>
    </row>
    <row r="6">
      <c r="A6" s="9">
        <f>IFERROR(__xludf.DUMMYFUNCTION("""COMPUTED_VALUE"""),14.0)</f>
        <v>14</v>
      </c>
      <c r="B6" s="9" t="str">
        <f>IFERROR(__xludf.DUMMYFUNCTION("""COMPUTED_VALUE"""),"Josey Farens")</f>
        <v>Josey Farens</v>
      </c>
      <c r="C6" s="9" t="str">
        <f>IFERROR(__xludf.DUMMYFUNCTION("""COMPUTED_VALUE"""),"jfarensd@ustream.tv")</f>
        <v>jfarensd@ustream.tv</v>
      </c>
      <c r="D6" s="9" t="str">
        <f>IFERROR(__xludf.DUMMYFUNCTION("""COMPUTED_VALUE"""),"Uruguay")</f>
        <v>Uruguay</v>
      </c>
      <c r="E6" s="9" t="str">
        <f>IFERROR(__xludf.DUMMYFUNCTION("""COMPUTED_VALUE"""),"Tecnología")</f>
        <v>Tecnología</v>
      </c>
      <c r="F6" s="9" t="str">
        <f>IFERROR(__xludf.DUMMYFUNCTION("""COMPUTED_VALUE"""),"Trabajo")</f>
        <v>Trabajo</v>
      </c>
      <c r="G6" s="9" t="str">
        <f>IFERROR(__xludf.DUMMYFUNCTION("""COMPUTED_VALUE"""),"Buscando trabajo")</f>
        <v>Buscando trabajo</v>
      </c>
    </row>
    <row r="7">
      <c r="A7" s="9">
        <f>IFERROR(__xludf.DUMMYFUNCTION("""COMPUTED_VALUE"""),23.0)</f>
        <v>23</v>
      </c>
      <c r="B7" s="9" t="str">
        <f>IFERROR(__xludf.DUMMYFUNCTION("""COMPUTED_VALUE"""),"Hakeem MacGlory")</f>
        <v>Hakeem MacGlory</v>
      </c>
      <c r="C7" s="9" t="str">
        <f>IFERROR(__xludf.DUMMYFUNCTION("""COMPUTED_VALUE"""),"hmacglorym@scribd.com")</f>
        <v>hmacglorym@scribd.com</v>
      </c>
      <c r="D7" s="9" t="str">
        <f>IFERROR(__xludf.DUMMYFUNCTION("""COMPUTED_VALUE"""),"Perú")</f>
        <v>Perú</v>
      </c>
      <c r="E7" s="9" t="str">
        <f>IFERROR(__xludf.DUMMYFUNCTION("""COMPUTED_VALUE"""),"Inmobiliario")</f>
        <v>Inmobiliario</v>
      </c>
      <c r="F7" s="9" t="str">
        <f>IFERROR(__xludf.DUMMYFUNCTION("""COMPUTED_VALUE"""),"Trabajo")</f>
        <v>Trabajo</v>
      </c>
      <c r="G7" s="9" t="str">
        <f>IFERROR(__xludf.DUMMYFUNCTION("""COMPUTED_VALUE"""),"Ofreciendo trabajo")</f>
        <v>Ofreciendo trabajo</v>
      </c>
    </row>
    <row r="8">
      <c r="A8" s="9">
        <f>IFERROR(__xludf.DUMMYFUNCTION("""COMPUTED_VALUE"""),24.0)</f>
        <v>24</v>
      </c>
      <c r="B8" s="9" t="str">
        <f>IFERROR(__xludf.DUMMYFUNCTION("""COMPUTED_VALUE"""),"Noah Coomes")</f>
        <v>Noah Coomes</v>
      </c>
      <c r="C8" s="9" t="str">
        <f>IFERROR(__xludf.DUMMYFUNCTION("""COMPUTED_VALUE"""),"ncoomesn@newyorker.com")</f>
        <v>ncoomesn@newyorker.com</v>
      </c>
      <c r="D8" s="9" t="str">
        <f>IFERROR(__xludf.DUMMYFUNCTION("""COMPUTED_VALUE"""),"Perú")</f>
        <v>Perú</v>
      </c>
      <c r="E8" s="9" t="str">
        <f>IFERROR(__xludf.DUMMYFUNCTION("""COMPUTED_VALUE"""),"Agroindustrial")</f>
        <v>Agroindustrial</v>
      </c>
      <c r="F8" s="9" t="str">
        <f>IFERROR(__xludf.DUMMYFUNCTION("""COMPUTED_VALUE"""),"Inversión")</f>
        <v>Inversión</v>
      </c>
      <c r="G8" s="9" t="str">
        <f>IFERROR(__xludf.DUMMYFUNCTION("""COMPUTED_VALUE"""),"Socio capitalista")</f>
        <v>Socio capitalista</v>
      </c>
    </row>
    <row r="9">
      <c r="A9" s="9">
        <f>IFERROR(__xludf.DUMMYFUNCTION("""COMPUTED_VALUE"""),31.0)</f>
        <v>31</v>
      </c>
      <c r="B9" s="9" t="str">
        <f>IFERROR(__xludf.DUMMYFUNCTION("""COMPUTED_VALUE"""),"Jeno MacDiarmond")</f>
        <v>Jeno MacDiarmond</v>
      </c>
      <c r="C9" s="9" t="str">
        <f>IFERROR(__xludf.DUMMYFUNCTION("""COMPUTED_VALUE"""),"jmacdiarmondu@sakura.ne.jp")</f>
        <v>jmacdiarmondu@sakura.ne.jp</v>
      </c>
      <c r="D9" s="9" t="str">
        <f>IFERROR(__xludf.DUMMYFUNCTION("""COMPUTED_VALUE"""),"Perú")</f>
        <v>Perú</v>
      </c>
      <c r="E9" s="9" t="str">
        <f>IFERROR(__xludf.DUMMYFUNCTION("""COMPUTED_VALUE"""),"Agroindustrial")</f>
        <v>Agroindustrial</v>
      </c>
      <c r="F9" s="9" t="str">
        <f>IFERROR(__xludf.DUMMYFUNCTION("""COMPUTED_VALUE"""),"Trabajo")</f>
        <v>Trabajo</v>
      </c>
      <c r="G9" s="9" t="str">
        <f>IFERROR(__xludf.DUMMYFUNCTION("""COMPUTED_VALUE"""),"Ofreciendo trabajo")</f>
        <v>Ofreciendo trabajo</v>
      </c>
    </row>
    <row r="10">
      <c r="A10" s="9">
        <f>IFERROR(__xludf.DUMMYFUNCTION("""COMPUTED_VALUE"""),33.0)</f>
        <v>33</v>
      </c>
      <c r="B10" s="9" t="str">
        <f>IFERROR(__xludf.DUMMYFUNCTION("""COMPUTED_VALUE"""),"Carolyne Fudge")</f>
        <v>Carolyne Fudge</v>
      </c>
      <c r="C10" s="9" t="str">
        <f>IFERROR(__xludf.DUMMYFUNCTION("""COMPUTED_VALUE"""),"cfudgew@google.es")</f>
        <v>cfudgew@google.es</v>
      </c>
      <c r="D10" s="9" t="str">
        <f>IFERROR(__xludf.DUMMYFUNCTION("""COMPUTED_VALUE"""),"Perú")</f>
        <v>Perú</v>
      </c>
      <c r="E10" s="9" t="str">
        <f>IFERROR(__xludf.DUMMYFUNCTION("""COMPUTED_VALUE"""),"Tecnología")</f>
        <v>Tecnología</v>
      </c>
      <c r="F10" s="9" t="str">
        <f>IFERROR(__xludf.DUMMYFUNCTION("""COMPUTED_VALUE"""),"Inversión")</f>
        <v>Inversión</v>
      </c>
      <c r="G10" s="9" t="str">
        <f>IFERROR(__xludf.DUMMYFUNCTION("""COMPUTED_VALUE"""),"Socio capitalista")</f>
        <v>Socio capitalista</v>
      </c>
    </row>
    <row r="11">
      <c r="A11" s="9">
        <f>IFERROR(__xludf.DUMMYFUNCTION("""COMPUTED_VALUE"""),35.0)</f>
        <v>35</v>
      </c>
      <c r="B11" s="9" t="str">
        <f>IFERROR(__xludf.DUMMYFUNCTION("""COMPUTED_VALUE"""),"Virgil Pickaver")</f>
        <v>Virgil Pickaver</v>
      </c>
      <c r="C11" s="9" t="str">
        <f>IFERROR(__xludf.DUMMYFUNCTION("""COMPUTED_VALUE"""),"vpickavery@behance.net")</f>
        <v>vpickavery@behance.net</v>
      </c>
      <c r="D11" s="9" t="str">
        <f>IFERROR(__xludf.DUMMYFUNCTION("""COMPUTED_VALUE"""),"Perú")</f>
        <v>Perú</v>
      </c>
      <c r="E11" s="9" t="str">
        <f>IFERROR(__xludf.DUMMYFUNCTION("""COMPUTED_VALUE"""),"Construcción")</f>
        <v>Construcción</v>
      </c>
      <c r="F11" s="9" t="str">
        <f>IFERROR(__xludf.DUMMYFUNCTION("""COMPUTED_VALUE"""),"Inversión")</f>
        <v>Inversión</v>
      </c>
      <c r="G11" s="9" t="str">
        <f>IFERROR(__xludf.DUMMYFUNCTION("""COMPUTED_VALUE"""),"Socio de proyecto")</f>
        <v>Socio de proyecto</v>
      </c>
    </row>
    <row r="12">
      <c r="A12" s="9">
        <f>IFERROR(__xludf.DUMMYFUNCTION("""COMPUTED_VALUE"""),39.0)</f>
        <v>39</v>
      </c>
      <c r="B12" s="9" t="str">
        <f>IFERROR(__xludf.DUMMYFUNCTION("""COMPUTED_VALUE"""),"Nerte Dosdale")</f>
        <v>Nerte Dosdale</v>
      </c>
      <c r="C12" s="9" t="str">
        <f>IFERROR(__xludf.DUMMYFUNCTION("""COMPUTED_VALUE"""),"ndosdale12@newsvine.com")</f>
        <v>ndosdale12@newsvine.com</v>
      </c>
      <c r="D12" s="9" t="str">
        <f>IFERROR(__xludf.DUMMYFUNCTION("""COMPUTED_VALUE"""),"Perú")</f>
        <v>Perú</v>
      </c>
      <c r="E12" s="9" t="str">
        <f>IFERROR(__xludf.DUMMYFUNCTION("""COMPUTED_VALUE"""),"Inmobiliario")</f>
        <v>Inmobiliario</v>
      </c>
      <c r="F12" s="9" t="str">
        <f>IFERROR(__xludf.DUMMYFUNCTION("""COMPUTED_VALUE"""),"Trabajo")</f>
        <v>Trabajo</v>
      </c>
      <c r="G12" s="9" t="str">
        <f>IFERROR(__xludf.DUMMYFUNCTION("""COMPUTED_VALUE"""),"Buscando trabajo")</f>
        <v>Buscando trabajo</v>
      </c>
    </row>
    <row r="13">
      <c r="A13" s="9">
        <f>IFERROR(__xludf.DUMMYFUNCTION("""COMPUTED_VALUE"""),41.0)</f>
        <v>41</v>
      </c>
      <c r="B13" s="9" t="str">
        <f>IFERROR(__xludf.DUMMYFUNCTION("""COMPUTED_VALUE"""),"Ralph McFaul")</f>
        <v>Ralph McFaul</v>
      </c>
      <c r="C13" s="9" t="str">
        <f>IFERROR(__xludf.DUMMYFUNCTION("""COMPUTED_VALUE"""),"rmcfaul14@1688.com")</f>
        <v>rmcfaul14@1688.com</v>
      </c>
      <c r="D13" s="9" t="str">
        <f>IFERROR(__xludf.DUMMYFUNCTION("""COMPUTED_VALUE"""),"Uruguay")</f>
        <v>Uruguay</v>
      </c>
      <c r="E13" s="9" t="str">
        <f>IFERROR(__xludf.DUMMYFUNCTION("""COMPUTED_VALUE"""),"Tecnología")</f>
        <v>Tecnología</v>
      </c>
      <c r="F13" s="9" t="str">
        <f>IFERROR(__xludf.DUMMYFUNCTION("""COMPUTED_VALUE"""),"Inversión")</f>
        <v>Inversión</v>
      </c>
      <c r="G13" s="9" t="str">
        <f>IFERROR(__xludf.DUMMYFUNCTION("""COMPUTED_VALUE"""),"Socio de proyecto")</f>
        <v>Socio de proyecto</v>
      </c>
    </row>
    <row r="14">
      <c r="A14" s="9">
        <f>IFERROR(__xludf.DUMMYFUNCTION("""COMPUTED_VALUE"""),45.0)</f>
        <v>45</v>
      </c>
      <c r="B14" s="9" t="str">
        <f>IFERROR(__xludf.DUMMYFUNCTION("""COMPUTED_VALUE"""),"Minor Vasyukhnov")</f>
        <v>Minor Vasyukhnov</v>
      </c>
      <c r="C14" s="9" t="str">
        <f>IFERROR(__xludf.DUMMYFUNCTION("""COMPUTED_VALUE"""),"mvasyukhnov18@amazonaws.com")</f>
        <v>mvasyukhnov18@amazonaws.com</v>
      </c>
      <c r="D14" s="9" t="str">
        <f>IFERROR(__xludf.DUMMYFUNCTION("""COMPUTED_VALUE"""),"Uruguay")</f>
        <v>Uruguay</v>
      </c>
      <c r="E14" s="9" t="str">
        <f>IFERROR(__xludf.DUMMYFUNCTION("""COMPUTED_VALUE"""),"Tecnología")</f>
        <v>Tecnología</v>
      </c>
      <c r="F14" s="9" t="str">
        <f>IFERROR(__xludf.DUMMYFUNCTION("""COMPUTED_VALUE"""),"Inversión")</f>
        <v>Inversión</v>
      </c>
      <c r="G14" s="9" t="str">
        <f>IFERROR(__xludf.DUMMYFUNCTION("""COMPUTED_VALUE"""),"Socio de proyecto")</f>
        <v>Socio de proyecto</v>
      </c>
    </row>
    <row r="15">
      <c r="A15" s="9">
        <f>IFERROR(__xludf.DUMMYFUNCTION("""COMPUTED_VALUE"""),47.0)</f>
        <v>47</v>
      </c>
      <c r="B15" s="9" t="str">
        <f>IFERROR(__xludf.DUMMYFUNCTION("""COMPUTED_VALUE"""),"Constantino Cruikshank")</f>
        <v>Constantino Cruikshank</v>
      </c>
      <c r="C15" s="9" t="str">
        <f>IFERROR(__xludf.DUMMYFUNCTION("""COMPUTED_VALUE"""),"ccruikshank1a@netlog.com")</f>
        <v>ccruikshank1a@netlog.com</v>
      </c>
      <c r="D15" s="9" t="str">
        <f>IFERROR(__xludf.DUMMYFUNCTION("""COMPUTED_VALUE"""),"Perú")</f>
        <v>Perú</v>
      </c>
      <c r="E15" s="9" t="str">
        <f>IFERROR(__xludf.DUMMYFUNCTION("""COMPUTED_VALUE"""),"Inmobiliario")</f>
        <v>Inmobiliario</v>
      </c>
      <c r="F15" s="9" t="str">
        <f>IFERROR(__xludf.DUMMYFUNCTION("""COMPUTED_VALUE"""),"Trabajo")</f>
        <v>Trabajo</v>
      </c>
      <c r="G15" s="9" t="str">
        <f>IFERROR(__xludf.DUMMYFUNCTION("""COMPUTED_VALUE"""),"Ofreciendo trabajo")</f>
        <v>Ofreciendo trabajo</v>
      </c>
    </row>
    <row r="16">
      <c r="A16" s="9">
        <f>IFERROR(__xludf.DUMMYFUNCTION("""COMPUTED_VALUE"""),71.0)</f>
        <v>71</v>
      </c>
      <c r="B16" s="9" t="str">
        <f>IFERROR(__xludf.DUMMYFUNCTION("""COMPUTED_VALUE"""),"Olav Lead")</f>
        <v>Olav Lead</v>
      </c>
      <c r="C16" s="9" t="str">
        <f>IFERROR(__xludf.DUMMYFUNCTION("""COMPUTED_VALUE"""),"olead1y@economist.com")</f>
        <v>olead1y@economist.com</v>
      </c>
      <c r="D16" s="9" t="str">
        <f>IFERROR(__xludf.DUMMYFUNCTION("""COMPUTED_VALUE"""),"Perú")</f>
        <v>Perú</v>
      </c>
      <c r="E16" s="9" t="str">
        <f>IFERROR(__xludf.DUMMYFUNCTION("""COMPUTED_VALUE"""),"Agroindustrial")</f>
        <v>Agroindustrial</v>
      </c>
      <c r="F16" s="9" t="str">
        <f>IFERROR(__xludf.DUMMYFUNCTION("""COMPUTED_VALUE"""),"Inversión")</f>
        <v>Inversión</v>
      </c>
      <c r="G16" s="9" t="str">
        <f>IFERROR(__xludf.DUMMYFUNCTION("""COMPUTED_VALUE"""),"Socio de proyecto")</f>
        <v>Socio de proyecto</v>
      </c>
    </row>
    <row r="17">
      <c r="A17" s="9">
        <f>IFERROR(__xludf.DUMMYFUNCTION("""COMPUTED_VALUE"""),72.0)</f>
        <v>72</v>
      </c>
      <c r="B17" s="9" t="str">
        <f>IFERROR(__xludf.DUMMYFUNCTION("""COMPUTED_VALUE"""),"Luisa Hardern")</f>
        <v>Luisa Hardern</v>
      </c>
      <c r="C17" s="9" t="str">
        <f>IFERROR(__xludf.DUMMYFUNCTION("""COMPUTED_VALUE"""),"lhardern1z@nyu.edu")</f>
        <v>lhardern1z@nyu.edu</v>
      </c>
      <c r="D17" s="9" t="str">
        <f>IFERROR(__xludf.DUMMYFUNCTION("""COMPUTED_VALUE"""),"Perú")</f>
        <v>Perú</v>
      </c>
      <c r="E17" s="9" t="str">
        <f>IFERROR(__xludf.DUMMYFUNCTION("""COMPUTED_VALUE"""),"Tecnología")</f>
        <v>Tecnología</v>
      </c>
      <c r="F17" s="9" t="str">
        <f>IFERROR(__xludf.DUMMYFUNCTION("""COMPUTED_VALUE"""),"Trabajo")</f>
        <v>Trabajo</v>
      </c>
      <c r="G17" s="9" t="str">
        <f>IFERROR(__xludf.DUMMYFUNCTION("""COMPUTED_VALUE"""),"Ofreciendo trabajo")</f>
        <v>Ofreciendo trabajo</v>
      </c>
    </row>
    <row r="18">
      <c r="A18" s="9">
        <f>IFERROR(__xludf.DUMMYFUNCTION("""COMPUTED_VALUE"""),75.0)</f>
        <v>75</v>
      </c>
      <c r="B18" s="9" t="str">
        <f>IFERROR(__xludf.DUMMYFUNCTION("""COMPUTED_VALUE"""),"Gregg Montacute")</f>
        <v>Gregg Montacute</v>
      </c>
      <c r="C18" s="9" t="str">
        <f>IFERROR(__xludf.DUMMYFUNCTION("""COMPUTED_VALUE"""),"gmontacute22@usa.gov")</f>
        <v>gmontacute22@usa.gov</v>
      </c>
      <c r="D18" s="9" t="str">
        <f>IFERROR(__xludf.DUMMYFUNCTION("""COMPUTED_VALUE"""),"Perú")</f>
        <v>Perú</v>
      </c>
      <c r="E18" s="9" t="str">
        <f>IFERROR(__xludf.DUMMYFUNCTION("""COMPUTED_VALUE"""),"Construcción")</f>
        <v>Construcción</v>
      </c>
      <c r="F18" s="9" t="str">
        <f>IFERROR(__xludf.DUMMYFUNCTION("""COMPUTED_VALUE"""),"Trabajo")</f>
        <v>Trabajo</v>
      </c>
      <c r="G18" s="9" t="str">
        <f>IFERROR(__xludf.DUMMYFUNCTION("""COMPUTED_VALUE"""),"Ofreciendo trabajo")</f>
        <v>Ofreciendo trabajo</v>
      </c>
    </row>
    <row r="19">
      <c r="A19" s="9">
        <f>IFERROR(__xludf.DUMMYFUNCTION("""COMPUTED_VALUE"""),90.0)</f>
        <v>90</v>
      </c>
      <c r="B19" s="9" t="str">
        <f>IFERROR(__xludf.DUMMYFUNCTION("""COMPUTED_VALUE"""),"Susette Ilson")</f>
        <v>Susette Ilson</v>
      </c>
      <c r="C19" s="9" t="str">
        <f>IFERROR(__xludf.DUMMYFUNCTION("""COMPUTED_VALUE"""),"silson2h@soup.io")</f>
        <v>silson2h@soup.io</v>
      </c>
      <c r="D19" s="9" t="str">
        <f>IFERROR(__xludf.DUMMYFUNCTION("""COMPUTED_VALUE"""),"Uruguay")</f>
        <v>Uruguay</v>
      </c>
      <c r="E19" s="9" t="str">
        <f>IFERROR(__xludf.DUMMYFUNCTION("""COMPUTED_VALUE"""),"Construcción")</f>
        <v>Construcción</v>
      </c>
      <c r="F19" s="9" t="str">
        <f>IFERROR(__xludf.DUMMYFUNCTION("""COMPUTED_VALUE"""),"Inversión")</f>
        <v>Inversión</v>
      </c>
      <c r="G19" s="9" t="str">
        <f>IFERROR(__xludf.DUMMYFUNCTION("""COMPUTED_VALUE"""),"Socio capitalista")</f>
        <v>Socio capitalista</v>
      </c>
    </row>
    <row r="20">
      <c r="A20" s="9">
        <f>IFERROR(__xludf.DUMMYFUNCTION("""COMPUTED_VALUE"""),97.0)</f>
        <v>97</v>
      </c>
      <c r="B20" s="9" t="str">
        <f>IFERROR(__xludf.DUMMYFUNCTION("""COMPUTED_VALUE"""),"Deena McIllroy")</f>
        <v>Deena McIllroy</v>
      </c>
      <c r="C20" s="9" t="str">
        <f>IFERROR(__xludf.DUMMYFUNCTION("""COMPUTED_VALUE"""),"dmcillroy2o@redcross.org")</f>
        <v>dmcillroy2o@redcross.org</v>
      </c>
      <c r="D20" s="9" t="str">
        <f>IFERROR(__xludf.DUMMYFUNCTION("""COMPUTED_VALUE"""),"Uruguay")</f>
        <v>Uruguay</v>
      </c>
      <c r="E20" s="9" t="str">
        <f>IFERROR(__xludf.DUMMYFUNCTION("""COMPUTED_VALUE"""),"Tecnología")</f>
        <v>Tecnología</v>
      </c>
      <c r="F20" s="9" t="str">
        <f>IFERROR(__xludf.DUMMYFUNCTION("""COMPUTED_VALUE"""),"Inversión")</f>
        <v>Inversión</v>
      </c>
      <c r="G20" s="9" t="str">
        <f>IFERROR(__xludf.DUMMYFUNCTION("""COMPUTED_VALUE"""),"Socio de proyecto")</f>
        <v>Socio de proyecto</v>
      </c>
    </row>
    <row r="21">
      <c r="A21" s="9">
        <f>IFERROR(__xludf.DUMMYFUNCTION("""COMPUTED_VALUE"""),100.0)</f>
        <v>100</v>
      </c>
      <c r="B21" s="9" t="str">
        <f>IFERROR(__xludf.DUMMYFUNCTION("""COMPUTED_VALUE"""),"Gay Biner")</f>
        <v>Gay Biner</v>
      </c>
      <c r="C21" s="9" t="str">
        <f>IFERROR(__xludf.DUMMYFUNCTION("""COMPUTED_VALUE"""),"gbiner2r@yelp.com")</f>
        <v>gbiner2r@yelp.com</v>
      </c>
      <c r="D21" s="9" t="str">
        <f>IFERROR(__xludf.DUMMYFUNCTION("""COMPUTED_VALUE"""),"Uruguay")</f>
        <v>Uruguay</v>
      </c>
      <c r="E21" s="9" t="str">
        <f>IFERROR(__xludf.DUMMYFUNCTION("""COMPUTED_VALUE"""),"Tecnología")</f>
        <v>Tecnología</v>
      </c>
      <c r="F21" s="9" t="str">
        <f>IFERROR(__xludf.DUMMYFUNCTION("""COMPUTED_VALUE"""),"Trabajo")</f>
        <v>Trabajo</v>
      </c>
      <c r="G21" s="9" t="str">
        <f>IFERROR(__xludf.DUMMYFUNCTION("""COMPUTED_VALUE"""),"Ofreciendo trabajo")</f>
        <v>Ofreciendo trabajo</v>
      </c>
    </row>
    <row r="22">
      <c r="A22" s="9">
        <f>IFERROR(__xludf.DUMMYFUNCTION("""COMPUTED_VALUE"""),104.0)</f>
        <v>104</v>
      </c>
      <c r="B22" s="9" t="str">
        <f>IFERROR(__xludf.DUMMYFUNCTION("""COMPUTED_VALUE"""),"Lamond Sprague")</f>
        <v>Lamond Sprague</v>
      </c>
      <c r="C22" s="9" t="str">
        <f>IFERROR(__xludf.DUMMYFUNCTION("""COMPUTED_VALUE"""),"lsprague2v@cmu.edu")</f>
        <v>lsprague2v@cmu.edu</v>
      </c>
      <c r="D22" s="9" t="str">
        <f>IFERROR(__xludf.DUMMYFUNCTION("""COMPUTED_VALUE"""),"Perú")</f>
        <v>Perú</v>
      </c>
      <c r="E22" s="9" t="str">
        <f>IFERROR(__xludf.DUMMYFUNCTION("""COMPUTED_VALUE"""),"Tecnología")</f>
        <v>Tecnología</v>
      </c>
      <c r="F22" s="9" t="str">
        <f>IFERROR(__xludf.DUMMYFUNCTION("""COMPUTED_VALUE"""),"Inversión")</f>
        <v>Inversión</v>
      </c>
      <c r="G22" s="9" t="str">
        <f>IFERROR(__xludf.DUMMYFUNCTION("""COMPUTED_VALUE"""),"Socio de proyecto")</f>
        <v>Socio de proyecto</v>
      </c>
    </row>
    <row r="23">
      <c r="A23" s="9">
        <f>IFERROR(__xludf.DUMMYFUNCTION("""COMPUTED_VALUE"""),106.0)</f>
        <v>106</v>
      </c>
      <c r="B23" s="9" t="str">
        <f>IFERROR(__xludf.DUMMYFUNCTION("""COMPUTED_VALUE"""),"Laurena Mulbery")</f>
        <v>Laurena Mulbery</v>
      </c>
      <c r="C23" s="9" t="str">
        <f>IFERROR(__xludf.DUMMYFUNCTION("""COMPUTED_VALUE"""),"lmulbery2x@kickstarter.com")</f>
        <v>lmulbery2x@kickstarter.com</v>
      </c>
      <c r="D23" s="9" t="str">
        <f>IFERROR(__xludf.DUMMYFUNCTION("""COMPUTED_VALUE"""),"Perú")</f>
        <v>Perú</v>
      </c>
      <c r="E23" s="9" t="str">
        <f>IFERROR(__xludf.DUMMYFUNCTION("""COMPUTED_VALUE"""),"Inmobiliario")</f>
        <v>Inmobiliario</v>
      </c>
      <c r="F23" s="9" t="str">
        <f>IFERROR(__xludf.DUMMYFUNCTION("""COMPUTED_VALUE"""),"Inversión")</f>
        <v>Inversión</v>
      </c>
      <c r="G23" s="9" t="str">
        <f>IFERROR(__xludf.DUMMYFUNCTION("""COMPUTED_VALUE"""),"Socio de proyecto")</f>
        <v>Socio de proyecto</v>
      </c>
    </row>
    <row r="24">
      <c r="A24" s="9">
        <f>IFERROR(__xludf.DUMMYFUNCTION("""COMPUTED_VALUE"""),111.0)</f>
        <v>111</v>
      </c>
      <c r="B24" s="9" t="str">
        <f>IFERROR(__xludf.DUMMYFUNCTION("""COMPUTED_VALUE"""),"Erda Giff")</f>
        <v>Erda Giff</v>
      </c>
      <c r="C24" s="9" t="str">
        <f>IFERROR(__xludf.DUMMYFUNCTION("""COMPUTED_VALUE"""),"egiff32@cmu.edu")</f>
        <v>egiff32@cmu.edu</v>
      </c>
      <c r="D24" s="9" t="str">
        <f>IFERROR(__xludf.DUMMYFUNCTION("""COMPUTED_VALUE"""),"Perú")</f>
        <v>Perú</v>
      </c>
      <c r="E24" s="9" t="str">
        <f>IFERROR(__xludf.DUMMYFUNCTION("""COMPUTED_VALUE"""),"Tecnología")</f>
        <v>Tecnología</v>
      </c>
      <c r="F24" s="9" t="str">
        <f>IFERROR(__xludf.DUMMYFUNCTION("""COMPUTED_VALUE"""),"Inversión")</f>
        <v>Inversión</v>
      </c>
      <c r="G24" s="9" t="str">
        <f>IFERROR(__xludf.DUMMYFUNCTION("""COMPUTED_VALUE"""),"Socio de proyecto")</f>
        <v>Socio de proyecto</v>
      </c>
    </row>
    <row r="25">
      <c r="A25" s="9">
        <f>IFERROR(__xludf.DUMMYFUNCTION("""COMPUTED_VALUE"""),114.0)</f>
        <v>114</v>
      </c>
      <c r="B25" s="9" t="str">
        <f>IFERROR(__xludf.DUMMYFUNCTION("""COMPUTED_VALUE"""),"Josi Hayball")</f>
        <v>Josi Hayball</v>
      </c>
      <c r="C25" s="9" t="str">
        <f>IFERROR(__xludf.DUMMYFUNCTION("""COMPUTED_VALUE"""),"jhayball35@google.it")</f>
        <v>jhayball35@google.it</v>
      </c>
      <c r="D25" s="9" t="str">
        <f>IFERROR(__xludf.DUMMYFUNCTION("""COMPUTED_VALUE"""),"Perú")</f>
        <v>Perú</v>
      </c>
      <c r="E25" s="9" t="str">
        <f>IFERROR(__xludf.DUMMYFUNCTION("""COMPUTED_VALUE"""),"Tecnología")</f>
        <v>Tecnología</v>
      </c>
      <c r="F25" s="9" t="str">
        <f>IFERROR(__xludf.DUMMYFUNCTION("""COMPUTED_VALUE"""),"Trabajo")</f>
        <v>Trabajo</v>
      </c>
      <c r="G25" s="9" t="str">
        <f>IFERROR(__xludf.DUMMYFUNCTION("""COMPUTED_VALUE"""),"Ofreciendo trabajo")</f>
        <v>Ofreciendo trabajo</v>
      </c>
    </row>
    <row r="26">
      <c r="A26" s="9">
        <f>IFERROR(__xludf.DUMMYFUNCTION("""COMPUTED_VALUE"""),118.0)</f>
        <v>118</v>
      </c>
      <c r="B26" s="9" t="str">
        <f>IFERROR(__xludf.DUMMYFUNCTION("""COMPUTED_VALUE"""),"Anne-corinne Harkness")</f>
        <v>Anne-corinne Harkness</v>
      </c>
      <c r="C26" s="9" t="str">
        <f>IFERROR(__xludf.DUMMYFUNCTION("""COMPUTED_VALUE"""),"aharkness39@etsy.com")</f>
        <v>aharkness39@etsy.com</v>
      </c>
      <c r="D26" s="9" t="str">
        <f>IFERROR(__xludf.DUMMYFUNCTION("""COMPUTED_VALUE"""),"Uruguay")</f>
        <v>Uruguay</v>
      </c>
      <c r="E26" s="9" t="str">
        <f>IFERROR(__xludf.DUMMYFUNCTION("""COMPUTED_VALUE"""),"Tecnología")</f>
        <v>Tecnología</v>
      </c>
      <c r="F26" s="9" t="str">
        <f>IFERROR(__xludf.DUMMYFUNCTION("""COMPUTED_VALUE"""),"Trabajo")</f>
        <v>Trabajo</v>
      </c>
      <c r="G26" s="9" t="str">
        <f>IFERROR(__xludf.DUMMYFUNCTION("""COMPUTED_VALUE"""),"Buscando trabajo")</f>
        <v>Buscando trabajo</v>
      </c>
    </row>
    <row r="27">
      <c r="A27" s="9">
        <f>IFERROR(__xludf.DUMMYFUNCTION("""COMPUTED_VALUE"""),119.0)</f>
        <v>119</v>
      </c>
      <c r="B27" s="9" t="str">
        <f>IFERROR(__xludf.DUMMYFUNCTION("""COMPUTED_VALUE"""),"Effie Mabb")</f>
        <v>Effie Mabb</v>
      </c>
      <c r="C27" s="9" t="str">
        <f>IFERROR(__xludf.DUMMYFUNCTION("""COMPUTED_VALUE"""),"emabb3a@istockphoto.com")</f>
        <v>emabb3a@istockphoto.com</v>
      </c>
      <c r="D27" s="9" t="str">
        <f>IFERROR(__xludf.DUMMYFUNCTION("""COMPUTED_VALUE"""),"Uruguay")</f>
        <v>Uruguay</v>
      </c>
      <c r="E27" s="9" t="str">
        <f>IFERROR(__xludf.DUMMYFUNCTION("""COMPUTED_VALUE"""),"Inmobiliario")</f>
        <v>Inmobiliario</v>
      </c>
      <c r="F27" s="9" t="str">
        <f>IFERROR(__xludf.DUMMYFUNCTION("""COMPUTED_VALUE"""),"Inversión")</f>
        <v>Inversión</v>
      </c>
      <c r="G27" s="9" t="str">
        <f>IFERROR(__xludf.DUMMYFUNCTION("""COMPUTED_VALUE"""),"Socio de proyecto")</f>
        <v>Socio de proyecto</v>
      </c>
    </row>
    <row r="28">
      <c r="A28" s="9">
        <f>IFERROR(__xludf.DUMMYFUNCTION("""COMPUTED_VALUE"""),137.0)</f>
        <v>137</v>
      </c>
      <c r="B28" s="9" t="str">
        <f>IFERROR(__xludf.DUMMYFUNCTION("""COMPUTED_VALUE"""),"Rollo Etty")</f>
        <v>Rollo Etty</v>
      </c>
      <c r="C28" s="9" t="str">
        <f>IFERROR(__xludf.DUMMYFUNCTION("""COMPUTED_VALUE"""),"retty3s@wiley.com")</f>
        <v>retty3s@wiley.com</v>
      </c>
      <c r="D28" s="9" t="str">
        <f>IFERROR(__xludf.DUMMYFUNCTION("""COMPUTED_VALUE"""),"Uruguay")</f>
        <v>Uruguay</v>
      </c>
      <c r="E28" s="9" t="str">
        <f>IFERROR(__xludf.DUMMYFUNCTION("""COMPUTED_VALUE"""),"Agroindustrial")</f>
        <v>Agroindustrial</v>
      </c>
      <c r="F28" s="9" t="str">
        <f>IFERROR(__xludf.DUMMYFUNCTION("""COMPUTED_VALUE"""),"Inversión")</f>
        <v>Inversión</v>
      </c>
      <c r="G28" s="9" t="str">
        <f>IFERROR(__xludf.DUMMYFUNCTION("""COMPUTED_VALUE"""),"Socio capitalista")</f>
        <v>Socio capitalista</v>
      </c>
    </row>
    <row r="29">
      <c r="A29" s="9">
        <f>IFERROR(__xludf.DUMMYFUNCTION("""COMPUTED_VALUE"""),138.0)</f>
        <v>138</v>
      </c>
      <c r="B29" s="9" t="str">
        <f>IFERROR(__xludf.DUMMYFUNCTION("""COMPUTED_VALUE"""),"Federico Rex")</f>
        <v>Federico Rex</v>
      </c>
      <c r="C29" s="9" t="str">
        <f>IFERROR(__xludf.DUMMYFUNCTION("""COMPUTED_VALUE"""),"frex3t@usa.gov")</f>
        <v>frex3t@usa.gov</v>
      </c>
      <c r="D29" s="9" t="str">
        <f>IFERROR(__xludf.DUMMYFUNCTION("""COMPUTED_VALUE"""),"Perú")</f>
        <v>Perú</v>
      </c>
      <c r="E29" s="9" t="str">
        <f>IFERROR(__xludf.DUMMYFUNCTION("""COMPUTED_VALUE"""),"Construcción")</f>
        <v>Construcción</v>
      </c>
      <c r="F29" s="9" t="str">
        <f>IFERROR(__xludf.DUMMYFUNCTION("""COMPUTED_VALUE"""),"Trabajo")</f>
        <v>Trabajo</v>
      </c>
      <c r="G29" s="9" t="str">
        <f>IFERROR(__xludf.DUMMYFUNCTION("""COMPUTED_VALUE"""),"Ofreciendo trabajo")</f>
        <v>Ofreciendo trabajo</v>
      </c>
    </row>
    <row r="30">
      <c r="A30" s="9">
        <f>IFERROR(__xludf.DUMMYFUNCTION("""COMPUTED_VALUE"""),153.0)</f>
        <v>153</v>
      </c>
      <c r="B30" s="9" t="str">
        <f>IFERROR(__xludf.DUMMYFUNCTION("""COMPUTED_VALUE"""),"Rikki Emery")</f>
        <v>Rikki Emery</v>
      </c>
      <c r="C30" s="9" t="str">
        <f>IFERROR(__xludf.DUMMYFUNCTION("""COMPUTED_VALUE"""),"remery48@gov.uk")</f>
        <v>remery48@gov.uk</v>
      </c>
      <c r="D30" s="9" t="str">
        <f>IFERROR(__xludf.DUMMYFUNCTION("""COMPUTED_VALUE"""),"Perú")</f>
        <v>Perú</v>
      </c>
      <c r="E30" s="9" t="str">
        <f>IFERROR(__xludf.DUMMYFUNCTION("""COMPUTED_VALUE"""),"Construcción")</f>
        <v>Construcción</v>
      </c>
      <c r="F30" s="9" t="str">
        <f>IFERROR(__xludf.DUMMYFUNCTION("""COMPUTED_VALUE"""),"Inversión")</f>
        <v>Inversión</v>
      </c>
      <c r="G30" s="9" t="str">
        <f>IFERROR(__xludf.DUMMYFUNCTION("""COMPUTED_VALUE"""),"Socio capitalista")</f>
        <v>Socio capitalista</v>
      </c>
    </row>
    <row r="31">
      <c r="A31" s="9">
        <f>IFERROR(__xludf.DUMMYFUNCTION("""COMPUTED_VALUE"""),158.0)</f>
        <v>158</v>
      </c>
      <c r="B31" s="9" t="str">
        <f>IFERROR(__xludf.DUMMYFUNCTION("""COMPUTED_VALUE"""),"Chelsea Gerrill")</f>
        <v>Chelsea Gerrill</v>
      </c>
      <c r="C31" s="9" t="str">
        <f>IFERROR(__xludf.DUMMYFUNCTION("""COMPUTED_VALUE"""),"cgerrill4d@sohu.com")</f>
        <v>cgerrill4d@sohu.com</v>
      </c>
      <c r="D31" s="9" t="str">
        <f>IFERROR(__xludf.DUMMYFUNCTION("""COMPUTED_VALUE"""),"Uruguay")</f>
        <v>Uruguay</v>
      </c>
      <c r="E31" s="9" t="str">
        <f>IFERROR(__xludf.DUMMYFUNCTION("""COMPUTED_VALUE"""),"Tecnología")</f>
        <v>Tecnología</v>
      </c>
      <c r="F31" s="9" t="str">
        <f>IFERROR(__xludf.DUMMYFUNCTION("""COMPUTED_VALUE"""),"Inversión")</f>
        <v>Inversión</v>
      </c>
      <c r="G31" s="9" t="str">
        <f>IFERROR(__xludf.DUMMYFUNCTION("""COMPUTED_VALUE"""),"Socio de proyecto")</f>
        <v>Socio de proyecto</v>
      </c>
    </row>
    <row r="32">
      <c r="A32" s="9">
        <f>IFERROR(__xludf.DUMMYFUNCTION("""COMPUTED_VALUE"""),160.0)</f>
        <v>160</v>
      </c>
      <c r="B32" s="9" t="str">
        <f>IFERROR(__xludf.DUMMYFUNCTION("""COMPUTED_VALUE"""),"Bertha Penni")</f>
        <v>Bertha Penni</v>
      </c>
      <c r="C32" s="9" t="str">
        <f>IFERROR(__xludf.DUMMYFUNCTION("""COMPUTED_VALUE"""),"bpenni4f@state.tx.us")</f>
        <v>bpenni4f@state.tx.us</v>
      </c>
      <c r="D32" s="9" t="str">
        <f>IFERROR(__xludf.DUMMYFUNCTION("""COMPUTED_VALUE"""),"Perú")</f>
        <v>Perú</v>
      </c>
      <c r="E32" s="9" t="str">
        <f>IFERROR(__xludf.DUMMYFUNCTION("""COMPUTED_VALUE"""),"Tecnología")</f>
        <v>Tecnología</v>
      </c>
      <c r="F32" s="9" t="str">
        <f>IFERROR(__xludf.DUMMYFUNCTION("""COMPUTED_VALUE"""),"Inversión")</f>
        <v>Inversión</v>
      </c>
      <c r="G32" s="9" t="str">
        <f>IFERROR(__xludf.DUMMYFUNCTION("""COMPUTED_VALUE"""),"Socio de proyecto")</f>
        <v>Socio de proyecto</v>
      </c>
    </row>
    <row r="33">
      <c r="A33" s="9">
        <f>IFERROR(__xludf.DUMMYFUNCTION("""COMPUTED_VALUE"""),167.0)</f>
        <v>167</v>
      </c>
      <c r="B33" s="9" t="str">
        <f>IFERROR(__xludf.DUMMYFUNCTION("""COMPUTED_VALUE"""),"Constantine McGibbon")</f>
        <v>Constantine McGibbon</v>
      </c>
      <c r="C33" s="9" t="str">
        <f>IFERROR(__xludf.DUMMYFUNCTION("""COMPUTED_VALUE"""),"cmcgibbon4m@istockphoto.com")</f>
        <v>cmcgibbon4m@istockphoto.com</v>
      </c>
      <c r="D33" s="9" t="str">
        <f>IFERROR(__xludf.DUMMYFUNCTION("""COMPUTED_VALUE"""),"Uruguay")</f>
        <v>Uruguay</v>
      </c>
      <c r="E33" s="9" t="str">
        <f>IFERROR(__xludf.DUMMYFUNCTION("""COMPUTED_VALUE"""),"Tecnología")</f>
        <v>Tecnología</v>
      </c>
      <c r="F33" s="9" t="str">
        <f>IFERROR(__xludf.DUMMYFUNCTION("""COMPUTED_VALUE"""),"Inversión")</f>
        <v>Inversión</v>
      </c>
      <c r="G33" s="9" t="str">
        <f>IFERROR(__xludf.DUMMYFUNCTION("""COMPUTED_VALUE"""),"Socio de proyecto")</f>
        <v>Socio de proyecto</v>
      </c>
    </row>
    <row r="34">
      <c r="A34" s="9">
        <f>IFERROR(__xludf.DUMMYFUNCTION("""COMPUTED_VALUE"""),172.0)</f>
        <v>172</v>
      </c>
      <c r="B34" s="9" t="str">
        <f>IFERROR(__xludf.DUMMYFUNCTION("""COMPUTED_VALUE"""),"Gus Keneford")</f>
        <v>Gus Keneford</v>
      </c>
      <c r="C34" s="9" t="str">
        <f>IFERROR(__xludf.DUMMYFUNCTION("""COMPUTED_VALUE"""),"gkeneford4r@google.com.au")</f>
        <v>gkeneford4r@google.com.au</v>
      </c>
      <c r="D34" s="9" t="str">
        <f>IFERROR(__xludf.DUMMYFUNCTION("""COMPUTED_VALUE"""),"Perú")</f>
        <v>Perú</v>
      </c>
      <c r="E34" s="9" t="str">
        <f>IFERROR(__xludf.DUMMYFUNCTION("""COMPUTED_VALUE"""),"Inmobiliario")</f>
        <v>Inmobiliario</v>
      </c>
      <c r="F34" s="9" t="str">
        <f>IFERROR(__xludf.DUMMYFUNCTION("""COMPUTED_VALUE"""),"Inversión")</f>
        <v>Inversión</v>
      </c>
      <c r="G34" s="9" t="str">
        <f>IFERROR(__xludf.DUMMYFUNCTION("""COMPUTED_VALUE"""),"Socio de proyecto")</f>
        <v>Socio de proyecto</v>
      </c>
    </row>
    <row r="35">
      <c r="A35" s="9">
        <f>IFERROR(__xludf.DUMMYFUNCTION("""COMPUTED_VALUE"""),174.0)</f>
        <v>174</v>
      </c>
      <c r="B35" s="9" t="str">
        <f>IFERROR(__xludf.DUMMYFUNCTION("""COMPUTED_VALUE"""),"Rorie Loadman")</f>
        <v>Rorie Loadman</v>
      </c>
      <c r="C35" s="9" t="str">
        <f>IFERROR(__xludf.DUMMYFUNCTION("""COMPUTED_VALUE"""),"rloadman4t@studiopress.com")</f>
        <v>rloadman4t@studiopress.com</v>
      </c>
      <c r="D35" s="9" t="str">
        <f>IFERROR(__xludf.DUMMYFUNCTION("""COMPUTED_VALUE"""),"Perú")</f>
        <v>Perú</v>
      </c>
      <c r="E35" s="9" t="str">
        <f>IFERROR(__xludf.DUMMYFUNCTION("""COMPUTED_VALUE"""),"Tecnología")</f>
        <v>Tecnología</v>
      </c>
      <c r="F35" s="9" t="str">
        <f>IFERROR(__xludf.DUMMYFUNCTION("""COMPUTED_VALUE"""),"Inversión")</f>
        <v>Inversión</v>
      </c>
      <c r="G35" s="9" t="str">
        <f>IFERROR(__xludf.DUMMYFUNCTION("""COMPUTED_VALUE"""),"Socio de proyecto")</f>
        <v>Socio de proyecto</v>
      </c>
    </row>
    <row r="36">
      <c r="A36" s="9">
        <f>IFERROR(__xludf.DUMMYFUNCTION("""COMPUTED_VALUE"""),178.0)</f>
        <v>178</v>
      </c>
      <c r="B36" s="9" t="str">
        <f>IFERROR(__xludf.DUMMYFUNCTION("""COMPUTED_VALUE"""),"Rosemarie Kitchenman")</f>
        <v>Rosemarie Kitchenman</v>
      </c>
      <c r="C36" s="9" t="str">
        <f>IFERROR(__xludf.DUMMYFUNCTION("""COMPUTED_VALUE"""),"rkitchenman4x@ovh.net")</f>
        <v>rkitchenman4x@ovh.net</v>
      </c>
      <c r="D36" s="9" t="str">
        <f>IFERROR(__xludf.DUMMYFUNCTION("""COMPUTED_VALUE"""),"Perú")</f>
        <v>Perú</v>
      </c>
      <c r="E36" s="9" t="str">
        <f>IFERROR(__xludf.DUMMYFUNCTION("""COMPUTED_VALUE"""),"Tecnología")</f>
        <v>Tecnología</v>
      </c>
      <c r="F36" s="9" t="str">
        <f>IFERROR(__xludf.DUMMYFUNCTION("""COMPUTED_VALUE"""),"Inversión")</f>
        <v>Inversión</v>
      </c>
      <c r="G36" s="9" t="str">
        <f>IFERROR(__xludf.DUMMYFUNCTION("""COMPUTED_VALUE"""),"Socio capitalista")</f>
        <v>Socio capitalista</v>
      </c>
    </row>
    <row r="37">
      <c r="A37" s="9">
        <f>IFERROR(__xludf.DUMMYFUNCTION("""COMPUTED_VALUE"""),182.0)</f>
        <v>182</v>
      </c>
      <c r="B37" s="9" t="str">
        <f>IFERROR(__xludf.DUMMYFUNCTION("""COMPUTED_VALUE"""),"Lawrence Sancraft")</f>
        <v>Lawrence Sancraft</v>
      </c>
      <c r="C37" s="9" t="str">
        <f>IFERROR(__xludf.DUMMYFUNCTION("""COMPUTED_VALUE"""),"lsancraft51@marriott.com")</f>
        <v>lsancraft51@marriott.com</v>
      </c>
      <c r="D37" s="9" t="str">
        <f>IFERROR(__xludf.DUMMYFUNCTION("""COMPUTED_VALUE"""),"Uruguay")</f>
        <v>Uruguay</v>
      </c>
      <c r="E37" s="9" t="str">
        <f>IFERROR(__xludf.DUMMYFUNCTION("""COMPUTED_VALUE"""),"Inmobiliario")</f>
        <v>Inmobiliario</v>
      </c>
      <c r="F37" s="9" t="str">
        <f>IFERROR(__xludf.DUMMYFUNCTION("""COMPUTED_VALUE"""),"Inversión")</f>
        <v>Inversión</v>
      </c>
      <c r="G37" s="9" t="str">
        <f>IFERROR(__xludf.DUMMYFUNCTION("""COMPUTED_VALUE"""),"Socio de proyecto")</f>
        <v>Socio de proyecto</v>
      </c>
    </row>
    <row r="38">
      <c r="A38" s="9">
        <f>IFERROR(__xludf.DUMMYFUNCTION("""COMPUTED_VALUE"""),185.0)</f>
        <v>185</v>
      </c>
      <c r="B38" s="9" t="str">
        <f>IFERROR(__xludf.DUMMYFUNCTION("""COMPUTED_VALUE"""),"Hansiain Charnley")</f>
        <v>Hansiain Charnley</v>
      </c>
      <c r="C38" s="9" t="str">
        <f>IFERROR(__xludf.DUMMYFUNCTION("""COMPUTED_VALUE"""),"hcharnley54@pen.io")</f>
        <v>hcharnley54@pen.io</v>
      </c>
      <c r="D38" s="9" t="str">
        <f>IFERROR(__xludf.DUMMYFUNCTION("""COMPUTED_VALUE"""),"Uruguay")</f>
        <v>Uruguay</v>
      </c>
      <c r="E38" s="9" t="str">
        <f>IFERROR(__xludf.DUMMYFUNCTION("""COMPUTED_VALUE"""),"Tecnología")</f>
        <v>Tecnología</v>
      </c>
      <c r="F38" s="9" t="str">
        <f>IFERROR(__xludf.DUMMYFUNCTION("""COMPUTED_VALUE"""),"Inversión")</f>
        <v>Inversión</v>
      </c>
      <c r="G38" s="9" t="str">
        <f>IFERROR(__xludf.DUMMYFUNCTION("""COMPUTED_VALUE"""),"Socio capitalista")</f>
        <v>Socio capitalista</v>
      </c>
    </row>
    <row r="39">
      <c r="A39" s="9">
        <f>IFERROR(__xludf.DUMMYFUNCTION("""COMPUTED_VALUE"""),191.0)</f>
        <v>191</v>
      </c>
      <c r="B39" s="9" t="str">
        <f>IFERROR(__xludf.DUMMYFUNCTION("""COMPUTED_VALUE"""),"Reynard Timmis")</f>
        <v>Reynard Timmis</v>
      </c>
      <c r="C39" s="9" t="str">
        <f>IFERROR(__xludf.DUMMYFUNCTION("""COMPUTED_VALUE"""),"rtimmis5a@behance.net")</f>
        <v>rtimmis5a@behance.net</v>
      </c>
      <c r="D39" s="9" t="str">
        <f>IFERROR(__xludf.DUMMYFUNCTION("""COMPUTED_VALUE"""),"Perú")</f>
        <v>Perú</v>
      </c>
      <c r="E39" s="9" t="str">
        <f>IFERROR(__xludf.DUMMYFUNCTION("""COMPUTED_VALUE"""),"Tecnología")</f>
        <v>Tecnología</v>
      </c>
      <c r="F39" s="9" t="str">
        <f>IFERROR(__xludf.DUMMYFUNCTION("""COMPUTED_VALUE"""),"Inversión")</f>
        <v>Inversión</v>
      </c>
      <c r="G39" s="9" t="str">
        <f>IFERROR(__xludf.DUMMYFUNCTION("""COMPUTED_VALUE"""),"Socio capitalista")</f>
        <v>Socio capitalista</v>
      </c>
    </row>
    <row r="40">
      <c r="A40" s="9">
        <f>IFERROR(__xludf.DUMMYFUNCTION("""COMPUTED_VALUE"""),192.0)</f>
        <v>192</v>
      </c>
      <c r="B40" s="9" t="str">
        <f>IFERROR(__xludf.DUMMYFUNCTION("""COMPUTED_VALUE"""),"Theda Dericot")</f>
        <v>Theda Dericot</v>
      </c>
      <c r="C40" s="9" t="str">
        <f>IFERROR(__xludf.DUMMYFUNCTION("""COMPUTED_VALUE"""),"tdericot5b@nationalgeographic.com")</f>
        <v>tdericot5b@nationalgeographic.com</v>
      </c>
      <c r="D40" s="9" t="str">
        <f>IFERROR(__xludf.DUMMYFUNCTION("""COMPUTED_VALUE"""),"Perú")</f>
        <v>Perú</v>
      </c>
      <c r="E40" s="9" t="str">
        <f>IFERROR(__xludf.DUMMYFUNCTION("""COMPUTED_VALUE"""),"Tecnología")</f>
        <v>Tecnología</v>
      </c>
      <c r="F40" s="9" t="str">
        <f>IFERROR(__xludf.DUMMYFUNCTION("""COMPUTED_VALUE"""),"Inversión")</f>
        <v>Inversión</v>
      </c>
      <c r="G40" s="9" t="str">
        <f>IFERROR(__xludf.DUMMYFUNCTION("""COMPUTED_VALUE"""),"Socio capitalista")</f>
        <v>Socio capitalista</v>
      </c>
    </row>
    <row r="41">
      <c r="A41" s="9">
        <f>IFERROR(__xludf.DUMMYFUNCTION("""COMPUTED_VALUE"""),193.0)</f>
        <v>193</v>
      </c>
      <c r="B41" s="9" t="str">
        <f>IFERROR(__xludf.DUMMYFUNCTION("""COMPUTED_VALUE"""),"Sergeant Harridge")</f>
        <v>Sergeant Harridge</v>
      </c>
      <c r="C41" s="9" t="str">
        <f>IFERROR(__xludf.DUMMYFUNCTION("""COMPUTED_VALUE"""),"sharridge5c@amazon.com")</f>
        <v>sharridge5c@amazon.com</v>
      </c>
      <c r="D41" s="9" t="str">
        <f>IFERROR(__xludf.DUMMYFUNCTION("""COMPUTED_VALUE"""),"Perú")</f>
        <v>Perú</v>
      </c>
      <c r="E41" s="9" t="str">
        <f>IFERROR(__xludf.DUMMYFUNCTION("""COMPUTED_VALUE"""),"Agroindustrial")</f>
        <v>Agroindustrial</v>
      </c>
      <c r="F41" s="9" t="str">
        <f>IFERROR(__xludf.DUMMYFUNCTION("""COMPUTED_VALUE"""),"Trabajo")</f>
        <v>Trabajo</v>
      </c>
      <c r="G41" s="9" t="str">
        <f>IFERROR(__xludf.DUMMYFUNCTION("""COMPUTED_VALUE"""),"Buscando trabajo")</f>
        <v>Buscando trabajo</v>
      </c>
    </row>
    <row r="42">
      <c r="A42" s="9">
        <f>IFERROR(__xludf.DUMMYFUNCTION("""COMPUTED_VALUE"""),194.0)</f>
        <v>194</v>
      </c>
      <c r="B42" s="9" t="str">
        <f>IFERROR(__xludf.DUMMYFUNCTION("""COMPUTED_VALUE"""),"Ludovika Sheavills")</f>
        <v>Ludovika Sheavills</v>
      </c>
      <c r="C42" s="9" t="str">
        <f>IFERROR(__xludf.DUMMYFUNCTION("""COMPUTED_VALUE"""),"lsheavills5d@google.cn")</f>
        <v>lsheavills5d@google.cn</v>
      </c>
      <c r="D42" s="9" t="str">
        <f>IFERROR(__xludf.DUMMYFUNCTION("""COMPUTED_VALUE"""),"Perú")</f>
        <v>Perú</v>
      </c>
      <c r="E42" s="9" t="str">
        <f>IFERROR(__xludf.DUMMYFUNCTION("""COMPUTED_VALUE"""),"Tecnología")</f>
        <v>Tecnología</v>
      </c>
      <c r="F42" s="9" t="str">
        <f>IFERROR(__xludf.DUMMYFUNCTION("""COMPUTED_VALUE"""),"Conocimiento")</f>
        <v>Conocimiento</v>
      </c>
      <c r="G42" s="9" t="str">
        <f>IFERROR(__xludf.DUMMYFUNCTION("""COMPUTED_VALUE"""),"Otro tipo")</f>
        <v>Otro tipo</v>
      </c>
    </row>
    <row r="43">
      <c r="A43" s="9">
        <f>IFERROR(__xludf.DUMMYFUNCTION("""COMPUTED_VALUE"""),201.0)</f>
        <v>201</v>
      </c>
      <c r="B43" s="9" t="str">
        <f>IFERROR(__xludf.DUMMYFUNCTION("""COMPUTED_VALUE"""),"Uri Rabat")</f>
        <v>Uri Rabat</v>
      </c>
      <c r="C43" s="9" t="str">
        <f>IFERROR(__xludf.DUMMYFUNCTION("""COMPUTED_VALUE"""),"urabat5k@webs.com")</f>
        <v>urabat5k@webs.com</v>
      </c>
      <c r="D43" s="9" t="str">
        <f>IFERROR(__xludf.DUMMYFUNCTION("""COMPUTED_VALUE"""),"Uruguay")</f>
        <v>Uruguay</v>
      </c>
      <c r="E43" s="9" t="str">
        <f>IFERROR(__xludf.DUMMYFUNCTION("""COMPUTED_VALUE"""),"Construcción")</f>
        <v>Construcción</v>
      </c>
      <c r="F43" s="9" t="str">
        <f>IFERROR(__xludf.DUMMYFUNCTION("""COMPUTED_VALUE"""),"Trabajo")</f>
        <v>Trabajo</v>
      </c>
      <c r="G43" s="9" t="str">
        <f>IFERROR(__xludf.DUMMYFUNCTION("""COMPUTED_VALUE"""),"Ofreciendo trabajo")</f>
        <v>Ofreciendo trabajo</v>
      </c>
    </row>
    <row r="44">
      <c r="A44" s="9">
        <f>IFERROR(__xludf.DUMMYFUNCTION("""COMPUTED_VALUE"""),203.0)</f>
        <v>203</v>
      </c>
      <c r="B44" s="9" t="str">
        <f>IFERROR(__xludf.DUMMYFUNCTION("""COMPUTED_VALUE"""),"Angeline Bruhke")</f>
        <v>Angeline Bruhke</v>
      </c>
      <c r="C44" s="9" t="str">
        <f>IFERROR(__xludf.DUMMYFUNCTION("""COMPUTED_VALUE"""),"abruhke5m@arstechnica.com")</f>
        <v>abruhke5m@arstechnica.com</v>
      </c>
      <c r="D44" s="9" t="str">
        <f>IFERROR(__xludf.DUMMYFUNCTION("""COMPUTED_VALUE"""),"Perú")</f>
        <v>Perú</v>
      </c>
      <c r="E44" s="9" t="str">
        <f>IFERROR(__xludf.DUMMYFUNCTION("""COMPUTED_VALUE"""),"Tecnología")</f>
        <v>Tecnología</v>
      </c>
      <c r="F44" s="9" t="str">
        <f>IFERROR(__xludf.DUMMYFUNCTION("""COMPUTED_VALUE"""),"Inversión")</f>
        <v>Inversión</v>
      </c>
      <c r="G44" s="9" t="str">
        <f>IFERROR(__xludf.DUMMYFUNCTION("""COMPUTED_VALUE"""),"Socio capitalista")</f>
        <v>Socio capitalista</v>
      </c>
    </row>
    <row r="45">
      <c r="A45" s="9">
        <f>IFERROR(__xludf.DUMMYFUNCTION("""COMPUTED_VALUE"""),220.0)</f>
        <v>220</v>
      </c>
      <c r="B45" s="9" t="str">
        <f>IFERROR(__xludf.DUMMYFUNCTION("""COMPUTED_VALUE"""),"Thomasin Mulhill")</f>
        <v>Thomasin Mulhill</v>
      </c>
      <c r="C45" s="9" t="str">
        <f>IFERROR(__xludf.DUMMYFUNCTION("""COMPUTED_VALUE"""),"tmulhill63@blogtalkradio.com")</f>
        <v>tmulhill63@blogtalkradio.com</v>
      </c>
      <c r="D45" s="9" t="str">
        <f>IFERROR(__xludf.DUMMYFUNCTION("""COMPUTED_VALUE"""),"Uruguay")</f>
        <v>Uruguay</v>
      </c>
      <c r="E45" s="9" t="str">
        <f>IFERROR(__xludf.DUMMYFUNCTION("""COMPUTED_VALUE"""),"Tecnología")</f>
        <v>Tecnología</v>
      </c>
      <c r="F45" s="9" t="str">
        <f>IFERROR(__xludf.DUMMYFUNCTION("""COMPUTED_VALUE"""),"Trabajo")</f>
        <v>Trabajo</v>
      </c>
      <c r="G45" s="9" t="str">
        <f>IFERROR(__xludf.DUMMYFUNCTION("""COMPUTED_VALUE"""),"Buscando trabajo")</f>
        <v>Buscando trabajo</v>
      </c>
    </row>
    <row r="46">
      <c r="A46" s="9">
        <f>IFERROR(__xludf.DUMMYFUNCTION("""COMPUTED_VALUE"""),221.0)</f>
        <v>221</v>
      </c>
      <c r="B46" s="9" t="str">
        <f>IFERROR(__xludf.DUMMYFUNCTION("""COMPUTED_VALUE"""),"Rog Casbourne")</f>
        <v>Rog Casbourne</v>
      </c>
      <c r="C46" s="9" t="str">
        <f>IFERROR(__xludf.DUMMYFUNCTION("""COMPUTED_VALUE"""),"rcasbourne64@stumbleupon.com")</f>
        <v>rcasbourne64@stumbleupon.com</v>
      </c>
      <c r="D46" s="9" t="str">
        <f>IFERROR(__xludf.DUMMYFUNCTION("""COMPUTED_VALUE"""),"Uruguay")</f>
        <v>Uruguay</v>
      </c>
      <c r="E46" s="9" t="str">
        <f>IFERROR(__xludf.DUMMYFUNCTION("""COMPUTED_VALUE"""),"Tecnología")</f>
        <v>Tecnología</v>
      </c>
      <c r="F46" s="9" t="str">
        <f>IFERROR(__xludf.DUMMYFUNCTION("""COMPUTED_VALUE"""),"Inversión")</f>
        <v>Inversión</v>
      </c>
      <c r="G46" s="9" t="str">
        <f>IFERROR(__xludf.DUMMYFUNCTION("""COMPUTED_VALUE"""),"Socio de proyecto")</f>
        <v>Socio de proyecto</v>
      </c>
    </row>
    <row r="47">
      <c r="A47" s="9">
        <f>IFERROR(__xludf.DUMMYFUNCTION("""COMPUTED_VALUE"""),224.0)</f>
        <v>224</v>
      </c>
      <c r="B47" s="9" t="str">
        <f>IFERROR(__xludf.DUMMYFUNCTION("""COMPUTED_VALUE"""),"Nerissa Giddy")</f>
        <v>Nerissa Giddy</v>
      </c>
      <c r="C47" s="9" t="str">
        <f>IFERROR(__xludf.DUMMYFUNCTION("""COMPUTED_VALUE"""),"ngiddy67@examiner.com")</f>
        <v>ngiddy67@examiner.com</v>
      </c>
      <c r="D47" s="9" t="str">
        <f>IFERROR(__xludf.DUMMYFUNCTION("""COMPUTED_VALUE"""),"Perú")</f>
        <v>Perú</v>
      </c>
      <c r="E47" s="9" t="str">
        <f>IFERROR(__xludf.DUMMYFUNCTION("""COMPUTED_VALUE"""),"Tecnología")</f>
        <v>Tecnología</v>
      </c>
      <c r="F47" s="9" t="str">
        <f>IFERROR(__xludf.DUMMYFUNCTION("""COMPUTED_VALUE"""),"Inversión")</f>
        <v>Inversión</v>
      </c>
      <c r="G47" s="9" t="str">
        <f>IFERROR(__xludf.DUMMYFUNCTION("""COMPUTED_VALUE"""),"Socio capitalista")</f>
        <v>Socio capitalista</v>
      </c>
    </row>
    <row r="48">
      <c r="A48" s="9">
        <f>IFERROR(__xludf.DUMMYFUNCTION("""COMPUTED_VALUE"""),232.0)</f>
        <v>232</v>
      </c>
      <c r="B48" s="9" t="str">
        <f>IFERROR(__xludf.DUMMYFUNCTION("""COMPUTED_VALUE"""),"Gibb O' Cloney")</f>
        <v>Gibb O' Cloney</v>
      </c>
      <c r="C48" s="9" t="str">
        <f>IFERROR(__xludf.DUMMYFUNCTION("""COMPUTED_VALUE"""),"go6f@reference.com")</f>
        <v>go6f@reference.com</v>
      </c>
      <c r="D48" s="9" t="str">
        <f>IFERROR(__xludf.DUMMYFUNCTION("""COMPUTED_VALUE"""),"Uruguay")</f>
        <v>Uruguay</v>
      </c>
      <c r="E48" s="9" t="str">
        <f>IFERROR(__xludf.DUMMYFUNCTION("""COMPUTED_VALUE"""),"Inmobiliario")</f>
        <v>Inmobiliario</v>
      </c>
      <c r="F48" s="9" t="str">
        <f>IFERROR(__xludf.DUMMYFUNCTION("""COMPUTED_VALUE"""),"Inversión")</f>
        <v>Inversión</v>
      </c>
      <c r="G48" s="9" t="str">
        <f>IFERROR(__xludf.DUMMYFUNCTION("""COMPUTED_VALUE"""),"Socio de proyecto")</f>
        <v>Socio de proyecto</v>
      </c>
    </row>
    <row r="49">
      <c r="A49" s="9">
        <f>IFERROR(__xludf.DUMMYFUNCTION("""COMPUTED_VALUE"""),239.0)</f>
        <v>239</v>
      </c>
      <c r="B49" s="9" t="str">
        <f>IFERROR(__xludf.DUMMYFUNCTION("""COMPUTED_VALUE"""),"Maxi Lahy")</f>
        <v>Maxi Lahy</v>
      </c>
      <c r="C49" s="9" t="str">
        <f>IFERROR(__xludf.DUMMYFUNCTION("""COMPUTED_VALUE"""),"mlahy6m@4shared.com")</f>
        <v>mlahy6m@4shared.com</v>
      </c>
      <c r="D49" s="9" t="str">
        <f>IFERROR(__xludf.DUMMYFUNCTION("""COMPUTED_VALUE"""),"Perú")</f>
        <v>Perú</v>
      </c>
      <c r="E49" s="9" t="str">
        <f>IFERROR(__xludf.DUMMYFUNCTION("""COMPUTED_VALUE"""),"Tecnología")</f>
        <v>Tecnología</v>
      </c>
      <c r="F49" s="9" t="str">
        <f>IFERROR(__xludf.DUMMYFUNCTION("""COMPUTED_VALUE"""),"Inversión")</f>
        <v>Inversión</v>
      </c>
      <c r="G49" s="9" t="str">
        <f>IFERROR(__xludf.DUMMYFUNCTION("""COMPUTED_VALUE"""),"Socio capitalista")</f>
        <v>Socio capitalista</v>
      </c>
    </row>
    <row r="50">
      <c r="A50" s="9">
        <f>IFERROR(__xludf.DUMMYFUNCTION("""COMPUTED_VALUE"""),246.0)</f>
        <v>246</v>
      </c>
      <c r="B50" s="9" t="str">
        <f>IFERROR(__xludf.DUMMYFUNCTION("""COMPUTED_VALUE"""),"Ernesta Revance")</f>
        <v>Ernesta Revance</v>
      </c>
      <c r="C50" s="9" t="str">
        <f>IFERROR(__xludf.DUMMYFUNCTION("""COMPUTED_VALUE"""),"erevance6t@arstechnica.com")</f>
        <v>erevance6t@arstechnica.com</v>
      </c>
      <c r="D50" s="9" t="str">
        <f>IFERROR(__xludf.DUMMYFUNCTION("""COMPUTED_VALUE"""),"Uruguay")</f>
        <v>Uruguay</v>
      </c>
      <c r="E50" s="9" t="str">
        <f>IFERROR(__xludf.DUMMYFUNCTION("""COMPUTED_VALUE"""),"Tecnología")</f>
        <v>Tecnología</v>
      </c>
      <c r="F50" s="9" t="str">
        <f>IFERROR(__xludf.DUMMYFUNCTION("""COMPUTED_VALUE"""),"Inversión")</f>
        <v>Inversión</v>
      </c>
      <c r="G50" s="9" t="str">
        <f>IFERROR(__xludf.DUMMYFUNCTION("""COMPUTED_VALUE"""),"Socio capitalista")</f>
        <v>Socio capitalista</v>
      </c>
    </row>
    <row r="51">
      <c r="A51" s="9">
        <f>IFERROR(__xludf.DUMMYFUNCTION("""COMPUTED_VALUE"""),249.0)</f>
        <v>249</v>
      </c>
      <c r="B51" s="9" t="str">
        <f>IFERROR(__xludf.DUMMYFUNCTION("""COMPUTED_VALUE"""),"Glynda Stollberg")</f>
        <v>Glynda Stollberg</v>
      </c>
      <c r="C51" s="9" t="str">
        <f>IFERROR(__xludf.DUMMYFUNCTION("""COMPUTED_VALUE"""),"gstollberg6w@baidu.com")</f>
        <v>gstollberg6w@baidu.com</v>
      </c>
      <c r="D51" s="9" t="str">
        <f>IFERROR(__xludf.DUMMYFUNCTION("""COMPUTED_VALUE"""),"Uruguay")</f>
        <v>Uruguay</v>
      </c>
      <c r="E51" s="9" t="str">
        <f>IFERROR(__xludf.DUMMYFUNCTION("""COMPUTED_VALUE"""),"Educación")</f>
        <v>Educación</v>
      </c>
      <c r="F51" s="9" t="str">
        <f>IFERROR(__xludf.DUMMYFUNCTION("""COMPUTED_VALUE"""),"Conocimiento")</f>
        <v>Conocimiento</v>
      </c>
      <c r="G51" s="9" t="str">
        <f>IFERROR(__xludf.DUMMYFUNCTION("""COMPUTED_VALUE"""),"Capacitarse")</f>
        <v>Capacitarse</v>
      </c>
    </row>
    <row r="52">
      <c r="A52" s="9">
        <f>IFERROR(__xludf.DUMMYFUNCTION("""COMPUTED_VALUE"""),250.0)</f>
        <v>250</v>
      </c>
      <c r="B52" s="9" t="str">
        <f>IFERROR(__xludf.DUMMYFUNCTION("""COMPUTED_VALUE"""),"Randall Vedeneev")</f>
        <v>Randall Vedeneev</v>
      </c>
      <c r="C52" s="9" t="str">
        <f>IFERROR(__xludf.DUMMYFUNCTION("""COMPUTED_VALUE"""),"rvedeneev6x@bluehost.com")</f>
        <v>rvedeneev6x@bluehost.com</v>
      </c>
      <c r="D52" s="9" t="str">
        <f>IFERROR(__xludf.DUMMYFUNCTION("""COMPUTED_VALUE"""),"Perú")</f>
        <v>Perú</v>
      </c>
      <c r="E52" s="9" t="str">
        <f>IFERROR(__xludf.DUMMYFUNCTION("""COMPUTED_VALUE"""),"Inmobiliario")</f>
        <v>Inmobiliario</v>
      </c>
      <c r="F52" s="9" t="str">
        <f>IFERROR(__xludf.DUMMYFUNCTION("""COMPUTED_VALUE"""),"Inversión")</f>
        <v>Inversión</v>
      </c>
      <c r="G52" s="9" t="str">
        <f>IFERROR(__xludf.DUMMYFUNCTION("""COMPUTED_VALUE"""),"Socio capitalista")</f>
        <v>Socio capitalista</v>
      </c>
    </row>
    <row r="53">
      <c r="A53" s="9">
        <f>IFERROR(__xludf.DUMMYFUNCTION("""COMPUTED_VALUE"""),256.0)</f>
        <v>256</v>
      </c>
      <c r="B53" s="9" t="str">
        <f>IFERROR(__xludf.DUMMYFUNCTION("""COMPUTED_VALUE"""),"Tildie Janowski")</f>
        <v>Tildie Janowski</v>
      </c>
      <c r="C53" s="9" t="str">
        <f>IFERROR(__xludf.DUMMYFUNCTION("""COMPUTED_VALUE"""),"tjanowski73@vistaprint.com")</f>
        <v>tjanowski73@vistaprint.com</v>
      </c>
      <c r="D53" s="9" t="str">
        <f>IFERROR(__xludf.DUMMYFUNCTION("""COMPUTED_VALUE"""),"Perú")</f>
        <v>Perú</v>
      </c>
      <c r="E53" s="9" t="str">
        <f>IFERROR(__xludf.DUMMYFUNCTION("""COMPUTED_VALUE"""),"Agroindustrial")</f>
        <v>Agroindustrial</v>
      </c>
      <c r="F53" s="9" t="str">
        <f>IFERROR(__xludf.DUMMYFUNCTION("""COMPUTED_VALUE"""),"Trabajo")</f>
        <v>Trabajo</v>
      </c>
      <c r="G53" s="9" t="str">
        <f>IFERROR(__xludf.DUMMYFUNCTION("""COMPUTED_VALUE"""),"Buscando trabajo")</f>
        <v>Buscando trabajo</v>
      </c>
    </row>
    <row r="54">
      <c r="A54" s="9">
        <f>IFERROR(__xludf.DUMMYFUNCTION("""COMPUTED_VALUE"""),258.0)</f>
        <v>258</v>
      </c>
      <c r="B54" s="9" t="str">
        <f>IFERROR(__xludf.DUMMYFUNCTION("""COMPUTED_VALUE"""),"Lula Behrend")</f>
        <v>Lula Behrend</v>
      </c>
      <c r="C54" s="9" t="str">
        <f>IFERROR(__xludf.DUMMYFUNCTION("""COMPUTED_VALUE"""),"lbehrend75@dyndns.org")</f>
        <v>lbehrend75@dyndns.org</v>
      </c>
      <c r="D54" s="9" t="str">
        <f>IFERROR(__xludf.DUMMYFUNCTION("""COMPUTED_VALUE"""),"Perú")</f>
        <v>Perú</v>
      </c>
      <c r="E54" s="9" t="str">
        <f>IFERROR(__xludf.DUMMYFUNCTION("""COMPUTED_VALUE"""),"Inmobiliario")</f>
        <v>Inmobiliario</v>
      </c>
      <c r="F54" s="9" t="str">
        <f>IFERROR(__xludf.DUMMYFUNCTION("""COMPUTED_VALUE"""),"Inversión")</f>
        <v>Inversión</v>
      </c>
      <c r="G54" s="9" t="str">
        <f>IFERROR(__xludf.DUMMYFUNCTION("""COMPUTED_VALUE"""),"Socio de proyecto")</f>
        <v>Socio de proyecto</v>
      </c>
    </row>
    <row r="55">
      <c r="A55" s="9">
        <f>IFERROR(__xludf.DUMMYFUNCTION("""COMPUTED_VALUE"""),260.0)</f>
        <v>260</v>
      </c>
      <c r="B55" s="9" t="str">
        <f>IFERROR(__xludf.DUMMYFUNCTION("""COMPUTED_VALUE"""),"Caryn Gounet")</f>
        <v>Caryn Gounet</v>
      </c>
      <c r="C55" s="9" t="str">
        <f>IFERROR(__xludf.DUMMYFUNCTION("""COMPUTED_VALUE"""),"cgounet77@unblog.fr")</f>
        <v>cgounet77@unblog.fr</v>
      </c>
      <c r="D55" s="9" t="str">
        <f>IFERROR(__xludf.DUMMYFUNCTION("""COMPUTED_VALUE"""),"Uruguay")</f>
        <v>Uruguay</v>
      </c>
      <c r="E55" s="9" t="str">
        <f>IFERROR(__xludf.DUMMYFUNCTION("""COMPUTED_VALUE"""),"Agroindustrial")</f>
        <v>Agroindustrial</v>
      </c>
      <c r="F55" s="9" t="str">
        <f>IFERROR(__xludf.DUMMYFUNCTION("""COMPUTED_VALUE"""),"Inversión")</f>
        <v>Inversión</v>
      </c>
      <c r="G55" s="9" t="str">
        <f>IFERROR(__xludf.DUMMYFUNCTION("""COMPUTED_VALUE"""),"Socio de proyecto")</f>
        <v>Socio de proyecto</v>
      </c>
    </row>
    <row r="56">
      <c r="A56" s="9">
        <f>IFERROR(__xludf.DUMMYFUNCTION("""COMPUTED_VALUE"""),272.0)</f>
        <v>272</v>
      </c>
      <c r="B56" s="9" t="str">
        <f>IFERROR(__xludf.DUMMYFUNCTION("""COMPUTED_VALUE"""),"Angy Hubbucks")</f>
        <v>Angy Hubbucks</v>
      </c>
      <c r="C56" s="9" t="str">
        <f>IFERROR(__xludf.DUMMYFUNCTION("""COMPUTED_VALUE"""),"ahubbucks7j@pen.io")</f>
        <v>ahubbucks7j@pen.io</v>
      </c>
      <c r="D56" s="9" t="str">
        <f>IFERROR(__xludf.DUMMYFUNCTION("""COMPUTED_VALUE"""),"Uruguay")</f>
        <v>Uruguay</v>
      </c>
      <c r="E56" s="9" t="str">
        <f>IFERROR(__xludf.DUMMYFUNCTION("""COMPUTED_VALUE"""),"Tecnología")</f>
        <v>Tecnología</v>
      </c>
      <c r="F56" s="9" t="str">
        <f>IFERROR(__xludf.DUMMYFUNCTION("""COMPUTED_VALUE"""),"Trabajo")</f>
        <v>Trabajo</v>
      </c>
      <c r="G56" s="9" t="str">
        <f>IFERROR(__xludf.DUMMYFUNCTION("""COMPUTED_VALUE"""),"Buscando trabajo")</f>
        <v>Buscando trabajo</v>
      </c>
    </row>
    <row r="57">
      <c r="A57" s="9">
        <f>IFERROR(__xludf.DUMMYFUNCTION("""COMPUTED_VALUE"""),273.0)</f>
        <v>273</v>
      </c>
      <c r="B57" s="9" t="str">
        <f>IFERROR(__xludf.DUMMYFUNCTION("""COMPUTED_VALUE"""),"Casi Khan")</f>
        <v>Casi Khan</v>
      </c>
      <c r="C57" s="9" t="str">
        <f>IFERROR(__xludf.DUMMYFUNCTION("""COMPUTED_VALUE"""),"ckhan7k@economist.com")</f>
        <v>ckhan7k@economist.com</v>
      </c>
      <c r="D57" s="9" t="str">
        <f>IFERROR(__xludf.DUMMYFUNCTION("""COMPUTED_VALUE"""),"Perú")</f>
        <v>Perú</v>
      </c>
      <c r="E57" s="9" t="str">
        <f>IFERROR(__xludf.DUMMYFUNCTION("""COMPUTED_VALUE"""),"Tecnología")</f>
        <v>Tecnología</v>
      </c>
      <c r="F57" s="9" t="str">
        <f>IFERROR(__xludf.DUMMYFUNCTION("""COMPUTED_VALUE"""),"Trabajo")</f>
        <v>Trabajo</v>
      </c>
      <c r="G57" s="9" t="str">
        <f>IFERROR(__xludf.DUMMYFUNCTION("""COMPUTED_VALUE"""),"Buscando trabajo")</f>
        <v>Buscando trabajo</v>
      </c>
    </row>
    <row r="58">
      <c r="A58" s="9">
        <f>IFERROR(__xludf.DUMMYFUNCTION("""COMPUTED_VALUE"""),274.0)</f>
        <v>274</v>
      </c>
      <c r="B58" s="9" t="str">
        <f>IFERROR(__xludf.DUMMYFUNCTION("""COMPUTED_VALUE"""),"Alvera Geddis")</f>
        <v>Alvera Geddis</v>
      </c>
      <c r="C58" s="9" t="str">
        <f>IFERROR(__xludf.DUMMYFUNCTION("""COMPUTED_VALUE"""),"ageddis7l@fda.gov")</f>
        <v>ageddis7l@fda.gov</v>
      </c>
      <c r="D58" s="9" t="str">
        <f>IFERROR(__xludf.DUMMYFUNCTION("""COMPUTED_VALUE"""),"Uruguay")</f>
        <v>Uruguay</v>
      </c>
      <c r="E58" s="9" t="str">
        <f>IFERROR(__xludf.DUMMYFUNCTION("""COMPUTED_VALUE"""),"Tecnología")</f>
        <v>Tecnología</v>
      </c>
      <c r="F58" s="9" t="str">
        <f>IFERROR(__xludf.DUMMYFUNCTION("""COMPUTED_VALUE"""),"Trabajo")</f>
        <v>Trabajo</v>
      </c>
      <c r="G58" s="9" t="str">
        <f>IFERROR(__xludf.DUMMYFUNCTION("""COMPUTED_VALUE"""),"Ofreciendo trabajo")</f>
        <v>Ofreciendo trabajo</v>
      </c>
    </row>
    <row r="59">
      <c r="A59" s="9">
        <f>IFERROR(__xludf.DUMMYFUNCTION("""COMPUTED_VALUE"""),275.0)</f>
        <v>275</v>
      </c>
      <c r="B59" s="9" t="str">
        <f>IFERROR(__xludf.DUMMYFUNCTION("""COMPUTED_VALUE"""),"Lilias Suttie")</f>
        <v>Lilias Suttie</v>
      </c>
      <c r="C59" s="9" t="str">
        <f>IFERROR(__xludf.DUMMYFUNCTION("""COMPUTED_VALUE"""),"lsuttie7m@wix.com")</f>
        <v>lsuttie7m@wix.com</v>
      </c>
      <c r="D59" s="9" t="str">
        <f>IFERROR(__xludf.DUMMYFUNCTION("""COMPUTED_VALUE"""),"Perú")</f>
        <v>Perú</v>
      </c>
      <c r="E59" s="9" t="str">
        <f>IFERROR(__xludf.DUMMYFUNCTION("""COMPUTED_VALUE"""),"Tecnología")</f>
        <v>Tecnología</v>
      </c>
      <c r="F59" s="9" t="str">
        <f>IFERROR(__xludf.DUMMYFUNCTION("""COMPUTED_VALUE"""),"Trabajo")</f>
        <v>Trabajo</v>
      </c>
      <c r="G59" s="9" t="str">
        <f>IFERROR(__xludf.DUMMYFUNCTION("""COMPUTED_VALUE"""),"Buscando trabajo")</f>
        <v>Buscando trabajo</v>
      </c>
    </row>
    <row r="60">
      <c r="A60" s="9">
        <f>IFERROR(__xludf.DUMMYFUNCTION("""COMPUTED_VALUE"""),278.0)</f>
        <v>278</v>
      </c>
      <c r="B60" s="9" t="str">
        <f>IFERROR(__xludf.DUMMYFUNCTION("""COMPUTED_VALUE"""),"Eryn Allwright")</f>
        <v>Eryn Allwright</v>
      </c>
      <c r="C60" s="9" t="str">
        <f>IFERROR(__xludf.DUMMYFUNCTION("""COMPUTED_VALUE"""),"eallwright7p@apple.com")</f>
        <v>eallwright7p@apple.com</v>
      </c>
      <c r="D60" s="9" t="str">
        <f>IFERROR(__xludf.DUMMYFUNCTION("""COMPUTED_VALUE"""),"Uruguay")</f>
        <v>Uruguay</v>
      </c>
      <c r="E60" s="9" t="str">
        <f>IFERROR(__xludf.DUMMYFUNCTION("""COMPUTED_VALUE"""),"Tecnología")</f>
        <v>Tecnología</v>
      </c>
      <c r="F60" s="9" t="str">
        <f>IFERROR(__xludf.DUMMYFUNCTION("""COMPUTED_VALUE"""),"Inversión")</f>
        <v>Inversión</v>
      </c>
      <c r="G60" s="9" t="str">
        <f>IFERROR(__xludf.DUMMYFUNCTION("""COMPUTED_VALUE"""),"Socio capitalista")</f>
        <v>Socio capitalista</v>
      </c>
    </row>
    <row r="61">
      <c r="A61" s="9">
        <f>IFERROR(__xludf.DUMMYFUNCTION("""COMPUTED_VALUE"""),281.0)</f>
        <v>281</v>
      </c>
      <c r="B61" s="9" t="str">
        <f>IFERROR(__xludf.DUMMYFUNCTION("""COMPUTED_VALUE"""),"Fonz Rookes")</f>
        <v>Fonz Rookes</v>
      </c>
      <c r="C61" s="9" t="str">
        <f>IFERROR(__xludf.DUMMYFUNCTION("""COMPUTED_VALUE"""),"frookes7s@smh.com.au")</f>
        <v>frookes7s@smh.com.au</v>
      </c>
      <c r="D61" s="9" t="str">
        <f>IFERROR(__xludf.DUMMYFUNCTION("""COMPUTED_VALUE"""),"Uruguay")</f>
        <v>Uruguay</v>
      </c>
      <c r="E61" s="9" t="str">
        <f>IFERROR(__xludf.DUMMYFUNCTION("""COMPUTED_VALUE"""),"Tecnología")</f>
        <v>Tecnología</v>
      </c>
      <c r="F61" s="9" t="str">
        <f>IFERROR(__xludf.DUMMYFUNCTION("""COMPUTED_VALUE"""),"Inversión")</f>
        <v>Inversión</v>
      </c>
      <c r="G61" s="9" t="str">
        <f>IFERROR(__xludf.DUMMYFUNCTION("""COMPUTED_VALUE"""),"Socio capitalista")</f>
        <v>Socio capitalista</v>
      </c>
    </row>
    <row r="62">
      <c r="A62" s="9">
        <f>IFERROR(__xludf.DUMMYFUNCTION("""COMPUTED_VALUE"""),285.0)</f>
        <v>285</v>
      </c>
      <c r="B62" s="9" t="str">
        <f>IFERROR(__xludf.DUMMYFUNCTION("""COMPUTED_VALUE"""),"Ardyce Abad")</f>
        <v>Ardyce Abad</v>
      </c>
      <c r="C62" s="9" t="str">
        <f>IFERROR(__xludf.DUMMYFUNCTION("""COMPUTED_VALUE"""),"aabad7w@nbcnews.com")</f>
        <v>aabad7w@nbcnews.com</v>
      </c>
      <c r="D62" s="9" t="str">
        <f>IFERROR(__xludf.DUMMYFUNCTION("""COMPUTED_VALUE"""),"Perú")</f>
        <v>Perú</v>
      </c>
      <c r="E62" s="9" t="str">
        <f>IFERROR(__xludf.DUMMYFUNCTION("""COMPUTED_VALUE"""),"Tecnología")</f>
        <v>Tecnología</v>
      </c>
      <c r="F62" s="9" t="str">
        <f>IFERROR(__xludf.DUMMYFUNCTION("""COMPUTED_VALUE"""),"Inversión")</f>
        <v>Inversión</v>
      </c>
      <c r="G62" s="9" t="str">
        <f>IFERROR(__xludf.DUMMYFUNCTION("""COMPUTED_VALUE"""),"Socio de proyecto")</f>
        <v>Socio de proyecto</v>
      </c>
    </row>
    <row r="63">
      <c r="A63" s="9">
        <f>IFERROR(__xludf.DUMMYFUNCTION("""COMPUTED_VALUE"""),291.0)</f>
        <v>291</v>
      </c>
      <c r="B63" s="9" t="str">
        <f>IFERROR(__xludf.DUMMYFUNCTION("""COMPUTED_VALUE"""),"Prue Antram")</f>
        <v>Prue Antram</v>
      </c>
      <c r="C63" s="9" t="str">
        <f>IFERROR(__xludf.DUMMYFUNCTION("""COMPUTED_VALUE"""),"pantram82@wordpress.com")</f>
        <v>pantram82@wordpress.com</v>
      </c>
      <c r="D63" s="9" t="str">
        <f>IFERROR(__xludf.DUMMYFUNCTION("""COMPUTED_VALUE"""),"Uruguay")</f>
        <v>Uruguay</v>
      </c>
      <c r="E63" s="9" t="str">
        <f>IFERROR(__xludf.DUMMYFUNCTION("""COMPUTED_VALUE"""),"Inmobiliario")</f>
        <v>Inmobiliario</v>
      </c>
      <c r="F63" s="9" t="str">
        <f>IFERROR(__xludf.DUMMYFUNCTION("""COMPUTED_VALUE"""),"Trabajo")</f>
        <v>Trabajo</v>
      </c>
      <c r="G63" s="9" t="str">
        <f>IFERROR(__xludf.DUMMYFUNCTION("""COMPUTED_VALUE"""),"Buscando trabajo")</f>
        <v>Buscando trabajo</v>
      </c>
    </row>
    <row r="64">
      <c r="A64" s="9">
        <f>IFERROR(__xludf.DUMMYFUNCTION("""COMPUTED_VALUE"""),293.0)</f>
        <v>293</v>
      </c>
      <c r="B64" s="9" t="str">
        <f>IFERROR(__xludf.DUMMYFUNCTION("""COMPUTED_VALUE"""),"Hadley Fearnley")</f>
        <v>Hadley Fearnley</v>
      </c>
      <c r="C64" s="9" t="str">
        <f>IFERROR(__xludf.DUMMYFUNCTION("""COMPUTED_VALUE"""),"hfearnley84@admin.ch")</f>
        <v>hfearnley84@admin.ch</v>
      </c>
      <c r="D64" s="9" t="str">
        <f>IFERROR(__xludf.DUMMYFUNCTION("""COMPUTED_VALUE"""),"Perú")</f>
        <v>Perú</v>
      </c>
      <c r="E64" s="9" t="str">
        <f>IFERROR(__xludf.DUMMYFUNCTION("""COMPUTED_VALUE"""),"Tecnología")</f>
        <v>Tecnología</v>
      </c>
      <c r="F64" s="9" t="str">
        <f>IFERROR(__xludf.DUMMYFUNCTION("""COMPUTED_VALUE"""),"Inversión")</f>
        <v>Inversión</v>
      </c>
      <c r="G64" s="9" t="str">
        <f>IFERROR(__xludf.DUMMYFUNCTION("""COMPUTED_VALUE"""),"Socio de proyecto")</f>
        <v>Socio de proyecto</v>
      </c>
    </row>
    <row r="65">
      <c r="A65" s="9">
        <f>IFERROR(__xludf.DUMMYFUNCTION("""COMPUTED_VALUE"""),295.0)</f>
        <v>295</v>
      </c>
      <c r="B65" s="9" t="str">
        <f>IFERROR(__xludf.DUMMYFUNCTION("""COMPUTED_VALUE"""),"Kessia Torrejon")</f>
        <v>Kessia Torrejon</v>
      </c>
      <c r="C65" s="9" t="str">
        <f>IFERROR(__xludf.DUMMYFUNCTION("""COMPUTED_VALUE"""),"ktorrejon86@cloudflare.com")</f>
        <v>ktorrejon86@cloudflare.com</v>
      </c>
      <c r="D65" s="9" t="str">
        <f>IFERROR(__xludf.DUMMYFUNCTION("""COMPUTED_VALUE"""),"Uruguay")</f>
        <v>Uruguay</v>
      </c>
      <c r="E65" s="9" t="str">
        <f>IFERROR(__xludf.DUMMYFUNCTION("""COMPUTED_VALUE"""),"Inmobiliario")</f>
        <v>Inmobiliario</v>
      </c>
      <c r="F65" s="9" t="str">
        <f>IFERROR(__xludf.DUMMYFUNCTION("""COMPUTED_VALUE"""),"Inversión")</f>
        <v>Inversión</v>
      </c>
      <c r="G65" s="9" t="str">
        <f>IFERROR(__xludf.DUMMYFUNCTION("""COMPUTED_VALUE"""),"Socio de proyecto")</f>
        <v>Socio de proyecto</v>
      </c>
    </row>
    <row r="66">
      <c r="A66" s="9">
        <f>IFERROR(__xludf.DUMMYFUNCTION("""COMPUTED_VALUE"""),301.0)</f>
        <v>301</v>
      </c>
      <c r="B66" s="9" t="str">
        <f>IFERROR(__xludf.DUMMYFUNCTION("""COMPUTED_VALUE"""),"Tory Oxlee")</f>
        <v>Tory Oxlee</v>
      </c>
      <c r="C66" s="9" t="str">
        <f>IFERROR(__xludf.DUMMYFUNCTION("""COMPUTED_VALUE"""),"toxlee8c@smugmug.com")</f>
        <v>toxlee8c@smugmug.com</v>
      </c>
      <c r="D66" s="9" t="str">
        <f>IFERROR(__xludf.DUMMYFUNCTION("""COMPUTED_VALUE"""),"Perú")</f>
        <v>Perú</v>
      </c>
      <c r="E66" s="9" t="str">
        <f>IFERROR(__xludf.DUMMYFUNCTION("""COMPUTED_VALUE"""),"Construcción")</f>
        <v>Construcción</v>
      </c>
      <c r="F66" s="9" t="str">
        <f>IFERROR(__xludf.DUMMYFUNCTION("""COMPUTED_VALUE"""),"Inversión")</f>
        <v>Inversión</v>
      </c>
      <c r="G66" s="9" t="str">
        <f>IFERROR(__xludf.DUMMYFUNCTION("""COMPUTED_VALUE"""),"Socio capitalista")</f>
        <v>Socio capitalista</v>
      </c>
    </row>
    <row r="67">
      <c r="A67" s="9">
        <f>IFERROR(__xludf.DUMMYFUNCTION("""COMPUTED_VALUE"""),307.0)</f>
        <v>307</v>
      </c>
      <c r="B67" s="9" t="str">
        <f>IFERROR(__xludf.DUMMYFUNCTION("""COMPUTED_VALUE"""),"Zed Birchwood")</f>
        <v>Zed Birchwood</v>
      </c>
      <c r="C67" s="9" t="str">
        <f>IFERROR(__xludf.DUMMYFUNCTION("""COMPUTED_VALUE"""),"zbirchwood8i@cam.ac.uk")</f>
        <v>zbirchwood8i@cam.ac.uk</v>
      </c>
      <c r="D67" s="9" t="str">
        <f>IFERROR(__xludf.DUMMYFUNCTION("""COMPUTED_VALUE"""),"Perú")</f>
        <v>Perú</v>
      </c>
      <c r="E67" s="9" t="str">
        <f>IFERROR(__xludf.DUMMYFUNCTION("""COMPUTED_VALUE"""),"Tecnología")</f>
        <v>Tecnología</v>
      </c>
      <c r="F67" s="9" t="str">
        <f>IFERROR(__xludf.DUMMYFUNCTION("""COMPUTED_VALUE"""),"Trabajo")</f>
        <v>Trabajo</v>
      </c>
      <c r="G67" s="9" t="str">
        <f>IFERROR(__xludf.DUMMYFUNCTION("""COMPUTED_VALUE"""),"Buscando trabajo")</f>
        <v>Buscando trabajo</v>
      </c>
    </row>
    <row r="68">
      <c r="A68" s="9">
        <f>IFERROR(__xludf.DUMMYFUNCTION("""COMPUTED_VALUE"""),313.0)</f>
        <v>313</v>
      </c>
      <c r="B68" s="9" t="str">
        <f>IFERROR(__xludf.DUMMYFUNCTION("""COMPUTED_VALUE"""),"Vanessa Grimsey")</f>
        <v>Vanessa Grimsey</v>
      </c>
      <c r="C68" s="9" t="str">
        <f>IFERROR(__xludf.DUMMYFUNCTION("""COMPUTED_VALUE"""),"vgrimsey8o@google.ca")</f>
        <v>vgrimsey8o@google.ca</v>
      </c>
      <c r="D68" s="9" t="str">
        <f>IFERROR(__xludf.DUMMYFUNCTION("""COMPUTED_VALUE"""),"Uruguay")</f>
        <v>Uruguay</v>
      </c>
      <c r="E68" s="9" t="str">
        <f>IFERROR(__xludf.DUMMYFUNCTION("""COMPUTED_VALUE"""),"Inmobiliario")</f>
        <v>Inmobiliario</v>
      </c>
      <c r="F68" s="9" t="str">
        <f>IFERROR(__xludf.DUMMYFUNCTION("""COMPUTED_VALUE"""),"Inversión")</f>
        <v>Inversión</v>
      </c>
      <c r="G68" s="9" t="str">
        <f>IFERROR(__xludf.DUMMYFUNCTION("""COMPUTED_VALUE"""),"Socio capitalista")</f>
        <v>Socio capitalista</v>
      </c>
    </row>
    <row r="69">
      <c r="A69" s="9">
        <f>IFERROR(__xludf.DUMMYFUNCTION("""COMPUTED_VALUE"""),314.0)</f>
        <v>314</v>
      </c>
      <c r="B69" s="9" t="str">
        <f>IFERROR(__xludf.DUMMYFUNCTION("""COMPUTED_VALUE"""),"Biddie Bellay")</f>
        <v>Biddie Bellay</v>
      </c>
      <c r="C69" s="9" t="str">
        <f>IFERROR(__xludf.DUMMYFUNCTION("""COMPUTED_VALUE"""),"bbellay8p@google.es")</f>
        <v>bbellay8p@google.es</v>
      </c>
      <c r="D69" s="9" t="str">
        <f>IFERROR(__xludf.DUMMYFUNCTION("""COMPUTED_VALUE"""),"Uruguay")</f>
        <v>Uruguay</v>
      </c>
      <c r="E69" s="9" t="str">
        <f>IFERROR(__xludf.DUMMYFUNCTION("""COMPUTED_VALUE"""),"Tecnología")</f>
        <v>Tecnología</v>
      </c>
      <c r="F69" s="9" t="str">
        <f>IFERROR(__xludf.DUMMYFUNCTION("""COMPUTED_VALUE"""),"Inversión")</f>
        <v>Inversión</v>
      </c>
      <c r="G69" s="9" t="str">
        <f>IFERROR(__xludf.DUMMYFUNCTION("""COMPUTED_VALUE"""),"Socio de proyecto")</f>
        <v>Socio de proyecto</v>
      </c>
    </row>
    <row r="70">
      <c r="A70" s="9">
        <f>IFERROR(__xludf.DUMMYFUNCTION("""COMPUTED_VALUE"""),317.0)</f>
        <v>317</v>
      </c>
      <c r="B70" s="9" t="str">
        <f>IFERROR(__xludf.DUMMYFUNCTION("""COMPUTED_VALUE"""),"Reginauld Jackling")</f>
        <v>Reginauld Jackling</v>
      </c>
      <c r="C70" s="9" t="str">
        <f>IFERROR(__xludf.DUMMYFUNCTION("""COMPUTED_VALUE"""),"rjackling8s@archive.org")</f>
        <v>rjackling8s@archive.org</v>
      </c>
      <c r="D70" s="9" t="str">
        <f>IFERROR(__xludf.DUMMYFUNCTION("""COMPUTED_VALUE"""),"Uruguay")</f>
        <v>Uruguay</v>
      </c>
      <c r="E70" s="9" t="str">
        <f>IFERROR(__xludf.DUMMYFUNCTION("""COMPUTED_VALUE"""),"Tecnología")</f>
        <v>Tecnología</v>
      </c>
      <c r="F70" s="9" t="str">
        <f>IFERROR(__xludf.DUMMYFUNCTION("""COMPUTED_VALUE"""),"Inversión")</f>
        <v>Inversión</v>
      </c>
      <c r="G70" s="9" t="str">
        <f>IFERROR(__xludf.DUMMYFUNCTION("""COMPUTED_VALUE"""),"Socio capitalista")</f>
        <v>Socio capitalista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</v>
      </c>
      <c r="B1" s="10" t="s">
        <v>2</v>
      </c>
      <c r="C1" s="10" t="s">
        <v>4</v>
      </c>
    </row>
    <row r="2">
      <c r="A2" s="9" t="str">
        <f>IFERROR(__xludf.DUMMYFUNCTION("QUERY(todos,""SELECT B,C,E WHERE D='Perú' AND F='Inversión'"")"),"Brunhilda Kilgannon")</f>
        <v>Brunhilda Kilgannon</v>
      </c>
      <c r="B2" s="9" t="str">
        <f>IFERROR(__xludf.DUMMYFUNCTION("""COMPUTED_VALUE"""),"bkilgannon4@loc.gov")</f>
        <v>bkilgannon4@loc.gov</v>
      </c>
      <c r="C2" s="9" t="str">
        <f>IFERROR(__xludf.DUMMYFUNCTION("""COMPUTED_VALUE"""),"Construcción")</f>
        <v>Construcción</v>
      </c>
    </row>
    <row r="3">
      <c r="A3" s="9" t="str">
        <f>IFERROR(__xludf.DUMMYFUNCTION("""COMPUTED_VALUE"""),"Maje Blaschke")</f>
        <v>Maje Blaschke</v>
      </c>
      <c r="B3" s="9" t="str">
        <f>IFERROR(__xludf.DUMMYFUNCTION("""COMPUTED_VALUE"""),"mblaschkea@sfgate.com")</f>
        <v>mblaschkea@sfgate.com</v>
      </c>
      <c r="C3" s="9" t="str">
        <f>IFERROR(__xludf.DUMMYFUNCTION("""COMPUTED_VALUE"""),"Tecnología")</f>
        <v>Tecnología</v>
      </c>
    </row>
    <row r="4">
      <c r="A4" s="9" t="str">
        <f>IFERROR(__xludf.DUMMYFUNCTION("""COMPUTED_VALUE"""),"Dicky Marriot")</f>
        <v>Dicky Marriot</v>
      </c>
      <c r="B4" s="9" t="str">
        <f>IFERROR(__xludf.DUMMYFUNCTION("""COMPUTED_VALUE"""),"dmarriotb@pinterest.com")</f>
        <v>dmarriotb@pinterest.com</v>
      </c>
      <c r="C4" s="9" t="str">
        <f>IFERROR(__xludf.DUMMYFUNCTION("""COMPUTED_VALUE"""),"Tecnología")</f>
        <v>Tecnología</v>
      </c>
    </row>
    <row r="5">
      <c r="A5" s="9" t="str">
        <f>IFERROR(__xludf.DUMMYFUNCTION("""COMPUTED_VALUE"""),"Noah Coomes")</f>
        <v>Noah Coomes</v>
      </c>
      <c r="B5" s="9" t="str">
        <f>IFERROR(__xludf.DUMMYFUNCTION("""COMPUTED_VALUE"""),"ncoomesn@newyorker.com")</f>
        <v>ncoomesn@newyorker.com</v>
      </c>
      <c r="C5" s="9" t="str">
        <f>IFERROR(__xludf.DUMMYFUNCTION("""COMPUTED_VALUE"""),"Agroindustrial")</f>
        <v>Agroindustrial</v>
      </c>
    </row>
    <row r="6">
      <c r="A6" s="9" t="str">
        <f>IFERROR(__xludf.DUMMYFUNCTION("""COMPUTED_VALUE"""),"Carolyne Fudge")</f>
        <v>Carolyne Fudge</v>
      </c>
      <c r="B6" s="9" t="str">
        <f>IFERROR(__xludf.DUMMYFUNCTION("""COMPUTED_VALUE"""),"cfudgew@google.es")</f>
        <v>cfudgew@google.es</v>
      </c>
      <c r="C6" s="9" t="str">
        <f>IFERROR(__xludf.DUMMYFUNCTION("""COMPUTED_VALUE"""),"Tecnología")</f>
        <v>Tecnología</v>
      </c>
    </row>
    <row r="7">
      <c r="A7" s="9" t="str">
        <f>IFERROR(__xludf.DUMMYFUNCTION("""COMPUTED_VALUE"""),"Virgil Pickaver")</f>
        <v>Virgil Pickaver</v>
      </c>
      <c r="B7" s="9" t="str">
        <f>IFERROR(__xludf.DUMMYFUNCTION("""COMPUTED_VALUE"""),"vpickavery@behance.net")</f>
        <v>vpickavery@behance.net</v>
      </c>
      <c r="C7" s="9" t="str">
        <f>IFERROR(__xludf.DUMMYFUNCTION("""COMPUTED_VALUE"""),"Construcción")</f>
        <v>Construcción</v>
      </c>
    </row>
    <row r="8">
      <c r="A8" s="9" t="str">
        <f>IFERROR(__xludf.DUMMYFUNCTION("""COMPUTED_VALUE"""),"Olav Lead")</f>
        <v>Olav Lead</v>
      </c>
      <c r="B8" s="9" t="str">
        <f>IFERROR(__xludf.DUMMYFUNCTION("""COMPUTED_VALUE"""),"olead1y@economist.com")</f>
        <v>olead1y@economist.com</v>
      </c>
      <c r="C8" s="9" t="str">
        <f>IFERROR(__xludf.DUMMYFUNCTION("""COMPUTED_VALUE"""),"Agroindustrial")</f>
        <v>Agroindustrial</v>
      </c>
    </row>
    <row r="9">
      <c r="A9" s="9" t="str">
        <f>IFERROR(__xludf.DUMMYFUNCTION("""COMPUTED_VALUE"""),"Lamond Sprague")</f>
        <v>Lamond Sprague</v>
      </c>
      <c r="B9" s="9" t="str">
        <f>IFERROR(__xludf.DUMMYFUNCTION("""COMPUTED_VALUE"""),"lsprague2v@cmu.edu")</f>
        <v>lsprague2v@cmu.edu</v>
      </c>
      <c r="C9" s="9" t="str">
        <f>IFERROR(__xludf.DUMMYFUNCTION("""COMPUTED_VALUE"""),"Tecnología")</f>
        <v>Tecnología</v>
      </c>
    </row>
    <row r="10">
      <c r="A10" s="9" t="str">
        <f>IFERROR(__xludf.DUMMYFUNCTION("""COMPUTED_VALUE"""),"Laurena Mulbery")</f>
        <v>Laurena Mulbery</v>
      </c>
      <c r="B10" s="9" t="str">
        <f>IFERROR(__xludf.DUMMYFUNCTION("""COMPUTED_VALUE"""),"lmulbery2x@kickstarter.com")</f>
        <v>lmulbery2x@kickstarter.com</v>
      </c>
      <c r="C10" s="9" t="str">
        <f>IFERROR(__xludf.DUMMYFUNCTION("""COMPUTED_VALUE"""),"Inmobiliario")</f>
        <v>Inmobiliario</v>
      </c>
    </row>
    <row r="11">
      <c r="A11" s="9" t="str">
        <f>IFERROR(__xludf.DUMMYFUNCTION("""COMPUTED_VALUE"""),"Erda Giff")</f>
        <v>Erda Giff</v>
      </c>
      <c r="B11" s="9" t="str">
        <f>IFERROR(__xludf.DUMMYFUNCTION("""COMPUTED_VALUE"""),"egiff32@cmu.edu")</f>
        <v>egiff32@cmu.edu</v>
      </c>
      <c r="C11" s="9" t="str">
        <f>IFERROR(__xludf.DUMMYFUNCTION("""COMPUTED_VALUE"""),"Tecnología")</f>
        <v>Tecnología</v>
      </c>
    </row>
    <row r="12">
      <c r="A12" s="9" t="str">
        <f>IFERROR(__xludf.DUMMYFUNCTION("""COMPUTED_VALUE"""),"Rikki Emery")</f>
        <v>Rikki Emery</v>
      </c>
      <c r="B12" s="9" t="str">
        <f>IFERROR(__xludf.DUMMYFUNCTION("""COMPUTED_VALUE"""),"remery48@gov.uk")</f>
        <v>remery48@gov.uk</v>
      </c>
      <c r="C12" s="9" t="str">
        <f>IFERROR(__xludf.DUMMYFUNCTION("""COMPUTED_VALUE"""),"Construcción")</f>
        <v>Construcción</v>
      </c>
    </row>
    <row r="13">
      <c r="A13" s="9" t="str">
        <f>IFERROR(__xludf.DUMMYFUNCTION("""COMPUTED_VALUE"""),"Bertha Penni")</f>
        <v>Bertha Penni</v>
      </c>
      <c r="B13" s="9" t="str">
        <f>IFERROR(__xludf.DUMMYFUNCTION("""COMPUTED_VALUE"""),"bpenni4f@state.tx.us")</f>
        <v>bpenni4f@state.tx.us</v>
      </c>
      <c r="C13" s="9" t="str">
        <f>IFERROR(__xludf.DUMMYFUNCTION("""COMPUTED_VALUE"""),"Tecnología")</f>
        <v>Tecnología</v>
      </c>
    </row>
    <row r="14">
      <c r="A14" s="9" t="str">
        <f>IFERROR(__xludf.DUMMYFUNCTION("""COMPUTED_VALUE"""),"Gus Keneford")</f>
        <v>Gus Keneford</v>
      </c>
      <c r="B14" s="9" t="str">
        <f>IFERROR(__xludf.DUMMYFUNCTION("""COMPUTED_VALUE"""),"gkeneford4r@google.com.au")</f>
        <v>gkeneford4r@google.com.au</v>
      </c>
      <c r="C14" s="9" t="str">
        <f>IFERROR(__xludf.DUMMYFUNCTION("""COMPUTED_VALUE"""),"Inmobiliario")</f>
        <v>Inmobiliario</v>
      </c>
    </row>
    <row r="15">
      <c r="A15" s="9" t="str">
        <f>IFERROR(__xludf.DUMMYFUNCTION("""COMPUTED_VALUE"""),"Rorie Loadman")</f>
        <v>Rorie Loadman</v>
      </c>
      <c r="B15" s="9" t="str">
        <f>IFERROR(__xludf.DUMMYFUNCTION("""COMPUTED_VALUE"""),"rloadman4t@studiopress.com")</f>
        <v>rloadman4t@studiopress.com</v>
      </c>
      <c r="C15" s="9" t="str">
        <f>IFERROR(__xludf.DUMMYFUNCTION("""COMPUTED_VALUE"""),"Tecnología")</f>
        <v>Tecnología</v>
      </c>
    </row>
    <row r="16">
      <c r="A16" s="9" t="str">
        <f>IFERROR(__xludf.DUMMYFUNCTION("""COMPUTED_VALUE"""),"Rosemarie Kitchenman")</f>
        <v>Rosemarie Kitchenman</v>
      </c>
      <c r="B16" s="9" t="str">
        <f>IFERROR(__xludf.DUMMYFUNCTION("""COMPUTED_VALUE"""),"rkitchenman4x@ovh.net")</f>
        <v>rkitchenman4x@ovh.net</v>
      </c>
      <c r="C16" s="9" t="str">
        <f>IFERROR(__xludf.DUMMYFUNCTION("""COMPUTED_VALUE"""),"Tecnología")</f>
        <v>Tecnología</v>
      </c>
    </row>
    <row r="17">
      <c r="A17" s="9" t="str">
        <f>IFERROR(__xludf.DUMMYFUNCTION("""COMPUTED_VALUE"""),"Reynard Timmis")</f>
        <v>Reynard Timmis</v>
      </c>
      <c r="B17" s="9" t="str">
        <f>IFERROR(__xludf.DUMMYFUNCTION("""COMPUTED_VALUE"""),"rtimmis5a@behance.net")</f>
        <v>rtimmis5a@behance.net</v>
      </c>
      <c r="C17" s="9" t="str">
        <f>IFERROR(__xludf.DUMMYFUNCTION("""COMPUTED_VALUE"""),"Tecnología")</f>
        <v>Tecnología</v>
      </c>
    </row>
    <row r="18">
      <c r="A18" s="9" t="str">
        <f>IFERROR(__xludf.DUMMYFUNCTION("""COMPUTED_VALUE"""),"Theda Dericot")</f>
        <v>Theda Dericot</v>
      </c>
      <c r="B18" s="9" t="str">
        <f>IFERROR(__xludf.DUMMYFUNCTION("""COMPUTED_VALUE"""),"tdericot5b@nationalgeographic.com")</f>
        <v>tdericot5b@nationalgeographic.com</v>
      </c>
      <c r="C18" s="9" t="str">
        <f>IFERROR(__xludf.DUMMYFUNCTION("""COMPUTED_VALUE"""),"Tecnología")</f>
        <v>Tecnología</v>
      </c>
    </row>
    <row r="19">
      <c r="A19" s="9" t="str">
        <f>IFERROR(__xludf.DUMMYFUNCTION("""COMPUTED_VALUE"""),"Angeline Bruhke")</f>
        <v>Angeline Bruhke</v>
      </c>
      <c r="B19" s="9" t="str">
        <f>IFERROR(__xludf.DUMMYFUNCTION("""COMPUTED_VALUE"""),"abruhke5m@arstechnica.com")</f>
        <v>abruhke5m@arstechnica.com</v>
      </c>
      <c r="C19" s="9" t="str">
        <f>IFERROR(__xludf.DUMMYFUNCTION("""COMPUTED_VALUE"""),"Tecnología")</f>
        <v>Tecnología</v>
      </c>
    </row>
    <row r="20">
      <c r="A20" s="9" t="str">
        <f>IFERROR(__xludf.DUMMYFUNCTION("""COMPUTED_VALUE"""),"Nerissa Giddy")</f>
        <v>Nerissa Giddy</v>
      </c>
      <c r="B20" s="9" t="str">
        <f>IFERROR(__xludf.DUMMYFUNCTION("""COMPUTED_VALUE"""),"ngiddy67@examiner.com")</f>
        <v>ngiddy67@examiner.com</v>
      </c>
      <c r="C20" s="9" t="str">
        <f>IFERROR(__xludf.DUMMYFUNCTION("""COMPUTED_VALUE"""),"Tecnología")</f>
        <v>Tecnología</v>
      </c>
    </row>
    <row r="21">
      <c r="A21" s="9" t="str">
        <f>IFERROR(__xludf.DUMMYFUNCTION("""COMPUTED_VALUE"""),"Maxi Lahy")</f>
        <v>Maxi Lahy</v>
      </c>
      <c r="B21" s="9" t="str">
        <f>IFERROR(__xludf.DUMMYFUNCTION("""COMPUTED_VALUE"""),"mlahy6m@4shared.com")</f>
        <v>mlahy6m@4shared.com</v>
      </c>
      <c r="C21" s="9" t="str">
        <f>IFERROR(__xludf.DUMMYFUNCTION("""COMPUTED_VALUE"""),"Tecnología")</f>
        <v>Tecnología</v>
      </c>
    </row>
    <row r="22">
      <c r="A22" s="9" t="str">
        <f>IFERROR(__xludf.DUMMYFUNCTION("""COMPUTED_VALUE"""),"Randall Vedeneev")</f>
        <v>Randall Vedeneev</v>
      </c>
      <c r="B22" s="9" t="str">
        <f>IFERROR(__xludf.DUMMYFUNCTION("""COMPUTED_VALUE"""),"rvedeneev6x@bluehost.com")</f>
        <v>rvedeneev6x@bluehost.com</v>
      </c>
      <c r="C22" s="9" t="str">
        <f>IFERROR(__xludf.DUMMYFUNCTION("""COMPUTED_VALUE"""),"Inmobiliario")</f>
        <v>Inmobiliario</v>
      </c>
    </row>
    <row r="23">
      <c r="A23" s="9" t="str">
        <f>IFERROR(__xludf.DUMMYFUNCTION("""COMPUTED_VALUE"""),"Lula Behrend")</f>
        <v>Lula Behrend</v>
      </c>
      <c r="B23" s="9" t="str">
        <f>IFERROR(__xludf.DUMMYFUNCTION("""COMPUTED_VALUE"""),"lbehrend75@dyndns.org")</f>
        <v>lbehrend75@dyndns.org</v>
      </c>
      <c r="C23" s="9" t="str">
        <f>IFERROR(__xludf.DUMMYFUNCTION("""COMPUTED_VALUE"""),"Inmobiliario")</f>
        <v>Inmobiliario</v>
      </c>
    </row>
    <row r="24">
      <c r="A24" s="9" t="str">
        <f>IFERROR(__xludf.DUMMYFUNCTION("""COMPUTED_VALUE"""),"Ardyce Abad")</f>
        <v>Ardyce Abad</v>
      </c>
      <c r="B24" s="9" t="str">
        <f>IFERROR(__xludf.DUMMYFUNCTION("""COMPUTED_VALUE"""),"aabad7w@nbcnews.com")</f>
        <v>aabad7w@nbcnews.com</v>
      </c>
      <c r="C24" s="9" t="str">
        <f>IFERROR(__xludf.DUMMYFUNCTION("""COMPUTED_VALUE"""),"Tecnología")</f>
        <v>Tecnología</v>
      </c>
    </row>
    <row r="25">
      <c r="A25" s="9" t="str">
        <f>IFERROR(__xludf.DUMMYFUNCTION("""COMPUTED_VALUE"""),"Hadley Fearnley")</f>
        <v>Hadley Fearnley</v>
      </c>
      <c r="B25" s="9" t="str">
        <f>IFERROR(__xludf.DUMMYFUNCTION("""COMPUTED_VALUE"""),"hfearnley84@admin.ch")</f>
        <v>hfearnley84@admin.ch</v>
      </c>
      <c r="C25" s="9" t="str">
        <f>IFERROR(__xludf.DUMMYFUNCTION("""COMPUTED_VALUE"""),"Tecnología")</f>
        <v>Tecnología</v>
      </c>
    </row>
    <row r="26">
      <c r="A26" s="9" t="str">
        <f>IFERROR(__xludf.DUMMYFUNCTION("""COMPUTED_VALUE"""),"Tory Oxlee")</f>
        <v>Tory Oxlee</v>
      </c>
      <c r="B26" s="9" t="str">
        <f>IFERROR(__xludf.DUMMYFUNCTION("""COMPUTED_VALUE"""),"toxlee8c@smugmug.com")</f>
        <v>toxlee8c@smugmug.com</v>
      </c>
      <c r="C26" s="9" t="str">
        <f>IFERROR(__xludf.DUMMYFUNCTION("""COMPUTED_VALUE"""),"Construcción")</f>
        <v>Construcción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38"/>
  </cols>
  <sheetData>
    <row r="1">
      <c r="A1" s="11" t="s">
        <v>680</v>
      </c>
      <c r="B1" s="12" t="s">
        <v>681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3"/>
      <c r="S1" s="13"/>
      <c r="T1" s="13"/>
      <c r="U1" s="13"/>
      <c r="V1" s="13"/>
      <c r="W1" s="13"/>
      <c r="X1" s="13"/>
      <c r="Y1" s="13"/>
      <c r="Z1" s="13"/>
    </row>
    <row r="2">
      <c r="A2" s="9" t="str">
        <f>IFERROR(__xludf.DUMMYFUNCTION("UNIQUE(pais)"),"Perú")</f>
        <v>Perú</v>
      </c>
      <c r="B2" s="10" t="s">
        <v>682</v>
      </c>
      <c r="C2" s="10" t="s">
        <v>36</v>
      </c>
      <c r="D2" s="9">
        <f>IFERROR(__xludf.DUMMYFUNCTION("FILTER(todos,pais=C2)"),4.0)</f>
        <v>4</v>
      </c>
      <c r="E2" s="9" t="str">
        <f>IFERROR(__xludf.DUMMYFUNCTION("""COMPUTED_VALUE"""),"Darnall Benedidick")</f>
        <v>Darnall Benedidick</v>
      </c>
      <c r="F2" s="9" t="str">
        <f>IFERROR(__xludf.DUMMYFUNCTION("""COMPUTED_VALUE"""),"dbenedidick3@deviantart.com")</f>
        <v>dbenedidick3@deviantart.com</v>
      </c>
      <c r="G2" s="9" t="str">
        <f>IFERROR(__xludf.DUMMYFUNCTION("""COMPUTED_VALUE"""),"Argentina")</f>
        <v>Argentina</v>
      </c>
      <c r="H2" s="9" t="str">
        <f>IFERROR(__xludf.DUMMYFUNCTION("""COMPUTED_VALUE"""),"Tecnología")</f>
        <v>Tecnología</v>
      </c>
      <c r="I2" s="9" t="str">
        <f>IFERROR(__xludf.DUMMYFUNCTION("""COMPUTED_VALUE"""),"Inversión")</f>
        <v>Inversión</v>
      </c>
      <c r="J2" s="9" t="str">
        <f>IFERROR(__xludf.DUMMYFUNCTION("""COMPUTED_VALUE"""),"Socio de proyecto")</f>
        <v>Socio de proyecto</v>
      </c>
      <c r="K2" s="9" t="str">
        <f>IFERROR(__xludf.DUMMYFUNCTION("""COMPUTED_VALUE"""),"NO")</f>
        <v>NO</v>
      </c>
      <c r="L2" s="9">
        <f>IFERROR(__xludf.DUMMYFUNCTION("""COMPUTED_VALUE"""),4.0)</f>
        <v>4</v>
      </c>
      <c r="M2" s="9">
        <f>IFERROR(__xludf.DUMMYFUNCTION("""COMPUTED_VALUE"""),8.0)</f>
        <v>8</v>
      </c>
      <c r="N2" s="14">
        <f>IFERROR(__xludf.DUMMYFUNCTION("""COMPUTED_VALUE"""),1.0E7)</f>
        <v>10000000</v>
      </c>
      <c r="O2" s="14">
        <f>IFERROR(__xludf.DUMMYFUNCTION("""COMPUTED_VALUE"""),7.830888E7)</f>
        <v>78308880</v>
      </c>
      <c r="P2" s="14">
        <f>IFERROR(__xludf.DUMMYFUNCTION("""COMPUTED_VALUE"""),3248026.0)</f>
        <v>3248026</v>
      </c>
      <c r="Q2" s="14">
        <f>IFERROR(__xludf.DUMMYFUNCTION("""COMPUTED_VALUE"""),2.714327E7)</f>
        <v>27143270</v>
      </c>
    </row>
    <row r="3">
      <c r="A3" s="9" t="str">
        <f>IFERROR(__xludf.DUMMYFUNCTION("""COMPUTED_VALUE"""),"Paraguay")</f>
        <v>Paraguay</v>
      </c>
      <c r="D3" s="9">
        <f>IFERROR(__xludf.DUMMYFUNCTION("""COMPUTED_VALUE"""),15.0)</f>
        <v>15</v>
      </c>
      <c r="E3" s="9" t="str">
        <f>IFERROR(__xludf.DUMMYFUNCTION("""COMPUTED_VALUE"""),"Collin Perigeaux")</f>
        <v>Collin Perigeaux</v>
      </c>
      <c r="F3" s="9" t="str">
        <f>IFERROR(__xludf.DUMMYFUNCTION("""COMPUTED_VALUE"""),"cperigeauxe@usgs.gov")</f>
        <v>cperigeauxe@usgs.gov</v>
      </c>
      <c r="G3" s="9" t="str">
        <f>IFERROR(__xludf.DUMMYFUNCTION("""COMPUTED_VALUE"""),"Argentina")</f>
        <v>Argentina</v>
      </c>
      <c r="H3" s="9" t="str">
        <f>IFERROR(__xludf.DUMMYFUNCTION("""COMPUTED_VALUE"""),"Inmobiliario")</f>
        <v>Inmobiliario</v>
      </c>
      <c r="I3" s="9" t="str">
        <f>IFERROR(__xludf.DUMMYFUNCTION("""COMPUTED_VALUE"""),"Inversión")</f>
        <v>Inversión</v>
      </c>
      <c r="J3" s="9" t="str">
        <f>IFERROR(__xludf.DUMMYFUNCTION("""COMPUTED_VALUE"""),"Socio capitalista")</f>
        <v>Socio capitalista</v>
      </c>
      <c r="K3" s="9" t="str">
        <f>IFERROR(__xludf.DUMMYFUNCTION("""COMPUTED_VALUE"""),"NO")</f>
        <v>NO</v>
      </c>
      <c r="L3" s="9">
        <f>IFERROR(__xludf.DUMMYFUNCTION("""COMPUTED_VALUE"""),9.0)</f>
        <v>9</v>
      </c>
      <c r="M3" s="9">
        <f>IFERROR(__xludf.DUMMYFUNCTION("""COMPUTED_VALUE"""),10.0)</f>
        <v>10</v>
      </c>
      <c r="N3" s="14">
        <f>IFERROR(__xludf.DUMMYFUNCTION("""COMPUTED_VALUE"""),2.0E7)</f>
        <v>20000000</v>
      </c>
      <c r="O3" s="14">
        <f>IFERROR(__xludf.DUMMYFUNCTION("""COMPUTED_VALUE"""),3.2346156E7)</f>
        <v>32346156</v>
      </c>
      <c r="P3" s="14">
        <f>IFERROR(__xludf.DUMMYFUNCTION("""COMPUTED_VALUE"""),2.2346275E7)</f>
        <v>22346275</v>
      </c>
      <c r="Q3" s="14">
        <f>IFERROR(__xludf.DUMMYFUNCTION("""COMPUTED_VALUE"""),7.3743047E7)</f>
        <v>73743047</v>
      </c>
    </row>
    <row r="4">
      <c r="A4" s="9" t="str">
        <f>IFERROR(__xludf.DUMMYFUNCTION("""COMPUTED_VALUE"""),"Colombia")</f>
        <v>Colombia</v>
      </c>
      <c r="D4" s="9">
        <f>IFERROR(__xludf.DUMMYFUNCTION("""COMPUTED_VALUE"""),38.0)</f>
        <v>38</v>
      </c>
      <c r="E4" s="9" t="str">
        <f>IFERROR(__xludf.DUMMYFUNCTION("""COMPUTED_VALUE"""),"Hattie Haistwell")</f>
        <v>Hattie Haistwell</v>
      </c>
      <c r="F4" s="9" t="str">
        <f>IFERROR(__xludf.DUMMYFUNCTION("""COMPUTED_VALUE"""),"hhaistwell11@i2i.jp")</f>
        <v>hhaistwell11@i2i.jp</v>
      </c>
      <c r="G4" s="9" t="str">
        <f>IFERROR(__xludf.DUMMYFUNCTION("""COMPUTED_VALUE"""),"Argentina")</f>
        <v>Argentina</v>
      </c>
      <c r="H4" s="9" t="str">
        <f>IFERROR(__xludf.DUMMYFUNCTION("""COMPUTED_VALUE"""),"Construcción")</f>
        <v>Construcción</v>
      </c>
      <c r="I4" s="9" t="str">
        <f>IFERROR(__xludf.DUMMYFUNCTION("""COMPUTED_VALUE"""),"Inversión")</f>
        <v>Inversión</v>
      </c>
      <c r="J4" s="9" t="str">
        <f>IFERROR(__xludf.DUMMYFUNCTION("""COMPUTED_VALUE"""),"Socio de proyecto")</f>
        <v>Socio de proyecto</v>
      </c>
      <c r="K4" s="9" t="str">
        <f>IFERROR(__xludf.DUMMYFUNCTION("""COMPUTED_VALUE"""),"NO")</f>
        <v>NO</v>
      </c>
      <c r="L4" s="9">
        <f>IFERROR(__xludf.DUMMYFUNCTION("""COMPUTED_VALUE"""),4.0)</f>
        <v>4</v>
      </c>
      <c r="M4" s="9">
        <f>IFERROR(__xludf.DUMMYFUNCTION("""COMPUTED_VALUE"""),7.0)</f>
        <v>7</v>
      </c>
      <c r="N4" s="14">
        <f>IFERROR(__xludf.DUMMYFUNCTION("""COMPUTED_VALUE"""),1000000.0)</f>
        <v>1000000</v>
      </c>
      <c r="O4" s="14">
        <f>IFERROR(__xludf.DUMMYFUNCTION("""COMPUTED_VALUE"""),8.7347043E7)</f>
        <v>87347043</v>
      </c>
      <c r="P4" s="14">
        <f>IFERROR(__xludf.DUMMYFUNCTION("""COMPUTED_VALUE"""),5.0796112E7)</f>
        <v>50796112</v>
      </c>
      <c r="Q4" s="14">
        <f>IFERROR(__xludf.DUMMYFUNCTION("""COMPUTED_VALUE"""),7.275783E7)</f>
        <v>72757830</v>
      </c>
    </row>
    <row r="5">
      <c r="A5" s="9" t="str">
        <f>IFERROR(__xludf.DUMMYFUNCTION("""COMPUTED_VALUE"""),"Argentina")</f>
        <v>Argentina</v>
      </c>
      <c r="D5" s="9">
        <f>IFERROR(__xludf.DUMMYFUNCTION("""COMPUTED_VALUE"""),44.0)</f>
        <v>44</v>
      </c>
      <c r="E5" s="9" t="str">
        <f>IFERROR(__xludf.DUMMYFUNCTION("""COMPUTED_VALUE"""),"Janenna Pook")</f>
        <v>Janenna Pook</v>
      </c>
      <c r="F5" s="9" t="str">
        <f>IFERROR(__xludf.DUMMYFUNCTION("""COMPUTED_VALUE"""),"jpook17@weebly.com")</f>
        <v>jpook17@weebly.com</v>
      </c>
      <c r="G5" s="9" t="str">
        <f>IFERROR(__xludf.DUMMYFUNCTION("""COMPUTED_VALUE"""),"Argentina")</f>
        <v>Argentina</v>
      </c>
      <c r="H5" s="9" t="str">
        <f>IFERROR(__xludf.DUMMYFUNCTION("""COMPUTED_VALUE"""),"Tecnología")</f>
        <v>Tecnología</v>
      </c>
      <c r="I5" s="9" t="str">
        <f>IFERROR(__xludf.DUMMYFUNCTION("""COMPUTED_VALUE"""),"Inversión")</f>
        <v>Inversión</v>
      </c>
      <c r="J5" s="9" t="str">
        <f>IFERROR(__xludf.DUMMYFUNCTION("""COMPUTED_VALUE"""),"Socio de proyecto")</f>
        <v>Socio de proyecto</v>
      </c>
      <c r="K5" s="9" t="str">
        <f>IFERROR(__xludf.DUMMYFUNCTION("""COMPUTED_VALUE"""),"SI")</f>
        <v>SI</v>
      </c>
      <c r="L5" s="9">
        <f>IFERROR(__xludf.DUMMYFUNCTION("""COMPUTED_VALUE"""),7.0)</f>
        <v>7</v>
      </c>
      <c r="M5" s="9">
        <f>IFERROR(__xludf.DUMMYFUNCTION("""COMPUTED_VALUE"""),5.0)</f>
        <v>5</v>
      </c>
      <c r="N5" s="14">
        <f>IFERROR(__xludf.DUMMYFUNCTION("""COMPUTED_VALUE"""),1.0E7)</f>
        <v>10000000</v>
      </c>
      <c r="O5" s="14">
        <f>IFERROR(__xludf.DUMMYFUNCTION("""COMPUTED_VALUE"""),9.6199053E7)</f>
        <v>96199053</v>
      </c>
      <c r="P5" s="14">
        <f>IFERROR(__xludf.DUMMYFUNCTION("""COMPUTED_VALUE"""),3.1746355E7)</f>
        <v>31746355</v>
      </c>
      <c r="Q5" s="14">
        <f>IFERROR(__xludf.DUMMYFUNCTION("""COMPUTED_VALUE"""),8.0063468E7)</f>
        <v>80063468</v>
      </c>
    </row>
    <row r="6">
      <c r="A6" s="9" t="str">
        <f>IFERROR(__xludf.DUMMYFUNCTION("""COMPUTED_VALUE"""),"Bolivia")</f>
        <v>Bolivia</v>
      </c>
      <c r="D6" s="9">
        <f>IFERROR(__xludf.DUMMYFUNCTION("""COMPUTED_VALUE"""),56.0)</f>
        <v>56</v>
      </c>
      <c r="E6" s="9" t="str">
        <f>IFERROR(__xludf.DUMMYFUNCTION("""COMPUTED_VALUE"""),"Augustine Sloss")</f>
        <v>Augustine Sloss</v>
      </c>
      <c r="F6" s="9" t="str">
        <f>IFERROR(__xludf.DUMMYFUNCTION("""COMPUTED_VALUE"""),"asloss1j@virginia.edu")</f>
        <v>asloss1j@virginia.edu</v>
      </c>
      <c r="G6" s="9" t="str">
        <f>IFERROR(__xludf.DUMMYFUNCTION("""COMPUTED_VALUE"""),"Argentina")</f>
        <v>Argentina</v>
      </c>
      <c r="H6" s="9" t="str">
        <f>IFERROR(__xludf.DUMMYFUNCTION("""COMPUTED_VALUE"""),"Inmobiliario")</f>
        <v>Inmobiliario</v>
      </c>
      <c r="I6" s="9" t="str">
        <f>IFERROR(__xludf.DUMMYFUNCTION("""COMPUTED_VALUE"""),"Inversión")</f>
        <v>Inversión</v>
      </c>
      <c r="J6" s="9" t="str">
        <f>IFERROR(__xludf.DUMMYFUNCTION("""COMPUTED_VALUE"""),"Socio de proyecto")</f>
        <v>Socio de proyecto</v>
      </c>
      <c r="K6" s="9" t="str">
        <f>IFERROR(__xludf.DUMMYFUNCTION("""COMPUTED_VALUE"""),"NO")</f>
        <v>NO</v>
      </c>
      <c r="L6" s="9">
        <f>IFERROR(__xludf.DUMMYFUNCTION("""COMPUTED_VALUE"""),3.0)</f>
        <v>3</v>
      </c>
      <c r="M6" s="9">
        <f>IFERROR(__xludf.DUMMYFUNCTION("""COMPUTED_VALUE"""),6.0)</f>
        <v>6</v>
      </c>
      <c r="N6" s="14">
        <f>IFERROR(__xludf.DUMMYFUNCTION("""COMPUTED_VALUE"""),1000000.0)</f>
        <v>1000000</v>
      </c>
      <c r="O6" s="14">
        <f>IFERROR(__xludf.DUMMYFUNCTION("""COMPUTED_VALUE"""),3.4126405E7)</f>
        <v>34126405</v>
      </c>
      <c r="P6" s="14">
        <f>IFERROR(__xludf.DUMMYFUNCTION("""COMPUTED_VALUE"""),8.8265167E7)</f>
        <v>88265167</v>
      </c>
      <c r="Q6" s="14">
        <f>IFERROR(__xludf.DUMMYFUNCTION("""COMPUTED_VALUE"""),5.6002928E7)</f>
        <v>56002928</v>
      </c>
    </row>
    <row r="7">
      <c r="A7" s="9" t="str">
        <f>IFERROR(__xludf.DUMMYFUNCTION("""COMPUTED_VALUE"""),"Ecuador")</f>
        <v>Ecuador</v>
      </c>
      <c r="D7" s="9">
        <f>IFERROR(__xludf.DUMMYFUNCTION("""COMPUTED_VALUE"""),62.0)</f>
        <v>62</v>
      </c>
      <c r="E7" s="9" t="str">
        <f>IFERROR(__xludf.DUMMYFUNCTION("""COMPUTED_VALUE"""),"Bernardo Lamond")</f>
        <v>Bernardo Lamond</v>
      </c>
      <c r="F7" s="9" t="str">
        <f>IFERROR(__xludf.DUMMYFUNCTION("""COMPUTED_VALUE"""),"blamond1p@icio.us")</f>
        <v>blamond1p@icio.us</v>
      </c>
      <c r="G7" s="9" t="str">
        <f>IFERROR(__xludf.DUMMYFUNCTION("""COMPUTED_VALUE"""),"Argentina")</f>
        <v>Argentina</v>
      </c>
      <c r="H7" s="9" t="str">
        <f>IFERROR(__xludf.DUMMYFUNCTION("""COMPUTED_VALUE"""),"Tecnología")</f>
        <v>Tecnología</v>
      </c>
      <c r="I7" s="9" t="str">
        <f>IFERROR(__xludf.DUMMYFUNCTION("""COMPUTED_VALUE"""),"Inversión")</f>
        <v>Inversión</v>
      </c>
      <c r="J7" s="9" t="str">
        <f>IFERROR(__xludf.DUMMYFUNCTION("""COMPUTED_VALUE"""),"Socio de proyecto")</f>
        <v>Socio de proyecto</v>
      </c>
      <c r="K7" s="9" t="str">
        <f>IFERROR(__xludf.DUMMYFUNCTION("""COMPUTED_VALUE"""),"NO")</f>
        <v>NO</v>
      </c>
      <c r="L7" s="9">
        <f>IFERROR(__xludf.DUMMYFUNCTION("""COMPUTED_VALUE"""),3.0)</f>
        <v>3</v>
      </c>
      <c r="M7" s="9">
        <f>IFERROR(__xludf.DUMMYFUNCTION("""COMPUTED_VALUE"""),10.0)</f>
        <v>10</v>
      </c>
      <c r="N7" s="14">
        <f>IFERROR(__xludf.DUMMYFUNCTION("""COMPUTED_VALUE"""),3.0E7)</f>
        <v>30000000</v>
      </c>
      <c r="O7" s="14">
        <f>IFERROR(__xludf.DUMMYFUNCTION("""COMPUTED_VALUE"""),3.2890743E7)</f>
        <v>32890743</v>
      </c>
      <c r="P7" s="14">
        <f>IFERROR(__xludf.DUMMYFUNCTION("""COMPUTED_VALUE"""),0.0)</f>
        <v>0</v>
      </c>
      <c r="Q7" s="14">
        <f>IFERROR(__xludf.DUMMYFUNCTION("""COMPUTED_VALUE"""),3.986462E7)</f>
        <v>39864620</v>
      </c>
    </row>
    <row r="8">
      <c r="A8" s="9" t="str">
        <f>IFERROR(__xludf.DUMMYFUNCTION("""COMPUTED_VALUE"""),"Uruguay")</f>
        <v>Uruguay</v>
      </c>
      <c r="D8" s="9">
        <f>IFERROR(__xludf.DUMMYFUNCTION("""COMPUTED_VALUE"""),64.0)</f>
        <v>64</v>
      </c>
      <c r="E8" s="9" t="str">
        <f>IFERROR(__xludf.DUMMYFUNCTION("""COMPUTED_VALUE"""),"Man Marchment")</f>
        <v>Man Marchment</v>
      </c>
      <c r="F8" s="9" t="str">
        <f>IFERROR(__xludf.DUMMYFUNCTION("""COMPUTED_VALUE"""),"mmarchment1r@blinklist.com")</f>
        <v>mmarchment1r@blinklist.com</v>
      </c>
      <c r="G8" s="9" t="str">
        <f>IFERROR(__xludf.DUMMYFUNCTION("""COMPUTED_VALUE"""),"Argentina")</f>
        <v>Argentina</v>
      </c>
      <c r="H8" s="9" t="str">
        <f>IFERROR(__xludf.DUMMYFUNCTION("""COMPUTED_VALUE"""),"Inmobiliario")</f>
        <v>Inmobiliario</v>
      </c>
      <c r="I8" s="9" t="str">
        <f>IFERROR(__xludf.DUMMYFUNCTION("""COMPUTED_VALUE"""),"Trabajo")</f>
        <v>Trabajo</v>
      </c>
      <c r="J8" s="9" t="str">
        <f>IFERROR(__xludf.DUMMYFUNCTION("""COMPUTED_VALUE"""),"Ofreciendo trabajo")</f>
        <v>Ofreciendo trabajo</v>
      </c>
      <c r="K8" s="9" t="str">
        <f>IFERROR(__xludf.DUMMYFUNCTION("""COMPUTED_VALUE"""),"NO")</f>
        <v>NO</v>
      </c>
      <c r="L8" s="9">
        <f>IFERROR(__xludf.DUMMYFUNCTION("""COMPUTED_VALUE"""),5.0)</f>
        <v>5</v>
      </c>
      <c r="M8" s="9">
        <f>IFERROR(__xludf.DUMMYFUNCTION("""COMPUTED_VALUE"""),5.0)</f>
        <v>5</v>
      </c>
      <c r="N8" s="14">
        <f>IFERROR(__xludf.DUMMYFUNCTION("""COMPUTED_VALUE"""),0.0)</f>
        <v>0</v>
      </c>
      <c r="O8" s="14">
        <f>IFERROR(__xludf.DUMMYFUNCTION("""COMPUTED_VALUE"""),0.0)</f>
        <v>0</v>
      </c>
      <c r="P8" s="14">
        <f>IFERROR(__xludf.DUMMYFUNCTION("""COMPUTED_VALUE"""),2.4514428E7)</f>
        <v>24514428</v>
      </c>
      <c r="Q8" s="14">
        <f>IFERROR(__xludf.DUMMYFUNCTION("""COMPUTED_VALUE"""),2.7890231E7)</f>
        <v>27890231</v>
      </c>
    </row>
    <row r="9">
      <c r="A9" s="9" t="str">
        <f>IFERROR(__xludf.DUMMYFUNCTION("""COMPUTED_VALUE"""),"Brasil")</f>
        <v>Brasil</v>
      </c>
      <c r="D9" s="9">
        <f>IFERROR(__xludf.DUMMYFUNCTION("""COMPUTED_VALUE"""),83.0)</f>
        <v>83</v>
      </c>
      <c r="E9" s="9" t="str">
        <f>IFERROR(__xludf.DUMMYFUNCTION("""COMPUTED_VALUE"""),"Shari De la Barre")</f>
        <v>Shari De la Barre</v>
      </c>
      <c r="F9" s="9" t="str">
        <f>IFERROR(__xludf.DUMMYFUNCTION("""COMPUTED_VALUE"""),"sde2a@theglobeandmail.com")</f>
        <v>sde2a@theglobeandmail.com</v>
      </c>
      <c r="G9" s="9" t="str">
        <f>IFERROR(__xludf.DUMMYFUNCTION("""COMPUTED_VALUE"""),"Argentina")</f>
        <v>Argentina</v>
      </c>
      <c r="H9" s="9" t="str">
        <f>IFERROR(__xludf.DUMMYFUNCTION("""COMPUTED_VALUE"""),"Tecnología")</f>
        <v>Tecnología</v>
      </c>
      <c r="I9" s="9" t="str">
        <f>IFERROR(__xludf.DUMMYFUNCTION("""COMPUTED_VALUE"""),"Trabajo")</f>
        <v>Trabajo</v>
      </c>
      <c r="J9" s="9" t="str">
        <f>IFERROR(__xludf.DUMMYFUNCTION("""COMPUTED_VALUE"""),"Buscando trabajo")</f>
        <v>Buscando trabajo</v>
      </c>
      <c r="K9" s="9" t="str">
        <f>IFERROR(__xludf.DUMMYFUNCTION("""COMPUTED_VALUE"""),"NO")</f>
        <v>NO</v>
      </c>
      <c r="L9" s="9">
        <f>IFERROR(__xludf.DUMMYFUNCTION("""COMPUTED_VALUE"""),7.0)</f>
        <v>7</v>
      </c>
      <c r="M9" s="9">
        <f>IFERROR(__xludf.DUMMYFUNCTION("""COMPUTED_VALUE"""),10.0)</f>
        <v>10</v>
      </c>
      <c r="N9" s="14">
        <f>IFERROR(__xludf.DUMMYFUNCTION("""COMPUTED_VALUE"""),0.0)</f>
        <v>0</v>
      </c>
      <c r="O9" s="14">
        <f>IFERROR(__xludf.DUMMYFUNCTION("""COMPUTED_VALUE"""),0.0)</f>
        <v>0</v>
      </c>
      <c r="P9" s="14">
        <f>IFERROR(__xludf.DUMMYFUNCTION("""COMPUTED_VALUE"""),1.4141858E7)</f>
        <v>14141858</v>
      </c>
      <c r="Q9" s="14">
        <f>IFERROR(__xludf.DUMMYFUNCTION("""COMPUTED_VALUE"""),8.7162317E7)</f>
        <v>87162317</v>
      </c>
    </row>
    <row r="10">
      <c r="A10" s="9" t="str">
        <f>IFERROR(__xludf.DUMMYFUNCTION("""COMPUTED_VALUE"""),"Venezuela")</f>
        <v>Venezuela</v>
      </c>
      <c r="D10" s="9">
        <f>IFERROR(__xludf.DUMMYFUNCTION("""COMPUTED_VALUE"""),84.0)</f>
        <v>84</v>
      </c>
      <c r="E10" s="9" t="str">
        <f>IFERROR(__xludf.DUMMYFUNCTION("""COMPUTED_VALUE"""),"Shanie Eastup")</f>
        <v>Shanie Eastup</v>
      </c>
      <c r="F10" s="9" t="str">
        <f>IFERROR(__xludf.DUMMYFUNCTION("""COMPUTED_VALUE"""),"seastup2b@addthis.com")</f>
        <v>seastup2b@addthis.com</v>
      </c>
      <c r="G10" s="9" t="str">
        <f>IFERROR(__xludf.DUMMYFUNCTION("""COMPUTED_VALUE"""),"Argentina")</f>
        <v>Argentina</v>
      </c>
      <c r="H10" s="9" t="str">
        <f>IFERROR(__xludf.DUMMYFUNCTION("""COMPUTED_VALUE"""),"Tecnología")</f>
        <v>Tecnología</v>
      </c>
      <c r="I10" s="9" t="str">
        <f>IFERROR(__xludf.DUMMYFUNCTION("""COMPUTED_VALUE"""),"Trabajo")</f>
        <v>Trabajo</v>
      </c>
      <c r="J10" s="9" t="str">
        <f>IFERROR(__xludf.DUMMYFUNCTION("""COMPUTED_VALUE"""),"Buscando trabajo")</f>
        <v>Buscando trabajo</v>
      </c>
      <c r="K10" s="9" t="str">
        <f>IFERROR(__xludf.DUMMYFUNCTION("""COMPUTED_VALUE"""),"NO")</f>
        <v>NO</v>
      </c>
      <c r="L10" s="9">
        <f>IFERROR(__xludf.DUMMYFUNCTION("""COMPUTED_VALUE"""),3.0)</f>
        <v>3</v>
      </c>
      <c r="M10" s="9">
        <f>IFERROR(__xludf.DUMMYFUNCTION("""COMPUTED_VALUE"""),7.0)</f>
        <v>7</v>
      </c>
      <c r="N10" s="14">
        <f>IFERROR(__xludf.DUMMYFUNCTION("""COMPUTED_VALUE"""),0.0)</f>
        <v>0</v>
      </c>
      <c r="O10" s="14">
        <f>IFERROR(__xludf.DUMMYFUNCTION("""COMPUTED_VALUE"""),0.0)</f>
        <v>0</v>
      </c>
      <c r="P10" s="14">
        <f>IFERROR(__xludf.DUMMYFUNCTION("""COMPUTED_VALUE"""),2.9525162E7)</f>
        <v>29525162</v>
      </c>
      <c r="Q10" s="14">
        <f>IFERROR(__xludf.DUMMYFUNCTION("""COMPUTED_VALUE"""),0.0)</f>
        <v>0</v>
      </c>
    </row>
    <row r="11">
      <c r="A11" s="9" t="str">
        <f>IFERROR(__xludf.DUMMYFUNCTION("""COMPUTED_VALUE"""),"Chile")</f>
        <v>Chile</v>
      </c>
      <c r="D11" s="9">
        <f>IFERROR(__xludf.DUMMYFUNCTION("""COMPUTED_VALUE"""),95.0)</f>
        <v>95</v>
      </c>
      <c r="E11" s="9" t="str">
        <f>IFERROR(__xludf.DUMMYFUNCTION("""COMPUTED_VALUE"""),"Thekla Scocroft")</f>
        <v>Thekla Scocroft</v>
      </c>
      <c r="F11" s="9" t="str">
        <f>IFERROR(__xludf.DUMMYFUNCTION("""COMPUTED_VALUE"""),"tscocroft2m@usa.gov")</f>
        <v>tscocroft2m@usa.gov</v>
      </c>
      <c r="G11" s="9" t="str">
        <f>IFERROR(__xludf.DUMMYFUNCTION("""COMPUTED_VALUE"""),"Argentina")</f>
        <v>Argentina</v>
      </c>
      <c r="H11" s="9" t="str">
        <f>IFERROR(__xludf.DUMMYFUNCTION("""COMPUTED_VALUE"""),"Tecnología")</f>
        <v>Tecnología</v>
      </c>
      <c r="I11" s="9" t="str">
        <f>IFERROR(__xludf.DUMMYFUNCTION("""COMPUTED_VALUE"""),"Inversión")</f>
        <v>Inversión</v>
      </c>
      <c r="J11" s="9" t="str">
        <f>IFERROR(__xludf.DUMMYFUNCTION("""COMPUTED_VALUE"""),"Socio de proyecto")</f>
        <v>Socio de proyecto</v>
      </c>
      <c r="K11" s="9" t="str">
        <f>IFERROR(__xludf.DUMMYFUNCTION("""COMPUTED_VALUE"""),"NO")</f>
        <v>NO</v>
      </c>
      <c r="L11" s="9">
        <f>IFERROR(__xludf.DUMMYFUNCTION("""COMPUTED_VALUE"""),7.0)</f>
        <v>7</v>
      </c>
      <c r="M11" s="9">
        <f>IFERROR(__xludf.DUMMYFUNCTION("""COMPUTED_VALUE"""),9.0)</f>
        <v>9</v>
      </c>
      <c r="N11" s="14">
        <f>IFERROR(__xludf.DUMMYFUNCTION("""COMPUTED_VALUE"""),9.0E7)</f>
        <v>90000000</v>
      </c>
      <c r="O11" s="14">
        <f>IFERROR(__xludf.DUMMYFUNCTION("""COMPUTED_VALUE"""),2.9991873E7)</f>
        <v>29991873</v>
      </c>
      <c r="P11" s="14">
        <f>IFERROR(__xludf.DUMMYFUNCTION("""COMPUTED_VALUE"""),3.9252741E7)</f>
        <v>39252741</v>
      </c>
      <c r="Q11" s="14">
        <f>IFERROR(__xludf.DUMMYFUNCTION("""COMPUTED_VALUE"""),1.5542722E7)</f>
        <v>15542722</v>
      </c>
    </row>
    <row r="12">
      <c r="D12" s="9">
        <f>IFERROR(__xludf.DUMMYFUNCTION("""COMPUTED_VALUE"""),96.0)</f>
        <v>96</v>
      </c>
      <c r="E12" s="9" t="str">
        <f>IFERROR(__xludf.DUMMYFUNCTION("""COMPUTED_VALUE"""),"Cody Jouhan")</f>
        <v>Cody Jouhan</v>
      </c>
      <c r="F12" s="9" t="str">
        <f>IFERROR(__xludf.DUMMYFUNCTION("""COMPUTED_VALUE"""),"cjouhan2n@oracle.com")</f>
        <v>cjouhan2n@oracle.com</v>
      </c>
      <c r="G12" s="9" t="str">
        <f>IFERROR(__xludf.DUMMYFUNCTION("""COMPUTED_VALUE"""),"Argentina")</f>
        <v>Argentina</v>
      </c>
      <c r="H12" s="9" t="str">
        <f>IFERROR(__xludf.DUMMYFUNCTION("""COMPUTED_VALUE"""),"Tecnología")</f>
        <v>Tecnología</v>
      </c>
      <c r="I12" s="9" t="str">
        <f>IFERROR(__xludf.DUMMYFUNCTION("""COMPUTED_VALUE"""),"Inversión")</f>
        <v>Inversión</v>
      </c>
      <c r="J12" s="9" t="str">
        <f>IFERROR(__xludf.DUMMYFUNCTION("""COMPUTED_VALUE"""),"Socio de proyecto")</f>
        <v>Socio de proyecto</v>
      </c>
      <c r="K12" s="9" t="str">
        <f>IFERROR(__xludf.DUMMYFUNCTION("""COMPUTED_VALUE"""),"NO")</f>
        <v>NO</v>
      </c>
      <c r="L12" s="9">
        <f>IFERROR(__xludf.DUMMYFUNCTION("""COMPUTED_VALUE"""),6.0)</f>
        <v>6</v>
      </c>
      <c r="M12" s="9">
        <f>IFERROR(__xludf.DUMMYFUNCTION("""COMPUTED_VALUE"""),10.0)</f>
        <v>10</v>
      </c>
      <c r="N12" s="14">
        <f>IFERROR(__xludf.DUMMYFUNCTION("""COMPUTED_VALUE"""),1.0E7)</f>
        <v>10000000</v>
      </c>
      <c r="O12" s="14">
        <f>IFERROR(__xludf.DUMMYFUNCTION("""COMPUTED_VALUE"""),7303129.0)</f>
        <v>7303129</v>
      </c>
      <c r="P12" s="14">
        <f>IFERROR(__xludf.DUMMYFUNCTION("""COMPUTED_VALUE"""),3765621.0)</f>
        <v>3765621</v>
      </c>
      <c r="Q12" s="14">
        <f>IFERROR(__xludf.DUMMYFUNCTION("""COMPUTED_VALUE"""),1.8125151E7)</f>
        <v>18125151</v>
      </c>
    </row>
    <row r="13">
      <c r="D13" s="9">
        <f>IFERROR(__xludf.DUMMYFUNCTION("""COMPUTED_VALUE"""),113.0)</f>
        <v>113</v>
      </c>
      <c r="E13" s="9" t="str">
        <f>IFERROR(__xludf.DUMMYFUNCTION("""COMPUTED_VALUE"""),"Gradey Meadows")</f>
        <v>Gradey Meadows</v>
      </c>
      <c r="F13" s="9" t="str">
        <f>IFERROR(__xludf.DUMMYFUNCTION("""COMPUTED_VALUE"""),"gmeadows34@list-manage.com")</f>
        <v>gmeadows34@list-manage.com</v>
      </c>
      <c r="G13" s="9" t="str">
        <f>IFERROR(__xludf.DUMMYFUNCTION("""COMPUTED_VALUE"""),"Argentina")</f>
        <v>Argentina</v>
      </c>
      <c r="H13" s="9" t="str">
        <f>IFERROR(__xludf.DUMMYFUNCTION("""COMPUTED_VALUE"""),"Tecnología")</f>
        <v>Tecnología</v>
      </c>
      <c r="I13" s="9" t="str">
        <f>IFERROR(__xludf.DUMMYFUNCTION("""COMPUTED_VALUE"""),"Inversión")</f>
        <v>Inversión</v>
      </c>
      <c r="J13" s="9" t="str">
        <f>IFERROR(__xludf.DUMMYFUNCTION("""COMPUTED_VALUE"""),"Socio capitalista")</f>
        <v>Socio capitalista</v>
      </c>
      <c r="K13" s="9" t="str">
        <f>IFERROR(__xludf.DUMMYFUNCTION("""COMPUTED_VALUE"""),"NO")</f>
        <v>NO</v>
      </c>
      <c r="L13" s="9">
        <f>IFERROR(__xludf.DUMMYFUNCTION("""COMPUTED_VALUE"""),8.0)</f>
        <v>8</v>
      </c>
      <c r="M13" s="9">
        <f>IFERROR(__xludf.DUMMYFUNCTION("""COMPUTED_VALUE"""),6.0)</f>
        <v>6</v>
      </c>
      <c r="N13" s="14">
        <f>IFERROR(__xludf.DUMMYFUNCTION("""COMPUTED_VALUE"""),5.0E7)</f>
        <v>50000000</v>
      </c>
      <c r="O13" s="14">
        <f>IFERROR(__xludf.DUMMYFUNCTION("""COMPUTED_VALUE"""),7.0787848E7)</f>
        <v>70787848</v>
      </c>
      <c r="P13" s="14">
        <f>IFERROR(__xludf.DUMMYFUNCTION("""COMPUTED_VALUE"""),3.3368202E7)</f>
        <v>33368202</v>
      </c>
      <c r="Q13" s="14">
        <f>IFERROR(__xludf.DUMMYFUNCTION("""COMPUTED_VALUE"""),4.3277527E7)</f>
        <v>43277527</v>
      </c>
    </row>
    <row r="14">
      <c r="D14" s="9">
        <f>IFERROR(__xludf.DUMMYFUNCTION("""COMPUTED_VALUE"""),125.0)</f>
        <v>125</v>
      </c>
      <c r="E14" s="9" t="str">
        <f>IFERROR(__xludf.DUMMYFUNCTION("""COMPUTED_VALUE"""),"Demetris Bullimore")</f>
        <v>Demetris Bullimore</v>
      </c>
      <c r="F14" s="9" t="str">
        <f>IFERROR(__xludf.DUMMYFUNCTION("""COMPUTED_VALUE"""),"dbullimore3g@techcrunch.com")</f>
        <v>dbullimore3g@techcrunch.com</v>
      </c>
      <c r="G14" s="9" t="str">
        <f>IFERROR(__xludf.DUMMYFUNCTION("""COMPUTED_VALUE"""),"Argentina")</f>
        <v>Argentina</v>
      </c>
      <c r="H14" s="9" t="str">
        <f>IFERROR(__xludf.DUMMYFUNCTION("""COMPUTED_VALUE"""),"Tecnología")</f>
        <v>Tecnología</v>
      </c>
      <c r="I14" s="9" t="str">
        <f>IFERROR(__xludf.DUMMYFUNCTION("""COMPUTED_VALUE"""),"Inversión")</f>
        <v>Inversión</v>
      </c>
      <c r="J14" s="9" t="str">
        <f>IFERROR(__xludf.DUMMYFUNCTION("""COMPUTED_VALUE"""),"Socio de proyecto")</f>
        <v>Socio de proyecto</v>
      </c>
      <c r="K14" s="9" t="str">
        <f>IFERROR(__xludf.DUMMYFUNCTION("""COMPUTED_VALUE"""),"NO")</f>
        <v>NO</v>
      </c>
      <c r="L14" s="9">
        <f>IFERROR(__xludf.DUMMYFUNCTION("""COMPUTED_VALUE"""),8.0)</f>
        <v>8</v>
      </c>
      <c r="M14" s="9">
        <f>IFERROR(__xludf.DUMMYFUNCTION("""COMPUTED_VALUE"""),8.0)</f>
        <v>8</v>
      </c>
      <c r="N14" s="14">
        <f>IFERROR(__xludf.DUMMYFUNCTION("""COMPUTED_VALUE"""),3.0E7)</f>
        <v>30000000</v>
      </c>
      <c r="O14" s="14">
        <f>IFERROR(__xludf.DUMMYFUNCTION("""COMPUTED_VALUE"""),3.2890743E7)</f>
        <v>32890743</v>
      </c>
      <c r="P14" s="14">
        <f>IFERROR(__xludf.DUMMYFUNCTION("""COMPUTED_VALUE"""),0.0)</f>
        <v>0</v>
      </c>
      <c r="Q14" s="14">
        <f>IFERROR(__xludf.DUMMYFUNCTION("""COMPUTED_VALUE"""),3.986462E7)</f>
        <v>39864620</v>
      </c>
    </row>
    <row r="15">
      <c r="D15" s="9">
        <f>IFERROR(__xludf.DUMMYFUNCTION("""COMPUTED_VALUE"""),128.0)</f>
        <v>128</v>
      </c>
      <c r="E15" s="9" t="str">
        <f>IFERROR(__xludf.DUMMYFUNCTION("""COMPUTED_VALUE"""),"Delmor Fancy")</f>
        <v>Delmor Fancy</v>
      </c>
      <c r="F15" s="9" t="str">
        <f>IFERROR(__xludf.DUMMYFUNCTION("""COMPUTED_VALUE"""),"dfancy3j@icq.com")</f>
        <v>dfancy3j@icq.com</v>
      </c>
      <c r="G15" s="9" t="str">
        <f>IFERROR(__xludf.DUMMYFUNCTION("""COMPUTED_VALUE"""),"Argentina")</f>
        <v>Argentina</v>
      </c>
      <c r="H15" s="9" t="str">
        <f>IFERROR(__xludf.DUMMYFUNCTION("""COMPUTED_VALUE"""),"Tecnología")</f>
        <v>Tecnología</v>
      </c>
      <c r="I15" s="9" t="str">
        <f>IFERROR(__xludf.DUMMYFUNCTION("""COMPUTED_VALUE"""),"Inversión")</f>
        <v>Inversión</v>
      </c>
      <c r="J15" s="9" t="str">
        <f>IFERROR(__xludf.DUMMYFUNCTION("""COMPUTED_VALUE"""),"Socio capitalista")</f>
        <v>Socio capitalista</v>
      </c>
      <c r="K15" s="9" t="str">
        <f>IFERROR(__xludf.DUMMYFUNCTION("""COMPUTED_VALUE"""),"SI")</f>
        <v>SI</v>
      </c>
      <c r="L15" s="9">
        <f>IFERROR(__xludf.DUMMYFUNCTION("""COMPUTED_VALUE"""),5.0)</f>
        <v>5</v>
      </c>
      <c r="M15" s="9">
        <f>IFERROR(__xludf.DUMMYFUNCTION("""COMPUTED_VALUE"""),10.0)</f>
        <v>10</v>
      </c>
      <c r="N15" s="14">
        <f>IFERROR(__xludf.DUMMYFUNCTION("""COMPUTED_VALUE"""),1.0E7)</f>
        <v>10000000</v>
      </c>
      <c r="O15" s="14">
        <f>IFERROR(__xludf.DUMMYFUNCTION("""COMPUTED_VALUE"""),3.1953589E7)</f>
        <v>31953589</v>
      </c>
      <c r="P15" s="14">
        <f>IFERROR(__xludf.DUMMYFUNCTION("""COMPUTED_VALUE"""),4.0068224E7)</f>
        <v>40068224</v>
      </c>
      <c r="Q15" s="14">
        <f>IFERROR(__xludf.DUMMYFUNCTION("""COMPUTED_VALUE"""),8.0951038E7)</f>
        <v>80951038</v>
      </c>
    </row>
    <row r="16">
      <c r="D16" s="9">
        <f>IFERROR(__xludf.DUMMYFUNCTION("""COMPUTED_VALUE"""),132.0)</f>
        <v>132</v>
      </c>
      <c r="E16" s="9" t="str">
        <f>IFERROR(__xludf.DUMMYFUNCTION("""COMPUTED_VALUE"""),"Mohammed Frede")</f>
        <v>Mohammed Frede</v>
      </c>
      <c r="F16" s="9" t="str">
        <f>IFERROR(__xludf.DUMMYFUNCTION("""COMPUTED_VALUE"""),"mfrede3n@fastcompany.com")</f>
        <v>mfrede3n@fastcompany.com</v>
      </c>
      <c r="G16" s="9" t="str">
        <f>IFERROR(__xludf.DUMMYFUNCTION("""COMPUTED_VALUE"""),"Argentina")</f>
        <v>Argentina</v>
      </c>
      <c r="H16" s="9" t="str">
        <f>IFERROR(__xludf.DUMMYFUNCTION("""COMPUTED_VALUE"""),"Inmobiliario")</f>
        <v>Inmobiliario</v>
      </c>
      <c r="I16" s="9" t="str">
        <f>IFERROR(__xludf.DUMMYFUNCTION("""COMPUTED_VALUE"""),"Inversión")</f>
        <v>Inversión</v>
      </c>
      <c r="J16" s="9" t="str">
        <f>IFERROR(__xludf.DUMMYFUNCTION("""COMPUTED_VALUE"""),"Socio de proyecto")</f>
        <v>Socio de proyecto</v>
      </c>
      <c r="K16" s="9" t="str">
        <f>IFERROR(__xludf.DUMMYFUNCTION("""COMPUTED_VALUE"""),"SI")</f>
        <v>SI</v>
      </c>
      <c r="L16" s="9">
        <f>IFERROR(__xludf.DUMMYFUNCTION("""COMPUTED_VALUE"""),9.0)</f>
        <v>9</v>
      </c>
      <c r="M16" s="9">
        <f>IFERROR(__xludf.DUMMYFUNCTION("""COMPUTED_VALUE"""),4.0)</f>
        <v>4</v>
      </c>
      <c r="N16" s="14">
        <f>IFERROR(__xludf.DUMMYFUNCTION("""COMPUTED_VALUE"""),5000000.0)</f>
        <v>5000000</v>
      </c>
      <c r="O16" s="14">
        <f>IFERROR(__xludf.DUMMYFUNCTION("""COMPUTED_VALUE"""),7.0270294E7)</f>
        <v>70270294</v>
      </c>
      <c r="P16" s="14">
        <f>IFERROR(__xludf.DUMMYFUNCTION("""COMPUTED_VALUE"""),1.9588762E7)</f>
        <v>19588762</v>
      </c>
      <c r="Q16" s="14">
        <f>IFERROR(__xludf.DUMMYFUNCTION("""COMPUTED_VALUE"""),7.8634577E7)</f>
        <v>78634577</v>
      </c>
    </row>
    <row r="17">
      <c r="D17" s="9">
        <f>IFERROR(__xludf.DUMMYFUNCTION("""COMPUTED_VALUE"""),142.0)</f>
        <v>142</v>
      </c>
      <c r="E17" s="9" t="str">
        <f>IFERROR(__xludf.DUMMYFUNCTION("""COMPUTED_VALUE"""),"Cayla Macoun")</f>
        <v>Cayla Macoun</v>
      </c>
      <c r="F17" s="9" t="str">
        <f>IFERROR(__xludf.DUMMYFUNCTION("""COMPUTED_VALUE"""),"cmacoun3x@dyndns.org")</f>
        <v>cmacoun3x@dyndns.org</v>
      </c>
      <c r="G17" s="9" t="str">
        <f>IFERROR(__xludf.DUMMYFUNCTION("""COMPUTED_VALUE"""),"Argentina")</f>
        <v>Argentina</v>
      </c>
      <c r="H17" s="9" t="str">
        <f>IFERROR(__xludf.DUMMYFUNCTION("""COMPUTED_VALUE"""),"Inmobiliario")</f>
        <v>Inmobiliario</v>
      </c>
      <c r="I17" s="9" t="str">
        <f>IFERROR(__xludf.DUMMYFUNCTION("""COMPUTED_VALUE"""),"Trabajo")</f>
        <v>Trabajo</v>
      </c>
      <c r="J17" s="9" t="str">
        <f>IFERROR(__xludf.DUMMYFUNCTION("""COMPUTED_VALUE"""),"Buscando trabajo")</f>
        <v>Buscando trabajo</v>
      </c>
      <c r="K17" s="9" t="str">
        <f>IFERROR(__xludf.DUMMYFUNCTION("""COMPUTED_VALUE"""),"SI")</f>
        <v>SI</v>
      </c>
      <c r="L17" s="9">
        <f>IFERROR(__xludf.DUMMYFUNCTION("""COMPUTED_VALUE"""),9.0)</f>
        <v>9</v>
      </c>
      <c r="M17" s="9">
        <f>IFERROR(__xludf.DUMMYFUNCTION("""COMPUTED_VALUE"""),9.0)</f>
        <v>9</v>
      </c>
      <c r="N17" s="14">
        <f>IFERROR(__xludf.DUMMYFUNCTION("""COMPUTED_VALUE"""),0.0)</f>
        <v>0</v>
      </c>
      <c r="O17" s="14">
        <f>IFERROR(__xludf.DUMMYFUNCTION("""COMPUTED_VALUE"""),0.0)</f>
        <v>0</v>
      </c>
      <c r="P17" s="14">
        <f>IFERROR(__xludf.DUMMYFUNCTION("""COMPUTED_VALUE"""),4.6914257E7)</f>
        <v>46914257</v>
      </c>
      <c r="Q17" s="14">
        <f>IFERROR(__xludf.DUMMYFUNCTION("""COMPUTED_VALUE"""),4.3734508E7)</f>
        <v>43734508</v>
      </c>
    </row>
    <row r="18">
      <c r="D18" s="9">
        <f>IFERROR(__xludf.DUMMYFUNCTION("""COMPUTED_VALUE"""),165.0)</f>
        <v>165</v>
      </c>
      <c r="E18" s="9" t="str">
        <f>IFERROR(__xludf.DUMMYFUNCTION("""COMPUTED_VALUE"""),"Klemens Merrgen")</f>
        <v>Klemens Merrgen</v>
      </c>
      <c r="F18" s="9" t="str">
        <f>IFERROR(__xludf.DUMMYFUNCTION("""COMPUTED_VALUE"""),"kmerrgen4k@fotki.com")</f>
        <v>kmerrgen4k@fotki.com</v>
      </c>
      <c r="G18" s="9" t="str">
        <f>IFERROR(__xludf.DUMMYFUNCTION("""COMPUTED_VALUE"""),"Argentina")</f>
        <v>Argentina</v>
      </c>
      <c r="H18" s="9" t="str">
        <f>IFERROR(__xludf.DUMMYFUNCTION("""COMPUTED_VALUE"""),"Inmobiliario")</f>
        <v>Inmobiliario</v>
      </c>
      <c r="I18" s="9" t="str">
        <f>IFERROR(__xludf.DUMMYFUNCTION("""COMPUTED_VALUE"""),"Trabajo")</f>
        <v>Trabajo</v>
      </c>
      <c r="J18" s="9" t="str">
        <f>IFERROR(__xludf.DUMMYFUNCTION("""COMPUTED_VALUE"""),"Buscando trabajo")</f>
        <v>Buscando trabajo</v>
      </c>
      <c r="K18" s="9" t="str">
        <f>IFERROR(__xludf.DUMMYFUNCTION("""COMPUTED_VALUE"""),"NO")</f>
        <v>NO</v>
      </c>
      <c r="L18" s="9">
        <f>IFERROR(__xludf.DUMMYFUNCTION("""COMPUTED_VALUE"""),3.0)</f>
        <v>3</v>
      </c>
      <c r="M18" s="9">
        <f>IFERROR(__xludf.DUMMYFUNCTION("""COMPUTED_VALUE"""),10.0)</f>
        <v>10</v>
      </c>
      <c r="N18" s="14">
        <f>IFERROR(__xludf.DUMMYFUNCTION("""COMPUTED_VALUE"""),0.0)</f>
        <v>0</v>
      </c>
      <c r="O18" s="14">
        <f>IFERROR(__xludf.DUMMYFUNCTION("""COMPUTED_VALUE"""),0.0)</f>
        <v>0</v>
      </c>
      <c r="P18" s="14">
        <f>IFERROR(__xludf.DUMMYFUNCTION("""COMPUTED_VALUE"""),3.8721754E7)</f>
        <v>38721754</v>
      </c>
      <c r="Q18" s="14">
        <f>IFERROR(__xludf.DUMMYFUNCTION("""COMPUTED_VALUE"""),7.7230635E7)</f>
        <v>77230635</v>
      </c>
    </row>
    <row r="19">
      <c r="D19" s="9">
        <f>IFERROR(__xludf.DUMMYFUNCTION("""COMPUTED_VALUE"""),170.0)</f>
        <v>170</v>
      </c>
      <c r="E19" s="9" t="str">
        <f>IFERROR(__xludf.DUMMYFUNCTION("""COMPUTED_VALUE"""),"William Parysowna")</f>
        <v>William Parysowna</v>
      </c>
      <c r="F19" s="9" t="str">
        <f>IFERROR(__xludf.DUMMYFUNCTION("""COMPUTED_VALUE"""),"wparysowna4p@purevolume.com")</f>
        <v>wparysowna4p@purevolume.com</v>
      </c>
      <c r="G19" s="9" t="str">
        <f>IFERROR(__xludf.DUMMYFUNCTION("""COMPUTED_VALUE"""),"Argentina")</f>
        <v>Argentina</v>
      </c>
      <c r="H19" s="9" t="str">
        <f>IFERROR(__xludf.DUMMYFUNCTION("""COMPUTED_VALUE"""),"Tecnología")</f>
        <v>Tecnología</v>
      </c>
      <c r="I19" s="9" t="str">
        <f>IFERROR(__xludf.DUMMYFUNCTION("""COMPUTED_VALUE"""),"Inversión")</f>
        <v>Inversión</v>
      </c>
      <c r="J19" s="9" t="str">
        <f>IFERROR(__xludf.DUMMYFUNCTION("""COMPUTED_VALUE"""),"Socio de proyecto")</f>
        <v>Socio de proyecto</v>
      </c>
      <c r="K19" s="9" t="str">
        <f>IFERROR(__xludf.DUMMYFUNCTION("""COMPUTED_VALUE"""),"SI")</f>
        <v>SI</v>
      </c>
      <c r="L19" s="9">
        <f>IFERROR(__xludf.DUMMYFUNCTION("""COMPUTED_VALUE"""),3.0)</f>
        <v>3</v>
      </c>
      <c r="M19" s="9">
        <f>IFERROR(__xludf.DUMMYFUNCTION("""COMPUTED_VALUE"""),5.0)</f>
        <v>5</v>
      </c>
      <c r="N19" s="14">
        <f>IFERROR(__xludf.DUMMYFUNCTION("""COMPUTED_VALUE"""),1.0E7)</f>
        <v>10000000</v>
      </c>
      <c r="O19" s="14">
        <f>IFERROR(__xludf.DUMMYFUNCTION("""COMPUTED_VALUE"""),9.6199053E7)</f>
        <v>96199053</v>
      </c>
      <c r="P19" s="14">
        <f>IFERROR(__xludf.DUMMYFUNCTION("""COMPUTED_VALUE"""),3.1746355E7)</f>
        <v>31746355</v>
      </c>
      <c r="Q19" s="14">
        <f>IFERROR(__xludf.DUMMYFUNCTION("""COMPUTED_VALUE"""),8.0063468E7)</f>
        <v>80063468</v>
      </c>
    </row>
    <row r="20">
      <c r="D20" s="9">
        <f>IFERROR(__xludf.DUMMYFUNCTION("""COMPUTED_VALUE"""),183.0)</f>
        <v>183</v>
      </c>
      <c r="E20" s="9" t="str">
        <f>IFERROR(__xludf.DUMMYFUNCTION("""COMPUTED_VALUE"""),"Brandais Matyukon")</f>
        <v>Brandais Matyukon</v>
      </c>
      <c r="F20" s="9" t="str">
        <f>IFERROR(__xludf.DUMMYFUNCTION("""COMPUTED_VALUE"""),"bmatyukon52@about.me")</f>
        <v>bmatyukon52@about.me</v>
      </c>
      <c r="G20" s="9" t="str">
        <f>IFERROR(__xludf.DUMMYFUNCTION("""COMPUTED_VALUE"""),"Argentina")</f>
        <v>Argentina</v>
      </c>
      <c r="H20" s="9" t="str">
        <f>IFERROR(__xludf.DUMMYFUNCTION("""COMPUTED_VALUE"""),"Tecnología")</f>
        <v>Tecnología</v>
      </c>
      <c r="I20" s="9" t="str">
        <f>IFERROR(__xludf.DUMMYFUNCTION("""COMPUTED_VALUE"""),"Inversión")</f>
        <v>Inversión</v>
      </c>
      <c r="J20" s="9" t="str">
        <f>IFERROR(__xludf.DUMMYFUNCTION("""COMPUTED_VALUE"""),"Socio capitalista")</f>
        <v>Socio capitalista</v>
      </c>
      <c r="K20" s="9" t="str">
        <f>IFERROR(__xludf.DUMMYFUNCTION("""COMPUTED_VALUE"""),"NO")</f>
        <v>NO</v>
      </c>
      <c r="L20" s="9">
        <f>IFERROR(__xludf.DUMMYFUNCTION("""COMPUTED_VALUE"""),5.0)</f>
        <v>5</v>
      </c>
      <c r="M20" s="9">
        <f>IFERROR(__xludf.DUMMYFUNCTION("""COMPUTED_VALUE"""),6.0)</f>
        <v>6</v>
      </c>
      <c r="N20" s="14">
        <f>IFERROR(__xludf.DUMMYFUNCTION("""COMPUTED_VALUE"""),1000000.0)</f>
        <v>1000000</v>
      </c>
      <c r="O20" s="14">
        <f>IFERROR(__xludf.DUMMYFUNCTION("""COMPUTED_VALUE"""),5.3008255E7)</f>
        <v>53008255</v>
      </c>
      <c r="P20" s="14">
        <f>IFERROR(__xludf.DUMMYFUNCTION("""COMPUTED_VALUE"""),4.691791E7)</f>
        <v>46917910</v>
      </c>
      <c r="Q20" s="14">
        <f>IFERROR(__xludf.DUMMYFUNCTION("""COMPUTED_VALUE"""),4.7557281E7)</f>
        <v>47557281</v>
      </c>
    </row>
    <row r="21">
      <c r="D21" s="9">
        <f>IFERROR(__xludf.DUMMYFUNCTION("""COMPUTED_VALUE"""),184.0)</f>
        <v>184</v>
      </c>
      <c r="E21" s="9" t="str">
        <f>IFERROR(__xludf.DUMMYFUNCTION("""COMPUTED_VALUE"""),"Althea Vickors")</f>
        <v>Althea Vickors</v>
      </c>
      <c r="F21" s="9" t="str">
        <f>IFERROR(__xludf.DUMMYFUNCTION("""COMPUTED_VALUE"""),"avickors53@istockphoto.com")</f>
        <v>avickors53@istockphoto.com</v>
      </c>
      <c r="G21" s="9" t="str">
        <f>IFERROR(__xludf.DUMMYFUNCTION("""COMPUTED_VALUE"""),"Argentina")</f>
        <v>Argentina</v>
      </c>
      <c r="H21" s="9" t="str">
        <f>IFERROR(__xludf.DUMMYFUNCTION("""COMPUTED_VALUE"""),"Tecnología")</f>
        <v>Tecnología</v>
      </c>
      <c r="I21" s="9" t="str">
        <f>IFERROR(__xludf.DUMMYFUNCTION("""COMPUTED_VALUE"""),"Trabajo")</f>
        <v>Trabajo</v>
      </c>
      <c r="J21" s="9" t="str">
        <f>IFERROR(__xludf.DUMMYFUNCTION("""COMPUTED_VALUE"""),"Buscando trabajo")</f>
        <v>Buscando trabajo</v>
      </c>
      <c r="K21" s="9" t="str">
        <f>IFERROR(__xludf.DUMMYFUNCTION("""COMPUTED_VALUE"""),"NO")</f>
        <v>NO</v>
      </c>
      <c r="L21" s="9">
        <f>IFERROR(__xludf.DUMMYFUNCTION("""COMPUTED_VALUE"""),6.0)</f>
        <v>6</v>
      </c>
      <c r="M21" s="9">
        <f>IFERROR(__xludf.DUMMYFUNCTION("""COMPUTED_VALUE"""),5.0)</f>
        <v>5</v>
      </c>
      <c r="N21" s="14">
        <f>IFERROR(__xludf.DUMMYFUNCTION("""COMPUTED_VALUE"""),0.0)</f>
        <v>0</v>
      </c>
      <c r="O21" s="14">
        <f>IFERROR(__xludf.DUMMYFUNCTION("""COMPUTED_VALUE"""),0.0)</f>
        <v>0</v>
      </c>
      <c r="P21" s="14">
        <f>IFERROR(__xludf.DUMMYFUNCTION("""COMPUTED_VALUE"""),0.0)</f>
        <v>0</v>
      </c>
      <c r="Q21" s="14">
        <f>IFERROR(__xludf.DUMMYFUNCTION("""COMPUTED_VALUE"""),2.267526E7)</f>
        <v>22675260</v>
      </c>
    </row>
    <row r="22">
      <c r="D22" s="9">
        <f>IFERROR(__xludf.DUMMYFUNCTION("""COMPUTED_VALUE"""),190.0)</f>
        <v>190</v>
      </c>
      <c r="E22" s="9" t="str">
        <f>IFERROR(__xludf.DUMMYFUNCTION("""COMPUTED_VALUE"""),"Deny Orrobin")</f>
        <v>Deny Orrobin</v>
      </c>
      <c r="F22" s="9" t="str">
        <f>IFERROR(__xludf.DUMMYFUNCTION("""COMPUTED_VALUE"""),"dorrobin59@addthis.com")</f>
        <v>dorrobin59@addthis.com</v>
      </c>
      <c r="G22" s="9" t="str">
        <f>IFERROR(__xludf.DUMMYFUNCTION("""COMPUTED_VALUE"""),"Argentina")</f>
        <v>Argentina</v>
      </c>
      <c r="H22" s="9" t="str">
        <f>IFERROR(__xludf.DUMMYFUNCTION("""COMPUTED_VALUE"""),"Inmobiliario")</f>
        <v>Inmobiliario</v>
      </c>
      <c r="I22" s="9" t="str">
        <f>IFERROR(__xludf.DUMMYFUNCTION("""COMPUTED_VALUE"""),"Trabajo")</f>
        <v>Trabajo</v>
      </c>
      <c r="J22" s="9" t="str">
        <f>IFERROR(__xludf.DUMMYFUNCTION("""COMPUTED_VALUE"""),"Ofreciendo trabajo")</f>
        <v>Ofreciendo trabajo</v>
      </c>
      <c r="K22" s="9" t="str">
        <f>IFERROR(__xludf.DUMMYFUNCTION("""COMPUTED_VALUE"""),"NO")</f>
        <v>NO</v>
      </c>
      <c r="L22" s="9">
        <f>IFERROR(__xludf.DUMMYFUNCTION("""COMPUTED_VALUE"""),7.0)</f>
        <v>7</v>
      </c>
      <c r="M22" s="9">
        <f>IFERROR(__xludf.DUMMYFUNCTION("""COMPUTED_VALUE"""),8.0)</f>
        <v>8</v>
      </c>
      <c r="N22" s="14">
        <f>IFERROR(__xludf.DUMMYFUNCTION("""COMPUTED_VALUE"""),0.0)</f>
        <v>0</v>
      </c>
      <c r="O22" s="14">
        <f>IFERROR(__xludf.DUMMYFUNCTION("""COMPUTED_VALUE"""),0.0)</f>
        <v>0</v>
      </c>
      <c r="P22" s="14">
        <f>IFERROR(__xludf.DUMMYFUNCTION("""COMPUTED_VALUE"""),2.4514428E7)</f>
        <v>24514428</v>
      </c>
      <c r="Q22" s="14">
        <f>IFERROR(__xludf.DUMMYFUNCTION("""COMPUTED_VALUE"""),2.7890231E7)</f>
        <v>27890231</v>
      </c>
    </row>
    <row r="23">
      <c r="D23" s="9">
        <f>IFERROR(__xludf.DUMMYFUNCTION("""COMPUTED_VALUE"""),195.0)</f>
        <v>195</v>
      </c>
      <c r="E23" s="9" t="str">
        <f>IFERROR(__xludf.DUMMYFUNCTION("""COMPUTED_VALUE"""),"Marietta O'Hearn")</f>
        <v>Marietta O'Hearn</v>
      </c>
      <c r="F23" s="9" t="str">
        <f>IFERROR(__xludf.DUMMYFUNCTION("""COMPUTED_VALUE"""),"mohearn5e@businesswire.com")</f>
        <v>mohearn5e@businesswire.com</v>
      </c>
      <c r="G23" s="9" t="str">
        <f>IFERROR(__xludf.DUMMYFUNCTION("""COMPUTED_VALUE"""),"Argentina")</f>
        <v>Argentina</v>
      </c>
      <c r="H23" s="9" t="str">
        <f>IFERROR(__xludf.DUMMYFUNCTION("""COMPUTED_VALUE"""),"Inmobiliario")</f>
        <v>Inmobiliario</v>
      </c>
      <c r="I23" s="9" t="str">
        <f>IFERROR(__xludf.DUMMYFUNCTION("""COMPUTED_VALUE"""),"Inversión")</f>
        <v>Inversión</v>
      </c>
      <c r="J23" s="9" t="str">
        <f>IFERROR(__xludf.DUMMYFUNCTION("""COMPUTED_VALUE"""),"Socio de proyecto")</f>
        <v>Socio de proyecto</v>
      </c>
      <c r="K23" s="9" t="str">
        <f>IFERROR(__xludf.DUMMYFUNCTION("""COMPUTED_VALUE"""),"SI")</f>
        <v>SI</v>
      </c>
      <c r="L23" s="9">
        <f>IFERROR(__xludf.DUMMYFUNCTION("""COMPUTED_VALUE"""),8.0)</f>
        <v>8</v>
      </c>
      <c r="M23" s="9">
        <f>IFERROR(__xludf.DUMMYFUNCTION("""COMPUTED_VALUE"""),7.0)</f>
        <v>7</v>
      </c>
      <c r="N23" s="14">
        <f>IFERROR(__xludf.DUMMYFUNCTION("""COMPUTED_VALUE"""),5000000.0)</f>
        <v>5000000</v>
      </c>
      <c r="O23" s="14">
        <f>IFERROR(__xludf.DUMMYFUNCTION("""COMPUTED_VALUE"""),7.0270294E7)</f>
        <v>70270294</v>
      </c>
      <c r="P23" s="14">
        <f>IFERROR(__xludf.DUMMYFUNCTION("""COMPUTED_VALUE"""),1.9588762E7)</f>
        <v>19588762</v>
      </c>
      <c r="Q23" s="14">
        <f>IFERROR(__xludf.DUMMYFUNCTION("""COMPUTED_VALUE"""),7.8634577E7)</f>
        <v>78634577</v>
      </c>
    </row>
    <row r="24">
      <c r="D24" s="9">
        <f>IFERROR(__xludf.DUMMYFUNCTION("""COMPUTED_VALUE"""),205.0)</f>
        <v>205</v>
      </c>
      <c r="E24" s="9" t="str">
        <f>IFERROR(__xludf.DUMMYFUNCTION("""COMPUTED_VALUE"""),"Candy Aitchinson")</f>
        <v>Candy Aitchinson</v>
      </c>
      <c r="F24" s="9" t="str">
        <f>IFERROR(__xludf.DUMMYFUNCTION("""COMPUTED_VALUE"""),"caitchinson5o@prlog.org")</f>
        <v>caitchinson5o@prlog.org</v>
      </c>
      <c r="G24" s="9" t="str">
        <f>IFERROR(__xludf.DUMMYFUNCTION("""COMPUTED_VALUE"""),"Argentina")</f>
        <v>Argentina</v>
      </c>
      <c r="H24" s="9" t="str">
        <f>IFERROR(__xludf.DUMMYFUNCTION("""COMPUTED_VALUE"""),"Inmobiliario")</f>
        <v>Inmobiliario</v>
      </c>
      <c r="I24" s="9" t="str">
        <f>IFERROR(__xludf.DUMMYFUNCTION("""COMPUTED_VALUE"""),"Trabajo")</f>
        <v>Trabajo</v>
      </c>
      <c r="J24" s="9" t="str">
        <f>IFERROR(__xludf.DUMMYFUNCTION("""COMPUTED_VALUE"""),"Buscando trabajo")</f>
        <v>Buscando trabajo</v>
      </c>
      <c r="K24" s="9" t="str">
        <f>IFERROR(__xludf.DUMMYFUNCTION("""COMPUTED_VALUE"""),"SI")</f>
        <v>SI</v>
      </c>
      <c r="L24" s="9">
        <f>IFERROR(__xludf.DUMMYFUNCTION("""COMPUTED_VALUE"""),4.0)</f>
        <v>4</v>
      </c>
      <c r="M24" s="9">
        <f>IFERROR(__xludf.DUMMYFUNCTION("""COMPUTED_VALUE"""),10.0)</f>
        <v>10</v>
      </c>
      <c r="N24" s="14">
        <f>IFERROR(__xludf.DUMMYFUNCTION("""COMPUTED_VALUE"""),0.0)</f>
        <v>0</v>
      </c>
      <c r="O24" s="14">
        <f>IFERROR(__xludf.DUMMYFUNCTION("""COMPUTED_VALUE"""),0.0)</f>
        <v>0</v>
      </c>
      <c r="P24" s="14">
        <f>IFERROR(__xludf.DUMMYFUNCTION("""COMPUTED_VALUE"""),4.6914257E7)</f>
        <v>46914257</v>
      </c>
      <c r="Q24" s="14">
        <f>IFERROR(__xludf.DUMMYFUNCTION("""COMPUTED_VALUE"""),4.3734508E7)</f>
        <v>43734508</v>
      </c>
    </row>
    <row r="25">
      <c r="D25" s="9">
        <f>IFERROR(__xludf.DUMMYFUNCTION("""COMPUTED_VALUE"""),216.0)</f>
        <v>216</v>
      </c>
      <c r="E25" s="9" t="str">
        <f>IFERROR(__xludf.DUMMYFUNCTION("""COMPUTED_VALUE"""),"Merl Ditchett")</f>
        <v>Merl Ditchett</v>
      </c>
      <c r="F25" s="9" t="str">
        <f>IFERROR(__xludf.DUMMYFUNCTION("""COMPUTED_VALUE"""),"mditchett5z@dailymail.co.uk")</f>
        <v>mditchett5z@dailymail.co.uk</v>
      </c>
      <c r="G25" s="9" t="str">
        <f>IFERROR(__xludf.DUMMYFUNCTION("""COMPUTED_VALUE"""),"Argentina")</f>
        <v>Argentina</v>
      </c>
      <c r="H25" s="9" t="str">
        <f>IFERROR(__xludf.DUMMYFUNCTION("""COMPUTED_VALUE"""),"Construcción")</f>
        <v>Construcción</v>
      </c>
      <c r="I25" s="9" t="str">
        <f>IFERROR(__xludf.DUMMYFUNCTION("""COMPUTED_VALUE"""),"Inversión")</f>
        <v>Inversión</v>
      </c>
      <c r="J25" s="9" t="str">
        <f>IFERROR(__xludf.DUMMYFUNCTION("""COMPUTED_VALUE"""),"Socio capitalista")</f>
        <v>Socio capitalista</v>
      </c>
      <c r="K25" s="9" t="str">
        <f>IFERROR(__xludf.DUMMYFUNCTION("""COMPUTED_VALUE"""),"SI")</f>
        <v>SI</v>
      </c>
      <c r="L25" s="9">
        <f>IFERROR(__xludf.DUMMYFUNCTION("""COMPUTED_VALUE"""),6.0)</f>
        <v>6</v>
      </c>
      <c r="M25" s="9">
        <f>IFERROR(__xludf.DUMMYFUNCTION("""COMPUTED_VALUE"""),5.0)</f>
        <v>5</v>
      </c>
      <c r="N25" s="14">
        <f>IFERROR(__xludf.DUMMYFUNCTION("""COMPUTED_VALUE"""),9.0E7)</f>
        <v>90000000</v>
      </c>
      <c r="O25" s="14">
        <f>IFERROR(__xludf.DUMMYFUNCTION("""COMPUTED_VALUE"""),1.3287929E7)</f>
        <v>13287929</v>
      </c>
      <c r="P25" s="14">
        <f>IFERROR(__xludf.DUMMYFUNCTION("""COMPUTED_VALUE"""),2.7090183E7)</f>
        <v>27090183</v>
      </c>
      <c r="Q25" s="14">
        <f>IFERROR(__xludf.DUMMYFUNCTION("""COMPUTED_VALUE"""),7.9518711E7)</f>
        <v>79518711</v>
      </c>
    </row>
    <row r="26">
      <c r="D26" s="9">
        <f>IFERROR(__xludf.DUMMYFUNCTION("""COMPUTED_VALUE"""),253.0)</f>
        <v>253</v>
      </c>
      <c r="E26" s="9" t="str">
        <f>IFERROR(__xludf.DUMMYFUNCTION("""COMPUTED_VALUE"""),"Melicent von Nassau")</f>
        <v>Melicent von Nassau</v>
      </c>
      <c r="F26" s="9" t="str">
        <f>IFERROR(__xludf.DUMMYFUNCTION("""COMPUTED_VALUE"""),"mvon70@ft.com")</f>
        <v>mvon70@ft.com</v>
      </c>
      <c r="G26" s="9" t="str">
        <f>IFERROR(__xludf.DUMMYFUNCTION("""COMPUTED_VALUE"""),"Argentina")</f>
        <v>Argentina</v>
      </c>
      <c r="H26" s="9" t="str">
        <f>IFERROR(__xludf.DUMMYFUNCTION("""COMPUTED_VALUE"""),"Inmobiliario")</f>
        <v>Inmobiliario</v>
      </c>
      <c r="I26" s="9" t="str">
        <f>IFERROR(__xludf.DUMMYFUNCTION("""COMPUTED_VALUE"""),"Trabajo")</f>
        <v>Trabajo</v>
      </c>
      <c r="J26" s="9" t="str">
        <f>IFERROR(__xludf.DUMMYFUNCTION("""COMPUTED_VALUE"""),"Ofreciendo trabajo")</f>
        <v>Ofreciendo trabajo</v>
      </c>
      <c r="K26" s="9" t="str">
        <f>IFERROR(__xludf.DUMMYFUNCTION("""COMPUTED_VALUE"""),"NO")</f>
        <v>NO</v>
      </c>
      <c r="L26" s="9">
        <f>IFERROR(__xludf.DUMMYFUNCTION("""COMPUTED_VALUE"""),3.0)</f>
        <v>3</v>
      </c>
      <c r="M26" s="9">
        <f>IFERROR(__xludf.DUMMYFUNCTION("""COMPUTED_VALUE"""),9.0)</f>
        <v>9</v>
      </c>
      <c r="N26" s="14">
        <f>IFERROR(__xludf.DUMMYFUNCTION("""COMPUTED_VALUE"""),0.0)</f>
        <v>0</v>
      </c>
      <c r="O26" s="14">
        <f>IFERROR(__xludf.DUMMYFUNCTION("""COMPUTED_VALUE"""),0.0)</f>
        <v>0</v>
      </c>
      <c r="P26" s="14">
        <f>IFERROR(__xludf.DUMMYFUNCTION("""COMPUTED_VALUE"""),2.4514428E7)</f>
        <v>24514428</v>
      </c>
      <c r="Q26" s="14">
        <f>IFERROR(__xludf.DUMMYFUNCTION("""COMPUTED_VALUE"""),2.7890231E7)</f>
        <v>27890231</v>
      </c>
    </row>
    <row r="27">
      <c r="D27" s="9">
        <f>IFERROR(__xludf.DUMMYFUNCTION("""COMPUTED_VALUE"""),282.0)</f>
        <v>282</v>
      </c>
      <c r="E27" s="9" t="str">
        <f>IFERROR(__xludf.DUMMYFUNCTION("""COMPUTED_VALUE"""),"Koressa Beevis")</f>
        <v>Koressa Beevis</v>
      </c>
      <c r="F27" s="9" t="str">
        <f>IFERROR(__xludf.DUMMYFUNCTION("""COMPUTED_VALUE"""),"kbeevis7t@chicagotribune.com")</f>
        <v>kbeevis7t@chicagotribune.com</v>
      </c>
      <c r="G27" s="9" t="str">
        <f>IFERROR(__xludf.DUMMYFUNCTION("""COMPUTED_VALUE"""),"Argentina")</f>
        <v>Argentina</v>
      </c>
      <c r="H27" s="9" t="str">
        <f>IFERROR(__xludf.DUMMYFUNCTION("""COMPUTED_VALUE"""),"Tecnología")</f>
        <v>Tecnología</v>
      </c>
      <c r="I27" s="9" t="str">
        <f>IFERROR(__xludf.DUMMYFUNCTION("""COMPUTED_VALUE"""),"Trabajo")</f>
        <v>Trabajo</v>
      </c>
      <c r="J27" s="9" t="str">
        <f>IFERROR(__xludf.DUMMYFUNCTION("""COMPUTED_VALUE"""),"Buscando trabajo")</f>
        <v>Buscando trabajo</v>
      </c>
      <c r="K27" s="9" t="str">
        <f>IFERROR(__xludf.DUMMYFUNCTION("""COMPUTED_VALUE"""),"SI")</f>
        <v>SI</v>
      </c>
      <c r="L27" s="9">
        <f>IFERROR(__xludf.DUMMYFUNCTION("""COMPUTED_VALUE"""),6.0)</f>
        <v>6</v>
      </c>
      <c r="M27" s="9">
        <f>IFERROR(__xludf.DUMMYFUNCTION("""COMPUTED_VALUE"""),6.0)</f>
        <v>6</v>
      </c>
      <c r="N27" s="14">
        <f>IFERROR(__xludf.DUMMYFUNCTION("""COMPUTED_VALUE"""),0.0)</f>
        <v>0</v>
      </c>
      <c r="O27" s="14">
        <f>IFERROR(__xludf.DUMMYFUNCTION("""COMPUTED_VALUE"""),0.0)</f>
        <v>0</v>
      </c>
      <c r="P27" s="14">
        <f>IFERROR(__xludf.DUMMYFUNCTION("""COMPUTED_VALUE"""),2.6450622E7)</f>
        <v>26450622</v>
      </c>
      <c r="Q27" s="14">
        <f>IFERROR(__xludf.DUMMYFUNCTION("""COMPUTED_VALUE"""),4227264.0)</f>
        <v>4227264</v>
      </c>
    </row>
    <row r="28">
      <c r="D28" s="9">
        <f>IFERROR(__xludf.DUMMYFUNCTION("""COMPUTED_VALUE"""),284.0)</f>
        <v>284</v>
      </c>
      <c r="E28" s="9" t="str">
        <f>IFERROR(__xludf.DUMMYFUNCTION("""COMPUTED_VALUE"""),"Othelia Bernocchi")</f>
        <v>Othelia Bernocchi</v>
      </c>
      <c r="F28" s="9" t="str">
        <f>IFERROR(__xludf.DUMMYFUNCTION("""COMPUTED_VALUE"""),"obernocchi7v@1und1.de")</f>
        <v>obernocchi7v@1und1.de</v>
      </c>
      <c r="G28" s="9" t="str">
        <f>IFERROR(__xludf.DUMMYFUNCTION("""COMPUTED_VALUE"""),"Argentina")</f>
        <v>Argentina</v>
      </c>
      <c r="H28" s="9" t="str">
        <f>IFERROR(__xludf.DUMMYFUNCTION("""COMPUTED_VALUE"""),"Tecnología")</f>
        <v>Tecnología</v>
      </c>
      <c r="I28" s="9" t="str">
        <f>IFERROR(__xludf.DUMMYFUNCTION("""COMPUTED_VALUE"""),"Inversión")</f>
        <v>Inversión</v>
      </c>
      <c r="J28" s="9" t="str">
        <f>IFERROR(__xludf.DUMMYFUNCTION("""COMPUTED_VALUE"""),"Socio de proyecto")</f>
        <v>Socio de proyecto</v>
      </c>
      <c r="K28" s="9" t="str">
        <f>IFERROR(__xludf.DUMMYFUNCTION("""COMPUTED_VALUE"""),"NO")</f>
        <v>NO</v>
      </c>
      <c r="L28" s="9">
        <f>IFERROR(__xludf.DUMMYFUNCTION("""COMPUTED_VALUE"""),8.0)</f>
        <v>8</v>
      </c>
      <c r="M28" s="9">
        <f>IFERROR(__xludf.DUMMYFUNCTION("""COMPUTED_VALUE"""),10.0)</f>
        <v>10</v>
      </c>
      <c r="N28" s="14">
        <f>IFERROR(__xludf.DUMMYFUNCTION("""COMPUTED_VALUE"""),9.0E7)</f>
        <v>90000000</v>
      </c>
      <c r="O28" s="14">
        <f>IFERROR(__xludf.DUMMYFUNCTION("""COMPUTED_VALUE"""),2.9991873E7)</f>
        <v>29991873</v>
      </c>
      <c r="P28" s="14">
        <f>IFERROR(__xludf.DUMMYFUNCTION("""COMPUTED_VALUE"""),3.9252741E7)</f>
        <v>39252741</v>
      </c>
      <c r="Q28" s="14">
        <f>IFERROR(__xludf.DUMMYFUNCTION("""COMPUTED_VALUE"""),1.5542722E7)</f>
        <v>15542722</v>
      </c>
    </row>
    <row r="29">
      <c r="D29" s="9">
        <f>IFERROR(__xludf.DUMMYFUNCTION("""COMPUTED_VALUE"""),294.0)</f>
        <v>294</v>
      </c>
      <c r="E29" s="9" t="str">
        <f>IFERROR(__xludf.DUMMYFUNCTION("""COMPUTED_VALUE"""),"Myrwyn Argente")</f>
        <v>Myrwyn Argente</v>
      </c>
      <c r="F29" s="9" t="str">
        <f>IFERROR(__xludf.DUMMYFUNCTION("""COMPUTED_VALUE"""),"margente85@oakley.com")</f>
        <v>margente85@oakley.com</v>
      </c>
      <c r="G29" s="9" t="str">
        <f>IFERROR(__xludf.DUMMYFUNCTION("""COMPUTED_VALUE"""),"Argentina")</f>
        <v>Argentina</v>
      </c>
      <c r="H29" s="9" t="str">
        <f>IFERROR(__xludf.DUMMYFUNCTION("""COMPUTED_VALUE"""),"Tecnología")</f>
        <v>Tecnología</v>
      </c>
      <c r="I29" s="9" t="str">
        <f>IFERROR(__xludf.DUMMYFUNCTION("""COMPUTED_VALUE"""),"Inversión")</f>
        <v>Inversión</v>
      </c>
      <c r="J29" s="9" t="str">
        <f>IFERROR(__xludf.DUMMYFUNCTION("""COMPUTED_VALUE"""),"Socio de proyecto")</f>
        <v>Socio de proyecto</v>
      </c>
      <c r="K29" s="9" t="str">
        <f>IFERROR(__xludf.DUMMYFUNCTION("""COMPUTED_VALUE"""),"SI")</f>
        <v>SI</v>
      </c>
      <c r="L29" s="9">
        <f>IFERROR(__xludf.DUMMYFUNCTION("""COMPUTED_VALUE"""),5.0)</f>
        <v>5</v>
      </c>
      <c r="M29" s="9">
        <f>IFERROR(__xludf.DUMMYFUNCTION("""COMPUTED_VALUE"""),10.0)</f>
        <v>10</v>
      </c>
      <c r="N29" s="14">
        <f>IFERROR(__xludf.DUMMYFUNCTION("""COMPUTED_VALUE"""),1000000.0)</f>
        <v>1000000</v>
      </c>
      <c r="O29" s="14">
        <f>IFERROR(__xludf.DUMMYFUNCTION("""COMPUTED_VALUE"""),8.1347428E7)</f>
        <v>81347428</v>
      </c>
      <c r="P29" s="14">
        <f>IFERROR(__xludf.DUMMYFUNCTION("""COMPUTED_VALUE"""),1.0860215E7)</f>
        <v>10860215</v>
      </c>
      <c r="Q29" s="14">
        <f>IFERROR(__xludf.DUMMYFUNCTION("""COMPUTED_VALUE"""),2.863729E7)</f>
        <v>28637290</v>
      </c>
    </row>
    <row r="30">
      <c r="D30" s="9">
        <f>IFERROR(__xludf.DUMMYFUNCTION("""COMPUTED_VALUE"""),302.0)</f>
        <v>302</v>
      </c>
      <c r="E30" s="9" t="str">
        <f>IFERROR(__xludf.DUMMYFUNCTION("""COMPUTED_VALUE"""),"Bart Arnison")</f>
        <v>Bart Arnison</v>
      </c>
      <c r="F30" s="9" t="str">
        <f>IFERROR(__xludf.DUMMYFUNCTION("""COMPUTED_VALUE"""),"barnison8d@mit.edu")</f>
        <v>barnison8d@mit.edu</v>
      </c>
      <c r="G30" s="9" t="str">
        <f>IFERROR(__xludf.DUMMYFUNCTION("""COMPUTED_VALUE"""),"Argentina")</f>
        <v>Argentina</v>
      </c>
      <c r="H30" s="9" t="str">
        <f>IFERROR(__xludf.DUMMYFUNCTION("""COMPUTED_VALUE"""),"Tecnología")</f>
        <v>Tecnología</v>
      </c>
      <c r="I30" s="9" t="str">
        <f>IFERROR(__xludf.DUMMYFUNCTION("""COMPUTED_VALUE"""),"Inversión")</f>
        <v>Inversión</v>
      </c>
      <c r="J30" s="9" t="str">
        <f>IFERROR(__xludf.DUMMYFUNCTION("""COMPUTED_VALUE"""),"Socio capitalista")</f>
        <v>Socio capitalista</v>
      </c>
      <c r="K30" s="9" t="str">
        <f>IFERROR(__xludf.DUMMYFUNCTION("""COMPUTED_VALUE"""),"NO")</f>
        <v>NO</v>
      </c>
      <c r="L30" s="9">
        <f>IFERROR(__xludf.DUMMYFUNCTION("""COMPUTED_VALUE"""),4.0)</f>
        <v>4</v>
      </c>
      <c r="M30" s="9">
        <f>IFERROR(__xludf.DUMMYFUNCTION("""COMPUTED_VALUE"""),8.0)</f>
        <v>8</v>
      </c>
      <c r="N30" s="14">
        <f>IFERROR(__xludf.DUMMYFUNCTION("""COMPUTED_VALUE"""),5.0E7)</f>
        <v>50000000</v>
      </c>
      <c r="O30" s="14">
        <f>IFERROR(__xludf.DUMMYFUNCTION("""COMPUTED_VALUE"""),7.0787848E7)</f>
        <v>70787848</v>
      </c>
      <c r="P30" s="14">
        <f>IFERROR(__xludf.DUMMYFUNCTION("""COMPUTED_VALUE"""),3.3368202E7)</f>
        <v>33368202</v>
      </c>
      <c r="Q30" s="14">
        <f>IFERROR(__xludf.DUMMYFUNCTION("""COMPUTED_VALUE"""),4.3277527E7)</f>
        <v>43277527</v>
      </c>
    </row>
    <row r="31">
      <c r="D31" s="9">
        <f>IFERROR(__xludf.DUMMYFUNCTION("""COMPUTED_VALUE"""),319.0)</f>
        <v>319</v>
      </c>
      <c r="E31" s="9" t="str">
        <f>IFERROR(__xludf.DUMMYFUNCTION("""COMPUTED_VALUE"""),"Thane Dumphries")</f>
        <v>Thane Dumphries</v>
      </c>
      <c r="F31" s="9" t="str">
        <f>IFERROR(__xludf.DUMMYFUNCTION("""COMPUTED_VALUE"""),"tdumphries8u@irs.gov")</f>
        <v>tdumphries8u@irs.gov</v>
      </c>
      <c r="G31" s="9" t="str">
        <f>IFERROR(__xludf.DUMMYFUNCTION("""COMPUTED_VALUE"""),"Argentina")</f>
        <v>Argentina</v>
      </c>
      <c r="H31" s="9" t="str">
        <f>IFERROR(__xludf.DUMMYFUNCTION("""COMPUTED_VALUE"""),"Agroindustrial")</f>
        <v>Agroindustrial</v>
      </c>
      <c r="I31" s="9" t="str">
        <f>IFERROR(__xludf.DUMMYFUNCTION("""COMPUTED_VALUE"""),"Trabajo")</f>
        <v>Trabajo</v>
      </c>
      <c r="J31" s="9" t="str">
        <f>IFERROR(__xludf.DUMMYFUNCTION("""COMPUTED_VALUE"""),"Buscando trabajo")</f>
        <v>Buscando trabajo</v>
      </c>
      <c r="K31" s="9" t="str">
        <f>IFERROR(__xludf.DUMMYFUNCTION("""COMPUTED_VALUE"""),"NO")</f>
        <v>NO</v>
      </c>
      <c r="L31" s="9">
        <f>IFERROR(__xludf.DUMMYFUNCTION("""COMPUTED_VALUE"""),3.0)</f>
        <v>3</v>
      </c>
      <c r="M31" s="9">
        <f>IFERROR(__xludf.DUMMYFUNCTION("""COMPUTED_VALUE"""),5.0)</f>
        <v>5</v>
      </c>
      <c r="N31" s="14">
        <f>IFERROR(__xludf.DUMMYFUNCTION("""COMPUTED_VALUE"""),0.0)</f>
        <v>0</v>
      </c>
      <c r="O31" s="14">
        <f>IFERROR(__xludf.DUMMYFUNCTION("""COMPUTED_VALUE"""),0.0)</f>
        <v>0</v>
      </c>
      <c r="P31" s="14">
        <f>IFERROR(__xludf.DUMMYFUNCTION("""COMPUTED_VALUE"""),3.4584522E7)</f>
        <v>34584522</v>
      </c>
      <c r="Q31" s="14">
        <f>IFERROR(__xludf.DUMMYFUNCTION("""COMPUTED_VALUE"""),0.0)</f>
        <v>0</v>
      </c>
    </row>
    <row r="32">
      <c r="D32" s="9">
        <f>IFERROR(__xludf.DUMMYFUNCTION("""COMPUTED_VALUE"""),320.0)</f>
        <v>320</v>
      </c>
      <c r="E32" s="9" t="str">
        <f>IFERROR(__xludf.DUMMYFUNCTION("""COMPUTED_VALUE"""),"Lucio Drinkeld")</f>
        <v>Lucio Drinkeld</v>
      </c>
      <c r="F32" s="9" t="str">
        <f>IFERROR(__xludf.DUMMYFUNCTION("""COMPUTED_VALUE"""),"ldrinkeld8v@noaa.gov")</f>
        <v>ldrinkeld8v@noaa.gov</v>
      </c>
      <c r="G32" s="9" t="str">
        <f>IFERROR(__xludf.DUMMYFUNCTION("""COMPUTED_VALUE"""),"Argentina")</f>
        <v>Argentina</v>
      </c>
      <c r="H32" s="9" t="str">
        <f>IFERROR(__xludf.DUMMYFUNCTION("""COMPUTED_VALUE"""),"Tecnología")</f>
        <v>Tecnología</v>
      </c>
      <c r="I32" s="9" t="str">
        <f>IFERROR(__xludf.DUMMYFUNCTION("""COMPUTED_VALUE"""),"Conocimiento")</f>
        <v>Conocimiento</v>
      </c>
      <c r="J32" s="9" t="str">
        <f>IFERROR(__xludf.DUMMYFUNCTION("""COMPUTED_VALUE"""),"Otro tipo")</f>
        <v>Otro tipo</v>
      </c>
      <c r="K32" s="9" t="str">
        <f>IFERROR(__xludf.DUMMYFUNCTION("""COMPUTED_VALUE"""),"NO")</f>
        <v>NO</v>
      </c>
      <c r="L32" s="9">
        <f>IFERROR(__xludf.DUMMYFUNCTION("""COMPUTED_VALUE"""),8.0)</f>
        <v>8</v>
      </c>
      <c r="M32" s="9">
        <f>IFERROR(__xludf.DUMMYFUNCTION("""COMPUTED_VALUE"""),8.0)</f>
        <v>8</v>
      </c>
      <c r="N32" s="14">
        <f>IFERROR(__xludf.DUMMYFUNCTION("""COMPUTED_VALUE"""),0.0)</f>
        <v>0</v>
      </c>
      <c r="O32" s="14">
        <f>IFERROR(__xludf.DUMMYFUNCTION("""COMPUTED_VALUE"""),0.0)</f>
        <v>0</v>
      </c>
      <c r="P32" s="14">
        <f>IFERROR(__xludf.DUMMYFUNCTION("""COMPUTED_VALUE"""),7.6942676E7)</f>
        <v>76942676</v>
      </c>
      <c r="Q32" s="14">
        <f>IFERROR(__xludf.DUMMYFUNCTION("""COMPUTED_VALUE"""),7.4216691E7)</f>
        <v>74216691</v>
      </c>
    </row>
  </sheetData>
  <mergeCells count="1">
    <mergeCell ref="B1:C1"/>
  </mergeCells>
  <dataValidations>
    <dataValidation type="list" allowBlank="1" showErrorMessage="1" sqref="C2">
      <formula1>pais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5"/>
    <col customWidth="1" min="2" max="2" width="3.88"/>
    <col customWidth="1" min="3" max="3" width="15.13"/>
    <col customWidth="1" min="4" max="4" width="25.13"/>
    <col customWidth="1" min="5" max="5" width="3.88"/>
  </cols>
  <sheetData>
    <row r="3">
      <c r="B3" s="15"/>
      <c r="C3" s="16"/>
      <c r="D3" s="16"/>
      <c r="E3" s="17"/>
    </row>
    <row r="4">
      <c r="B4" s="18"/>
      <c r="C4" s="19" t="s">
        <v>4</v>
      </c>
      <c r="D4" s="20" t="s">
        <v>24</v>
      </c>
      <c r="E4" s="21"/>
    </row>
    <row r="5">
      <c r="B5" s="18"/>
      <c r="C5" s="22" t="s">
        <v>683</v>
      </c>
      <c r="D5" s="23" t="s">
        <v>25</v>
      </c>
      <c r="E5" s="21"/>
    </row>
    <row r="6">
      <c r="B6" s="18"/>
      <c r="C6" s="24" t="s">
        <v>684</v>
      </c>
      <c r="D6" s="25" t="s">
        <v>37</v>
      </c>
      <c r="E6" s="21"/>
    </row>
    <row r="7">
      <c r="B7" s="18"/>
      <c r="C7" s="26"/>
      <c r="D7" s="26"/>
      <c r="E7" s="21"/>
    </row>
    <row r="8">
      <c r="B8" s="18"/>
      <c r="C8" s="26"/>
      <c r="D8" s="26"/>
      <c r="E8" s="21"/>
    </row>
    <row r="9">
      <c r="B9" s="18"/>
      <c r="C9" s="27" t="s">
        <v>12</v>
      </c>
      <c r="D9" s="28">
        <f>SUM(Filtrado!M2:M1000)</f>
        <v>1266869920</v>
      </c>
      <c r="E9" s="21"/>
    </row>
    <row r="10">
      <c r="B10" s="18"/>
      <c r="C10" s="29" t="s">
        <v>11</v>
      </c>
      <c r="D10" s="30">
        <f>SUM(Filtrado!L2:L1000)</f>
        <v>3504351558</v>
      </c>
      <c r="E10" s="21"/>
    </row>
    <row r="11">
      <c r="B11" s="31"/>
      <c r="C11" s="32"/>
      <c r="D11" s="32"/>
      <c r="E11" s="33"/>
    </row>
  </sheetData>
  <dataValidations>
    <dataValidation type="list" allowBlank="1" showErrorMessage="1" sqref="D6">
      <formula1>detalle_filtrado</formula1>
    </dataValidation>
    <dataValidation type="list" allowBlank="1" showErrorMessage="1" sqref="D4">
      <formula1>sector</formula1>
    </dataValidation>
    <dataValidation type="list" allowBlank="1" showErrorMessage="1" sqref="D5">
      <formula1>intencion_filtrado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9">
        <f>IFERROR(__xludf.DUMMYFUNCTION("FILTER(todos,sector=Menu!D4)"),2.0)</f>
        <v>2</v>
      </c>
      <c r="B2" s="9" t="str">
        <f>IFERROR(__xludf.DUMMYFUNCTION("""COMPUTED_VALUE"""),"Kermit Wedmore.")</f>
        <v>Kermit Wedmore.</v>
      </c>
      <c r="C2" s="9" t="str">
        <f>IFERROR(__xludf.DUMMYFUNCTION("""COMPUTED_VALUE"""),"kwedmore1@deliciousdays.com")</f>
        <v>kwedmore1@deliciousdays.com</v>
      </c>
      <c r="D2" s="9" t="str">
        <f>IFERROR(__xludf.DUMMYFUNCTION("""COMPUTED_VALUE"""),"Paraguay")</f>
        <v>Paraguay</v>
      </c>
      <c r="E2" s="9" t="str">
        <f>IFERROR(__xludf.DUMMYFUNCTION("""COMPUTED_VALUE"""),"Tecnología")</f>
        <v>Tecnología</v>
      </c>
      <c r="F2" s="9" t="str">
        <f>IFERROR(__xludf.DUMMYFUNCTION("""COMPUTED_VALUE"""),"Inversión")</f>
        <v>Inversión</v>
      </c>
      <c r="G2" s="9" t="str">
        <f>IFERROR(__xludf.DUMMYFUNCTION("""COMPUTED_VALUE"""),"Socio capitalista")</f>
        <v>Socio capitalista</v>
      </c>
      <c r="H2" s="9" t="str">
        <f>IFERROR(__xludf.DUMMYFUNCTION("""COMPUTED_VALUE"""),"SI")</f>
        <v>SI</v>
      </c>
      <c r="I2" s="9">
        <f>IFERROR(__xludf.DUMMYFUNCTION("""COMPUTED_VALUE"""),8.0)</f>
        <v>8</v>
      </c>
      <c r="J2" s="9">
        <f>IFERROR(__xludf.DUMMYFUNCTION("""COMPUTED_VALUE"""),7.0)</f>
        <v>7</v>
      </c>
      <c r="K2" s="14">
        <f>IFERROR(__xludf.DUMMYFUNCTION("""COMPUTED_VALUE"""),1.0E7)</f>
        <v>10000000</v>
      </c>
      <c r="L2" s="14">
        <f>IFERROR(__xludf.DUMMYFUNCTION("""COMPUTED_VALUE"""),4.0848959E7)</f>
        <v>40848959</v>
      </c>
      <c r="M2" s="14">
        <f>IFERROR(__xludf.DUMMYFUNCTION("""COMPUTED_VALUE"""),9.2963332E7)</f>
        <v>92963332</v>
      </c>
      <c r="N2" s="14">
        <f>IFERROR(__xludf.DUMMYFUNCTION("""COMPUTED_VALUE"""),4.7565587E7)</f>
        <v>47565587</v>
      </c>
    </row>
    <row r="3">
      <c r="A3" s="9">
        <f>IFERROR(__xludf.DUMMYFUNCTION("""COMPUTED_VALUE"""),4.0)</f>
        <v>4</v>
      </c>
      <c r="B3" s="9" t="str">
        <f>IFERROR(__xludf.DUMMYFUNCTION("""COMPUTED_VALUE"""),"Darnall Benedidick")</f>
        <v>Darnall Benedidick</v>
      </c>
      <c r="C3" s="9" t="str">
        <f>IFERROR(__xludf.DUMMYFUNCTION("""COMPUTED_VALUE"""),"dbenedidick3@deviantart.com")</f>
        <v>dbenedidick3@deviantart.com</v>
      </c>
      <c r="D3" s="9" t="str">
        <f>IFERROR(__xludf.DUMMYFUNCTION("""COMPUTED_VALUE"""),"Argentina")</f>
        <v>Argentina</v>
      </c>
      <c r="E3" s="9" t="str">
        <f>IFERROR(__xludf.DUMMYFUNCTION("""COMPUTED_VALUE"""),"Tecnología")</f>
        <v>Tecnología</v>
      </c>
      <c r="F3" s="9" t="str">
        <f>IFERROR(__xludf.DUMMYFUNCTION("""COMPUTED_VALUE"""),"Inversión")</f>
        <v>Inversión</v>
      </c>
      <c r="G3" s="9" t="str">
        <f>IFERROR(__xludf.DUMMYFUNCTION("""COMPUTED_VALUE"""),"Socio de proyecto")</f>
        <v>Socio de proyecto</v>
      </c>
      <c r="H3" s="9" t="str">
        <f>IFERROR(__xludf.DUMMYFUNCTION("""COMPUTED_VALUE"""),"NO")</f>
        <v>NO</v>
      </c>
      <c r="I3" s="9">
        <f>IFERROR(__xludf.DUMMYFUNCTION("""COMPUTED_VALUE"""),4.0)</f>
        <v>4</v>
      </c>
      <c r="J3" s="9">
        <f>IFERROR(__xludf.DUMMYFUNCTION("""COMPUTED_VALUE"""),8.0)</f>
        <v>8</v>
      </c>
      <c r="K3" s="14">
        <f>IFERROR(__xludf.DUMMYFUNCTION("""COMPUTED_VALUE"""),1.0E7)</f>
        <v>10000000</v>
      </c>
      <c r="L3" s="14">
        <f>IFERROR(__xludf.DUMMYFUNCTION("""COMPUTED_VALUE"""),7.830888E7)</f>
        <v>78308880</v>
      </c>
      <c r="M3" s="14">
        <f>IFERROR(__xludf.DUMMYFUNCTION("""COMPUTED_VALUE"""),3248026.0)</f>
        <v>3248026</v>
      </c>
      <c r="N3" s="14">
        <f>IFERROR(__xludf.DUMMYFUNCTION("""COMPUTED_VALUE"""),2.714327E7)</f>
        <v>27143270</v>
      </c>
    </row>
    <row r="4">
      <c r="A4" s="9">
        <f>IFERROR(__xludf.DUMMYFUNCTION("""COMPUTED_VALUE"""),6.0)</f>
        <v>6</v>
      </c>
      <c r="B4" s="9" t="str">
        <f>IFERROR(__xludf.DUMMYFUNCTION("""COMPUTED_VALUE"""),"Harcourt Spreckley")</f>
        <v>Harcourt Spreckley</v>
      </c>
      <c r="C4" s="9" t="str">
        <f>IFERROR(__xludf.DUMMYFUNCTION("""COMPUTED_VALUE"""),"hspreckley5@gnu.org")</f>
        <v>hspreckley5@gnu.org</v>
      </c>
      <c r="D4" s="9" t="str">
        <f>IFERROR(__xludf.DUMMYFUNCTION("""COMPUTED_VALUE"""),"Bolivia")</f>
        <v>Bolivia</v>
      </c>
      <c r="E4" s="9" t="str">
        <f>IFERROR(__xludf.DUMMYFUNCTION("""COMPUTED_VALUE"""),"Tecnología")</f>
        <v>Tecnología</v>
      </c>
      <c r="F4" s="9" t="str">
        <f>IFERROR(__xludf.DUMMYFUNCTION("""COMPUTED_VALUE"""),"Inversión")</f>
        <v>Inversión</v>
      </c>
      <c r="G4" s="9" t="str">
        <f>IFERROR(__xludf.DUMMYFUNCTION("""COMPUTED_VALUE"""),"Socio de proyecto")</f>
        <v>Socio de proyecto</v>
      </c>
      <c r="H4" s="9" t="str">
        <f>IFERROR(__xludf.DUMMYFUNCTION("""COMPUTED_VALUE"""),"NO")</f>
        <v>NO</v>
      </c>
      <c r="I4" s="9">
        <f>IFERROR(__xludf.DUMMYFUNCTION("""COMPUTED_VALUE"""),9.0)</f>
        <v>9</v>
      </c>
      <c r="J4" s="9">
        <f>IFERROR(__xludf.DUMMYFUNCTION("""COMPUTED_VALUE"""),7.0)</f>
        <v>7</v>
      </c>
      <c r="K4" s="14">
        <f>IFERROR(__xludf.DUMMYFUNCTION("""COMPUTED_VALUE"""),9.0E7)</f>
        <v>90000000</v>
      </c>
      <c r="L4" s="14">
        <f>IFERROR(__xludf.DUMMYFUNCTION("""COMPUTED_VALUE"""),5.0075523E7)</f>
        <v>50075523</v>
      </c>
      <c r="M4" s="14">
        <f>IFERROR(__xludf.DUMMYFUNCTION("""COMPUTED_VALUE"""),5.9142617E7)</f>
        <v>59142617</v>
      </c>
      <c r="N4" s="14">
        <f>IFERROR(__xludf.DUMMYFUNCTION("""COMPUTED_VALUE"""),9.5314026E7)</f>
        <v>95314026</v>
      </c>
    </row>
    <row r="5">
      <c r="A5" s="9">
        <f>IFERROR(__xludf.DUMMYFUNCTION("""COMPUTED_VALUE"""),7.0)</f>
        <v>7</v>
      </c>
      <c r="B5" s="9" t="str">
        <f>IFERROR(__xludf.DUMMYFUNCTION("""COMPUTED_VALUE"""),"Lilas Succamore")</f>
        <v>Lilas Succamore</v>
      </c>
      <c r="C5" s="9" t="str">
        <f>IFERROR(__xludf.DUMMYFUNCTION("""COMPUTED_VALUE"""),"lsuccamore6@mit.edu")</f>
        <v>lsuccamore6@mit.edu</v>
      </c>
      <c r="D5" s="9" t="str">
        <f>IFERROR(__xludf.DUMMYFUNCTION("""COMPUTED_VALUE"""),"Ecuador")</f>
        <v>Ecuador</v>
      </c>
      <c r="E5" s="9" t="str">
        <f>IFERROR(__xludf.DUMMYFUNCTION("""COMPUTED_VALUE"""),"Tecnología")</f>
        <v>Tecnología</v>
      </c>
      <c r="F5" s="9" t="str">
        <f>IFERROR(__xludf.DUMMYFUNCTION("""COMPUTED_VALUE"""),"Trabajo")</f>
        <v>Trabajo</v>
      </c>
      <c r="G5" s="9" t="str">
        <f>IFERROR(__xludf.DUMMYFUNCTION("""COMPUTED_VALUE"""),"Ofreciendo trabajo")</f>
        <v>Ofreciendo trabajo</v>
      </c>
      <c r="H5" s="9" t="str">
        <f>IFERROR(__xludf.DUMMYFUNCTION("""COMPUTED_VALUE"""),"NO")</f>
        <v>NO</v>
      </c>
      <c r="I5" s="9">
        <f>IFERROR(__xludf.DUMMYFUNCTION("""COMPUTED_VALUE"""),5.0)</f>
        <v>5</v>
      </c>
      <c r="J5" s="9">
        <f>IFERROR(__xludf.DUMMYFUNCTION("""COMPUTED_VALUE"""),9.0)</f>
        <v>9</v>
      </c>
      <c r="K5" s="14">
        <f>IFERROR(__xludf.DUMMYFUNCTION("""COMPUTED_VALUE"""),0.0)</f>
        <v>0</v>
      </c>
      <c r="L5" s="14">
        <f>IFERROR(__xludf.DUMMYFUNCTION("""COMPUTED_VALUE"""),0.0)</f>
        <v>0</v>
      </c>
      <c r="M5" s="14">
        <f>IFERROR(__xludf.DUMMYFUNCTION("""COMPUTED_VALUE"""),0.0)</f>
        <v>0</v>
      </c>
      <c r="N5" s="14">
        <f>IFERROR(__xludf.DUMMYFUNCTION("""COMPUTED_VALUE"""),6.7714973E7)</f>
        <v>67714973</v>
      </c>
    </row>
    <row r="6">
      <c r="A6" s="9">
        <f>IFERROR(__xludf.DUMMYFUNCTION("""COMPUTED_VALUE"""),8.0)</f>
        <v>8</v>
      </c>
      <c r="B6" s="9" t="str">
        <f>IFERROR(__xludf.DUMMYFUNCTION("""COMPUTED_VALUE"""),"Tressa Petrescu")</f>
        <v>Tressa Petrescu</v>
      </c>
      <c r="C6" s="9" t="str">
        <f>IFERROR(__xludf.DUMMYFUNCTION("""COMPUTED_VALUE"""),"tpetrescu7@topsy.com")</f>
        <v>tpetrescu7@topsy.com</v>
      </c>
      <c r="D6" s="9" t="str">
        <f>IFERROR(__xludf.DUMMYFUNCTION("""COMPUTED_VALUE"""),"Bolivia")</f>
        <v>Bolivia</v>
      </c>
      <c r="E6" s="9" t="str">
        <f>IFERROR(__xludf.DUMMYFUNCTION("""COMPUTED_VALUE"""),"Tecnología")</f>
        <v>Tecnología</v>
      </c>
      <c r="F6" s="9" t="str">
        <f>IFERROR(__xludf.DUMMYFUNCTION("""COMPUTED_VALUE"""),"Inversión")</f>
        <v>Inversión</v>
      </c>
      <c r="G6" s="9" t="str">
        <f>IFERROR(__xludf.DUMMYFUNCTION("""COMPUTED_VALUE"""),"Socio capitalista")</f>
        <v>Socio capitalista</v>
      </c>
      <c r="H6" s="9" t="str">
        <f>IFERROR(__xludf.DUMMYFUNCTION("""COMPUTED_VALUE"""),"SI")</f>
        <v>SI</v>
      </c>
      <c r="I6" s="9">
        <f>IFERROR(__xludf.DUMMYFUNCTION("""COMPUTED_VALUE"""),8.0)</f>
        <v>8</v>
      </c>
      <c r="J6" s="9">
        <f>IFERROR(__xludf.DUMMYFUNCTION("""COMPUTED_VALUE"""),10.0)</f>
        <v>10</v>
      </c>
      <c r="K6" s="14">
        <f>IFERROR(__xludf.DUMMYFUNCTION("""COMPUTED_VALUE"""),1000000.0)</f>
        <v>1000000</v>
      </c>
      <c r="L6" s="14">
        <f>IFERROR(__xludf.DUMMYFUNCTION("""COMPUTED_VALUE"""),5305190.0)</f>
        <v>5305190</v>
      </c>
      <c r="M6" s="14">
        <f>IFERROR(__xludf.DUMMYFUNCTION("""COMPUTED_VALUE"""),5.3291805E7)</f>
        <v>53291805</v>
      </c>
      <c r="N6" s="14">
        <f>IFERROR(__xludf.DUMMYFUNCTION("""COMPUTED_VALUE"""),8.4809282E7)</f>
        <v>84809282</v>
      </c>
    </row>
    <row r="7">
      <c r="A7" s="9">
        <f>IFERROR(__xludf.DUMMYFUNCTION("""COMPUTED_VALUE"""),11.0)</f>
        <v>11</v>
      </c>
      <c r="B7" s="9" t="str">
        <f>IFERROR(__xludf.DUMMYFUNCTION("""COMPUTED_VALUE"""),"Maje Blaschke")</f>
        <v>Maje Blaschke</v>
      </c>
      <c r="C7" s="9" t="str">
        <f>IFERROR(__xludf.DUMMYFUNCTION("""COMPUTED_VALUE"""),"mblaschkea@sfgate.com")</f>
        <v>mblaschkea@sfgate.com</v>
      </c>
      <c r="D7" s="9" t="str">
        <f>IFERROR(__xludf.DUMMYFUNCTION("""COMPUTED_VALUE"""),"Perú")</f>
        <v>Perú</v>
      </c>
      <c r="E7" s="9" t="str">
        <f>IFERROR(__xludf.DUMMYFUNCTION("""COMPUTED_VALUE"""),"Tecnología")</f>
        <v>Tecnología</v>
      </c>
      <c r="F7" s="9" t="str">
        <f>IFERROR(__xludf.DUMMYFUNCTION("""COMPUTED_VALUE"""),"Inversión")</f>
        <v>Inversión</v>
      </c>
      <c r="G7" s="9" t="str">
        <f>IFERROR(__xludf.DUMMYFUNCTION("""COMPUTED_VALUE"""),"Socio de proyecto")</f>
        <v>Socio de proyecto</v>
      </c>
      <c r="H7" s="9" t="str">
        <f>IFERROR(__xludf.DUMMYFUNCTION("""COMPUTED_VALUE"""),"NO")</f>
        <v>NO</v>
      </c>
      <c r="I7" s="9">
        <f>IFERROR(__xludf.DUMMYFUNCTION("""COMPUTED_VALUE"""),4.0)</f>
        <v>4</v>
      </c>
      <c r="J7" s="9">
        <f>IFERROR(__xludf.DUMMYFUNCTION("""COMPUTED_VALUE"""),5.0)</f>
        <v>5</v>
      </c>
      <c r="K7" s="14">
        <f>IFERROR(__xludf.DUMMYFUNCTION("""COMPUTED_VALUE"""),1000000.0)</f>
        <v>1000000</v>
      </c>
      <c r="L7" s="14">
        <f>IFERROR(__xludf.DUMMYFUNCTION("""COMPUTED_VALUE"""),2.8926771E7)</f>
        <v>28926771</v>
      </c>
      <c r="M7" s="14">
        <f>IFERROR(__xludf.DUMMYFUNCTION("""COMPUTED_VALUE"""),5.693961E7)</f>
        <v>56939610</v>
      </c>
      <c r="N7" s="14">
        <f>IFERROR(__xludf.DUMMYFUNCTION("""COMPUTED_VALUE"""),9.2726884E7)</f>
        <v>92726884</v>
      </c>
    </row>
    <row r="8">
      <c r="A8" s="9">
        <f>IFERROR(__xludf.DUMMYFUNCTION("""COMPUTED_VALUE"""),12.0)</f>
        <v>12</v>
      </c>
      <c r="B8" s="9" t="str">
        <f>IFERROR(__xludf.DUMMYFUNCTION("""COMPUTED_VALUE"""),"Dicky Marriot")</f>
        <v>Dicky Marriot</v>
      </c>
      <c r="C8" s="9" t="str">
        <f>IFERROR(__xludf.DUMMYFUNCTION("""COMPUTED_VALUE"""),"dmarriotb@pinterest.com")</f>
        <v>dmarriotb@pinterest.com</v>
      </c>
      <c r="D8" s="9" t="str">
        <f>IFERROR(__xludf.DUMMYFUNCTION("""COMPUTED_VALUE"""),"Perú")</f>
        <v>Perú</v>
      </c>
      <c r="E8" s="9" t="str">
        <f>IFERROR(__xludf.DUMMYFUNCTION("""COMPUTED_VALUE"""),"Tecnología")</f>
        <v>Tecnología</v>
      </c>
      <c r="F8" s="9" t="str">
        <f>IFERROR(__xludf.DUMMYFUNCTION("""COMPUTED_VALUE"""),"Inversión")</f>
        <v>Inversión</v>
      </c>
      <c r="G8" s="9" t="str">
        <f>IFERROR(__xludf.DUMMYFUNCTION("""COMPUTED_VALUE"""),"Socio de proyecto")</f>
        <v>Socio de proyecto</v>
      </c>
      <c r="H8" s="9" t="str">
        <f>IFERROR(__xludf.DUMMYFUNCTION("""COMPUTED_VALUE"""),"NO")</f>
        <v>NO</v>
      </c>
      <c r="I8" s="9">
        <f>IFERROR(__xludf.DUMMYFUNCTION("""COMPUTED_VALUE"""),3.0)</f>
        <v>3</v>
      </c>
      <c r="J8" s="9">
        <f>IFERROR(__xludf.DUMMYFUNCTION("""COMPUTED_VALUE"""),8.0)</f>
        <v>8</v>
      </c>
      <c r="K8" s="14">
        <f>IFERROR(__xludf.DUMMYFUNCTION("""COMPUTED_VALUE"""),1000000.0)</f>
        <v>1000000</v>
      </c>
      <c r="L8" s="14">
        <f>IFERROR(__xludf.DUMMYFUNCTION("""COMPUTED_VALUE"""),3.4252074E7)</f>
        <v>34252074</v>
      </c>
      <c r="M8" s="14">
        <f>IFERROR(__xludf.DUMMYFUNCTION("""COMPUTED_VALUE"""),0.0)</f>
        <v>0</v>
      </c>
      <c r="N8" s="14">
        <f>IFERROR(__xludf.DUMMYFUNCTION("""COMPUTED_VALUE"""),2.2994819E7)</f>
        <v>22994819</v>
      </c>
    </row>
    <row r="9">
      <c r="A9" s="9">
        <f>IFERROR(__xludf.DUMMYFUNCTION("""COMPUTED_VALUE"""),14.0)</f>
        <v>14</v>
      </c>
      <c r="B9" s="9" t="str">
        <f>IFERROR(__xludf.DUMMYFUNCTION("""COMPUTED_VALUE"""),"Josey Farens")</f>
        <v>Josey Farens</v>
      </c>
      <c r="C9" s="9" t="str">
        <f>IFERROR(__xludf.DUMMYFUNCTION("""COMPUTED_VALUE"""),"jfarensd@ustream.tv")</f>
        <v>jfarensd@ustream.tv</v>
      </c>
      <c r="D9" s="9" t="str">
        <f>IFERROR(__xludf.DUMMYFUNCTION("""COMPUTED_VALUE"""),"Uruguay")</f>
        <v>Uruguay</v>
      </c>
      <c r="E9" s="9" t="str">
        <f>IFERROR(__xludf.DUMMYFUNCTION("""COMPUTED_VALUE"""),"Tecnología")</f>
        <v>Tecnología</v>
      </c>
      <c r="F9" s="9" t="str">
        <f>IFERROR(__xludf.DUMMYFUNCTION("""COMPUTED_VALUE"""),"Trabajo")</f>
        <v>Trabajo</v>
      </c>
      <c r="G9" s="9" t="str">
        <f>IFERROR(__xludf.DUMMYFUNCTION("""COMPUTED_VALUE"""),"Buscando trabajo")</f>
        <v>Buscando trabajo</v>
      </c>
      <c r="H9" s="9" t="str">
        <f>IFERROR(__xludf.DUMMYFUNCTION("""COMPUTED_VALUE"""),"SI")</f>
        <v>SI</v>
      </c>
      <c r="I9" s="9">
        <f>IFERROR(__xludf.DUMMYFUNCTION("""COMPUTED_VALUE"""),4.0)</f>
        <v>4</v>
      </c>
      <c r="J9" s="9">
        <f>IFERROR(__xludf.DUMMYFUNCTION("""COMPUTED_VALUE"""),8.0)</f>
        <v>8</v>
      </c>
      <c r="K9" s="14">
        <f>IFERROR(__xludf.DUMMYFUNCTION("""COMPUTED_VALUE"""),0.0)</f>
        <v>0</v>
      </c>
      <c r="L9" s="14">
        <f>IFERROR(__xludf.DUMMYFUNCTION("""COMPUTED_VALUE"""),0.0)</f>
        <v>0</v>
      </c>
      <c r="M9" s="14">
        <f>IFERROR(__xludf.DUMMYFUNCTION("""COMPUTED_VALUE"""),7.1453938E7)</f>
        <v>71453938</v>
      </c>
      <c r="N9" s="14">
        <f>IFERROR(__xludf.DUMMYFUNCTION("""COMPUTED_VALUE"""),3.8593802E7)</f>
        <v>38593802</v>
      </c>
    </row>
    <row r="10">
      <c r="A10" s="9">
        <f>IFERROR(__xludf.DUMMYFUNCTION("""COMPUTED_VALUE"""),17.0)</f>
        <v>17</v>
      </c>
      <c r="B10" s="9" t="str">
        <f>IFERROR(__xludf.DUMMYFUNCTION("""COMPUTED_VALUE"""),"Araldo Armfirld")</f>
        <v>Araldo Armfirld</v>
      </c>
      <c r="C10" s="9" t="str">
        <f>IFERROR(__xludf.DUMMYFUNCTION("""COMPUTED_VALUE"""),"aarmfirldg@marketwatch.com")</f>
        <v>aarmfirldg@marketwatch.com</v>
      </c>
      <c r="D10" s="9" t="str">
        <f>IFERROR(__xludf.DUMMYFUNCTION("""COMPUTED_VALUE"""),"Colombia")</f>
        <v>Colombia</v>
      </c>
      <c r="E10" s="9" t="str">
        <f>IFERROR(__xludf.DUMMYFUNCTION("""COMPUTED_VALUE"""),"Tecnología")</f>
        <v>Tecnología</v>
      </c>
      <c r="F10" s="9" t="str">
        <f>IFERROR(__xludf.DUMMYFUNCTION("""COMPUTED_VALUE"""),"Inversión")</f>
        <v>Inversión</v>
      </c>
      <c r="G10" s="9" t="str">
        <f>IFERROR(__xludf.DUMMYFUNCTION("""COMPUTED_VALUE"""),"Socio capitalista")</f>
        <v>Socio capitalista</v>
      </c>
      <c r="H10" s="9" t="str">
        <f>IFERROR(__xludf.DUMMYFUNCTION("""COMPUTED_VALUE"""),"NO")</f>
        <v>NO</v>
      </c>
      <c r="I10" s="9">
        <f>IFERROR(__xludf.DUMMYFUNCTION("""COMPUTED_VALUE"""),5.0)</f>
        <v>5</v>
      </c>
      <c r="J10" s="9">
        <f>IFERROR(__xludf.DUMMYFUNCTION("""COMPUTED_VALUE"""),7.0)</f>
        <v>7</v>
      </c>
      <c r="K10" s="14">
        <f>IFERROR(__xludf.DUMMYFUNCTION("""COMPUTED_VALUE"""),1.0E8)</f>
        <v>100000000</v>
      </c>
      <c r="L10" s="14">
        <f>IFERROR(__xludf.DUMMYFUNCTION("""COMPUTED_VALUE"""),7.2903049E7)</f>
        <v>72903049</v>
      </c>
      <c r="M10" s="14">
        <f>IFERROR(__xludf.DUMMYFUNCTION("""COMPUTED_VALUE"""),6.7375493E7)</f>
        <v>67375493</v>
      </c>
      <c r="N10" s="14">
        <f>IFERROR(__xludf.DUMMYFUNCTION("""COMPUTED_VALUE"""),4753995.0)</f>
        <v>4753995</v>
      </c>
    </row>
    <row r="11">
      <c r="A11" s="9">
        <f>IFERROR(__xludf.DUMMYFUNCTION("""COMPUTED_VALUE"""),20.0)</f>
        <v>20</v>
      </c>
      <c r="B11" s="9" t="str">
        <f>IFERROR(__xludf.DUMMYFUNCTION("""COMPUTED_VALUE"""),"Cassaundra Fitton")</f>
        <v>Cassaundra Fitton</v>
      </c>
      <c r="C11" s="9" t="str">
        <f>IFERROR(__xludf.DUMMYFUNCTION("""COMPUTED_VALUE"""),"cfittonj@plala.or.jp")</f>
        <v>cfittonj@plala.or.jp</v>
      </c>
      <c r="D11" s="9" t="str">
        <f>IFERROR(__xludf.DUMMYFUNCTION("""COMPUTED_VALUE"""),"Colombia")</f>
        <v>Colombia</v>
      </c>
      <c r="E11" s="9" t="str">
        <f>IFERROR(__xludf.DUMMYFUNCTION("""COMPUTED_VALUE"""),"Tecnología")</f>
        <v>Tecnología</v>
      </c>
      <c r="F11" s="9" t="str">
        <f>IFERROR(__xludf.DUMMYFUNCTION("""COMPUTED_VALUE"""),"Inversión")</f>
        <v>Inversión</v>
      </c>
      <c r="G11" s="9" t="str">
        <f>IFERROR(__xludf.DUMMYFUNCTION("""COMPUTED_VALUE"""),"Socio de proyecto")</f>
        <v>Socio de proyecto</v>
      </c>
      <c r="H11" s="9" t="str">
        <f>IFERROR(__xludf.DUMMYFUNCTION("""COMPUTED_VALUE"""),"NO")</f>
        <v>NO</v>
      </c>
      <c r="I11" s="9">
        <f>IFERROR(__xludf.DUMMYFUNCTION("""COMPUTED_VALUE"""),5.0)</f>
        <v>5</v>
      </c>
      <c r="J11" s="9">
        <f>IFERROR(__xludf.DUMMYFUNCTION("""COMPUTED_VALUE"""),6.0)</f>
        <v>6</v>
      </c>
      <c r="K11" s="14">
        <f>IFERROR(__xludf.DUMMYFUNCTION("""COMPUTED_VALUE"""),1000000.0)</f>
        <v>1000000</v>
      </c>
      <c r="L11" s="14">
        <f>IFERROR(__xludf.DUMMYFUNCTION("""COMPUTED_VALUE"""),9.6696256E7)</f>
        <v>96696256</v>
      </c>
      <c r="M11" s="14">
        <f>IFERROR(__xludf.DUMMYFUNCTION("""COMPUTED_VALUE"""),6.2106884E7)</f>
        <v>62106884</v>
      </c>
      <c r="N11" s="14">
        <f>IFERROR(__xludf.DUMMYFUNCTION("""COMPUTED_VALUE"""),8.522819E7)</f>
        <v>85228190</v>
      </c>
    </row>
    <row r="12">
      <c r="A12" s="9">
        <f>IFERROR(__xludf.DUMMYFUNCTION("""COMPUTED_VALUE"""),21.0)</f>
        <v>21</v>
      </c>
      <c r="B12" s="9" t="str">
        <f>IFERROR(__xludf.DUMMYFUNCTION("""COMPUTED_VALUE"""),"Dilan Spuner")</f>
        <v>Dilan Spuner</v>
      </c>
      <c r="C12" s="9" t="str">
        <f>IFERROR(__xludf.DUMMYFUNCTION("""COMPUTED_VALUE"""),"dspunerk@slate.com")</f>
        <v>dspunerk@slate.com</v>
      </c>
      <c r="D12" s="9" t="str">
        <f>IFERROR(__xludf.DUMMYFUNCTION("""COMPUTED_VALUE"""),"Brasil")</f>
        <v>Brasil</v>
      </c>
      <c r="E12" s="9" t="str">
        <f>IFERROR(__xludf.DUMMYFUNCTION("""COMPUTED_VALUE"""),"Tecnología")</f>
        <v>Tecnología</v>
      </c>
      <c r="F12" s="9" t="str">
        <f>IFERROR(__xludf.DUMMYFUNCTION("""COMPUTED_VALUE"""),"Inversión")</f>
        <v>Inversión</v>
      </c>
      <c r="G12" s="9" t="str">
        <f>IFERROR(__xludf.DUMMYFUNCTION("""COMPUTED_VALUE"""),"Socio de proyecto")</f>
        <v>Socio de proyecto</v>
      </c>
      <c r="H12" s="9" t="str">
        <f>IFERROR(__xludf.DUMMYFUNCTION("""COMPUTED_VALUE"""),"NO")</f>
        <v>NO</v>
      </c>
      <c r="I12" s="9">
        <f>IFERROR(__xludf.DUMMYFUNCTION("""COMPUTED_VALUE"""),6.0)</f>
        <v>6</v>
      </c>
      <c r="J12" s="9">
        <f>IFERROR(__xludf.DUMMYFUNCTION("""COMPUTED_VALUE"""),7.0)</f>
        <v>7</v>
      </c>
      <c r="K12" s="14">
        <f>IFERROR(__xludf.DUMMYFUNCTION("""COMPUTED_VALUE"""),1.0E7)</f>
        <v>10000000</v>
      </c>
      <c r="L12" s="14">
        <f>IFERROR(__xludf.DUMMYFUNCTION("""COMPUTED_VALUE"""),5.1531809E7)</f>
        <v>51531809</v>
      </c>
      <c r="M12" s="14">
        <f>IFERROR(__xludf.DUMMYFUNCTION("""COMPUTED_VALUE"""),9.9819688E7)</f>
        <v>99819688</v>
      </c>
      <c r="N12" s="14">
        <f>IFERROR(__xludf.DUMMYFUNCTION("""COMPUTED_VALUE"""),2.4233431E7)</f>
        <v>24233431</v>
      </c>
    </row>
    <row r="13">
      <c r="A13" s="9">
        <f>IFERROR(__xludf.DUMMYFUNCTION("""COMPUTED_VALUE"""),25.0)</f>
        <v>25</v>
      </c>
      <c r="B13" s="9" t="str">
        <f>IFERROR(__xludf.DUMMYFUNCTION("""COMPUTED_VALUE"""),"Colet Misk")</f>
        <v>Colet Misk</v>
      </c>
      <c r="C13" s="9" t="str">
        <f>IFERROR(__xludf.DUMMYFUNCTION("""COMPUTED_VALUE"""),"cmisko@tripadvisor.com")</f>
        <v>cmisko@tripadvisor.com</v>
      </c>
      <c r="D13" s="9" t="str">
        <f>IFERROR(__xludf.DUMMYFUNCTION("""COMPUTED_VALUE"""),"Ecuador")</f>
        <v>Ecuador</v>
      </c>
      <c r="E13" s="9" t="str">
        <f>IFERROR(__xludf.DUMMYFUNCTION("""COMPUTED_VALUE"""),"Tecnología")</f>
        <v>Tecnología</v>
      </c>
      <c r="F13" s="9" t="str">
        <f>IFERROR(__xludf.DUMMYFUNCTION("""COMPUTED_VALUE"""),"Inversión")</f>
        <v>Inversión</v>
      </c>
      <c r="G13" s="9" t="str">
        <f>IFERROR(__xludf.DUMMYFUNCTION("""COMPUTED_VALUE"""),"Socio capitalista")</f>
        <v>Socio capitalista</v>
      </c>
      <c r="H13" s="9" t="str">
        <f>IFERROR(__xludf.DUMMYFUNCTION("""COMPUTED_VALUE"""),"NO")</f>
        <v>NO</v>
      </c>
      <c r="I13" s="9">
        <f>IFERROR(__xludf.DUMMYFUNCTION("""COMPUTED_VALUE"""),9.0)</f>
        <v>9</v>
      </c>
      <c r="J13" s="9">
        <f>IFERROR(__xludf.DUMMYFUNCTION("""COMPUTED_VALUE"""),10.0)</f>
        <v>10</v>
      </c>
      <c r="K13" s="14">
        <f>IFERROR(__xludf.DUMMYFUNCTION("""COMPUTED_VALUE"""),9.0E7)</f>
        <v>90000000</v>
      </c>
      <c r="L13" s="14">
        <f>IFERROR(__xludf.DUMMYFUNCTION("""COMPUTED_VALUE"""),6.208818E7)</f>
        <v>62088180</v>
      </c>
      <c r="M13" s="14">
        <f>IFERROR(__xludf.DUMMYFUNCTION("""COMPUTED_VALUE"""),1.8047519E7)</f>
        <v>18047519</v>
      </c>
      <c r="N13" s="14">
        <f>IFERROR(__xludf.DUMMYFUNCTION("""COMPUTED_VALUE"""),3738158.0)</f>
        <v>3738158</v>
      </c>
    </row>
    <row r="14">
      <c r="A14" s="9">
        <f>IFERROR(__xludf.DUMMYFUNCTION("""COMPUTED_VALUE"""),27.0)</f>
        <v>27</v>
      </c>
      <c r="B14" s="9" t="str">
        <f>IFERROR(__xludf.DUMMYFUNCTION("""COMPUTED_VALUE"""),"Saba Manilove")</f>
        <v>Saba Manilove</v>
      </c>
      <c r="C14" s="9" t="str">
        <f>IFERROR(__xludf.DUMMYFUNCTION("""COMPUTED_VALUE"""),"smaniloveq@bing.com")</f>
        <v>smaniloveq@bing.com</v>
      </c>
      <c r="D14" s="9" t="str">
        <f>IFERROR(__xludf.DUMMYFUNCTION("""COMPUTED_VALUE"""),"Colombia")</f>
        <v>Colombia</v>
      </c>
      <c r="E14" s="9" t="str">
        <f>IFERROR(__xludf.DUMMYFUNCTION("""COMPUTED_VALUE"""),"Tecnología")</f>
        <v>Tecnología</v>
      </c>
      <c r="F14" s="9" t="str">
        <f>IFERROR(__xludf.DUMMYFUNCTION("""COMPUTED_VALUE"""),"Trabajo")</f>
        <v>Trabajo</v>
      </c>
      <c r="G14" s="9" t="str">
        <f>IFERROR(__xludf.DUMMYFUNCTION("""COMPUTED_VALUE"""),"Ofreciendo trabajo")</f>
        <v>Ofreciendo trabajo</v>
      </c>
      <c r="H14" s="9" t="str">
        <f>IFERROR(__xludf.DUMMYFUNCTION("""COMPUTED_VALUE"""),"NO")</f>
        <v>NO</v>
      </c>
      <c r="I14" s="9">
        <f>IFERROR(__xludf.DUMMYFUNCTION("""COMPUTED_VALUE"""),6.0)</f>
        <v>6</v>
      </c>
      <c r="J14" s="9">
        <f>IFERROR(__xludf.DUMMYFUNCTION("""COMPUTED_VALUE"""),2.0)</f>
        <v>2</v>
      </c>
      <c r="K14" s="14">
        <f>IFERROR(__xludf.DUMMYFUNCTION("""COMPUTED_VALUE"""),0.0)</f>
        <v>0</v>
      </c>
      <c r="L14" s="14">
        <f>IFERROR(__xludf.DUMMYFUNCTION("""COMPUTED_VALUE"""),0.0)</f>
        <v>0</v>
      </c>
      <c r="M14" s="14">
        <f>IFERROR(__xludf.DUMMYFUNCTION("""COMPUTED_VALUE"""),2.1224611E7)</f>
        <v>21224611</v>
      </c>
      <c r="N14" s="14">
        <f>IFERROR(__xludf.DUMMYFUNCTION("""COMPUTED_VALUE"""),6.2562457E7)</f>
        <v>62562457</v>
      </c>
    </row>
    <row r="15">
      <c r="A15" s="9">
        <f>IFERROR(__xludf.DUMMYFUNCTION("""COMPUTED_VALUE"""),29.0)</f>
        <v>29</v>
      </c>
      <c r="B15" s="9" t="str">
        <f>IFERROR(__xludf.DUMMYFUNCTION("""COMPUTED_VALUE"""),"Fredrika Djuricic")</f>
        <v>Fredrika Djuricic</v>
      </c>
      <c r="C15" s="9" t="str">
        <f>IFERROR(__xludf.DUMMYFUNCTION("""COMPUTED_VALUE"""),"fdjuricics@360.cn")</f>
        <v>fdjuricics@360.cn</v>
      </c>
      <c r="D15" s="9" t="str">
        <f>IFERROR(__xludf.DUMMYFUNCTION("""COMPUTED_VALUE"""),"Brasil")</f>
        <v>Brasil</v>
      </c>
      <c r="E15" s="9" t="str">
        <f>IFERROR(__xludf.DUMMYFUNCTION("""COMPUTED_VALUE"""),"Tecnología")</f>
        <v>Tecnología</v>
      </c>
      <c r="F15" s="9" t="str">
        <f>IFERROR(__xludf.DUMMYFUNCTION("""COMPUTED_VALUE"""),"Inversión")</f>
        <v>Inversión</v>
      </c>
      <c r="G15" s="9" t="str">
        <f>IFERROR(__xludf.DUMMYFUNCTION("""COMPUTED_VALUE"""),"Socio de proyecto")</f>
        <v>Socio de proyecto</v>
      </c>
      <c r="H15" s="9" t="str">
        <f>IFERROR(__xludf.DUMMYFUNCTION("""COMPUTED_VALUE"""),"NO")</f>
        <v>NO</v>
      </c>
      <c r="I15" s="9">
        <f>IFERROR(__xludf.DUMMYFUNCTION("""COMPUTED_VALUE"""),8.0)</f>
        <v>8</v>
      </c>
      <c r="J15" s="9">
        <f>IFERROR(__xludf.DUMMYFUNCTION("""COMPUTED_VALUE"""),7.0)</f>
        <v>7</v>
      </c>
      <c r="K15" s="14">
        <f>IFERROR(__xludf.DUMMYFUNCTION("""COMPUTED_VALUE"""),9.0E7)</f>
        <v>90000000</v>
      </c>
      <c r="L15" s="14">
        <f>IFERROR(__xludf.DUMMYFUNCTION("""COMPUTED_VALUE"""),2.3888885E7)</f>
        <v>23888885</v>
      </c>
      <c r="M15" s="14">
        <f>IFERROR(__xludf.DUMMYFUNCTION("""COMPUTED_VALUE"""),6.8725539E7)</f>
        <v>68725539</v>
      </c>
      <c r="N15" s="14">
        <f>IFERROR(__xludf.DUMMYFUNCTION("""COMPUTED_VALUE"""),7.8613526E7)</f>
        <v>78613526</v>
      </c>
    </row>
    <row r="16">
      <c r="A16" s="9">
        <f>IFERROR(__xludf.DUMMYFUNCTION("""COMPUTED_VALUE"""),33.0)</f>
        <v>33</v>
      </c>
      <c r="B16" s="9" t="str">
        <f>IFERROR(__xludf.DUMMYFUNCTION("""COMPUTED_VALUE"""),"Carolyne Fudge")</f>
        <v>Carolyne Fudge</v>
      </c>
      <c r="C16" s="9" t="str">
        <f>IFERROR(__xludf.DUMMYFUNCTION("""COMPUTED_VALUE"""),"cfudgew@google.es")</f>
        <v>cfudgew@google.es</v>
      </c>
      <c r="D16" s="9" t="str">
        <f>IFERROR(__xludf.DUMMYFUNCTION("""COMPUTED_VALUE"""),"Perú")</f>
        <v>Perú</v>
      </c>
      <c r="E16" s="9" t="str">
        <f>IFERROR(__xludf.DUMMYFUNCTION("""COMPUTED_VALUE"""),"Tecnología")</f>
        <v>Tecnología</v>
      </c>
      <c r="F16" s="9" t="str">
        <f>IFERROR(__xludf.DUMMYFUNCTION("""COMPUTED_VALUE"""),"Inversión")</f>
        <v>Inversión</v>
      </c>
      <c r="G16" s="9" t="str">
        <f>IFERROR(__xludf.DUMMYFUNCTION("""COMPUTED_VALUE"""),"Socio capitalista")</f>
        <v>Socio capitalista</v>
      </c>
      <c r="H16" s="9" t="str">
        <f>IFERROR(__xludf.DUMMYFUNCTION("""COMPUTED_VALUE"""),"NO")</f>
        <v>NO</v>
      </c>
      <c r="I16" s="9">
        <f>IFERROR(__xludf.DUMMYFUNCTION("""COMPUTED_VALUE"""),6.0)</f>
        <v>6</v>
      </c>
      <c r="J16" s="9">
        <f>IFERROR(__xludf.DUMMYFUNCTION("""COMPUTED_VALUE"""),7.0)</f>
        <v>7</v>
      </c>
      <c r="K16" s="14">
        <f>IFERROR(__xludf.DUMMYFUNCTION("""COMPUTED_VALUE"""),1.0E7)</f>
        <v>10000000</v>
      </c>
      <c r="L16" s="14">
        <f>IFERROR(__xludf.DUMMYFUNCTION("""COMPUTED_VALUE"""),2.2390348E7)</f>
        <v>22390348</v>
      </c>
      <c r="M16" s="14">
        <f>IFERROR(__xludf.DUMMYFUNCTION("""COMPUTED_VALUE"""),2.4476166E7)</f>
        <v>24476166</v>
      </c>
      <c r="N16" s="14">
        <f>IFERROR(__xludf.DUMMYFUNCTION("""COMPUTED_VALUE"""),0.0)</f>
        <v>0</v>
      </c>
    </row>
    <row r="17">
      <c r="A17" s="9">
        <f>IFERROR(__xludf.DUMMYFUNCTION("""COMPUTED_VALUE"""),36.0)</f>
        <v>36</v>
      </c>
      <c r="B17" s="9" t="str">
        <f>IFERROR(__xludf.DUMMYFUNCTION("""COMPUTED_VALUE"""),"Maureen Alcoran")</f>
        <v>Maureen Alcoran</v>
      </c>
      <c r="C17" s="9" t="str">
        <f>IFERROR(__xludf.DUMMYFUNCTION("""COMPUTED_VALUE"""),"malcoranz@t-online.de")</f>
        <v>malcoranz@t-online.de</v>
      </c>
      <c r="D17" s="9" t="str">
        <f>IFERROR(__xludf.DUMMYFUNCTION("""COMPUTED_VALUE"""),"Brasil")</f>
        <v>Brasil</v>
      </c>
      <c r="E17" s="9" t="str">
        <f>IFERROR(__xludf.DUMMYFUNCTION("""COMPUTED_VALUE"""),"Tecnología")</f>
        <v>Tecnología</v>
      </c>
      <c r="F17" s="9" t="str">
        <f>IFERROR(__xludf.DUMMYFUNCTION("""COMPUTED_VALUE"""),"Conocimiento")</f>
        <v>Conocimiento</v>
      </c>
      <c r="G17" s="9" t="str">
        <f>IFERROR(__xludf.DUMMYFUNCTION("""COMPUTED_VALUE"""),"Capacitarse")</f>
        <v>Capacitarse</v>
      </c>
      <c r="H17" s="9" t="str">
        <f>IFERROR(__xludf.DUMMYFUNCTION("""COMPUTED_VALUE"""),"NO")</f>
        <v>NO</v>
      </c>
      <c r="I17" s="9">
        <f>IFERROR(__xludf.DUMMYFUNCTION("""COMPUTED_VALUE"""),5.0)</f>
        <v>5</v>
      </c>
      <c r="J17" s="9">
        <f>IFERROR(__xludf.DUMMYFUNCTION("""COMPUTED_VALUE"""),7.0)</f>
        <v>7</v>
      </c>
      <c r="K17" s="14">
        <f>IFERROR(__xludf.DUMMYFUNCTION("""COMPUTED_VALUE"""),0.0)</f>
        <v>0</v>
      </c>
      <c r="L17" s="14">
        <f>IFERROR(__xludf.DUMMYFUNCTION("""COMPUTED_VALUE"""),0.0)</f>
        <v>0</v>
      </c>
      <c r="M17" s="14">
        <f>IFERROR(__xludf.DUMMYFUNCTION("""COMPUTED_VALUE"""),0.0)</f>
        <v>0</v>
      </c>
      <c r="N17" s="14">
        <f>IFERROR(__xludf.DUMMYFUNCTION("""COMPUTED_VALUE"""),5.2936315E7)</f>
        <v>52936315</v>
      </c>
    </row>
    <row r="18">
      <c r="A18" s="9">
        <f>IFERROR(__xludf.DUMMYFUNCTION("""COMPUTED_VALUE"""),37.0)</f>
        <v>37</v>
      </c>
      <c r="B18" s="9" t="str">
        <f>IFERROR(__xludf.DUMMYFUNCTION("""COMPUTED_VALUE"""),"Dusty Backs")</f>
        <v>Dusty Backs</v>
      </c>
      <c r="C18" s="9" t="str">
        <f>IFERROR(__xludf.DUMMYFUNCTION("""COMPUTED_VALUE"""),"dbacks10@aol.com")</f>
        <v>dbacks10@aol.com</v>
      </c>
      <c r="D18" s="9" t="str">
        <f>IFERROR(__xludf.DUMMYFUNCTION("""COMPUTED_VALUE"""),"Paraguay")</f>
        <v>Paraguay</v>
      </c>
      <c r="E18" s="9" t="str">
        <f>IFERROR(__xludf.DUMMYFUNCTION("""COMPUTED_VALUE"""),"Tecnología")</f>
        <v>Tecnología</v>
      </c>
      <c r="F18" s="9" t="str">
        <f>IFERROR(__xludf.DUMMYFUNCTION("""COMPUTED_VALUE"""),"Inversión")</f>
        <v>Inversión</v>
      </c>
      <c r="G18" s="9" t="str">
        <f>IFERROR(__xludf.DUMMYFUNCTION("""COMPUTED_VALUE"""),"Socio capitalista")</f>
        <v>Socio capitalista</v>
      </c>
      <c r="H18" s="9" t="str">
        <f>IFERROR(__xludf.DUMMYFUNCTION("""COMPUTED_VALUE"""),"NO")</f>
        <v>NO</v>
      </c>
      <c r="I18" s="9">
        <f>IFERROR(__xludf.DUMMYFUNCTION("""COMPUTED_VALUE"""),9.0)</f>
        <v>9</v>
      </c>
      <c r="J18" s="9">
        <f>IFERROR(__xludf.DUMMYFUNCTION("""COMPUTED_VALUE"""),7.0)</f>
        <v>7</v>
      </c>
      <c r="K18" s="14">
        <f>IFERROR(__xludf.DUMMYFUNCTION("""COMPUTED_VALUE"""),3.0E7)</f>
        <v>30000000</v>
      </c>
      <c r="L18" s="14">
        <f>IFERROR(__xludf.DUMMYFUNCTION("""COMPUTED_VALUE"""),9.1413171E7)</f>
        <v>91413171</v>
      </c>
      <c r="M18" s="14">
        <f>IFERROR(__xludf.DUMMYFUNCTION("""COMPUTED_VALUE"""),1.3211402E7)</f>
        <v>13211402</v>
      </c>
      <c r="N18" s="14">
        <f>IFERROR(__xludf.DUMMYFUNCTION("""COMPUTED_VALUE"""),0.0)</f>
        <v>0</v>
      </c>
    </row>
    <row r="19">
      <c r="A19" s="9">
        <f>IFERROR(__xludf.DUMMYFUNCTION("""COMPUTED_VALUE"""),40.0)</f>
        <v>40</v>
      </c>
      <c r="B19" s="9" t="str">
        <f>IFERROR(__xludf.DUMMYFUNCTION("""COMPUTED_VALUE"""),"Mollee Whithalgh")</f>
        <v>Mollee Whithalgh</v>
      </c>
      <c r="C19" s="9" t="str">
        <f>IFERROR(__xludf.DUMMYFUNCTION("""COMPUTED_VALUE"""),"mwhithalgh13@elegantthemes.com")</f>
        <v>mwhithalgh13@elegantthemes.com</v>
      </c>
      <c r="D19" s="9" t="str">
        <f>IFERROR(__xludf.DUMMYFUNCTION("""COMPUTED_VALUE"""),"Ecuador")</f>
        <v>Ecuador</v>
      </c>
      <c r="E19" s="9" t="str">
        <f>IFERROR(__xludf.DUMMYFUNCTION("""COMPUTED_VALUE"""),"Tecnología")</f>
        <v>Tecnología</v>
      </c>
      <c r="F19" s="9" t="str">
        <f>IFERROR(__xludf.DUMMYFUNCTION("""COMPUTED_VALUE"""),"Inversión")</f>
        <v>Inversión</v>
      </c>
      <c r="G19" s="9" t="str">
        <f>IFERROR(__xludf.DUMMYFUNCTION("""COMPUTED_VALUE"""),"Socio de proyecto")</f>
        <v>Socio de proyecto</v>
      </c>
      <c r="H19" s="9" t="str">
        <f>IFERROR(__xludf.DUMMYFUNCTION("""COMPUTED_VALUE"""),"NO")</f>
        <v>NO</v>
      </c>
      <c r="I19" s="9">
        <f>IFERROR(__xludf.DUMMYFUNCTION("""COMPUTED_VALUE"""),9.0)</f>
        <v>9</v>
      </c>
      <c r="J19" s="9">
        <f>IFERROR(__xludf.DUMMYFUNCTION("""COMPUTED_VALUE"""),5.0)</f>
        <v>5</v>
      </c>
      <c r="K19" s="14">
        <f>IFERROR(__xludf.DUMMYFUNCTION("""COMPUTED_VALUE"""),1.0E7)</f>
        <v>10000000</v>
      </c>
      <c r="L19" s="14">
        <f>IFERROR(__xludf.DUMMYFUNCTION("""COMPUTED_VALUE"""),4.3538967E7)</f>
        <v>43538967</v>
      </c>
      <c r="M19" s="14">
        <f>IFERROR(__xludf.DUMMYFUNCTION("""COMPUTED_VALUE"""),5161300.0)</f>
        <v>5161300</v>
      </c>
      <c r="N19" s="14">
        <f>IFERROR(__xludf.DUMMYFUNCTION("""COMPUTED_VALUE"""),8.5417673E7)</f>
        <v>85417673</v>
      </c>
    </row>
    <row r="20">
      <c r="A20" s="9">
        <f>IFERROR(__xludf.DUMMYFUNCTION("""COMPUTED_VALUE"""),41.0)</f>
        <v>41</v>
      </c>
      <c r="B20" s="9" t="str">
        <f>IFERROR(__xludf.DUMMYFUNCTION("""COMPUTED_VALUE"""),"Ralph McFaul")</f>
        <v>Ralph McFaul</v>
      </c>
      <c r="C20" s="9" t="str">
        <f>IFERROR(__xludf.DUMMYFUNCTION("""COMPUTED_VALUE"""),"rmcfaul14@1688.com")</f>
        <v>rmcfaul14@1688.com</v>
      </c>
      <c r="D20" s="9" t="str">
        <f>IFERROR(__xludf.DUMMYFUNCTION("""COMPUTED_VALUE"""),"Uruguay")</f>
        <v>Uruguay</v>
      </c>
      <c r="E20" s="9" t="str">
        <f>IFERROR(__xludf.DUMMYFUNCTION("""COMPUTED_VALUE"""),"Tecnología")</f>
        <v>Tecnología</v>
      </c>
      <c r="F20" s="9" t="str">
        <f>IFERROR(__xludf.DUMMYFUNCTION("""COMPUTED_VALUE"""),"Inversión")</f>
        <v>Inversión</v>
      </c>
      <c r="G20" s="9" t="str">
        <f>IFERROR(__xludf.DUMMYFUNCTION("""COMPUTED_VALUE"""),"Socio de proyecto")</f>
        <v>Socio de proyecto</v>
      </c>
      <c r="H20" s="9" t="str">
        <f>IFERROR(__xludf.DUMMYFUNCTION("""COMPUTED_VALUE"""),"SI")</f>
        <v>SI</v>
      </c>
      <c r="I20" s="9">
        <f>IFERROR(__xludf.DUMMYFUNCTION("""COMPUTED_VALUE"""),6.0)</f>
        <v>6</v>
      </c>
      <c r="J20" s="9">
        <f>IFERROR(__xludf.DUMMYFUNCTION("""COMPUTED_VALUE"""),10.0)</f>
        <v>10</v>
      </c>
      <c r="K20" s="14">
        <f>IFERROR(__xludf.DUMMYFUNCTION("""COMPUTED_VALUE"""),1000000.0)</f>
        <v>1000000</v>
      </c>
      <c r="L20" s="14">
        <f>IFERROR(__xludf.DUMMYFUNCTION("""COMPUTED_VALUE"""),9.5899452E7)</f>
        <v>95899452</v>
      </c>
      <c r="M20" s="14">
        <f>IFERROR(__xludf.DUMMYFUNCTION("""COMPUTED_VALUE"""),2565664.0)</f>
        <v>2565664</v>
      </c>
      <c r="N20" s="14">
        <f>IFERROR(__xludf.DUMMYFUNCTION("""COMPUTED_VALUE"""),3.9602953E7)</f>
        <v>39602953</v>
      </c>
    </row>
    <row r="21">
      <c r="A21" s="9">
        <f>IFERROR(__xludf.DUMMYFUNCTION("""COMPUTED_VALUE"""),42.0)</f>
        <v>42</v>
      </c>
      <c r="B21" s="9" t="str">
        <f>IFERROR(__xludf.DUMMYFUNCTION("""COMPUTED_VALUE"""),"Derward Glenfield")</f>
        <v>Derward Glenfield</v>
      </c>
      <c r="C21" s="9" t="str">
        <f>IFERROR(__xludf.DUMMYFUNCTION("""COMPUTED_VALUE"""),"dglenfield15@technorati.com")</f>
        <v>dglenfield15@technorati.com</v>
      </c>
      <c r="D21" s="9" t="str">
        <f>IFERROR(__xludf.DUMMYFUNCTION("""COMPUTED_VALUE"""),"Colombia")</f>
        <v>Colombia</v>
      </c>
      <c r="E21" s="9" t="str">
        <f>IFERROR(__xludf.DUMMYFUNCTION("""COMPUTED_VALUE"""),"Tecnología")</f>
        <v>Tecnología</v>
      </c>
      <c r="F21" s="9" t="str">
        <f>IFERROR(__xludf.DUMMYFUNCTION("""COMPUTED_VALUE"""),"Inversión")</f>
        <v>Inversión</v>
      </c>
      <c r="G21" s="9" t="str">
        <f>IFERROR(__xludf.DUMMYFUNCTION("""COMPUTED_VALUE"""),"Socio de proyecto")</f>
        <v>Socio de proyecto</v>
      </c>
      <c r="H21" s="9" t="str">
        <f>IFERROR(__xludf.DUMMYFUNCTION("""COMPUTED_VALUE"""),"SI")</f>
        <v>SI</v>
      </c>
      <c r="I21" s="9">
        <f>IFERROR(__xludf.DUMMYFUNCTION("""COMPUTED_VALUE"""),8.0)</f>
        <v>8</v>
      </c>
      <c r="J21" s="9">
        <f>IFERROR(__xludf.DUMMYFUNCTION("""COMPUTED_VALUE"""),8.0)</f>
        <v>8</v>
      </c>
      <c r="K21" s="14">
        <f>IFERROR(__xludf.DUMMYFUNCTION("""COMPUTED_VALUE"""),1000000.0)</f>
        <v>1000000</v>
      </c>
      <c r="L21" s="14">
        <f>IFERROR(__xludf.DUMMYFUNCTION("""COMPUTED_VALUE"""),8.1347428E7)</f>
        <v>81347428</v>
      </c>
      <c r="M21" s="14">
        <f>IFERROR(__xludf.DUMMYFUNCTION("""COMPUTED_VALUE"""),1.0860215E7)</f>
        <v>10860215</v>
      </c>
      <c r="N21" s="14">
        <f>IFERROR(__xludf.DUMMYFUNCTION("""COMPUTED_VALUE"""),2.863729E7)</f>
        <v>28637290</v>
      </c>
    </row>
    <row r="22">
      <c r="A22" s="9">
        <f>IFERROR(__xludf.DUMMYFUNCTION("""COMPUTED_VALUE"""),44.0)</f>
        <v>44</v>
      </c>
      <c r="B22" s="9" t="str">
        <f>IFERROR(__xludf.DUMMYFUNCTION("""COMPUTED_VALUE"""),"Janenna Pook")</f>
        <v>Janenna Pook</v>
      </c>
      <c r="C22" s="9" t="str">
        <f>IFERROR(__xludf.DUMMYFUNCTION("""COMPUTED_VALUE"""),"jpook17@weebly.com")</f>
        <v>jpook17@weebly.com</v>
      </c>
      <c r="D22" s="9" t="str">
        <f>IFERROR(__xludf.DUMMYFUNCTION("""COMPUTED_VALUE"""),"Argentina")</f>
        <v>Argentina</v>
      </c>
      <c r="E22" s="9" t="str">
        <f>IFERROR(__xludf.DUMMYFUNCTION("""COMPUTED_VALUE"""),"Tecnología")</f>
        <v>Tecnología</v>
      </c>
      <c r="F22" s="9" t="str">
        <f>IFERROR(__xludf.DUMMYFUNCTION("""COMPUTED_VALUE"""),"Inversión")</f>
        <v>Inversión</v>
      </c>
      <c r="G22" s="9" t="str">
        <f>IFERROR(__xludf.DUMMYFUNCTION("""COMPUTED_VALUE"""),"Socio de proyecto")</f>
        <v>Socio de proyecto</v>
      </c>
      <c r="H22" s="9" t="str">
        <f>IFERROR(__xludf.DUMMYFUNCTION("""COMPUTED_VALUE"""),"SI")</f>
        <v>SI</v>
      </c>
      <c r="I22" s="9">
        <f>IFERROR(__xludf.DUMMYFUNCTION("""COMPUTED_VALUE"""),7.0)</f>
        <v>7</v>
      </c>
      <c r="J22" s="9">
        <f>IFERROR(__xludf.DUMMYFUNCTION("""COMPUTED_VALUE"""),5.0)</f>
        <v>5</v>
      </c>
      <c r="K22" s="14">
        <f>IFERROR(__xludf.DUMMYFUNCTION("""COMPUTED_VALUE"""),1.0E7)</f>
        <v>10000000</v>
      </c>
      <c r="L22" s="14">
        <f>IFERROR(__xludf.DUMMYFUNCTION("""COMPUTED_VALUE"""),9.6199053E7)</f>
        <v>96199053</v>
      </c>
      <c r="M22" s="14">
        <f>IFERROR(__xludf.DUMMYFUNCTION("""COMPUTED_VALUE"""),3.1746355E7)</f>
        <v>31746355</v>
      </c>
      <c r="N22" s="14">
        <f>IFERROR(__xludf.DUMMYFUNCTION("""COMPUTED_VALUE"""),8.0063468E7)</f>
        <v>80063468</v>
      </c>
    </row>
    <row r="23">
      <c r="A23" s="9">
        <f>IFERROR(__xludf.DUMMYFUNCTION("""COMPUTED_VALUE"""),45.0)</f>
        <v>45</v>
      </c>
      <c r="B23" s="9" t="str">
        <f>IFERROR(__xludf.DUMMYFUNCTION("""COMPUTED_VALUE"""),"Minor Vasyukhnov")</f>
        <v>Minor Vasyukhnov</v>
      </c>
      <c r="C23" s="9" t="str">
        <f>IFERROR(__xludf.DUMMYFUNCTION("""COMPUTED_VALUE"""),"mvasyukhnov18@amazonaws.com")</f>
        <v>mvasyukhnov18@amazonaws.com</v>
      </c>
      <c r="D23" s="9" t="str">
        <f>IFERROR(__xludf.DUMMYFUNCTION("""COMPUTED_VALUE"""),"Uruguay")</f>
        <v>Uruguay</v>
      </c>
      <c r="E23" s="9" t="str">
        <f>IFERROR(__xludf.DUMMYFUNCTION("""COMPUTED_VALUE"""),"Tecnología")</f>
        <v>Tecnología</v>
      </c>
      <c r="F23" s="9" t="str">
        <f>IFERROR(__xludf.DUMMYFUNCTION("""COMPUTED_VALUE"""),"Inversión")</f>
        <v>Inversión</v>
      </c>
      <c r="G23" s="9" t="str">
        <f>IFERROR(__xludf.DUMMYFUNCTION("""COMPUTED_VALUE"""),"Socio de proyecto")</f>
        <v>Socio de proyecto</v>
      </c>
      <c r="H23" s="9" t="str">
        <f>IFERROR(__xludf.DUMMYFUNCTION("""COMPUTED_VALUE"""),"NO")</f>
        <v>NO</v>
      </c>
      <c r="I23" s="9">
        <f>IFERROR(__xludf.DUMMYFUNCTION("""COMPUTED_VALUE"""),5.0)</f>
        <v>5</v>
      </c>
      <c r="J23" s="9">
        <f>IFERROR(__xludf.DUMMYFUNCTION("""COMPUTED_VALUE"""),7.0)</f>
        <v>7</v>
      </c>
      <c r="K23" s="14">
        <f>IFERROR(__xludf.DUMMYFUNCTION("""COMPUTED_VALUE"""),1000000.0)</f>
        <v>1000000</v>
      </c>
      <c r="L23" s="14">
        <f>IFERROR(__xludf.DUMMYFUNCTION("""COMPUTED_VALUE"""),7.1783742E7)</f>
        <v>71783742</v>
      </c>
      <c r="M23" s="14">
        <f>IFERROR(__xludf.DUMMYFUNCTION("""COMPUTED_VALUE"""),6.4667814E7)</f>
        <v>64667814</v>
      </c>
      <c r="N23" s="14">
        <f>IFERROR(__xludf.DUMMYFUNCTION("""COMPUTED_VALUE"""),7.065318E7)</f>
        <v>70653180</v>
      </c>
    </row>
    <row r="24">
      <c r="A24" s="9">
        <f>IFERROR(__xludf.DUMMYFUNCTION("""COMPUTED_VALUE"""),48.0)</f>
        <v>48</v>
      </c>
      <c r="B24" s="9" t="str">
        <f>IFERROR(__xludf.DUMMYFUNCTION("""COMPUTED_VALUE"""),"Lila Oiseau")</f>
        <v>Lila Oiseau</v>
      </c>
      <c r="C24" s="9" t="str">
        <f>IFERROR(__xludf.DUMMYFUNCTION("""COMPUTED_VALUE"""),"loiseau1b@indiatimes.com")</f>
        <v>loiseau1b@indiatimes.com</v>
      </c>
      <c r="D24" s="9" t="str">
        <f>IFERROR(__xludf.DUMMYFUNCTION("""COMPUTED_VALUE"""),"Ecuador")</f>
        <v>Ecuador</v>
      </c>
      <c r="E24" s="9" t="str">
        <f>IFERROR(__xludf.DUMMYFUNCTION("""COMPUTED_VALUE"""),"Tecnología")</f>
        <v>Tecnología</v>
      </c>
      <c r="F24" s="9" t="str">
        <f>IFERROR(__xludf.DUMMYFUNCTION("""COMPUTED_VALUE"""),"Inversión")</f>
        <v>Inversión</v>
      </c>
      <c r="G24" s="9" t="str">
        <f>IFERROR(__xludf.DUMMYFUNCTION("""COMPUTED_VALUE"""),"Socio de proyecto")</f>
        <v>Socio de proyecto</v>
      </c>
      <c r="H24" s="9" t="str">
        <f>IFERROR(__xludf.DUMMYFUNCTION("""COMPUTED_VALUE"""),"SI")</f>
        <v>SI</v>
      </c>
      <c r="I24" s="9">
        <f>IFERROR(__xludf.DUMMYFUNCTION("""COMPUTED_VALUE"""),5.0)</f>
        <v>5</v>
      </c>
      <c r="J24" s="9">
        <f>IFERROR(__xludf.DUMMYFUNCTION("""COMPUTED_VALUE"""),6.0)</f>
        <v>6</v>
      </c>
      <c r="K24" s="14">
        <f>IFERROR(__xludf.DUMMYFUNCTION("""COMPUTED_VALUE"""),3.0E7)</f>
        <v>30000000</v>
      </c>
      <c r="L24" s="14">
        <f>IFERROR(__xludf.DUMMYFUNCTION("""COMPUTED_VALUE"""),3.3477783E7)</f>
        <v>33477783</v>
      </c>
      <c r="M24" s="14">
        <f>IFERROR(__xludf.DUMMYFUNCTION("""COMPUTED_VALUE"""),0.0)</f>
        <v>0</v>
      </c>
      <c r="N24" s="14">
        <f>IFERROR(__xludf.DUMMYFUNCTION("""COMPUTED_VALUE"""),2.7651635E7)</f>
        <v>27651635</v>
      </c>
    </row>
    <row r="25">
      <c r="A25" s="9">
        <f>IFERROR(__xludf.DUMMYFUNCTION("""COMPUTED_VALUE"""),50.0)</f>
        <v>50</v>
      </c>
      <c r="B25" s="9" t="str">
        <f>IFERROR(__xludf.DUMMYFUNCTION("""COMPUTED_VALUE"""),"Ernestine Tarbath")</f>
        <v>Ernestine Tarbath</v>
      </c>
      <c r="C25" s="9" t="str">
        <f>IFERROR(__xludf.DUMMYFUNCTION("""COMPUTED_VALUE"""),"etarbath1d@globo.com")</f>
        <v>etarbath1d@globo.com</v>
      </c>
      <c r="D25" s="9" t="str">
        <f>IFERROR(__xludf.DUMMYFUNCTION("""COMPUTED_VALUE"""),"Paraguay")</f>
        <v>Paraguay</v>
      </c>
      <c r="E25" s="9" t="str">
        <f>IFERROR(__xludf.DUMMYFUNCTION("""COMPUTED_VALUE"""),"Tecnología")</f>
        <v>Tecnología</v>
      </c>
      <c r="F25" s="9" t="str">
        <f>IFERROR(__xludf.DUMMYFUNCTION("""COMPUTED_VALUE"""),"Inversión")</f>
        <v>Inversión</v>
      </c>
      <c r="G25" s="9" t="str">
        <f>IFERROR(__xludf.DUMMYFUNCTION("""COMPUTED_VALUE"""),"Socio capitalista")</f>
        <v>Socio capitalista</v>
      </c>
      <c r="H25" s="9" t="str">
        <f>IFERROR(__xludf.DUMMYFUNCTION("""COMPUTED_VALUE"""),"NO")</f>
        <v>NO</v>
      </c>
      <c r="I25" s="9">
        <f>IFERROR(__xludf.DUMMYFUNCTION("""COMPUTED_VALUE"""),6.0)</f>
        <v>6</v>
      </c>
      <c r="J25" s="9">
        <f>IFERROR(__xludf.DUMMYFUNCTION("""COMPUTED_VALUE"""),8.0)</f>
        <v>8</v>
      </c>
      <c r="K25" s="14">
        <f>IFERROR(__xludf.DUMMYFUNCTION("""COMPUTED_VALUE"""),5.0E7)</f>
        <v>50000000</v>
      </c>
      <c r="L25" s="14">
        <f>IFERROR(__xludf.DUMMYFUNCTION("""COMPUTED_VALUE"""),7.0787848E7)</f>
        <v>70787848</v>
      </c>
      <c r="M25" s="14">
        <f>IFERROR(__xludf.DUMMYFUNCTION("""COMPUTED_VALUE"""),3.3368202E7)</f>
        <v>33368202</v>
      </c>
      <c r="N25" s="14">
        <f>IFERROR(__xludf.DUMMYFUNCTION("""COMPUTED_VALUE"""),4.3277527E7)</f>
        <v>43277527</v>
      </c>
    </row>
    <row r="26">
      <c r="A26" s="9">
        <f>IFERROR(__xludf.DUMMYFUNCTION("""COMPUTED_VALUE"""),51.0)</f>
        <v>51</v>
      </c>
      <c r="B26" s="9" t="str">
        <f>IFERROR(__xludf.DUMMYFUNCTION("""COMPUTED_VALUE"""),"Iain Davydoch")</f>
        <v>Iain Davydoch</v>
      </c>
      <c r="C26" s="9" t="str">
        <f>IFERROR(__xludf.DUMMYFUNCTION("""COMPUTED_VALUE"""),"idavydoch1e@sourceforge.net")</f>
        <v>idavydoch1e@sourceforge.net</v>
      </c>
      <c r="D26" s="9" t="str">
        <f>IFERROR(__xludf.DUMMYFUNCTION("""COMPUTED_VALUE"""),"Bolivia")</f>
        <v>Bolivia</v>
      </c>
      <c r="E26" s="9" t="str">
        <f>IFERROR(__xludf.DUMMYFUNCTION("""COMPUTED_VALUE"""),"Tecnología")</f>
        <v>Tecnología</v>
      </c>
      <c r="F26" s="9" t="str">
        <f>IFERROR(__xludf.DUMMYFUNCTION("""COMPUTED_VALUE"""),"Trabajo")</f>
        <v>Trabajo</v>
      </c>
      <c r="G26" s="9" t="str">
        <f>IFERROR(__xludf.DUMMYFUNCTION("""COMPUTED_VALUE"""),"Ofreciendo trabajo")</f>
        <v>Ofreciendo trabajo</v>
      </c>
      <c r="H26" s="9" t="str">
        <f>IFERROR(__xludf.DUMMYFUNCTION("""COMPUTED_VALUE"""),"SI")</f>
        <v>SI</v>
      </c>
      <c r="I26" s="9">
        <f>IFERROR(__xludf.DUMMYFUNCTION("""COMPUTED_VALUE"""),7.0)</f>
        <v>7</v>
      </c>
      <c r="J26" s="9">
        <f>IFERROR(__xludf.DUMMYFUNCTION("""COMPUTED_VALUE"""),5.0)</f>
        <v>5</v>
      </c>
      <c r="K26" s="14">
        <f>IFERROR(__xludf.DUMMYFUNCTION("""COMPUTED_VALUE"""),0.0)</f>
        <v>0</v>
      </c>
      <c r="L26" s="14">
        <f>IFERROR(__xludf.DUMMYFUNCTION("""COMPUTED_VALUE"""),0.0)</f>
        <v>0</v>
      </c>
      <c r="M26" s="14">
        <f>IFERROR(__xludf.DUMMYFUNCTION("""COMPUTED_VALUE"""),4.6563396E7)</f>
        <v>46563396</v>
      </c>
      <c r="N26" s="14">
        <f>IFERROR(__xludf.DUMMYFUNCTION("""COMPUTED_VALUE"""),6.3313535E7)</f>
        <v>63313535</v>
      </c>
    </row>
    <row r="27">
      <c r="A27" s="9">
        <f>IFERROR(__xludf.DUMMYFUNCTION("""COMPUTED_VALUE"""),52.0)</f>
        <v>52</v>
      </c>
      <c r="B27" s="9" t="str">
        <f>IFERROR(__xludf.DUMMYFUNCTION("""COMPUTED_VALUE"""),"Ardelle Udy")</f>
        <v>Ardelle Udy</v>
      </c>
      <c r="C27" s="9" t="str">
        <f>IFERROR(__xludf.DUMMYFUNCTION("""COMPUTED_VALUE"""),"audy1f@de.vu")</f>
        <v>audy1f@de.vu</v>
      </c>
      <c r="D27" s="9" t="str">
        <f>IFERROR(__xludf.DUMMYFUNCTION("""COMPUTED_VALUE"""),"Brasil")</f>
        <v>Brasil</v>
      </c>
      <c r="E27" s="9" t="str">
        <f>IFERROR(__xludf.DUMMYFUNCTION("""COMPUTED_VALUE"""),"Tecnología")</f>
        <v>Tecnología</v>
      </c>
      <c r="F27" s="9" t="str">
        <f>IFERROR(__xludf.DUMMYFUNCTION("""COMPUTED_VALUE"""),"Inversión")</f>
        <v>Inversión</v>
      </c>
      <c r="G27" s="9" t="str">
        <f>IFERROR(__xludf.DUMMYFUNCTION("""COMPUTED_VALUE"""),"Socio capitalista")</f>
        <v>Socio capitalista</v>
      </c>
      <c r="H27" s="9" t="str">
        <f>IFERROR(__xludf.DUMMYFUNCTION("""COMPUTED_VALUE"""),"NO")</f>
        <v>NO</v>
      </c>
      <c r="I27" s="9">
        <f>IFERROR(__xludf.DUMMYFUNCTION("""COMPUTED_VALUE"""),5.0)</f>
        <v>5</v>
      </c>
      <c r="J27" s="9">
        <f>IFERROR(__xludf.DUMMYFUNCTION("""COMPUTED_VALUE"""),6.0)</f>
        <v>6</v>
      </c>
      <c r="K27" s="14">
        <f>IFERROR(__xludf.DUMMYFUNCTION("""COMPUTED_VALUE"""),2.0E7)</f>
        <v>20000000</v>
      </c>
      <c r="L27" s="14">
        <f>IFERROR(__xludf.DUMMYFUNCTION("""COMPUTED_VALUE"""),4.006462E7)</f>
        <v>40064620</v>
      </c>
      <c r="M27" s="14">
        <f>IFERROR(__xludf.DUMMYFUNCTION("""COMPUTED_VALUE"""),9.8137438E7)</f>
        <v>98137438</v>
      </c>
      <c r="N27" s="14">
        <f>IFERROR(__xludf.DUMMYFUNCTION("""COMPUTED_VALUE"""),0.0)</f>
        <v>0</v>
      </c>
    </row>
    <row r="28">
      <c r="A28" s="9">
        <f>IFERROR(__xludf.DUMMYFUNCTION("""COMPUTED_VALUE"""),53.0)</f>
        <v>53</v>
      </c>
      <c r="B28" s="9" t="str">
        <f>IFERROR(__xludf.DUMMYFUNCTION("""COMPUTED_VALUE"""),"Larine Markwelley")</f>
        <v>Larine Markwelley</v>
      </c>
      <c r="C28" s="9" t="str">
        <f>IFERROR(__xludf.DUMMYFUNCTION("""COMPUTED_VALUE"""),"lmarkwelley1g@blogger.com")</f>
        <v>lmarkwelley1g@blogger.com</v>
      </c>
      <c r="D28" s="9" t="str">
        <f>IFERROR(__xludf.DUMMYFUNCTION("""COMPUTED_VALUE"""),"Bolivia")</f>
        <v>Bolivia</v>
      </c>
      <c r="E28" s="9" t="str">
        <f>IFERROR(__xludf.DUMMYFUNCTION("""COMPUTED_VALUE"""),"Tecnología")</f>
        <v>Tecnología</v>
      </c>
      <c r="F28" s="9" t="str">
        <f>IFERROR(__xludf.DUMMYFUNCTION("""COMPUTED_VALUE"""),"Inversión")</f>
        <v>Inversión</v>
      </c>
      <c r="G28" s="9" t="str">
        <f>IFERROR(__xludf.DUMMYFUNCTION("""COMPUTED_VALUE"""),"Socio de proyecto")</f>
        <v>Socio de proyecto</v>
      </c>
      <c r="H28" s="9" t="str">
        <f>IFERROR(__xludf.DUMMYFUNCTION("""COMPUTED_VALUE"""),"NO")</f>
        <v>NO</v>
      </c>
      <c r="I28" s="9">
        <f>IFERROR(__xludf.DUMMYFUNCTION("""COMPUTED_VALUE"""),4.0)</f>
        <v>4</v>
      </c>
      <c r="J28" s="9">
        <f>IFERROR(__xludf.DUMMYFUNCTION("""COMPUTED_VALUE"""),6.0)</f>
        <v>6</v>
      </c>
      <c r="K28" s="14">
        <f>IFERROR(__xludf.DUMMYFUNCTION("""COMPUTED_VALUE"""),3.0E7)</f>
        <v>30000000</v>
      </c>
      <c r="L28" s="14">
        <f>IFERROR(__xludf.DUMMYFUNCTION("""COMPUTED_VALUE"""),4.528936E7)</f>
        <v>45289360</v>
      </c>
      <c r="M28" s="14">
        <f>IFERROR(__xludf.DUMMYFUNCTION("""COMPUTED_VALUE"""),0.0)</f>
        <v>0</v>
      </c>
      <c r="N28" s="14">
        <f>IFERROR(__xludf.DUMMYFUNCTION("""COMPUTED_VALUE"""),4.6980526E7)</f>
        <v>46980526</v>
      </c>
    </row>
    <row r="29">
      <c r="A29" s="9">
        <f>IFERROR(__xludf.DUMMYFUNCTION("""COMPUTED_VALUE"""),55.0)</f>
        <v>55</v>
      </c>
      <c r="B29" s="9" t="str">
        <f>IFERROR(__xludf.DUMMYFUNCTION("""COMPUTED_VALUE"""),"Amandi Fruish")</f>
        <v>Amandi Fruish</v>
      </c>
      <c r="C29" s="9" t="str">
        <f>IFERROR(__xludf.DUMMYFUNCTION("""COMPUTED_VALUE"""),"afruish1i@umn.edu")</f>
        <v>afruish1i@umn.edu</v>
      </c>
      <c r="D29" s="9" t="str">
        <f>IFERROR(__xludf.DUMMYFUNCTION("""COMPUTED_VALUE"""),"Colombia")</f>
        <v>Colombia</v>
      </c>
      <c r="E29" s="9" t="str">
        <f>IFERROR(__xludf.DUMMYFUNCTION("""COMPUTED_VALUE"""),"Tecnología")</f>
        <v>Tecnología</v>
      </c>
      <c r="F29" s="9" t="str">
        <f>IFERROR(__xludf.DUMMYFUNCTION("""COMPUTED_VALUE"""),"Trabajo")</f>
        <v>Trabajo</v>
      </c>
      <c r="G29" s="9" t="str">
        <f>IFERROR(__xludf.DUMMYFUNCTION("""COMPUTED_VALUE"""),"Buscando trabajo")</f>
        <v>Buscando trabajo</v>
      </c>
      <c r="H29" s="9" t="str">
        <f>IFERROR(__xludf.DUMMYFUNCTION("""COMPUTED_VALUE"""),"SI")</f>
        <v>SI</v>
      </c>
      <c r="I29" s="9">
        <f>IFERROR(__xludf.DUMMYFUNCTION("""COMPUTED_VALUE"""),3.0)</f>
        <v>3</v>
      </c>
      <c r="J29" s="9">
        <f>IFERROR(__xludf.DUMMYFUNCTION("""COMPUTED_VALUE"""),9.0)</f>
        <v>9</v>
      </c>
      <c r="K29" s="14">
        <f>IFERROR(__xludf.DUMMYFUNCTION("""COMPUTED_VALUE"""),0.0)</f>
        <v>0</v>
      </c>
      <c r="L29" s="14">
        <f>IFERROR(__xludf.DUMMYFUNCTION("""COMPUTED_VALUE"""),0.0)</f>
        <v>0</v>
      </c>
      <c r="M29" s="14">
        <f>IFERROR(__xludf.DUMMYFUNCTION("""COMPUTED_VALUE"""),6.9870077E7)</f>
        <v>69870077</v>
      </c>
      <c r="N29" s="14">
        <f>IFERROR(__xludf.DUMMYFUNCTION("""COMPUTED_VALUE"""),9.844158E7)</f>
        <v>98441580</v>
      </c>
    </row>
    <row r="30">
      <c r="A30" s="9">
        <f>IFERROR(__xludf.DUMMYFUNCTION("""COMPUTED_VALUE"""),57.0)</f>
        <v>57</v>
      </c>
      <c r="B30" s="9" t="str">
        <f>IFERROR(__xludf.DUMMYFUNCTION("""COMPUTED_VALUE"""),"Jackelyn Charlo")</f>
        <v>Jackelyn Charlo</v>
      </c>
      <c r="C30" s="9" t="str">
        <f>IFERROR(__xludf.DUMMYFUNCTION("""COMPUTED_VALUE"""),"jcharlo1k@google.nl")</f>
        <v>jcharlo1k@google.nl</v>
      </c>
      <c r="D30" s="9" t="str">
        <f>IFERROR(__xludf.DUMMYFUNCTION("""COMPUTED_VALUE"""),"Chile")</f>
        <v>Chile</v>
      </c>
      <c r="E30" s="9" t="str">
        <f>IFERROR(__xludf.DUMMYFUNCTION("""COMPUTED_VALUE"""),"Tecnología")</f>
        <v>Tecnología</v>
      </c>
      <c r="F30" s="9" t="str">
        <f>IFERROR(__xludf.DUMMYFUNCTION("""COMPUTED_VALUE"""),"Inversión")</f>
        <v>Inversión</v>
      </c>
      <c r="G30" s="9" t="str">
        <f>IFERROR(__xludf.DUMMYFUNCTION("""COMPUTED_VALUE"""),"Socio capitalista")</f>
        <v>Socio capitalista</v>
      </c>
      <c r="H30" s="9" t="str">
        <f>IFERROR(__xludf.DUMMYFUNCTION("""COMPUTED_VALUE"""),"NO")</f>
        <v>NO</v>
      </c>
      <c r="I30" s="9">
        <f>IFERROR(__xludf.DUMMYFUNCTION("""COMPUTED_VALUE"""),7.0)</f>
        <v>7</v>
      </c>
      <c r="J30" s="9">
        <f>IFERROR(__xludf.DUMMYFUNCTION("""COMPUTED_VALUE"""),10.0)</f>
        <v>10</v>
      </c>
      <c r="K30" s="14">
        <f>IFERROR(__xludf.DUMMYFUNCTION("""COMPUTED_VALUE"""),1000000.0)</f>
        <v>1000000</v>
      </c>
      <c r="L30" s="14">
        <f>IFERROR(__xludf.DUMMYFUNCTION("""COMPUTED_VALUE"""),5.3008255E7)</f>
        <v>53008255</v>
      </c>
      <c r="M30" s="14">
        <f>IFERROR(__xludf.DUMMYFUNCTION("""COMPUTED_VALUE"""),4.691791E7)</f>
        <v>46917910</v>
      </c>
      <c r="N30" s="14">
        <f>IFERROR(__xludf.DUMMYFUNCTION("""COMPUTED_VALUE"""),4.7557281E7)</f>
        <v>47557281</v>
      </c>
    </row>
    <row r="31">
      <c r="A31" s="9">
        <f>IFERROR(__xludf.DUMMYFUNCTION("""COMPUTED_VALUE"""),58.0)</f>
        <v>58</v>
      </c>
      <c r="B31" s="9" t="str">
        <f>IFERROR(__xludf.DUMMYFUNCTION("""COMPUTED_VALUE"""),"Demetris MacVicar")</f>
        <v>Demetris MacVicar</v>
      </c>
      <c r="C31" s="9" t="str">
        <f>IFERROR(__xludf.DUMMYFUNCTION("""COMPUTED_VALUE"""),"dmacvicar1l@cdc.gov")</f>
        <v>dmacvicar1l@cdc.gov</v>
      </c>
      <c r="D31" s="9" t="str">
        <f>IFERROR(__xludf.DUMMYFUNCTION("""COMPUTED_VALUE"""),"Bolivia")</f>
        <v>Bolivia</v>
      </c>
      <c r="E31" s="9" t="str">
        <f>IFERROR(__xludf.DUMMYFUNCTION("""COMPUTED_VALUE"""),"Tecnología")</f>
        <v>Tecnología</v>
      </c>
      <c r="F31" s="9" t="str">
        <f>IFERROR(__xludf.DUMMYFUNCTION("""COMPUTED_VALUE"""),"Trabajo")</f>
        <v>Trabajo</v>
      </c>
      <c r="G31" s="9" t="str">
        <f>IFERROR(__xludf.DUMMYFUNCTION("""COMPUTED_VALUE"""),"Buscando trabajo")</f>
        <v>Buscando trabajo</v>
      </c>
      <c r="H31" s="9" t="str">
        <f>IFERROR(__xludf.DUMMYFUNCTION("""COMPUTED_VALUE"""),"NO")</f>
        <v>NO</v>
      </c>
      <c r="I31" s="9">
        <f>IFERROR(__xludf.DUMMYFUNCTION("""COMPUTED_VALUE"""),5.0)</f>
        <v>5</v>
      </c>
      <c r="J31" s="9">
        <f>IFERROR(__xludf.DUMMYFUNCTION("""COMPUTED_VALUE"""),9.0)</f>
        <v>9</v>
      </c>
      <c r="K31" s="14">
        <f>IFERROR(__xludf.DUMMYFUNCTION("""COMPUTED_VALUE"""),0.0)</f>
        <v>0</v>
      </c>
      <c r="L31" s="14">
        <f>IFERROR(__xludf.DUMMYFUNCTION("""COMPUTED_VALUE"""),0.0)</f>
        <v>0</v>
      </c>
      <c r="M31" s="14">
        <f>IFERROR(__xludf.DUMMYFUNCTION("""COMPUTED_VALUE"""),0.0)</f>
        <v>0</v>
      </c>
      <c r="N31" s="14">
        <f>IFERROR(__xludf.DUMMYFUNCTION("""COMPUTED_VALUE"""),2.267526E7)</f>
        <v>22675260</v>
      </c>
    </row>
    <row r="32">
      <c r="A32" s="9">
        <f>IFERROR(__xludf.DUMMYFUNCTION("""COMPUTED_VALUE"""),59.0)</f>
        <v>59</v>
      </c>
      <c r="B32" s="9" t="str">
        <f>IFERROR(__xludf.DUMMYFUNCTION("""COMPUTED_VALUE"""),"Daffie Whitchurch")</f>
        <v>Daffie Whitchurch</v>
      </c>
      <c r="C32" s="9" t="str">
        <f>IFERROR(__xludf.DUMMYFUNCTION("""COMPUTED_VALUE"""),"dwhitchurch1m@issuu.com")</f>
        <v>dwhitchurch1m@issuu.com</v>
      </c>
      <c r="D32" s="9" t="str">
        <f>IFERROR(__xludf.DUMMYFUNCTION("""COMPUTED_VALUE"""),"Bolivia")</f>
        <v>Bolivia</v>
      </c>
      <c r="E32" s="9" t="str">
        <f>IFERROR(__xludf.DUMMYFUNCTION("""COMPUTED_VALUE"""),"Tecnología")</f>
        <v>Tecnología</v>
      </c>
      <c r="F32" s="9" t="str">
        <f>IFERROR(__xludf.DUMMYFUNCTION("""COMPUTED_VALUE"""),"Inversión")</f>
        <v>Inversión</v>
      </c>
      <c r="G32" s="9" t="str">
        <f>IFERROR(__xludf.DUMMYFUNCTION("""COMPUTED_VALUE"""),"Socio capitalista")</f>
        <v>Socio capitalista</v>
      </c>
      <c r="H32" s="9" t="str">
        <f>IFERROR(__xludf.DUMMYFUNCTION("""COMPUTED_VALUE"""),"NO")</f>
        <v>NO</v>
      </c>
      <c r="I32" s="9">
        <f>IFERROR(__xludf.DUMMYFUNCTION("""COMPUTED_VALUE"""),9.0)</f>
        <v>9</v>
      </c>
      <c r="J32" s="9">
        <f>IFERROR(__xludf.DUMMYFUNCTION("""COMPUTED_VALUE"""),5.0)</f>
        <v>5</v>
      </c>
      <c r="K32" s="14">
        <f>IFERROR(__xludf.DUMMYFUNCTION("""COMPUTED_VALUE"""),1.0E8)</f>
        <v>100000000</v>
      </c>
      <c r="L32" s="14">
        <f>IFERROR(__xludf.DUMMYFUNCTION("""COMPUTED_VALUE"""),9.468872E7)</f>
        <v>94688720</v>
      </c>
      <c r="M32" s="14">
        <f>IFERROR(__xludf.DUMMYFUNCTION("""COMPUTED_VALUE"""),8.6323763E7)</f>
        <v>86323763</v>
      </c>
      <c r="N32" s="14">
        <f>IFERROR(__xludf.DUMMYFUNCTION("""COMPUTED_VALUE"""),2.0929788E7)</f>
        <v>20929788</v>
      </c>
    </row>
    <row r="33">
      <c r="A33" s="9">
        <f>IFERROR(__xludf.DUMMYFUNCTION("""COMPUTED_VALUE"""),62.0)</f>
        <v>62</v>
      </c>
      <c r="B33" s="9" t="str">
        <f>IFERROR(__xludf.DUMMYFUNCTION("""COMPUTED_VALUE"""),"Bernardo Lamond")</f>
        <v>Bernardo Lamond</v>
      </c>
      <c r="C33" s="9" t="str">
        <f>IFERROR(__xludf.DUMMYFUNCTION("""COMPUTED_VALUE"""),"blamond1p@icio.us")</f>
        <v>blamond1p@icio.us</v>
      </c>
      <c r="D33" s="9" t="str">
        <f>IFERROR(__xludf.DUMMYFUNCTION("""COMPUTED_VALUE"""),"Argentina")</f>
        <v>Argentina</v>
      </c>
      <c r="E33" s="9" t="str">
        <f>IFERROR(__xludf.DUMMYFUNCTION("""COMPUTED_VALUE"""),"Tecnología")</f>
        <v>Tecnología</v>
      </c>
      <c r="F33" s="9" t="str">
        <f>IFERROR(__xludf.DUMMYFUNCTION("""COMPUTED_VALUE"""),"Inversión")</f>
        <v>Inversión</v>
      </c>
      <c r="G33" s="9" t="str">
        <f>IFERROR(__xludf.DUMMYFUNCTION("""COMPUTED_VALUE"""),"Socio de proyecto")</f>
        <v>Socio de proyecto</v>
      </c>
      <c r="H33" s="9" t="str">
        <f>IFERROR(__xludf.DUMMYFUNCTION("""COMPUTED_VALUE"""),"NO")</f>
        <v>NO</v>
      </c>
      <c r="I33" s="9">
        <f>IFERROR(__xludf.DUMMYFUNCTION("""COMPUTED_VALUE"""),3.0)</f>
        <v>3</v>
      </c>
      <c r="J33" s="9">
        <f>IFERROR(__xludf.DUMMYFUNCTION("""COMPUTED_VALUE"""),10.0)</f>
        <v>10</v>
      </c>
      <c r="K33" s="14">
        <f>IFERROR(__xludf.DUMMYFUNCTION("""COMPUTED_VALUE"""),3.0E7)</f>
        <v>30000000</v>
      </c>
      <c r="L33" s="14">
        <f>IFERROR(__xludf.DUMMYFUNCTION("""COMPUTED_VALUE"""),3.2890743E7)</f>
        <v>32890743</v>
      </c>
      <c r="M33" s="14">
        <f>IFERROR(__xludf.DUMMYFUNCTION("""COMPUTED_VALUE"""),0.0)</f>
        <v>0</v>
      </c>
      <c r="N33" s="14">
        <f>IFERROR(__xludf.DUMMYFUNCTION("""COMPUTED_VALUE"""),3.986462E7)</f>
        <v>39864620</v>
      </c>
    </row>
    <row r="34">
      <c r="A34" s="9">
        <f>IFERROR(__xludf.DUMMYFUNCTION("""COMPUTED_VALUE"""),65.0)</f>
        <v>65</v>
      </c>
      <c r="B34" s="9" t="str">
        <f>IFERROR(__xludf.DUMMYFUNCTION("""COMPUTED_VALUE"""),"Blake Krochmann")</f>
        <v>Blake Krochmann</v>
      </c>
      <c r="C34" s="9" t="str">
        <f>IFERROR(__xludf.DUMMYFUNCTION("""COMPUTED_VALUE"""),"bkrochmann1s@wp.com")</f>
        <v>bkrochmann1s@wp.com</v>
      </c>
      <c r="D34" s="9" t="str">
        <f>IFERROR(__xludf.DUMMYFUNCTION("""COMPUTED_VALUE"""),"Venezuela")</f>
        <v>Venezuela</v>
      </c>
      <c r="E34" s="9" t="str">
        <f>IFERROR(__xludf.DUMMYFUNCTION("""COMPUTED_VALUE"""),"Tecnología")</f>
        <v>Tecnología</v>
      </c>
      <c r="F34" s="9" t="str">
        <f>IFERROR(__xludf.DUMMYFUNCTION("""COMPUTED_VALUE"""),"Inversión")</f>
        <v>Inversión</v>
      </c>
      <c r="G34" s="9" t="str">
        <f>IFERROR(__xludf.DUMMYFUNCTION("""COMPUTED_VALUE"""),"Socio capitalista")</f>
        <v>Socio capitalista</v>
      </c>
      <c r="H34" s="9" t="str">
        <f>IFERROR(__xludf.DUMMYFUNCTION("""COMPUTED_VALUE"""),"SI")</f>
        <v>SI</v>
      </c>
      <c r="I34" s="9">
        <f>IFERROR(__xludf.DUMMYFUNCTION("""COMPUTED_VALUE"""),7.0)</f>
        <v>7</v>
      </c>
      <c r="J34" s="9">
        <f>IFERROR(__xludf.DUMMYFUNCTION("""COMPUTED_VALUE"""),7.0)</f>
        <v>7</v>
      </c>
      <c r="K34" s="14">
        <f>IFERROR(__xludf.DUMMYFUNCTION("""COMPUTED_VALUE"""),1.0E7)</f>
        <v>10000000</v>
      </c>
      <c r="L34" s="14">
        <f>IFERROR(__xludf.DUMMYFUNCTION("""COMPUTED_VALUE"""),3.1953589E7)</f>
        <v>31953589</v>
      </c>
      <c r="M34" s="14">
        <f>IFERROR(__xludf.DUMMYFUNCTION("""COMPUTED_VALUE"""),4.0068224E7)</f>
        <v>40068224</v>
      </c>
      <c r="N34" s="14">
        <f>IFERROR(__xludf.DUMMYFUNCTION("""COMPUTED_VALUE"""),8.0951038E7)</f>
        <v>80951038</v>
      </c>
    </row>
    <row r="35">
      <c r="A35" s="9">
        <f>IFERROR(__xludf.DUMMYFUNCTION("""COMPUTED_VALUE"""),66.0)</f>
        <v>66</v>
      </c>
      <c r="B35" s="9" t="str">
        <f>IFERROR(__xludf.DUMMYFUNCTION("""COMPUTED_VALUE"""),"Meghann Brislan")</f>
        <v>Meghann Brislan</v>
      </c>
      <c r="C35" s="9" t="str">
        <f>IFERROR(__xludf.DUMMYFUNCTION("""COMPUTED_VALUE"""),"mbrislan1t@yale.edu")</f>
        <v>mbrislan1t@yale.edu</v>
      </c>
      <c r="D35" s="9" t="str">
        <f>IFERROR(__xludf.DUMMYFUNCTION("""COMPUTED_VALUE"""),"Chile")</f>
        <v>Chile</v>
      </c>
      <c r="E35" s="9" t="str">
        <f>IFERROR(__xludf.DUMMYFUNCTION("""COMPUTED_VALUE"""),"Tecnología")</f>
        <v>Tecnología</v>
      </c>
      <c r="F35" s="9" t="str">
        <f>IFERROR(__xludf.DUMMYFUNCTION("""COMPUTED_VALUE"""),"Inversión")</f>
        <v>Inversión</v>
      </c>
      <c r="G35" s="9" t="str">
        <f>IFERROR(__xludf.DUMMYFUNCTION("""COMPUTED_VALUE"""),"Socio capitalista")</f>
        <v>Socio capitalista</v>
      </c>
      <c r="H35" s="9" t="str">
        <f>IFERROR(__xludf.DUMMYFUNCTION("""COMPUTED_VALUE"""),"NO")</f>
        <v>NO</v>
      </c>
      <c r="I35" s="9">
        <f>IFERROR(__xludf.DUMMYFUNCTION("""COMPUTED_VALUE"""),7.0)</f>
        <v>7</v>
      </c>
      <c r="J35" s="9">
        <f>IFERROR(__xludf.DUMMYFUNCTION("""COMPUTED_VALUE"""),5.0)</f>
        <v>5</v>
      </c>
      <c r="K35" s="14">
        <f>IFERROR(__xludf.DUMMYFUNCTION("""COMPUTED_VALUE"""),5.0E7)</f>
        <v>50000000</v>
      </c>
      <c r="L35" s="14">
        <f>IFERROR(__xludf.DUMMYFUNCTION("""COMPUTED_VALUE"""),7.8205651E7)</f>
        <v>78205651</v>
      </c>
      <c r="M35" s="14">
        <f>IFERROR(__xludf.DUMMYFUNCTION("""COMPUTED_VALUE"""),6.238118E7)</f>
        <v>62381180</v>
      </c>
      <c r="N35" s="14">
        <f>IFERROR(__xludf.DUMMYFUNCTION("""COMPUTED_VALUE"""),6508585.0)</f>
        <v>6508585</v>
      </c>
    </row>
    <row r="36">
      <c r="A36" s="9">
        <f>IFERROR(__xludf.DUMMYFUNCTION("""COMPUTED_VALUE"""),68.0)</f>
        <v>68</v>
      </c>
      <c r="B36" s="9" t="str">
        <f>IFERROR(__xludf.DUMMYFUNCTION("""COMPUTED_VALUE"""),"Arlin Blyden")</f>
        <v>Arlin Blyden</v>
      </c>
      <c r="C36" s="9" t="str">
        <f>IFERROR(__xludf.DUMMYFUNCTION("""COMPUTED_VALUE"""),"ablyden1v@arstechnica.com")</f>
        <v>ablyden1v@arstechnica.com</v>
      </c>
      <c r="D36" s="9" t="str">
        <f>IFERROR(__xludf.DUMMYFUNCTION("""COMPUTED_VALUE"""),"Brasil")</f>
        <v>Brasil</v>
      </c>
      <c r="E36" s="9" t="str">
        <f>IFERROR(__xludf.DUMMYFUNCTION("""COMPUTED_VALUE"""),"Tecnología")</f>
        <v>Tecnología</v>
      </c>
      <c r="F36" s="9" t="str">
        <f>IFERROR(__xludf.DUMMYFUNCTION("""COMPUTED_VALUE"""),"Conocimiento")</f>
        <v>Conocimiento</v>
      </c>
      <c r="G36" s="9" t="str">
        <f>IFERROR(__xludf.DUMMYFUNCTION("""COMPUTED_VALUE"""),"Otro tipo")</f>
        <v>Otro tipo</v>
      </c>
      <c r="H36" s="9" t="str">
        <f>IFERROR(__xludf.DUMMYFUNCTION("""COMPUTED_VALUE"""),"NO")</f>
        <v>NO</v>
      </c>
      <c r="I36" s="9">
        <f>IFERROR(__xludf.DUMMYFUNCTION("""COMPUTED_VALUE"""),7.0)</f>
        <v>7</v>
      </c>
      <c r="J36" s="9">
        <f>IFERROR(__xludf.DUMMYFUNCTION("""COMPUTED_VALUE"""),7.0)</f>
        <v>7</v>
      </c>
      <c r="K36" s="14">
        <f>IFERROR(__xludf.DUMMYFUNCTION("""COMPUTED_VALUE"""),0.0)</f>
        <v>0</v>
      </c>
      <c r="L36" s="14">
        <f>IFERROR(__xludf.DUMMYFUNCTION("""COMPUTED_VALUE"""),0.0)</f>
        <v>0</v>
      </c>
      <c r="M36" s="14">
        <f>IFERROR(__xludf.DUMMYFUNCTION("""COMPUTED_VALUE"""),7.6942676E7)</f>
        <v>76942676</v>
      </c>
      <c r="N36" s="14">
        <f>IFERROR(__xludf.DUMMYFUNCTION("""COMPUTED_VALUE"""),7.4216691E7)</f>
        <v>74216691</v>
      </c>
    </row>
    <row r="37">
      <c r="A37" s="9">
        <f>IFERROR(__xludf.DUMMYFUNCTION("""COMPUTED_VALUE"""),72.0)</f>
        <v>72</v>
      </c>
      <c r="B37" s="9" t="str">
        <f>IFERROR(__xludf.DUMMYFUNCTION("""COMPUTED_VALUE"""),"Luisa Hardern")</f>
        <v>Luisa Hardern</v>
      </c>
      <c r="C37" s="9" t="str">
        <f>IFERROR(__xludf.DUMMYFUNCTION("""COMPUTED_VALUE"""),"lhardern1z@nyu.edu")</f>
        <v>lhardern1z@nyu.edu</v>
      </c>
      <c r="D37" s="9" t="str">
        <f>IFERROR(__xludf.DUMMYFUNCTION("""COMPUTED_VALUE"""),"Perú")</f>
        <v>Perú</v>
      </c>
      <c r="E37" s="9" t="str">
        <f>IFERROR(__xludf.DUMMYFUNCTION("""COMPUTED_VALUE"""),"Tecnología")</f>
        <v>Tecnología</v>
      </c>
      <c r="F37" s="9" t="str">
        <f>IFERROR(__xludf.DUMMYFUNCTION("""COMPUTED_VALUE"""),"Trabajo")</f>
        <v>Trabajo</v>
      </c>
      <c r="G37" s="9" t="str">
        <f>IFERROR(__xludf.DUMMYFUNCTION("""COMPUTED_VALUE"""),"Ofreciendo trabajo")</f>
        <v>Ofreciendo trabajo</v>
      </c>
      <c r="H37" s="9" t="str">
        <f>IFERROR(__xludf.DUMMYFUNCTION("""COMPUTED_VALUE"""),"NO")</f>
        <v>NO</v>
      </c>
      <c r="I37" s="9">
        <f>IFERROR(__xludf.DUMMYFUNCTION("""COMPUTED_VALUE"""),5.0)</f>
        <v>5</v>
      </c>
      <c r="J37" s="9">
        <f>IFERROR(__xludf.DUMMYFUNCTION("""COMPUTED_VALUE"""),7.0)</f>
        <v>7</v>
      </c>
      <c r="K37" s="14">
        <f>IFERROR(__xludf.DUMMYFUNCTION("""COMPUTED_VALUE"""),0.0)</f>
        <v>0</v>
      </c>
      <c r="L37" s="14">
        <f>IFERROR(__xludf.DUMMYFUNCTION("""COMPUTED_VALUE"""),0.0)</f>
        <v>0</v>
      </c>
      <c r="M37" s="14">
        <f>IFERROR(__xludf.DUMMYFUNCTION("""COMPUTED_VALUE"""),8.2583322E7)</f>
        <v>82583322</v>
      </c>
      <c r="N37" s="14">
        <f>IFERROR(__xludf.DUMMYFUNCTION("""COMPUTED_VALUE"""),809058.0)</f>
        <v>809058</v>
      </c>
    </row>
    <row r="38">
      <c r="A38" s="9">
        <f>IFERROR(__xludf.DUMMYFUNCTION("""COMPUTED_VALUE"""),73.0)</f>
        <v>73</v>
      </c>
      <c r="B38" s="9" t="str">
        <f>IFERROR(__xludf.DUMMYFUNCTION("""COMPUTED_VALUE"""),"Minda Eates")</f>
        <v>Minda Eates</v>
      </c>
      <c r="C38" s="9" t="str">
        <f>IFERROR(__xludf.DUMMYFUNCTION("""COMPUTED_VALUE"""),"meates20@photobucket.com")</f>
        <v>meates20@photobucket.com</v>
      </c>
      <c r="D38" s="9" t="str">
        <f>IFERROR(__xludf.DUMMYFUNCTION("""COMPUTED_VALUE"""),"Ecuador")</f>
        <v>Ecuador</v>
      </c>
      <c r="E38" s="9" t="str">
        <f>IFERROR(__xludf.DUMMYFUNCTION("""COMPUTED_VALUE"""),"Tecnología")</f>
        <v>Tecnología</v>
      </c>
      <c r="F38" s="9" t="str">
        <f>IFERROR(__xludf.DUMMYFUNCTION("""COMPUTED_VALUE"""),"Inversión")</f>
        <v>Inversión</v>
      </c>
      <c r="G38" s="9" t="str">
        <f>IFERROR(__xludf.DUMMYFUNCTION("""COMPUTED_VALUE"""),"Socio de proyecto")</f>
        <v>Socio de proyecto</v>
      </c>
      <c r="H38" s="9" t="str">
        <f>IFERROR(__xludf.DUMMYFUNCTION("""COMPUTED_VALUE"""),"SI")</f>
        <v>SI</v>
      </c>
      <c r="I38" s="9">
        <f>IFERROR(__xludf.DUMMYFUNCTION("""COMPUTED_VALUE"""),6.0)</f>
        <v>6</v>
      </c>
      <c r="J38" s="9">
        <f>IFERROR(__xludf.DUMMYFUNCTION("""COMPUTED_VALUE"""),6.0)</f>
        <v>6</v>
      </c>
      <c r="K38" s="14">
        <f>IFERROR(__xludf.DUMMYFUNCTION("""COMPUTED_VALUE"""),1.0E7)</f>
        <v>10000000</v>
      </c>
      <c r="L38" s="14">
        <f>IFERROR(__xludf.DUMMYFUNCTION("""COMPUTED_VALUE"""),5.9890317E7)</f>
        <v>59890317</v>
      </c>
      <c r="M38" s="14">
        <f>IFERROR(__xludf.DUMMYFUNCTION("""COMPUTED_VALUE"""),4.2451842E7)</f>
        <v>42451842</v>
      </c>
      <c r="N38" s="14">
        <f>IFERROR(__xludf.DUMMYFUNCTION("""COMPUTED_VALUE"""),0.0)</f>
        <v>0</v>
      </c>
    </row>
    <row r="39">
      <c r="A39" s="9">
        <f>IFERROR(__xludf.DUMMYFUNCTION("""COMPUTED_VALUE"""),76.0)</f>
        <v>76</v>
      </c>
      <c r="B39" s="9" t="str">
        <f>IFERROR(__xludf.DUMMYFUNCTION("""COMPUTED_VALUE"""),"Wait Hairsnape")</f>
        <v>Wait Hairsnape</v>
      </c>
      <c r="C39" s="9" t="str">
        <f>IFERROR(__xludf.DUMMYFUNCTION("""COMPUTED_VALUE"""),"whairsnape23@ft.com")</f>
        <v>whairsnape23@ft.com</v>
      </c>
      <c r="D39" s="9" t="str">
        <f>IFERROR(__xludf.DUMMYFUNCTION("""COMPUTED_VALUE"""),"Venezuela")</f>
        <v>Venezuela</v>
      </c>
      <c r="E39" s="9" t="str">
        <f>IFERROR(__xludf.DUMMYFUNCTION("""COMPUTED_VALUE"""),"Tecnología")</f>
        <v>Tecnología</v>
      </c>
      <c r="F39" s="9" t="str">
        <f>IFERROR(__xludf.DUMMYFUNCTION("""COMPUTED_VALUE"""),"Trabajo")</f>
        <v>Trabajo</v>
      </c>
      <c r="G39" s="9" t="str">
        <f>IFERROR(__xludf.DUMMYFUNCTION("""COMPUTED_VALUE"""),"Buscando trabajo")</f>
        <v>Buscando trabajo</v>
      </c>
      <c r="H39" s="9" t="str">
        <f>IFERROR(__xludf.DUMMYFUNCTION("""COMPUTED_VALUE"""),"NO")</f>
        <v>NO</v>
      </c>
      <c r="I39" s="9">
        <f>IFERROR(__xludf.DUMMYFUNCTION("""COMPUTED_VALUE"""),5.0)</f>
        <v>5</v>
      </c>
      <c r="J39" s="9">
        <f>IFERROR(__xludf.DUMMYFUNCTION("""COMPUTED_VALUE"""),7.0)</f>
        <v>7</v>
      </c>
      <c r="K39" s="14">
        <f>IFERROR(__xludf.DUMMYFUNCTION("""COMPUTED_VALUE"""),0.0)</f>
        <v>0</v>
      </c>
      <c r="L39" s="14">
        <f>IFERROR(__xludf.DUMMYFUNCTION("""COMPUTED_VALUE"""),0.0)</f>
        <v>0</v>
      </c>
      <c r="M39" s="14">
        <f>IFERROR(__xludf.DUMMYFUNCTION("""COMPUTED_VALUE"""),0.0)</f>
        <v>0</v>
      </c>
      <c r="N39" s="14">
        <f>IFERROR(__xludf.DUMMYFUNCTION("""COMPUTED_VALUE"""),6.3436099E7)</f>
        <v>63436099</v>
      </c>
    </row>
    <row r="40">
      <c r="A40" s="9">
        <f>IFERROR(__xludf.DUMMYFUNCTION("""COMPUTED_VALUE"""),77.0)</f>
        <v>77</v>
      </c>
      <c r="B40" s="9" t="str">
        <f>IFERROR(__xludf.DUMMYFUNCTION("""COMPUTED_VALUE"""),"Cinderella Hasted")</f>
        <v>Cinderella Hasted</v>
      </c>
      <c r="C40" s="9" t="str">
        <f>IFERROR(__xludf.DUMMYFUNCTION("""COMPUTED_VALUE"""),"chasted24@princeton.edu")</f>
        <v>chasted24@princeton.edu</v>
      </c>
      <c r="D40" s="9" t="str">
        <f>IFERROR(__xludf.DUMMYFUNCTION("""COMPUTED_VALUE"""),"Brasil")</f>
        <v>Brasil</v>
      </c>
      <c r="E40" s="9" t="str">
        <f>IFERROR(__xludf.DUMMYFUNCTION("""COMPUTED_VALUE"""),"Tecnología")</f>
        <v>Tecnología</v>
      </c>
      <c r="F40" s="9" t="str">
        <f>IFERROR(__xludf.DUMMYFUNCTION("""COMPUTED_VALUE"""),"Inversión")</f>
        <v>Inversión</v>
      </c>
      <c r="G40" s="9" t="str">
        <f>IFERROR(__xludf.DUMMYFUNCTION("""COMPUTED_VALUE"""),"Socio capitalista")</f>
        <v>Socio capitalista</v>
      </c>
      <c r="H40" s="9" t="str">
        <f>IFERROR(__xludf.DUMMYFUNCTION("""COMPUTED_VALUE"""),"SI")</f>
        <v>SI</v>
      </c>
      <c r="I40" s="9">
        <f>IFERROR(__xludf.DUMMYFUNCTION("""COMPUTED_VALUE"""),8.0)</f>
        <v>8</v>
      </c>
      <c r="J40" s="9">
        <f>IFERROR(__xludf.DUMMYFUNCTION("""COMPUTED_VALUE"""),9.0)</f>
        <v>9</v>
      </c>
      <c r="K40" s="14">
        <f>IFERROR(__xludf.DUMMYFUNCTION("""COMPUTED_VALUE"""),1.0E7)</f>
        <v>10000000</v>
      </c>
      <c r="L40" s="14">
        <f>IFERROR(__xludf.DUMMYFUNCTION("""COMPUTED_VALUE"""),9.9989764E7)</f>
        <v>99989764</v>
      </c>
      <c r="M40" s="14">
        <f>IFERROR(__xludf.DUMMYFUNCTION("""COMPUTED_VALUE"""),8030175.0)</f>
        <v>8030175</v>
      </c>
      <c r="N40" s="14">
        <f>IFERROR(__xludf.DUMMYFUNCTION("""COMPUTED_VALUE"""),3.7676206E7)</f>
        <v>37676206</v>
      </c>
    </row>
    <row r="41">
      <c r="A41" s="9">
        <f>IFERROR(__xludf.DUMMYFUNCTION("""COMPUTED_VALUE"""),78.0)</f>
        <v>78</v>
      </c>
      <c r="B41" s="9" t="str">
        <f>IFERROR(__xludf.DUMMYFUNCTION("""COMPUTED_VALUE"""),"Jethro Cossins")</f>
        <v>Jethro Cossins</v>
      </c>
      <c r="C41" s="9" t="str">
        <f>IFERROR(__xludf.DUMMYFUNCTION("""COMPUTED_VALUE"""),"jcossins25@mlb.com")</f>
        <v>jcossins25@mlb.com</v>
      </c>
      <c r="D41" s="9" t="str">
        <f>IFERROR(__xludf.DUMMYFUNCTION("""COMPUTED_VALUE"""),"Paraguay")</f>
        <v>Paraguay</v>
      </c>
      <c r="E41" s="9" t="str">
        <f>IFERROR(__xludf.DUMMYFUNCTION("""COMPUTED_VALUE"""),"Tecnología")</f>
        <v>Tecnología</v>
      </c>
      <c r="F41" s="9" t="str">
        <f>IFERROR(__xludf.DUMMYFUNCTION("""COMPUTED_VALUE"""),"Trabajo")</f>
        <v>Trabajo</v>
      </c>
      <c r="G41" s="9" t="str">
        <f>IFERROR(__xludf.DUMMYFUNCTION("""COMPUTED_VALUE"""),"Buscando trabajo")</f>
        <v>Buscando trabajo</v>
      </c>
      <c r="H41" s="9" t="str">
        <f>IFERROR(__xludf.DUMMYFUNCTION("""COMPUTED_VALUE"""),"SI")</f>
        <v>SI</v>
      </c>
      <c r="I41" s="9">
        <f>IFERROR(__xludf.DUMMYFUNCTION("""COMPUTED_VALUE"""),4.0)</f>
        <v>4</v>
      </c>
      <c r="J41" s="9">
        <f>IFERROR(__xludf.DUMMYFUNCTION("""COMPUTED_VALUE"""),5.0)</f>
        <v>5</v>
      </c>
      <c r="K41" s="14">
        <f>IFERROR(__xludf.DUMMYFUNCTION("""COMPUTED_VALUE"""),0.0)</f>
        <v>0</v>
      </c>
      <c r="L41" s="14">
        <f>IFERROR(__xludf.DUMMYFUNCTION("""COMPUTED_VALUE"""),0.0)</f>
        <v>0</v>
      </c>
      <c r="M41" s="14">
        <f>IFERROR(__xludf.DUMMYFUNCTION("""COMPUTED_VALUE"""),1.2862402E7)</f>
        <v>12862402</v>
      </c>
      <c r="N41" s="14">
        <f>IFERROR(__xludf.DUMMYFUNCTION("""COMPUTED_VALUE"""),6.8922404E7)</f>
        <v>68922404</v>
      </c>
    </row>
    <row r="42">
      <c r="A42" s="9">
        <f>IFERROR(__xludf.DUMMYFUNCTION("""COMPUTED_VALUE"""),81.0)</f>
        <v>81</v>
      </c>
      <c r="B42" s="9" t="str">
        <f>IFERROR(__xludf.DUMMYFUNCTION("""COMPUTED_VALUE"""),"Basilius Olney")</f>
        <v>Basilius Olney</v>
      </c>
      <c r="C42" s="9" t="str">
        <f>IFERROR(__xludf.DUMMYFUNCTION("""COMPUTED_VALUE"""),"bolney28@howstuffworks.com")</f>
        <v>bolney28@howstuffworks.com</v>
      </c>
      <c r="D42" s="9" t="str">
        <f>IFERROR(__xludf.DUMMYFUNCTION("""COMPUTED_VALUE"""),"Bolivia")</f>
        <v>Bolivia</v>
      </c>
      <c r="E42" s="9" t="str">
        <f>IFERROR(__xludf.DUMMYFUNCTION("""COMPUTED_VALUE"""),"Tecnología")</f>
        <v>Tecnología</v>
      </c>
      <c r="F42" s="9" t="str">
        <f>IFERROR(__xludf.DUMMYFUNCTION("""COMPUTED_VALUE"""),"Inversión")</f>
        <v>Inversión</v>
      </c>
      <c r="G42" s="9" t="str">
        <f>IFERROR(__xludf.DUMMYFUNCTION("""COMPUTED_VALUE"""),"Socio capitalista")</f>
        <v>Socio capitalista</v>
      </c>
      <c r="H42" s="9" t="str">
        <f>IFERROR(__xludf.DUMMYFUNCTION("""COMPUTED_VALUE"""),"NO")</f>
        <v>NO</v>
      </c>
      <c r="I42" s="9">
        <f>IFERROR(__xludf.DUMMYFUNCTION("""COMPUTED_VALUE"""),3.0)</f>
        <v>3</v>
      </c>
      <c r="J42" s="9">
        <f>IFERROR(__xludf.DUMMYFUNCTION("""COMPUTED_VALUE"""),9.0)</f>
        <v>9</v>
      </c>
      <c r="K42" s="14">
        <f>IFERROR(__xludf.DUMMYFUNCTION("""COMPUTED_VALUE"""),5000000.0)</f>
        <v>5000000</v>
      </c>
      <c r="L42" s="14">
        <f>IFERROR(__xludf.DUMMYFUNCTION("""COMPUTED_VALUE"""),3.2915397E7)</f>
        <v>32915397</v>
      </c>
      <c r="M42" s="14">
        <f>IFERROR(__xludf.DUMMYFUNCTION("""COMPUTED_VALUE"""),7.4493461E7)</f>
        <v>74493461</v>
      </c>
      <c r="N42" s="14">
        <f>IFERROR(__xludf.DUMMYFUNCTION("""COMPUTED_VALUE"""),151779.0)</f>
        <v>151779</v>
      </c>
    </row>
    <row r="43">
      <c r="A43" s="9">
        <f>IFERROR(__xludf.DUMMYFUNCTION("""COMPUTED_VALUE"""),83.0)</f>
        <v>83</v>
      </c>
      <c r="B43" s="9" t="str">
        <f>IFERROR(__xludf.DUMMYFUNCTION("""COMPUTED_VALUE"""),"Shari De la Barre")</f>
        <v>Shari De la Barre</v>
      </c>
      <c r="C43" s="9" t="str">
        <f>IFERROR(__xludf.DUMMYFUNCTION("""COMPUTED_VALUE"""),"sde2a@theglobeandmail.com")</f>
        <v>sde2a@theglobeandmail.com</v>
      </c>
      <c r="D43" s="9" t="str">
        <f>IFERROR(__xludf.DUMMYFUNCTION("""COMPUTED_VALUE"""),"Argentina")</f>
        <v>Argentina</v>
      </c>
      <c r="E43" s="9" t="str">
        <f>IFERROR(__xludf.DUMMYFUNCTION("""COMPUTED_VALUE"""),"Tecnología")</f>
        <v>Tecnología</v>
      </c>
      <c r="F43" s="9" t="str">
        <f>IFERROR(__xludf.DUMMYFUNCTION("""COMPUTED_VALUE"""),"Trabajo")</f>
        <v>Trabajo</v>
      </c>
      <c r="G43" s="9" t="str">
        <f>IFERROR(__xludf.DUMMYFUNCTION("""COMPUTED_VALUE"""),"Buscando trabajo")</f>
        <v>Buscando trabajo</v>
      </c>
      <c r="H43" s="9" t="str">
        <f>IFERROR(__xludf.DUMMYFUNCTION("""COMPUTED_VALUE"""),"NO")</f>
        <v>NO</v>
      </c>
      <c r="I43" s="9">
        <f>IFERROR(__xludf.DUMMYFUNCTION("""COMPUTED_VALUE"""),7.0)</f>
        <v>7</v>
      </c>
      <c r="J43" s="9">
        <f>IFERROR(__xludf.DUMMYFUNCTION("""COMPUTED_VALUE"""),10.0)</f>
        <v>10</v>
      </c>
      <c r="K43" s="14">
        <f>IFERROR(__xludf.DUMMYFUNCTION("""COMPUTED_VALUE"""),0.0)</f>
        <v>0</v>
      </c>
      <c r="L43" s="14">
        <f>IFERROR(__xludf.DUMMYFUNCTION("""COMPUTED_VALUE"""),0.0)</f>
        <v>0</v>
      </c>
      <c r="M43" s="14">
        <f>IFERROR(__xludf.DUMMYFUNCTION("""COMPUTED_VALUE"""),1.4141858E7)</f>
        <v>14141858</v>
      </c>
      <c r="N43" s="14">
        <f>IFERROR(__xludf.DUMMYFUNCTION("""COMPUTED_VALUE"""),8.7162317E7)</f>
        <v>87162317</v>
      </c>
    </row>
    <row r="44">
      <c r="A44" s="9">
        <f>IFERROR(__xludf.DUMMYFUNCTION("""COMPUTED_VALUE"""),84.0)</f>
        <v>84</v>
      </c>
      <c r="B44" s="9" t="str">
        <f>IFERROR(__xludf.DUMMYFUNCTION("""COMPUTED_VALUE"""),"Shanie Eastup")</f>
        <v>Shanie Eastup</v>
      </c>
      <c r="C44" s="9" t="str">
        <f>IFERROR(__xludf.DUMMYFUNCTION("""COMPUTED_VALUE"""),"seastup2b@addthis.com")</f>
        <v>seastup2b@addthis.com</v>
      </c>
      <c r="D44" s="9" t="str">
        <f>IFERROR(__xludf.DUMMYFUNCTION("""COMPUTED_VALUE"""),"Argentina")</f>
        <v>Argentina</v>
      </c>
      <c r="E44" s="9" t="str">
        <f>IFERROR(__xludf.DUMMYFUNCTION("""COMPUTED_VALUE"""),"Tecnología")</f>
        <v>Tecnología</v>
      </c>
      <c r="F44" s="9" t="str">
        <f>IFERROR(__xludf.DUMMYFUNCTION("""COMPUTED_VALUE"""),"Trabajo")</f>
        <v>Trabajo</v>
      </c>
      <c r="G44" s="9" t="str">
        <f>IFERROR(__xludf.DUMMYFUNCTION("""COMPUTED_VALUE"""),"Buscando trabajo")</f>
        <v>Buscando trabajo</v>
      </c>
      <c r="H44" s="9" t="str">
        <f>IFERROR(__xludf.DUMMYFUNCTION("""COMPUTED_VALUE"""),"NO")</f>
        <v>NO</v>
      </c>
      <c r="I44" s="9">
        <f>IFERROR(__xludf.DUMMYFUNCTION("""COMPUTED_VALUE"""),3.0)</f>
        <v>3</v>
      </c>
      <c r="J44" s="9">
        <f>IFERROR(__xludf.DUMMYFUNCTION("""COMPUTED_VALUE"""),7.0)</f>
        <v>7</v>
      </c>
      <c r="K44" s="14">
        <f>IFERROR(__xludf.DUMMYFUNCTION("""COMPUTED_VALUE"""),0.0)</f>
        <v>0</v>
      </c>
      <c r="L44" s="14">
        <f>IFERROR(__xludf.DUMMYFUNCTION("""COMPUTED_VALUE"""),0.0)</f>
        <v>0</v>
      </c>
      <c r="M44" s="14">
        <f>IFERROR(__xludf.DUMMYFUNCTION("""COMPUTED_VALUE"""),2.9525162E7)</f>
        <v>29525162</v>
      </c>
      <c r="N44" s="14">
        <f>IFERROR(__xludf.DUMMYFUNCTION("""COMPUTED_VALUE"""),0.0)</f>
        <v>0</v>
      </c>
    </row>
    <row r="45">
      <c r="A45" s="9">
        <f>IFERROR(__xludf.DUMMYFUNCTION("""COMPUTED_VALUE"""),85.0)</f>
        <v>85</v>
      </c>
      <c r="B45" s="9" t="str">
        <f>IFERROR(__xludf.DUMMYFUNCTION("""COMPUTED_VALUE"""),"Lonny Austing")</f>
        <v>Lonny Austing</v>
      </c>
      <c r="C45" s="9" t="str">
        <f>IFERROR(__xludf.DUMMYFUNCTION("""COMPUTED_VALUE"""),"lausting2c@tripadvisor.com")</f>
        <v>lausting2c@tripadvisor.com</v>
      </c>
      <c r="D45" s="9" t="str">
        <f>IFERROR(__xludf.DUMMYFUNCTION("""COMPUTED_VALUE"""),"Bolivia")</f>
        <v>Bolivia</v>
      </c>
      <c r="E45" s="9" t="str">
        <f>IFERROR(__xludf.DUMMYFUNCTION("""COMPUTED_VALUE"""),"Tecnología")</f>
        <v>Tecnología</v>
      </c>
      <c r="F45" s="9" t="str">
        <f>IFERROR(__xludf.DUMMYFUNCTION("""COMPUTED_VALUE"""),"Trabajo")</f>
        <v>Trabajo</v>
      </c>
      <c r="G45" s="9" t="str">
        <f>IFERROR(__xludf.DUMMYFUNCTION("""COMPUTED_VALUE"""),"Ofreciendo trabajo")</f>
        <v>Ofreciendo trabajo</v>
      </c>
      <c r="H45" s="9" t="str">
        <f>IFERROR(__xludf.DUMMYFUNCTION("""COMPUTED_VALUE"""),"SI")</f>
        <v>SI</v>
      </c>
      <c r="I45" s="9">
        <f>IFERROR(__xludf.DUMMYFUNCTION("""COMPUTED_VALUE"""),7.0)</f>
        <v>7</v>
      </c>
      <c r="J45" s="9">
        <f>IFERROR(__xludf.DUMMYFUNCTION("""COMPUTED_VALUE"""),4.0)</f>
        <v>4</v>
      </c>
      <c r="K45" s="14">
        <f>IFERROR(__xludf.DUMMYFUNCTION("""COMPUTED_VALUE"""),0.0)</f>
        <v>0</v>
      </c>
      <c r="L45" s="14">
        <f>IFERROR(__xludf.DUMMYFUNCTION("""COMPUTED_VALUE"""),0.0)</f>
        <v>0</v>
      </c>
      <c r="M45" s="14">
        <f>IFERROR(__xludf.DUMMYFUNCTION("""COMPUTED_VALUE"""),2.9366791E7)</f>
        <v>29366791</v>
      </c>
      <c r="N45" s="14">
        <f>IFERROR(__xludf.DUMMYFUNCTION("""COMPUTED_VALUE"""),8.9805774E7)</f>
        <v>89805774</v>
      </c>
    </row>
    <row r="46">
      <c r="A46" s="9">
        <f>IFERROR(__xludf.DUMMYFUNCTION("""COMPUTED_VALUE"""),86.0)</f>
        <v>86</v>
      </c>
      <c r="B46" s="9" t="str">
        <f>IFERROR(__xludf.DUMMYFUNCTION("""COMPUTED_VALUE"""),"Paolo Gartside")</f>
        <v>Paolo Gartside</v>
      </c>
      <c r="C46" s="9" t="str">
        <f>IFERROR(__xludf.DUMMYFUNCTION("""COMPUTED_VALUE"""),"pgartside2d@clickbank.net")</f>
        <v>pgartside2d@clickbank.net</v>
      </c>
      <c r="D46" s="9" t="str">
        <f>IFERROR(__xludf.DUMMYFUNCTION("""COMPUTED_VALUE"""),"Paraguay")</f>
        <v>Paraguay</v>
      </c>
      <c r="E46" s="9" t="str">
        <f>IFERROR(__xludf.DUMMYFUNCTION("""COMPUTED_VALUE"""),"Tecnología")</f>
        <v>Tecnología</v>
      </c>
      <c r="F46" s="9" t="str">
        <f>IFERROR(__xludf.DUMMYFUNCTION("""COMPUTED_VALUE"""),"Trabajo")</f>
        <v>Trabajo</v>
      </c>
      <c r="G46" s="9" t="str">
        <f>IFERROR(__xludf.DUMMYFUNCTION("""COMPUTED_VALUE"""),"Buscando trabajo")</f>
        <v>Buscando trabajo</v>
      </c>
      <c r="H46" s="9" t="str">
        <f>IFERROR(__xludf.DUMMYFUNCTION("""COMPUTED_VALUE"""),"SI")</f>
        <v>SI</v>
      </c>
      <c r="I46" s="9">
        <f>IFERROR(__xludf.DUMMYFUNCTION("""COMPUTED_VALUE"""),9.0)</f>
        <v>9</v>
      </c>
      <c r="J46" s="9">
        <f>IFERROR(__xludf.DUMMYFUNCTION("""COMPUTED_VALUE"""),5.0)</f>
        <v>5</v>
      </c>
      <c r="K46" s="14">
        <f>IFERROR(__xludf.DUMMYFUNCTION("""COMPUTED_VALUE"""),0.0)</f>
        <v>0</v>
      </c>
      <c r="L46" s="14">
        <f>IFERROR(__xludf.DUMMYFUNCTION("""COMPUTED_VALUE"""),0.0)</f>
        <v>0</v>
      </c>
      <c r="M46" s="14">
        <f>IFERROR(__xludf.DUMMYFUNCTION("""COMPUTED_VALUE"""),7.3195518E7)</f>
        <v>73195518</v>
      </c>
      <c r="N46" s="14">
        <f>IFERROR(__xludf.DUMMYFUNCTION("""COMPUTED_VALUE"""),1.0695678E7)</f>
        <v>10695678</v>
      </c>
    </row>
    <row r="47">
      <c r="A47" s="9">
        <f>IFERROR(__xludf.DUMMYFUNCTION("""COMPUTED_VALUE"""),87.0)</f>
        <v>87</v>
      </c>
      <c r="B47" s="9" t="str">
        <f>IFERROR(__xludf.DUMMYFUNCTION("""COMPUTED_VALUE"""),"Shaylynn Shelmerdine")</f>
        <v>Shaylynn Shelmerdine</v>
      </c>
      <c r="C47" s="9" t="str">
        <f>IFERROR(__xludf.DUMMYFUNCTION("""COMPUTED_VALUE"""),"sshelmerdine2e@myspace.com")</f>
        <v>sshelmerdine2e@myspace.com</v>
      </c>
      <c r="D47" s="9" t="str">
        <f>IFERROR(__xludf.DUMMYFUNCTION("""COMPUTED_VALUE"""),"Paraguay")</f>
        <v>Paraguay</v>
      </c>
      <c r="E47" s="9" t="str">
        <f>IFERROR(__xludf.DUMMYFUNCTION("""COMPUTED_VALUE"""),"Tecnología")</f>
        <v>Tecnología</v>
      </c>
      <c r="F47" s="9" t="str">
        <f>IFERROR(__xludf.DUMMYFUNCTION("""COMPUTED_VALUE"""),"Trabajo")</f>
        <v>Trabajo</v>
      </c>
      <c r="G47" s="9" t="str">
        <f>IFERROR(__xludf.DUMMYFUNCTION("""COMPUTED_VALUE"""),"Buscando trabajo")</f>
        <v>Buscando trabajo</v>
      </c>
      <c r="H47" s="9" t="str">
        <f>IFERROR(__xludf.DUMMYFUNCTION("""COMPUTED_VALUE"""),"NO")</f>
        <v>NO</v>
      </c>
      <c r="I47" s="9">
        <f>IFERROR(__xludf.DUMMYFUNCTION("""COMPUTED_VALUE"""),3.0)</f>
        <v>3</v>
      </c>
      <c r="J47" s="9">
        <f>IFERROR(__xludf.DUMMYFUNCTION("""COMPUTED_VALUE"""),6.0)</f>
        <v>6</v>
      </c>
      <c r="K47" s="14">
        <f>IFERROR(__xludf.DUMMYFUNCTION("""COMPUTED_VALUE"""),0.0)</f>
        <v>0</v>
      </c>
      <c r="L47" s="14">
        <f>IFERROR(__xludf.DUMMYFUNCTION("""COMPUTED_VALUE"""),0.0)</f>
        <v>0</v>
      </c>
      <c r="M47" s="14">
        <f>IFERROR(__xludf.DUMMYFUNCTION("""COMPUTED_VALUE"""),1432950.0)</f>
        <v>1432950</v>
      </c>
      <c r="N47" s="14">
        <f>IFERROR(__xludf.DUMMYFUNCTION("""COMPUTED_VALUE"""),2.9672451E7)</f>
        <v>29672451</v>
      </c>
    </row>
    <row r="48">
      <c r="A48" s="9">
        <f>IFERROR(__xludf.DUMMYFUNCTION("""COMPUTED_VALUE"""),88.0)</f>
        <v>88</v>
      </c>
      <c r="B48" s="9" t="str">
        <f>IFERROR(__xludf.DUMMYFUNCTION("""COMPUTED_VALUE"""),"Vitia Treslove")</f>
        <v>Vitia Treslove</v>
      </c>
      <c r="C48" s="9" t="str">
        <f>IFERROR(__xludf.DUMMYFUNCTION("""COMPUTED_VALUE"""),"vtreslove2f@arizona.edu")</f>
        <v>vtreslove2f@arizona.edu</v>
      </c>
      <c r="D48" s="9" t="str">
        <f>IFERROR(__xludf.DUMMYFUNCTION("""COMPUTED_VALUE"""),"Colombia")</f>
        <v>Colombia</v>
      </c>
      <c r="E48" s="9" t="str">
        <f>IFERROR(__xludf.DUMMYFUNCTION("""COMPUTED_VALUE"""),"Tecnología")</f>
        <v>Tecnología</v>
      </c>
      <c r="F48" s="9" t="str">
        <f>IFERROR(__xludf.DUMMYFUNCTION("""COMPUTED_VALUE"""),"Inversión")</f>
        <v>Inversión</v>
      </c>
      <c r="G48" s="9" t="str">
        <f>IFERROR(__xludf.DUMMYFUNCTION("""COMPUTED_VALUE"""),"Socio capitalista")</f>
        <v>Socio capitalista</v>
      </c>
      <c r="H48" s="9" t="str">
        <f>IFERROR(__xludf.DUMMYFUNCTION("""COMPUTED_VALUE"""),"SI")</f>
        <v>SI</v>
      </c>
      <c r="I48" s="9">
        <f>IFERROR(__xludf.DUMMYFUNCTION("""COMPUTED_VALUE"""),8.0)</f>
        <v>8</v>
      </c>
      <c r="J48" s="9">
        <f>IFERROR(__xludf.DUMMYFUNCTION("""COMPUTED_VALUE"""),7.0)</f>
        <v>7</v>
      </c>
      <c r="K48" s="14">
        <f>IFERROR(__xludf.DUMMYFUNCTION("""COMPUTED_VALUE"""),1000000.0)</f>
        <v>1000000</v>
      </c>
      <c r="L48" s="14">
        <f>IFERROR(__xludf.DUMMYFUNCTION("""COMPUTED_VALUE"""),7.7159264E7)</f>
        <v>77159264</v>
      </c>
      <c r="M48" s="14">
        <f>IFERROR(__xludf.DUMMYFUNCTION("""COMPUTED_VALUE"""),0.0)</f>
        <v>0</v>
      </c>
      <c r="N48" s="14">
        <f>IFERROR(__xludf.DUMMYFUNCTION("""COMPUTED_VALUE"""),9.7234303E7)</f>
        <v>97234303</v>
      </c>
    </row>
    <row r="49">
      <c r="A49" s="9">
        <f>IFERROR(__xludf.DUMMYFUNCTION("""COMPUTED_VALUE"""),89.0)</f>
        <v>89</v>
      </c>
      <c r="B49" s="9" t="str">
        <f>IFERROR(__xludf.DUMMYFUNCTION("""COMPUTED_VALUE"""),"Lory Abbison")</f>
        <v>Lory Abbison</v>
      </c>
      <c r="C49" s="9" t="str">
        <f>IFERROR(__xludf.DUMMYFUNCTION("""COMPUTED_VALUE"""),"labbison2g@who.int")</f>
        <v>labbison2g@who.int</v>
      </c>
      <c r="D49" s="9" t="str">
        <f>IFERROR(__xludf.DUMMYFUNCTION("""COMPUTED_VALUE"""),"Paraguay")</f>
        <v>Paraguay</v>
      </c>
      <c r="E49" s="9" t="str">
        <f>IFERROR(__xludf.DUMMYFUNCTION("""COMPUTED_VALUE"""),"Tecnología")</f>
        <v>Tecnología</v>
      </c>
      <c r="F49" s="9" t="str">
        <f>IFERROR(__xludf.DUMMYFUNCTION("""COMPUTED_VALUE"""),"Inversión")</f>
        <v>Inversión</v>
      </c>
      <c r="G49" s="9" t="str">
        <f>IFERROR(__xludf.DUMMYFUNCTION("""COMPUTED_VALUE"""),"Socio capitalista")</f>
        <v>Socio capitalista</v>
      </c>
      <c r="H49" s="9" t="str">
        <f>IFERROR(__xludf.DUMMYFUNCTION("""COMPUTED_VALUE"""),"NO")</f>
        <v>NO</v>
      </c>
      <c r="I49" s="9">
        <f>IFERROR(__xludf.DUMMYFUNCTION("""COMPUTED_VALUE"""),7.0)</f>
        <v>7</v>
      </c>
      <c r="J49" s="9">
        <f>IFERROR(__xludf.DUMMYFUNCTION("""COMPUTED_VALUE"""),10.0)</f>
        <v>10</v>
      </c>
      <c r="K49" s="14">
        <f>IFERROR(__xludf.DUMMYFUNCTION("""COMPUTED_VALUE"""),1.0E8)</f>
        <v>100000000</v>
      </c>
      <c r="L49" s="14">
        <f>IFERROR(__xludf.DUMMYFUNCTION("""COMPUTED_VALUE"""),1.2451199E7)</f>
        <v>12451199</v>
      </c>
      <c r="M49" s="14">
        <f>IFERROR(__xludf.DUMMYFUNCTION("""COMPUTED_VALUE"""),7.4231711E7)</f>
        <v>74231711</v>
      </c>
      <c r="N49" s="14">
        <f>IFERROR(__xludf.DUMMYFUNCTION("""COMPUTED_VALUE"""),4.2951226E7)</f>
        <v>42951226</v>
      </c>
    </row>
    <row r="50">
      <c r="A50" s="9">
        <f>IFERROR(__xludf.DUMMYFUNCTION("""COMPUTED_VALUE"""),92.0)</f>
        <v>92</v>
      </c>
      <c r="B50" s="9" t="str">
        <f>IFERROR(__xludf.DUMMYFUNCTION("""COMPUTED_VALUE"""),"Shawna Simkin")</f>
        <v>Shawna Simkin</v>
      </c>
      <c r="C50" s="9" t="str">
        <f>IFERROR(__xludf.DUMMYFUNCTION("""COMPUTED_VALUE"""),"ssimkin2j@craigslist.org")</f>
        <v>ssimkin2j@craigslist.org</v>
      </c>
      <c r="D50" s="9" t="str">
        <f>IFERROR(__xludf.DUMMYFUNCTION("""COMPUTED_VALUE"""),"Ecuador")</f>
        <v>Ecuador</v>
      </c>
      <c r="E50" s="9" t="str">
        <f>IFERROR(__xludf.DUMMYFUNCTION("""COMPUTED_VALUE"""),"Tecnología")</f>
        <v>Tecnología</v>
      </c>
      <c r="F50" s="9" t="str">
        <f>IFERROR(__xludf.DUMMYFUNCTION("""COMPUTED_VALUE"""),"Inversión")</f>
        <v>Inversión</v>
      </c>
      <c r="G50" s="9" t="str">
        <f>IFERROR(__xludf.DUMMYFUNCTION("""COMPUTED_VALUE"""),"Socio capitalista")</f>
        <v>Socio capitalista</v>
      </c>
      <c r="H50" s="9" t="str">
        <f>IFERROR(__xludf.DUMMYFUNCTION("""COMPUTED_VALUE"""),"NO")</f>
        <v>NO</v>
      </c>
      <c r="I50" s="9">
        <f>IFERROR(__xludf.DUMMYFUNCTION("""COMPUTED_VALUE"""),8.0)</f>
        <v>8</v>
      </c>
      <c r="J50" s="9">
        <f>IFERROR(__xludf.DUMMYFUNCTION("""COMPUTED_VALUE"""),7.0)</f>
        <v>7</v>
      </c>
      <c r="K50" s="14">
        <f>IFERROR(__xludf.DUMMYFUNCTION("""COMPUTED_VALUE"""),5000000.0)</f>
        <v>5000000</v>
      </c>
      <c r="L50" s="14">
        <f>IFERROR(__xludf.DUMMYFUNCTION("""COMPUTED_VALUE"""),3.7959268E7)</f>
        <v>37959268</v>
      </c>
      <c r="M50" s="14">
        <f>IFERROR(__xludf.DUMMYFUNCTION("""COMPUTED_VALUE"""),6.9132389E7)</f>
        <v>69132389</v>
      </c>
      <c r="N50" s="14">
        <f>IFERROR(__xludf.DUMMYFUNCTION("""COMPUTED_VALUE"""),9.9564796E7)</f>
        <v>99564796</v>
      </c>
    </row>
    <row r="51">
      <c r="A51" s="9">
        <f>IFERROR(__xludf.DUMMYFUNCTION("""COMPUTED_VALUE"""),93.0)</f>
        <v>93</v>
      </c>
      <c r="B51" s="9" t="str">
        <f>IFERROR(__xludf.DUMMYFUNCTION("""COMPUTED_VALUE"""),"Davida Scorton")</f>
        <v>Davida Scorton</v>
      </c>
      <c r="C51" s="9" t="str">
        <f>IFERROR(__xludf.DUMMYFUNCTION("""COMPUTED_VALUE"""),"dscorton2k@icq.com")</f>
        <v>dscorton2k@icq.com</v>
      </c>
      <c r="D51" s="9" t="str">
        <f>IFERROR(__xludf.DUMMYFUNCTION("""COMPUTED_VALUE"""),"Brasil")</f>
        <v>Brasil</v>
      </c>
      <c r="E51" s="9" t="str">
        <f>IFERROR(__xludf.DUMMYFUNCTION("""COMPUTED_VALUE"""),"Tecnología")</f>
        <v>Tecnología</v>
      </c>
      <c r="F51" s="9" t="str">
        <f>IFERROR(__xludf.DUMMYFUNCTION("""COMPUTED_VALUE"""),"Trabajo")</f>
        <v>Trabajo</v>
      </c>
      <c r="G51" s="9" t="str">
        <f>IFERROR(__xludf.DUMMYFUNCTION("""COMPUTED_VALUE"""),"Buscando trabajo")</f>
        <v>Buscando trabajo</v>
      </c>
      <c r="H51" s="9" t="str">
        <f>IFERROR(__xludf.DUMMYFUNCTION("""COMPUTED_VALUE"""),"SI")</f>
        <v>SI</v>
      </c>
      <c r="I51" s="9">
        <f>IFERROR(__xludf.DUMMYFUNCTION("""COMPUTED_VALUE"""),3.0)</f>
        <v>3</v>
      </c>
      <c r="J51" s="9">
        <f>IFERROR(__xludf.DUMMYFUNCTION("""COMPUTED_VALUE"""),6.0)</f>
        <v>6</v>
      </c>
      <c r="K51" s="14">
        <f>IFERROR(__xludf.DUMMYFUNCTION("""COMPUTED_VALUE"""),0.0)</f>
        <v>0</v>
      </c>
      <c r="L51" s="14">
        <f>IFERROR(__xludf.DUMMYFUNCTION("""COMPUTED_VALUE"""),0.0)</f>
        <v>0</v>
      </c>
      <c r="M51" s="14">
        <f>IFERROR(__xludf.DUMMYFUNCTION("""COMPUTED_VALUE"""),2.6450622E7)</f>
        <v>26450622</v>
      </c>
      <c r="N51" s="14">
        <f>IFERROR(__xludf.DUMMYFUNCTION("""COMPUTED_VALUE"""),4227264.0)</f>
        <v>4227264</v>
      </c>
    </row>
    <row r="52">
      <c r="A52" s="9">
        <f>IFERROR(__xludf.DUMMYFUNCTION("""COMPUTED_VALUE"""),94.0)</f>
        <v>94</v>
      </c>
      <c r="B52" s="9" t="str">
        <f>IFERROR(__xludf.DUMMYFUNCTION("""COMPUTED_VALUE"""),"Honoria Littley")</f>
        <v>Honoria Littley</v>
      </c>
      <c r="C52" s="9" t="str">
        <f>IFERROR(__xludf.DUMMYFUNCTION("""COMPUTED_VALUE"""),"hlittley2l@blog.com")</f>
        <v>hlittley2l@blog.com</v>
      </c>
      <c r="D52" s="9" t="str">
        <f>IFERROR(__xludf.DUMMYFUNCTION("""COMPUTED_VALUE"""),"Colombia")</f>
        <v>Colombia</v>
      </c>
      <c r="E52" s="9" t="str">
        <f>IFERROR(__xludf.DUMMYFUNCTION("""COMPUTED_VALUE"""),"Tecnología")</f>
        <v>Tecnología</v>
      </c>
      <c r="F52" s="9" t="str">
        <f>IFERROR(__xludf.DUMMYFUNCTION("""COMPUTED_VALUE"""),"Trabajo")</f>
        <v>Trabajo</v>
      </c>
      <c r="G52" s="9" t="str">
        <f>IFERROR(__xludf.DUMMYFUNCTION("""COMPUTED_VALUE"""),"Buscando trabajo")</f>
        <v>Buscando trabajo</v>
      </c>
      <c r="H52" s="9" t="str">
        <f>IFERROR(__xludf.DUMMYFUNCTION("""COMPUTED_VALUE"""),"SI")</f>
        <v>SI</v>
      </c>
      <c r="I52" s="9">
        <f>IFERROR(__xludf.DUMMYFUNCTION("""COMPUTED_VALUE"""),6.0)</f>
        <v>6</v>
      </c>
      <c r="J52" s="9">
        <f>IFERROR(__xludf.DUMMYFUNCTION("""COMPUTED_VALUE"""),5.0)</f>
        <v>5</v>
      </c>
      <c r="K52" s="14">
        <f>IFERROR(__xludf.DUMMYFUNCTION("""COMPUTED_VALUE"""),0.0)</f>
        <v>0</v>
      </c>
      <c r="L52" s="14">
        <f>IFERROR(__xludf.DUMMYFUNCTION("""COMPUTED_VALUE"""),0.0)</f>
        <v>0</v>
      </c>
      <c r="M52" s="14">
        <f>IFERROR(__xludf.DUMMYFUNCTION("""COMPUTED_VALUE"""),0.0)</f>
        <v>0</v>
      </c>
      <c r="N52" s="14">
        <f>IFERROR(__xludf.DUMMYFUNCTION("""COMPUTED_VALUE"""),5.437664E7)</f>
        <v>54376640</v>
      </c>
    </row>
    <row r="53">
      <c r="A53" s="9">
        <f>IFERROR(__xludf.DUMMYFUNCTION("""COMPUTED_VALUE"""),95.0)</f>
        <v>95</v>
      </c>
      <c r="B53" s="9" t="str">
        <f>IFERROR(__xludf.DUMMYFUNCTION("""COMPUTED_VALUE"""),"Thekla Scocroft")</f>
        <v>Thekla Scocroft</v>
      </c>
      <c r="C53" s="9" t="str">
        <f>IFERROR(__xludf.DUMMYFUNCTION("""COMPUTED_VALUE"""),"tscocroft2m@usa.gov")</f>
        <v>tscocroft2m@usa.gov</v>
      </c>
      <c r="D53" s="9" t="str">
        <f>IFERROR(__xludf.DUMMYFUNCTION("""COMPUTED_VALUE"""),"Argentina")</f>
        <v>Argentina</v>
      </c>
      <c r="E53" s="9" t="str">
        <f>IFERROR(__xludf.DUMMYFUNCTION("""COMPUTED_VALUE"""),"Tecnología")</f>
        <v>Tecnología</v>
      </c>
      <c r="F53" s="9" t="str">
        <f>IFERROR(__xludf.DUMMYFUNCTION("""COMPUTED_VALUE"""),"Inversión")</f>
        <v>Inversión</v>
      </c>
      <c r="G53" s="9" t="str">
        <f>IFERROR(__xludf.DUMMYFUNCTION("""COMPUTED_VALUE"""),"Socio de proyecto")</f>
        <v>Socio de proyecto</v>
      </c>
      <c r="H53" s="9" t="str">
        <f>IFERROR(__xludf.DUMMYFUNCTION("""COMPUTED_VALUE"""),"NO")</f>
        <v>NO</v>
      </c>
      <c r="I53" s="9">
        <f>IFERROR(__xludf.DUMMYFUNCTION("""COMPUTED_VALUE"""),7.0)</f>
        <v>7</v>
      </c>
      <c r="J53" s="9">
        <f>IFERROR(__xludf.DUMMYFUNCTION("""COMPUTED_VALUE"""),9.0)</f>
        <v>9</v>
      </c>
      <c r="K53" s="14">
        <f>IFERROR(__xludf.DUMMYFUNCTION("""COMPUTED_VALUE"""),9.0E7)</f>
        <v>90000000</v>
      </c>
      <c r="L53" s="14">
        <f>IFERROR(__xludf.DUMMYFUNCTION("""COMPUTED_VALUE"""),2.9991873E7)</f>
        <v>29991873</v>
      </c>
      <c r="M53" s="14">
        <f>IFERROR(__xludf.DUMMYFUNCTION("""COMPUTED_VALUE"""),3.9252741E7)</f>
        <v>39252741</v>
      </c>
      <c r="N53" s="14">
        <f>IFERROR(__xludf.DUMMYFUNCTION("""COMPUTED_VALUE"""),1.5542722E7)</f>
        <v>15542722</v>
      </c>
    </row>
    <row r="54">
      <c r="A54" s="9">
        <f>IFERROR(__xludf.DUMMYFUNCTION("""COMPUTED_VALUE"""),96.0)</f>
        <v>96</v>
      </c>
      <c r="B54" s="9" t="str">
        <f>IFERROR(__xludf.DUMMYFUNCTION("""COMPUTED_VALUE"""),"Cody Jouhan")</f>
        <v>Cody Jouhan</v>
      </c>
      <c r="C54" s="9" t="str">
        <f>IFERROR(__xludf.DUMMYFUNCTION("""COMPUTED_VALUE"""),"cjouhan2n@oracle.com")</f>
        <v>cjouhan2n@oracle.com</v>
      </c>
      <c r="D54" s="9" t="str">
        <f>IFERROR(__xludf.DUMMYFUNCTION("""COMPUTED_VALUE"""),"Argentina")</f>
        <v>Argentina</v>
      </c>
      <c r="E54" s="9" t="str">
        <f>IFERROR(__xludf.DUMMYFUNCTION("""COMPUTED_VALUE"""),"Tecnología")</f>
        <v>Tecnología</v>
      </c>
      <c r="F54" s="9" t="str">
        <f>IFERROR(__xludf.DUMMYFUNCTION("""COMPUTED_VALUE"""),"Inversión")</f>
        <v>Inversión</v>
      </c>
      <c r="G54" s="9" t="str">
        <f>IFERROR(__xludf.DUMMYFUNCTION("""COMPUTED_VALUE"""),"Socio de proyecto")</f>
        <v>Socio de proyecto</v>
      </c>
      <c r="H54" s="9" t="str">
        <f>IFERROR(__xludf.DUMMYFUNCTION("""COMPUTED_VALUE"""),"NO")</f>
        <v>NO</v>
      </c>
      <c r="I54" s="9">
        <f>IFERROR(__xludf.DUMMYFUNCTION("""COMPUTED_VALUE"""),6.0)</f>
        <v>6</v>
      </c>
      <c r="J54" s="9">
        <f>IFERROR(__xludf.DUMMYFUNCTION("""COMPUTED_VALUE"""),10.0)</f>
        <v>10</v>
      </c>
      <c r="K54" s="14">
        <f>IFERROR(__xludf.DUMMYFUNCTION("""COMPUTED_VALUE"""),1.0E7)</f>
        <v>10000000</v>
      </c>
      <c r="L54" s="14">
        <f>IFERROR(__xludf.DUMMYFUNCTION("""COMPUTED_VALUE"""),7303129.0)</f>
        <v>7303129</v>
      </c>
      <c r="M54" s="14">
        <f>IFERROR(__xludf.DUMMYFUNCTION("""COMPUTED_VALUE"""),3765621.0)</f>
        <v>3765621</v>
      </c>
      <c r="N54" s="14">
        <f>IFERROR(__xludf.DUMMYFUNCTION("""COMPUTED_VALUE"""),1.8125151E7)</f>
        <v>18125151</v>
      </c>
    </row>
    <row r="55">
      <c r="A55" s="9">
        <f>IFERROR(__xludf.DUMMYFUNCTION("""COMPUTED_VALUE"""),97.0)</f>
        <v>97</v>
      </c>
      <c r="B55" s="9" t="str">
        <f>IFERROR(__xludf.DUMMYFUNCTION("""COMPUTED_VALUE"""),"Deena McIllroy")</f>
        <v>Deena McIllroy</v>
      </c>
      <c r="C55" s="9" t="str">
        <f>IFERROR(__xludf.DUMMYFUNCTION("""COMPUTED_VALUE"""),"dmcillroy2o@redcross.org")</f>
        <v>dmcillroy2o@redcross.org</v>
      </c>
      <c r="D55" s="9" t="str">
        <f>IFERROR(__xludf.DUMMYFUNCTION("""COMPUTED_VALUE"""),"Uruguay")</f>
        <v>Uruguay</v>
      </c>
      <c r="E55" s="9" t="str">
        <f>IFERROR(__xludf.DUMMYFUNCTION("""COMPUTED_VALUE"""),"Tecnología")</f>
        <v>Tecnología</v>
      </c>
      <c r="F55" s="9" t="str">
        <f>IFERROR(__xludf.DUMMYFUNCTION("""COMPUTED_VALUE"""),"Inversión")</f>
        <v>Inversión</v>
      </c>
      <c r="G55" s="9" t="str">
        <f>IFERROR(__xludf.DUMMYFUNCTION("""COMPUTED_VALUE"""),"Socio de proyecto")</f>
        <v>Socio de proyecto</v>
      </c>
      <c r="H55" s="9" t="str">
        <f>IFERROR(__xludf.DUMMYFUNCTION("""COMPUTED_VALUE"""),"NO")</f>
        <v>NO</v>
      </c>
      <c r="I55" s="9">
        <f>IFERROR(__xludf.DUMMYFUNCTION("""COMPUTED_VALUE"""),3.0)</f>
        <v>3</v>
      </c>
      <c r="J55" s="9">
        <f>IFERROR(__xludf.DUMMYFUNCTION("""COMPUTED_VALUE"""),9.0)</f>
        <v>9</v>
      </c>
      <c r="K55" s="14">
        <f>IFERROR(__xludf.DUMMYFUNCTION("""COMPUTED_VALUE"""),3.0E7)</f>
        <v>30000000</v>
      </c>
      <c r="L55" s="14">
        <f>IFERROR(__xludf.DUMMYFUNCTION("""COMPUTED_VALUE"""),4.4457754E7)</f>
        <v>44457754</v>
      </c>
      <c r="M55" s="14">
        <f>IFERROR(__xludf.DUMMYFUNCTION("""COMPUTED_VALUE"""),0.0)</f>
        <v>0</v>
      </c>
      <c r="N55" s="14">
        <f>IFERROR(__xludf.DUMMYFUNCTION("""COMPUTED_VALUE"""),6.2249765E7)</f>
        <v>62249765</v>
      </c>
    </row>
    <row r="56">
      <c r="A56" s="9">
        <f>IFERROR(__xludf.DUMMYFUNCTION("""COMPUTED_VALUE"""),98.0)</f>
        <v>98</v>
      </c>
      <c r="B56" s="9" t="str">
        <f>IFERROR(__xludf.DUMMYFUNCTION("""COMPUTED_VALUE"""),"Madison Moulds")</f>
        <v>Madison Moulds</v>
      </c>
      <c r="C56" s="9" t="str">
        <f>IFERROR(__xludf.DUMMYFUNCTION("""COMPUTED_VALUE"""),"mmoulds2p@jiathis.com")</f>
        <v>mmoulds2p@jiathis.com</v>
      </c>
      <c r="D56" s="9" t="str">
        <f>IFERROR(__xludf.DUMMYFUNCTION("""COMPUTED_VALUE"""),"Colombia")</f>
        <v>Colombia</v>
      </c>
      <c r="E56" s="9" t="str">
        <f>IFERROR(__xludf.DUMMYFUNCTION("""COMPUTED_VALUE"""),"Tecnología")</f>
        <v>Tecnología</v>
      </c>
      <c r="F56" s="9" t="str">
        <f>IFERROR(__xludf.DUMMYFUNCTION("""COMPUTED_VALUE"""),"Inversión")</f>
        <v>Inversión</v>
      </c>
      <c r="G56" s="9" t="str">
        <f>IFERROR(__xludf.DUMMYFUNCTION("""COMPUTED_VALUE"""),"Socio capitalista")</f>
        <v>Socio capitalista</v>
      </c>
      <c r="H56" s="9" t="str">
        <f>IFERROR(__xludf.DUMMYFUNCTION("""COMPUTED_VALUE"""),"NO")</f>
        <v>NO</v>
      </c>
      <c r="I56" s="9">
        <f>IFERROR(__xludf.DUMMYFUNCTION("""COMPUTED_VALUE"""),4.0)</f>
        <v>4</v>
      </c>
      <c r="J56" s="9">
        <f>IFERROR(__xludf.DUMMYFUNCTION("""COMPUTED_VALUE"""),10.0)</f>
        <v>10</v>
      </c>
      <c r="K56" s="14">
        <f>IFERROR(__xludf.DUMMYFUNCTION("""COMPUTED_VALUE"""),1.0E7)</f>
        <v>10000000</v>
      </c>
      <c r="L56" s="14">
        <f>IFERROR(__xludf.DUMMYFUNCTION("""COMPUTED_VALUE"""),5.4467236E7)</f>
        <v>54467236</v>
      </c>
      <c r="M56" s="14">
        <f>IFERROR(__xludf.DUMMYFUNCTION("""COMPUTED_VALUE"""),0.0)</f>
        <v>0</v>
      </c>
      <c r="N56" s="14">
        <f>IFERROR(__xludf.DUMMYFUNCTION("""COMPUTED_VALUE"""),1234692.0)</f>
        <v>1234692</v>
      </c>
    </row>
    <row r="57">
      <c r="A57" s="9">
        <f>IFERROR(__xludf.DUMMYFUNCTION("""COMPUTED_VALUE"""),99.0)</f>
        <v>99</v>
      </c>
      <c r="B57" s="9" t="str">
        <f>IFERROR(__xludf.DUMMYFUNCTION("""COMPUTED_VALUE"""),"Gustaf Jeffcoat")</f>
        <v>Gustaf Jeffcoat</v>
      </c>
      <c r="C57" s="9" t="str">
        <f>IFERROR(__xludf.DUMMYFUNCTION("""COMPUTED_VALUE"""),"gjeffcoat2q@tuttocitta.it")</f>
        <v>gjeffcoat2q@tuttocitta.it</v>
      </c>
      <c r="D57" s="9" t="str">
        <f>IFERROR(__xludf.DUMMYFUNCTION("""COMPUTED_VALUE"""),"Brasil")</f>
        <v>Brasil</v>
      </c>
      <c r="E57" s="9" t="str">
        <f>IFERROR(__xludf.DUMMYFUNCTION("""COMPUTED_VALUE"""),"Tecnología")</f>
        <v>Tecnología</v>
      </c>
      <c r="F57" s="9" t="str">
        <f>IFERROR(__xludf.DUMMYFUNCTION("""COMPUTED_VALUE"""),"Inversión")</f>
        <v>Inversión</v>
      </c>
      <c r="G57" s="9" t="str">
        <f>IFERROR(__xludf.DUMMYFUNCTION("""COMPUTED_VALUE"""),"Socio de proyecto")</f>
        <v>Socio de proyecto</v>
      </c>
      <c r="H57" s="9" t="str">
        <f>IFERROR(__xludf.DUMMYFUNCTION("""COMPUTED_VALUE"""),"NO")</f>
        <v>NO</v>
      </c>
      <c r="I57" s="9">
        <f>IFERROR(__xludf.DUMMYFUNCTION("""COMPUTED_VALUE"""),4.0)</f>
        <v>4</v>
      </c>
      <c r="J57" s="9">
        <f>IFERROR(__xludf.DUMMYFUNCTION("""COMPUTED_VALUE"""),10.0)</f>
        <v>10</v>
      </c>
      <c r="K57" s="14">
        <f>IFERROR(__xludf.DUMMYFUNCTION("""COMPUTED_VALUE"""),1.0E7)</f>
        <v>10000000</v>
      </c>
      <c r="L57" s="14">
        <f>IFERROR(__xludf.DUMMYFUNCTION("""COMPUTED_VALUE"""),1.7991607E7)</f>
        <v>17991607</v>
      </c>
      <c r="M57" s="14">
        <f>IFERROR(__xludf.DUMMYFUNCTION("""COMPUTED_VALUE"""),0.0)</f>
        <v>0</v>
      </c>
      <c r="N57" s="14">
        <f>IFERROR(__xludf.DUMMYFUNCTION("""COMPUTED_VALUE"""),174626.0)</f>
        <v>174626</v>
      </c>
    </row>
    <row r="58">
      <c r="A58" s="9">
        <f>IFERROR(__xludf.DUMMYFUNCTION("""COMPUTED_VALUE"""),100.0)</f>
        <v>100</v>
      </c>
      <c r="B58" s="9" t="str">
        <f>IFERROR(__xludf.DUMMYFUNCTION("""COMPUTED_VALUE"""),"Gay Biner")</f>
        <v>Gay Biner</v>
      </c>
      <c r="C58" s="9" t="str">
        <f>IFERROR(__xludf.DUMMYFUNCTION("""COMPUTED_VALUE"""),"gbiner2r@yelp.com")</f>
        <v>gbiner2r@yelp.com</v>
      </c>
      <c r="D58" s="9" t="str">
        <f>IFERROR(__xludf.DUMMYFUNCTION("""COMPUTED_VALUE"""),"Uruguay")</f>
        <v>Uruguay</v>
      </c>
      <c r="E58" s="9" t="str">
        <f>IFERROR(__xludf.DUMMYFUNCTION("""COMPUTED_VALUE"""),"Tecnología")</f>
        <v>Tecnología</v>
      </c>
      <c r="F58" s="9" t="str">
        <f>IFERROR(__xludf.DUMMYFUNCTION("""COMPUTED_VALUE"""),"Trabajo")</f>
        <v>Trabajo</v>
      </c>
      <c r="G58" s="9" t="str">
        <f>IFERROR(__xludf.DUMMYFUNCTION("""COMPUTED_VALUE"""),"Ofreciendo trabajo")</f>
        <v>Ofreciendo trabajo</v>
      </c>
      <c r="H58" s="9" t="str">
        <f>IFERROR(__xludf.DUMMYFUNCTION("""COMPUTED_VALUE"""),"NO")</f>
        <v>NO</v>
      </c>
      <c r="I58" s="9">
        <f>IFERROR(__xludf.DUMMYFUNCTION("""COMPUTED_VALUE"""),5.0)</f>
        <v>5</v>
      </c>
      <c r="J58" s="9">
        <f>IFERROR(__xludf.DUMMYFUNCTION("""COMPUTED_VALUE"""),10.0)</f>
        <v>10</v>
      </c>
      <c r="K58" s="14">
        <f>IFERROR(__xludf.DUMMYFUNCTION("""COMPUTED_VALUE"""),0.0)</f>
        <v>0</v>
      </c>
      <c r="L58" s="14">
        <f>IFERROR(__xludf.DUMMYFUNCTION("""COMPUTED_VALUE"""),0.0)</f>
        <v>0</v>
      </c>
      <c r="M58" s="14">
        <f>IFERROR(__xludf.DUMMYFUNCTION("""COMPUTED_VALUE"""),2.4965127E7)</f>
        <v>24965127</v>
      </c>
      <c r="N58" s="14">
        <f>IFERROR(__xludf.DUMMYFUNCTION("""COMPUTED_VALUE"""),4.1129782E7)</f>
        <v>41129782</v>
      </c>
    </row>
    <row r="59">
      <c r="A59" s="9">
        <f>IFERROR(__xludf.DUMMYFUNCTION("""COMPUTED_VALUE"""),103.0)</f>
        <v>103</v>
      </c>
      <c r="B59" s="9" t="str">
        <f>IFERROR(__xludf.DUMMYFUNCTION("""COMPUTED_VALUE"""),"Deedee Hansel")</f>
        <v>Deedee Hansel</v>
      </c>
      <c r="C59" s="9" t="str">
        <f>IFERROR(__xludf.DUMMYFUNCTION("""COMPUTED_VALUE"""),"dhansel2u@is.gd")</f>
        <v>dhansel2u@is.gd</v>
      </c>
      <c r="D59" s="9" t="str">
        <f>IFERROR(__xludf.DUMMYFUNCTION("""COMPUTED_VALUE"""),"Ecuador")</f>
        <v>Ecuador</v>
      </c>
      <c r="E59" s="9" t="str">
        <f>IFERROR(__xludf.DUMMYFUNCTION("""COMPUTED_VALUE"""),"Tecnología")</f>
        <v>Tecnología</v>
      </c>
      <c r="F59" s="9" t="str">
        <f>IFERROR(__xludf.DUMMYFUNCTION("""COMPUTED_VALUE"""),"Inversión")</f>
        <v>Inversión</v>
      </c>
      <c r="G59" s="9" t="str">
        <f>IFERROR(__xludf.DUMMYFUNCTION("""COMPUTED_VALUE"""),"Socio de proyecto")</f>
        <v>Socio de proyecto</v>
      </c>
      <c r="H59" s="9" t="str">
        <f>IFERROR(__xludf.DUMMYFUNCTION("""COMPUTED_VALUE"""),"NO")</f>
        <v>NO</v>
      </c>
      <c r="I59" s="9">
        <f>IFERROR(__xludf.DUMMYFUNCTION("""COMPUTED_VALUE"""),5.0)</f>
        <v>5</v>
      </c>
      <c r="J59" s="9">
        <f>IFERROR(__xludf.DUMMYFUNCTION("""COMPUTED_VALUE"""),7.0)</f>
        <v>7</v>
      </c>
      <c r="K59" s="14">
        <f>IFERROR(__xludf.DUMMYFUNCTION("""COMPUTED_VALUE"""),1.0E7)</f>
        <v>10000000</v>
      </c>
      <c r="L59" s="14">
        <f>IFERROR(__xludf.DUMMYFUNCTION("""COMPUTED_VALUE"""),4.3538967E7)</f>
        <v>43538967</v>
      </c>
      <c r="M59" s="14">
        <f>IFERROR(__xludf.DUMMYFUNCTION("""COMPUTED_VALUE"""),5161300.0)</f>
        <v>5161300</v>
      </c>
      <c r="N59" s="14">
        <f>IFERROR(__xludf.DUMMYFUNCTION("""COMPUTED_VALUE"""),8.5417673E7)</f>
        <v>85417673</v>
      </c>
    </row>
    <row r="60">
      <c r="A60" s="9">
        <f>IFERROR(__xludf.DUMMYFUNCTION("""COMPUTED_VALUE"""),104.0)</f>
        <v>104</v>
      </c>
      <c r="B60" s="9" t="str">
        <f>IFERROR(__xludf.DUMMYFUNCTION("""COMPUTED_VALUE"""),"Lamond Sprague")</f>
        <v>Lamond Sprague</v>
      </c>
      <c r="C60" s="9" t="str">
        <f>IFERROR(__xludf.DUMMYFUNCTION("""COMPUTED_VALUE"""),"lsprague2v@cmu.edu")</f>
        <v>lsprague2v@cmu.edu</v>
      </c>
      <c r="D60" s="9" t="str">
        <f>IFERROR(__xludf.DUMMYFUNCTION("""COMPUTED_VALUE"""),"Perú")</f>
        <v>Perú</v>
      </c>
      <c r="E60" s="9" t="str">
        <f>IFERROR(__xludf.DUMMYFUNCTION("""COMPUTED_VALUE"""),"Tecnología")</f>
        <v>Tecnología</v>
      </c>
      <c r="F60" s="9" t="str">
        <f>IFERROR(__xludf.DUMMYFUNCTION("""COMPUTED_VALUE"""),"Inversión")</f>
        <v>Inversión</v>
      </c>
      <c r="G60" s="9" t="str">
        <f>IFERROR(__xludf.DUMMYFUNCTION("""COMPUTED_VALUE"""),"Socio de proyecto")</f>
        <v>Socio de proyecto</v>
      </c>
      <c r="H60" s="9" t="str">
        <f>IFERROR(__xludf.DUMMYFUNCTION("""COMPUTED_VALUE"""),"SI")</f>
        <v>SI</v>
      </c>
      <c r="I60" s="9">
        <f>IFERROR(__xludf.DUMMYFUNCTION("""COMPUTED_VALUE"""),6.0)</f>
        <v>6</v>
      </c>
      <c r="J60" s="9">
        <f>IFERROR(__xludf.DUMMYFUNCTION("""COMPUTED_VALUE"""),9.0)</f>
        <v>9</v>
      </c>
      <c r="K60" s="14">
        <f>IFERROR(__xludf.DUMMYFUNCTION("""COMPUTED_VALUE"""),1000000.0)</f>
        <v>1000000</v>
      </c>
      <c r="L60" s="14">
        <f>IFERROR(__xludf.DUMMYFUNCTION("""COMPUTED_VALUE"""),9.5899452E7)</f>
        <v>95899452</v>
      </c>
      <c r="M60" s="14">
        <f>IFERROR(__xludf.DUMMYFUNCTION("""COMPUTED_VALUE"""),2565664.0)</f>
        <v>2565664</v>
      </c>
      <c r="N60" s="14">
        <f>IFERROR(__xludf.DUMMYFUNCTION("""COMPUTED_VALUE"""),3.9602953E7)</f>
        <v>39602953</v>
      </c>
    </row>
    <row r="61">
      <c r="A61" s="9">
        <f>IFERROR(__xludf.DUMMYFUNCTION("""COMPUTED_VALUE"""),105.0)</f>
        <v>105</v>
      </c>
      <c r="B61" s="9" t="str">
        <f>IFERROR(__xludf.DUMMYFUNCTION("""COMPUTED_VALUE"""),"Skye Trill")</f>
        <v>Skye Trill</v>
      </c>
      <c r="C61" s="9" t="str">
        <f>IFERROR(__xludf.DUMMYFUNCTION("""COMPUTED_VALUE"""),"strill2w@amazon.de")</f>
        <v>strill2w@amazon.de</v>
      </c>
      <c r="D61" s="9" t="str">
        <f>IFERROR(__xludf.DUMMYFUNCTION("""COMPUTED_VALUE"""),"Paraguay")</f>
        <v>Paraguay</v>
      </c>
      <c r="E61" s="9" t="str">
        <f>IFERROR(__xludf.DUMMYFUNCTION("""COMPUTED_VALUE"""),"Tecnología")</f>
        <v>Tecnología</v>
      </c>
      <c r="F61" s="9" t="str">
        <f>IFERROR(__xludf.DUMMYFUNCTION("""COMPUTED_VALUE"""),"Inversión")</f>
        <v>Inversión</v>
      </c>
      <c r="G61" s="9" t="str">
        <f>IFERROR(__xludf.DUMMYFUNCTION("""COMPUTED_VALUE"""),"Socio de proyecto")</f>
        <v>Socio de proyecto</v>
      </c>
      <c r="H61" s="9" t="str">
        <f>IFERROR(__xludf.DUMMYFUNCTION("""COMPUTED_VALUE"""),"SI")</f>
        <v>SI</v>
      </c>
      <c r="I61" s="9">
        <f>IFERROR(__xludf.DUMMYFUNCTION("""COMPUTED_VALUE"""),6.0)</f>
        <v>6</v>
      </c>
      <c r="J61" s="9">
        <f>IFERROR(__xludf.DUMMYFUNCTION("""COMPUTED_VALUE"""),5.0)</f>
        <v>5</v>
      </c>
      <c r="K61" s="14">
        <f>IFERROR(__xludf.DUMMYFUNCTION("""COMPUTED_VALUE"""),1000000.0)</f>
        <v>1000000</v>
      </c>
      <c r="L61" s="14">
        <f>IFERROR(__xludf.DUMMYFUNCTION("""COMPUTED_VALUE"""),8.1347428E7)</f>
        <v>81347428</v>
      </c>
      <c r="M61" s="14">
        <f>IFERROR(__xludf.DUMMYFUNCTION("""COMPUTED_VALUE"""),1.0860215E7)</f>
        <v>10860215</v>
      </c>
      <c r="N61" s="14">
        <f>IFERROR(__xludf.DUMMYFUNCTION("""COMPUTED_VALUE"""),2.863729E7)</f>
        <v>28637290</v>
      </c>
    </row>
    <row r="62">
      <c r="A62" s="9">
        <f>IFERROR(__xludf.DUMMYFUNCTION("""COMPUTED_VALUE"""),107.0)</f>
        <v>107</v>
      </c>
      <c r="B62" s="9" t="str">
        <f>IFERROR(__xludf.DUMMYFUNCTION("""COMPUTED_VALUE"""),"Libby Adriaan")</f>
        <v>Libby Adriaan</v>
      </c>
      <c r="C62" s="9" t="str">
        <f>IFERROR(__xludf.DUMMYFUNCTION("""COMPUTED_VALUE"""),"ladriaan2y@tinypic.com")</f>
        <v>ladriaan2y@tinypic.com</v>
      </c>
      <c r="D62" s="9" t="str">
        <f>IFERROR(__xludf.DUMMYFUNCTION("""COMPUTED_VALUE"""),"Chile")</f>
        <v>Chile</v>
      </c>
      <c r="E62" s="9" t="str">
        <f>IFERROR(__xludf.DUMMYFUNCTION("""COMPUTED_VALUE"""),"Tecnología")</f>
        <v>Tecnología</v>
      </c>
      <c r="F62" s="9" t="str">
        <f>IFERROR(__xludf.DUMMYFUNCTION("""COMPUTED_VALUE"""),"Inversión")</f>
        <v>Inversión</v>
      </c>
      <c r="G62" s="9" t="str">
        <f>IFERROR(__xludf.DUMMYFUNCTION("""COMPUTED_VALUE"""),"Socio de proyecto")</f>
        <v>Socio de proyecto</v>
      </c>
      <c r="H62" s="9" t="str">
        <f>IFERROR(__xludf.DUMMYFUNCTION("""COMPUTED_VALUE"""),"SI")</f>
        <v>SI</v>
      </c>
      <c r="I62" s="9">
        <f>IFERROR(__xludf.DUMMYFUNCTION("""COMPUTED_VALUE"""),7.0)</f>
        <v>7</v>
      </c>
      <c r="J62" s="9">
        <f>IFERROR(__xludf.DUMMYFUNCTION("""COMPUTED_VALUE"""),8.0)</f>
        <v>8</v>
      </c>
      <c r="K62" s="14">
        <f>IFERROR(__xludf.DUMMYFUNCTION("""COMPUTED_VALUE"""),1.0E7)</f>
        <v>10000000</v>
      </c>
      <c r="L62" s="14">
        <f>IFERROR(__xludf.DUMMYFUNCTION("""COMPUTED_VALUE"""),9.6199053E7)</f>
        <v>96199053</v>
      </c>
      <c r="M62" s="14">
        <f>IFERROR(__xludf.DUMMYFUNCTION("""COMPUTED_VALUE"""),3.1746355E7)</f>
        <v>31746355</v>
      </c>
      <c r="N62" s="14">
        <f>IFERROR(__xludf.DUMMYFUNCTION("""COMPUTED_VALUE"""),8.0063468E7)</f>
        <v>80063468</v>
      </c>
    </row>
    <row r="63">
      <c r="A63" s="9">
        <f>IFERROR(__xludf.DUMMYFUNCTION("""COMPUTED_VALUE"""),108.0)</f>
        <v>108</v>
      </c>
      <c r="B63" s="9" t="str">
        <f>IFERROR(__xludf.DUMMYFUNCTION("""COMPUTED_VALUE"""),"Calhoun Sharram")</f>
        <v>Calhoun Sharram</v>
      </c>
      <c r="C63" s="9" t="str">
        <f>IFERROR(__xludf.DUMMYFUNCTION("""COMPUTED_VALUE"""),"csharram2z@php.net")</f>
        <v>csharram2z@php.net</v>
      </c>
      <c r="D63" s="9" t="str">
        <f>IFERROR(__xludf.DUMMYFUNCTION("""COMPUTED_VALUE"""),"Colombia")</f>
        <v>Colombia</v>
      </c>
      <c r="E63" s="9" t="str">
        <f>IFERROR(__xludf.DUMMYFUNCTION("""COMPUTED_VALUE"""),"Tecnología")</f>
        <v>Tecnología</v>
      </c>
      <c r="F63" s="9" t="str">
        <f>IFERROR(__xludf.DUMMYFUNCTION("""COMPUTED_VALUE"""),"Inversión")</f>
        <v>Inversión</v>
      </c>
      <c r="G63" s="9" t="str">
        <f>IFERROR(__xludf.DUMMYFUNCTION("""COMPUTED_VALUE"""),"Socio de proyecto")</f>
        <v>Socio de proyecto</v>
      </c>
      <c r="H63" s="9" t="str">
        <f>IFERROR(__xludf.DUMMYFUNCTION("""COMPUTED_VALUE"""),"NO")</f>
        <v>NO</v>
      </c>
      <c r="I63" s="9">
        <f>IFERROR(__xludf.DUMMYFUNCTION("""COMPUTED_VALUE"""),9.0)</f>
        <v>9</v>
      </c>
      <c r="J63" s="9">
        <f>IFERROR(__xludf.DUMMYFUNCTION("""COMPUTED_VALUE"""),10.0)</f>
        <v>10</v>
      </c>
      <c r="K63" s="14">
        <f>IFERROR(__xludf.DUMMYFUNCTION("""COMPUTED_VALUE"""),1000000.0)</f>
        <v>1000000</v>
      </c>
      <c r="L63" s="14">
        <f>IFERROR(__xludf.DUMMYFUNCTION("""COMPUTED_VALUE"""),7.1783742E7)</f>
        <v>71783742</v>
      </c>
      <c r="M63" s="14">
        <f>IFERROR(__xludf.DUMMYFUNCTION("""COMPUTED_VALUE"""),6.4667814E7)</f>
        <v>64667814</v>
      </c>
      <c r="N63" s="14">
        <f>IFERROR(__xludf.DUMMYFUNCTION("""COMPUTED_VALUE"""),7.065318E7)</f>
        <v>70653180</v>
      </c>
    </row>
    <row r="64">
      <c r="A64" s="9">
        <f>IFERROR(__xludf.DUMMYFUNCTION("""COMPUTED_VALUE"""),111.0)</f>
        <v>111</v>
      </c>
      <c r="B64" s="9" t="str">
        <f>IFERROR(__xludf.DUMMYFUNCTION("""COMPUTED_VALUE"""),"Erda Giff")</f>
        <v>Erda Giff</v>
      </c>
      <c r="C64" s="9" t="str">
        <f>IFERROR(__xludf.DUMMYFUNCTION("""COMPUTED_VALUE"""),"egiff32@cmu.edu")</f>
        <v>egiff32@cmu.edu</v>
      </c>
      <c r="D64" s="9" t="str">
        <f>IFERROR(__xludf.DUMMYFUNCTION("""COMPUTED_VALUE"""),"Perú")</f>
        <v>Perú</v>
      </c>
      <c r="E64" s="9" t="str">
        <f>IFERROR(__xludf.DUMMYFUNCTION("""COMPUTED_VALUE"""),"Tecnología")</f>
        <v>Tecnología</v>
      </c>
      <c r="F64" s="9" t="str">
        <f>IFERROR(__xludf.DUMMYFUNCTION("""COMPUTED_VALUE"""),"Inversión")</f>
        <v>Inversión</v>
      </c>
      <c r="G64" s="9" t="str">
        <f>IFERROR(__xludf.DUMMYFUNCTION("""COMPUTED_VALUE"""),"Socio de proyecto")</f>
        <v>Socio de proyecto</v>
      </c>
      <c r="H64" s="9" t="str">
        <f>IFERROR(__xludf.DUMMYFUNCTION("""COMPUTED_VALUE"""),"SI")</f>
        <v>SI</v>
      </c>
      <c r="I64" s="9">
        <f>IFERROR(__xludf.DUMMYFUNCTION("""COMPUTED_VALUE"""),9.0)</f>
        <v>9</v>
      </c>
      <c r="J64" s="9">
        <f>IFERROR(__xludf.DUMMYFUNCTION("""COMPUTED_VALUE"""),8.0)</f>
        <v>8</v>
      </c>
      <c r="K64" s="14">
        <f>IFERROR(__xludf.DUMMYFUNCTION("""COMPUTED_VALUE"""),3.0E7)</f>
        <v>30000000</v>
      </c>
      <c r="L64" s="14">
        <f>IFERROR(__xludf.DUMMYFUNCTION("""COMPUTED_VALUE"""),3.3477783E7)</f>
        <v>33477783</v>
      </c>
      <c r="M64" s="14">
        <f>IFERROR(__xludf.DUMMYFUNCTION("""COMPUTED_VALUE"""),0.0)</f>
        <v>0</v>
      </c>
      <c r="N64" s="14">
        <f>IFERROR(__xludf.DUMMYFUNCTION("""COMPUTED_VALUE"""),2.7651635E7)</f>
        <v>27651635</v>
      </c>
    </row>
    <row r="65">
      <c r="A65" s="9">
        <f>IFERROR(__xludf.DUMMYFUNCTION("""COMPUTED_VALUE"""),113.0)</f>
        <v>113</v>
      </c>
      <c r="B65" s="9" t="str">
        <f>IFERROR(__xludf.DUMMYFUNCTION("""COMPUTED_VALUE"""),"Gradey Meadows")</f>
        <v>Gradey Meadows</v>
      </c>
      <c r="C65" s="9" t="str">
        <f>IFERROR(__xludf.DUMMYFUNCTION("""COMPUTED_VALUE"""),"gmeadows34@list-manage.com")</f>
        <v>gmeadows34@list-manage.com</v>
      </c>
      <c r="D65" s="9" t="str">
        <f>IFERROR(__xludf.DUMMYFUNCTION("""COMPUTED_VALUE"""),"Argentina")</f>
        <v>Argentina</v>
      </c>
      <c r="E65" s="9" t="str">
        <f>IFERROR(__xludf.DUMMYFUNCTION("""COMPUTED_VALUE"""),"Tecnología")</f>
        <v>Tecnología</v>
      </c>
      <c r="F65" s="9" t="str">
        <f>IFERROR(__xludf.DUMMYFUNCTION("""COMPUTED_VALUE"""),"Inversión")</f>
        <v>Inversión</v>
      </c>
      <c r="G65" s="9" t="str">
        <f>IFERROR(__xludf.DUMMYFUNCTION("""COMPUTED_VALUE"""),"Socio capitalista")</f>
        <v>Socio capitalista</v>
      </c>
      <c r="H65" s="9" t="str">
        <f>IFERROR(__xludf.DUMMYFUNCTION("""COMPUTED_VALUE"""),"NO")</f>
        <v>NO</v>
      </c>
      <c r="I65" s="9">
        <f>IFERROR(__xludf.DUMMYFUNCTION("""COMPUTED_VALUE"""),8.0)</f>
        <v>8</v>
      </c>
      <c r="J65" s="9">
        <f>IFERROR(__xludf.DUMMYFUNCTION("""COMPUTED_VALUE"""),6.0)</f>
        <v>6</v>
      </c>
      <c r="K65" s="14">
        <f>IFERROR(__xludf.DUMMYFUNCTION("""COMPUTED_VALUE"""),5.0E7)</f>
        <v>50000000</v>
      </c>
      <c r="L65" s="14">
        <f>IFERROR(__xludf.DUMMYFUNCTION("""COMPUTED_VALUE"""),7.0787848E7)</f>
        <v>70787848</v>
      </c>
      <c r="M65" s="14">
        <f>IFERROR(__xludf.DUMMYFUNCTION("""COMPUTED_VALUE"""),3.3368202E7)</f>
        <v>33368202</v>
      </c>
      <c r="N65" s="14">
        <f>IFERROR(__xludf.DUMMYFUNCTION("""COMPUTED_VALUE"""),4.3277527E7)</f>
        <v>43277527</v>
      </c>
    </row>
    <row r="66">
      <c r="A66" s="9">
        <f>IFERROR(__xludf.DUMMYFUNCTION("""COMPUTED_VALUE"""),114.0)</f>
        <v>114</v>
      </c>
      <c r="B66" s="9" t="str">
        <f>IFERROR(__xludf.DUMMYFUNCTION("""COMPUTED_VALUE"""),"Josi Hayball")</f>
        <v>Josi Hayball</v>
      </c>
      <c r="C66" s="9" t="str">
        <f>IFERROR(__xludf.DUMMYFUNCTION("""COMPUTED_VALUE"""),"jhayball35@google.it")</f>
        <v>jhayball35@google.it</v>
      </c>
      <c r="D66" s="9" t="str">
        <f>IFERROR(__xludf.DUMMYFUNCTION("""COMPUTED_VALUE"""),"Perú")</f>
        <v>Perú</v>
      </c>
      <c r="E66" s="9" t="str">
        <f>IFERROR(__xludf.DUMMYFUNCTION("""COMPUTED_VALUE"""),"Tecnología")</f>
        <v>Tecnología</v>
      </c>
      <c r="F66" s="9" t="str">
        <f>IFERROR(__xludf.DUMMYFUNCTION("""COMPUTED_VALUE"""),"Trabajo")</f>
        <v>Trabajo</v>
      </c>
      <c r="G66" s="9" t="str">
        <f>IFERROR(__xludf.DUMMYFUNCTION("""COMPUTED_VALUE"""),"Ofreciendo trabajo")</f>
        <v>Ofreciendo trabajo</v>
      </c>
      <c r="H66" s="9" t="str">
        <f>IFERROR(__xludf.DUMMYFUNCTION("""COMPUTED_VALUE"""),"SI")</f>
        <v>SI</v>
      </c>
      <c r="I66" s="9">
        <f>IFERROR(__xludf.DUMMYFUNCTION("""COMPUTED_VALUE"""),6.0)</f>
        <v>6</v>
      </c>
      <c r="J66" s="9">
        <f>IFERROR(__xludf.DUMMYFUNCTION("""COMPUTED_VALUE"""),9.0)</f>
        <v>9</v>
      </c>
      <c r="K66" s="14">
        <f>IFERROR(__xludf.DUMMYFUNCTION("""COMPUTED_VALUE"""),0.0)</f>
        <v>0</v>
      </c>
      <c r="L66" s="14">
        <f>IFERROR(__xludf.DUMMYFUNCTION("""COMPUTED_VALUE"""),0.0)</f>
        <v>0</v>
      </c>
      <c r="M66" s="14">
        <f>IFERROR(__xludf.DUMMYFUNCTION("""COMPUTED_VALUE"""),4.6563396E7)</f>
        <v>46563396</v>
      </c>
      <c r="N66" s="14">
        <f>IFERROR(__xludf.DUMMYFUNCTION("""COMPUTED_VALUE"""),6.3313535E7)</f>
        <v>63313535</v>
      </c>
    </row>
    <row r="67">
      <c r="A67" s="9">
        <f>IFERROR(__xludf.DUMMYFUNCTION("""COMPUTED_VALUE"""),115.0)</f>
        <v>115</v>
      </c>
      <c r="B67" s="9" t="str">
        <f>IFERROR(__xludf.DUMMYFUNCTION("""COMPUTED_VALUE"""),"Neysa Raftery")</f>
        <v>Neysa Raftery</v>
      </c>
      <c r="C67" s="9" t="str">
        <f>IFERROR(__xludf.DUMMYFUNCTION("""COMPUTED_VALUE"""),"nraftery36@t-online.de")</f>
        <v>nraftery36@t-online.de</v>
      </c>
      <c r="D67" s="9" t="str">
        <f>IFERROR(__xludf.DUMMYFUNCTION("""COMPUTED_VALUE"""),"Colombia")</f>
        <v>Colombia</v>
      </c>
      <c r="E67" s="9" t="str">
        <f>IFERROR(__xludf.DUMMYFUNCTION("""COMPUTED_VALUE"""),"Tecnología")</f>
        <v>Tecnología</v>
      </c>
      <c r="F67" s="9" t="str">
        <f>IFERROR(__xludf.DUMMYFUNCTION("""COMPUTED_VALUE"""),"Inversión")</f>
        <v>Inversión</v>
      </c>
      <c r="G67" s="9" t="str">
        <f>IFERROR(__xludf.DUMMYFUNCTION("""COMPUTED_VALUE"""),"Socio capitalista")</f>
        <v>Socio capitalista</v>
      </c>
      <c r="H67" s="9" t="str">
        <f>IFERROR(__xludf.DUMMYFUNCTION("""COMPUTED_VALUE"""),"NO")</f>
        <v>NO</v>
      </c>
      <c r="I67" s="9">
        <f>IFERROR(__xludf.DUMMYFUNCTION("""COMPUTED_VALUE"""),3.0)</f>
        <v>3</v>
      </c>
      <c r="J67" s="9">
        <f>IFERROR(__xludf.DUMMYFUNCTION("""COMPUTED_VALUE"""),8.0)</f>
        <v>8</v>
      </c>
      <c r="K67" s="14">
        <f>IFERROR(__xludf.DUMMYFUNCTION("""COMPUTED_VALUE"""),2.0E7)</f>
        <v>20000000</v>
      </c>
      <c r="L67" s="14">
        <f>IFERROR(__xludf.DUMMYFUNCTION("""COMPUTED_VALUE"""),4.006462E7)</f>
        <v>40064620</v>
      </c>
      <c r="M67" s="14">
        <f>IFERROR(__xludf.DUMMYFUNCTION("""COMPUTED_VALUE"""),9.8137438E7)</f>
        <v>98137438</v>
      </c>
      <c r="N67" s="14">
        <f>IFERROR(__xludf.DUMMYFUNCTION("""COMPUTED_VALUE"""),0.0)</f>
        <v>0</v>
      </c>
    </row>
    <row r="68">
      <c r="A68" s="9">
        <f>IFERROR(__xludf.DUMMYFUNCTION("""COMPUTED_VALUE"""),116.0)</f>
        <v>116</v>
      </c>
      <c r="B68" s="9" t="str">
        <f>IFERROR(__xludf.DUMMYFUNCTION("""COMPUTED_VALUE"""),"Lanni Farquarson")</f>
        <v>Lanni Farquarson</v>
      </c>
      <c r="C68" s="9" t="str">
        <f>IFERROR(__xludf.DUMMYFUNCTION("""COMPUTED_VALUE"""),"lfarquarson37@shutterfly.com")</f>
        <v>lfarquarson37@shutterfly.com</v>
      </c>
      <c r="D68" s="9" t="str">
        <f>IFERROR(__xludf.DUMMYFUNCTION("""COMPUTED_VALUE"""),"Chile")</f>
        <v>Chile</v>
      </c>
      <c r="E68" s="9" t="str">
        <f>IFERROR(__xludf.DUMMYFUNCTION("""COMPUTED_VALUE"""),"Tecnología")</f>
        <v>Tecnología</v>
      </c>
      <c r="F68" s="9" t="str">
        <f>IFERROR(__xludf.DUMMYFUNCTION("""COMPUTED_VALUE"""),"Inversión")</f>
        <v>Inversión</v>
      </c>
      <c r="G68" s="9" t="str">
        <f>IFERROR(__xludf.DUMMYFUNCTION("""COMPUTED_VALUE"""),"Socio de proyecto")</f>
        <v>Socio de proyecto</v>
      </c>
      <c r="H68" s="9" t="str">
        <f>IFERROR(__xludf.DUMMYFUNCTION("""COMPUTED_VALUE"""),"NO")</f>
        <v>NO</v>
      </c>
      <c r="I68" s="9">
        <f>IFERROR(__xludf.DUMMYFUNCTION("""COMPUTED_VALUE"""),6.0)</f>
        <v>6</v>
      </c>
      <c r="J68" s="9">
        <f>IFERROR(__xludf.DUMMYFUNCTION("""COMPUTED_VALUE"""),5.0)</f>
        <v>5</v>
      </c>
      <c r="K68" s="14">
        <f>IFERROR(__xludf.DUMMYFUNCTION("""COMPUTED_VALUE"""),3.0E7)</f>
        <v>30000000</v>
      </c>
      <c r="L68" s="14">
        <f>IFERROR(__xludf.DUMMYFUNCTION("""COMPUTED_VALUE"""),4.528936E7)</f>
        <v>45289360</v>
      </c>
      <c r="M68" s="14">
        <f>IFERROR(__xludf.DUMMYFUNCTION("""COMPUTED_VALUE"""),0.0)</f>
        <v>0</v>
      </c>
      <c r="N68" s="14">
        <f>IFERROR(__xludf.DUMMYFUNCTION("""COMPUTED_VALUE"""),4.6980526E7)</f>
        <v>46980526</v>
      </c>
    </row>
    <row r="69">
      <c r="A69" s="9">
        <f>IFERROR(__xludf.DUMMYFUNCTION("""COMPUTED_VALUE"""),118.0)</f>
        <v>118</v>
      </c>
      <c r="B69" s="9" t="str">
        <f>IFERROR(__xludf.DUMMYFUNCTION("""COMPUTED_VALUE"""),"Anne-corinne Harkness")</f>
        <v>Anne-corinne Harkness</v>
      </c>
      <c r="C69" s="9" t="str">
        <f>IFERROR(__xludf.DUMMYFUNCTION("""COMPUTED_VALUE"""),"aharkness39@etsy.com")</f>
        <v>aharkness39@etsy.com</v>
      </c>
      <c r="D69" s="9" t="str">
        <f>IFERROR(__xludf.DUMMYFUNCTION("""COMPUTED_VALUE"""),"Uruguay")</f>
        <v>Uruguay</v>
      </c>
      <c r="E69" s="9" t="str">
        <f>IFERROR(__xludf.DUMMYFUNCTION("""COMPUTED_VALUE"""),"Tecnología")</f>
        <v>Tecnología</v>
      </c>
      <c r="F69" s="9" t="str">
        <f>IFERROR(__xludf.DUMMYFUNCTION("""COMPUTED_VALUE"""),"Trabajo")</f>
        <v>Trabajo</v>
      </c>
      <c r="G69" s="9" t="str">
        <f>IFERROR(__xludf.DUMMYFUNCTION("""COMPUTED_VALUE"""),"Buscando trabajo")</f>
        <v>Buscando trabajo</v>
      </c>
      <c r="H69" s="9" t="str">
        <f>IFERROR(__xludf.DUMMYFUNCTION("""COMPUTED_VALUE"""),"SI")</f>
        <v>SI</v>
      </c>
      <c r="I69" s="9">
        <f>IFERROR(__xludf.DUMMYFUNCTION("""COMPUTED_VALUE"""),8.0)</f>
        <v>8</v>
      </c>
      <c r="J69" s="9">
        <f>IFERROR(__xludf.DUMMYFUNCTION("""COMPUTED_VALUE"""),6.0)</f>
        <v>6</v>
      </c>
      <c r="K69" s="14">
        <f>IFERROR(__xludf.DUMMYFUNCTION("""COMPUTED_VALUE"""),0.0)</f>
        <v>0</v>
      </c>
      <c r="L69" s="14">
        <f>IFERROR(__xludf.DUMMYFUNCTION("""COMPUTED_VALUE"""),0.0)</f>
        <v>0</v>
      </c>
      <c r="M69" s="14">
        <f>IFERROR(__xludf.DUMMYFUNCTION("""COMPUTED_VALUE"""),6.9870077E7)</f>
        <v>69870077</v>
      </c>
      <c r="N69" s="14">
        <f>IFERROR(__xludf.DUMMYFUNCTION("""COMPUTED_VALUE"""),9.844158E7)</f>
        <v>98441580</v>
      </c>
    </row>
    <row r="70">
      <c r="A70" s="9">
        <f>IFERROR(__xludf.DUMMYFUNCTION("""COMPUTED_VALUE"""),120.0)</f>
        <v>120</v>
      </c>
      <c r="B70" s="9" t="str">
        <f>IFERROR(__xludf.DUMMYFUNCTION("""COMPUTED_VALUE"""),"Roslyn Slingsby")</f>
        <v>Roslyn Slingsby</v>
      </c>
      <c r="C70" s="9" t="str">
        <f>IFERROR(__xludf.DUMMYFUNCTION("""COMPUTED_VALUE"""),"rslingsby3b@simplemachines.org")</f>
        <v>rslingsby3b@simplemachines.org</v>
      </c>
      <c r="D70" s="9" t="str">
        <f>IFERROR(__xludf.DUMMYFUNCTION("""COMPUTED_VALUE"""),"Paraguay")</f>
        <v>Paraguay</v>
      </c>
      <c r="E70" s="9" t="str">
        <f>IFERROR(__xludf.DUMMYFUNCTION("""COMPUTED_VALUE"""),"Tecnología")</f>
        <v>Tecnología</v>
      </c>
      <c r="F70" s="9" t="str">
        <f>IFERROR(__xludf.DUMMYFUNCTION("""COMPUTED_VALUE"""),"Inversión")</f>
        <v>Inversión</v>
      </c>
      <c r="G70" s="9" t="str">
        <f>IFERROR(__xludf.DUMMYFUNCTION("""COMPUTED_VALUE"""),"Socio capitalista")</f>
        <v>Socio capitalista</v>
      </c>
      <c r="H70" s="9" t="str">
        <f>IFERROR(__xludf.DUMMYFUNCTION("""COMPUTED_VALUE"""),"NO")</f>
        <v>NO</v>
      </c>
      <c r="I70" s="9">
        <f>IFERROR(__xludf.DUMMYFUNCTION("""COMPUTED_VALUE"""),9.0)</f>
        <v>9</v>
      </c>
      <c r="J70" s="9">
        <f>IFERROR(__xludf.DUMMYFUNCTION("""COMPUTED_VALUE"""),9.0)</f>
        <v>9</v>
      </c>
      <c r="K70" s="14">
        <f>IFERROR(__xludf.DUMMYFUNCTION("""COMPUTED_VALUE"""),1000000.0)</f>
        <v>1000000</v>
      </c>
      <c r="L70" s="14">
        <f>IFERROR(__xludf.DUMMYFUNCTION("""COMPUTED_VALUE"""),5.3008255E7)</f>
        <v>53008255</v>
      </c>
      <c r="M70" s="14">
        <f>IFERROR(__xludf.DUMMYFUNCTION("""COMPUTED_VALUE"""),4.691791E7)</f>
        <v>46917910</v>
      </c>
      <c r="N70" s="14">
        <f>IFERROR(__xludf.DUMMYFUNCTION("""COMPUTED_VALUE"""),4.7557281E7)</f>
        <v>47557281</v>
      </c>
    </row>
    <row r="71">
      <c r="A71" s="9">
        <f>IFERROR(__xludf.DUMMYFUNCTION("""COMPUTED_VALUE"""),121.0)</f>
        <v>121</v>
      </c>
      <c r="B71" s="9" t="str">
        <f>IFERROR(__xludf.DUMMYFUNCTION("""COMPUTED_VALUE"""),"Chrissie Tudgay")</f>
        <v>Chrissie Tudgay</v>
      </c>
      <c r="C71" s="9" t="str">
        <f>IFERROR(__xludf.DUMMYFUNCTION("""COMPUTED_VALUE"""),"ctudgay3c@toplist.cz")</f>
        <v>ctudgay3c@toplist.cz</v>
      </c>
      <c r="D71" s="9" t="str">
        <f>IFERROR(__xludf.DUMMYFUNCTION("""COMPUTED_VALUE"""),"Paraguay")</f>
        <v>Paraguay</v>
      </c>
      <c r="E71" s="9" t="str">
        <f>IFERROR(__xludf.DUMMYFUNCTION("""COMPUTED_VALUE"""),"Tecnología")</f>
        <v>Tecnología</v>
      </c>
      <c r="F71" s="9" t="str">
        <f>IFERROR(__xludf.DUMMYFUNCTION("""COMPUTED_VALUE"""),"Trabajo")</f>
        <v>Trabajo</v>
      </c>
      <c r="G71" s="9" t="str">
        <f>IFERROR(__xludf.DUMMYFUNCTION("""COMPUTED_VALUE"""),"Buscando trabajo")</f>
        <v>Buscando trabajo</v>
      </c>
      <c r="H71" s="9" t="str">
        <f>IFERROR(__xludf.DUMMYFUNCTION("""COMPUTED_VALUE"""),"NO")</f>
        <v>NO</v>
      </c>
      <c r="I71" s="9">
        <f>IFERROR(__xludf.DUMMYFUNCTION("""COMPUTED_VALUE"""),4.0)</f>
        <v>4</v>
      </c>
      <c r="J71" s="9">
        <f>IFERROR(__xludf.DUMMYFUNCTION("""COMPUTED_VALUE"""),6.0)</f>
        <v>6</v>
      </c>
      <c r="K71" s="14">
        <f>IFERROR(__xludf.DUMMYFUNCTION("""COMPUTED_VALUE"""),0.0)</f>
        <v>0</v>
      </c>
      <c r="L71" s="14">
        <f>IFERROR(__xludf.DUMMYFUNCTION("""COMPUTED_VALUE"""),0.0)</f>
        <v>0</v>
      </c>
      <c r="M71" s="14">
        <f>IFERROR(__xludf.DUMMYFUNCTION("""COMPUTED_VALUE"""),0.0)</f>
        <v>0</v>
      </c>
      <c r="N71" s="14">
        <f>IFERROR(__xludf.DUMMYFUNCTION("""COMPUTED_VALUE"""),2.267526E7)</f>
        <v>22675260</v>
      </c>
    </row>
    <row r="72">
      <c r="A72" s="9">
        <f>IFERROR(__xludf.DUMMYFUNCTION("""COMPUTED_VALUE"""),122.0)</f>
        <v>122</v>
      </c>
      <c r="B72" s="9" t="str">
        <f>IFERROR(__xludf.DUMMYFUNCTION("""COMPUTED_VALUE"""),"Bunny Balassa")</f>
        <v>Bunny Balassa</v>
      </c>
      <c r="C72" s="9" t="str">
        <f>IFERROR(__xludf.DUMMYFUNCTION("""COMPUTED_VALUE"""),"bbalassa3d@scientificamerican.com")</f>
        <v>bbalassa3d@scientificamerican.com</v>
      </c>
      <c r="D72" s="9" t="str">
        <f>IFERROR(__xludf.DUMMYFUNCTION("""COMPUTED_VALUE"""),"Bolivia")</f>
        <v>Bolivia</v>
      </c>
      <c r="E72" s="9" t="str">
        <f>IFERROR(__xludf.DUMMYFUNCTION("""COMPUTED_VALUE"""),"Tecnología")</f>
        <v>Tecnología</v>
      </c>
      <c r="F72" s="9" t="str">
        <f>IFERROR(__xludf.DUMMYFUNCTION("""COMPUTED_VALUE"""),"Inversión")</f>
        <v>Inversión</v>
      </c>
      <c r="G72" s="9" t="str">
        <f>IFERROR(__xludf.DUMMYFUNCTION("""COMPUTED_VALUE"""),"Socio capitalista")</f>
        <v>Socio capitalista</v>
      </c>
      <c r="H72" s="9" t="str">
        <f>IFERROR(__xludf.DUMMYFUNCTION("""COMPUTED_VALUE"""),"NO")</f>
        <v>NO</v>
      </c>
      <c r="I72" s="9">
        <f>IFERROR(__xludf.DUMMYFUNCTION("""COMPUTED_VALUE"""),4.0)</f>
        <v>4</v>
      </c>
      <c r="J72" s="9">
        <f>IFERROR(__xludf.DUMMYFUNCTION("""COMPUTED_VALUE"""),10.0)</f>
        <v>10</v>
      </c>
      <c r="K72" s="14">
        <f>IFERROR(__xludf.DUMMYFUNCTION("""COMPUTED_VALUE"""),1.0E8)</f>
        <v>100000000</v>
      </c>
      <c r="L72" s="14">
        <f>IFERROR(__xludf.DUMMYFUNCTION("""COMPUTED_VALUE"""),9.468872E7)</f>
        <v>94688720</v>
      </c>
      <c r="M72" s="14">
        <f>IFERROR(__xludf.DUMMYFUNCTION("""COMPUTED_VALUE"""),8.6323763E7)</f>
        <v>86323763</v>
      </c>
      <c r="N72" s="14">
        <f>IFERROR(__xludf.DUMMYFUNCTION("""COMPUTED_VALUE"""),2.0929788E7)</f>
        <v>20929788</v>
      </c>
    </row>
    <row r="73">
      <c r="A73" s="9">
        <f>IFERROR(__xludf.DUMMYFUNCTION("""COMPUTED_VALUE"""),125.0)</f>
        <v>125</v>
      </c>
      <c r="B73" s="9" t="str">
        <f>IFERROR(__xludf.DUMMYFUNCTION("""COMPUTED_VALUE"""),"Demetris Bullimore")</f>
        <v>Demetris Bullimore</v>
      </c>
      <c r="C73" s="9" t="str">
        <f>IFERROR(__xludf.DUMMYFUNCTION("""COMPUTED_VALUE"""),"dbullimore3g@techcrunch.com")</f>
        <v>dbullimore3g@techcrunch.com</v>
      </c>
      <c r="D73" s="9" t="str">
        <f>IFERROR(__xludf.DUMMYFUNCTION("""COMPUTED_VALUE"""),"Argentina")</f>
        <v>Argentina</v>
      </c>
      <c r="E73" s="9" t="str">
        <f>IFERROR(__xludf.DUMMYFUNCTION("""COMPUTED_VALUE"""),"Tecnología")</f>
        <v>Tecnología</v>
      </c>
      <c r="F73" s="9" t="str">
        <f>IFERROR(__xludf.DUMMYFUNCTION("""COMPUTED_VALUE"""),"Inversión")</f>
        <v>Inversión</v>
      </c>
      <c r="G73" s="9" t="str">
        <f>IFERROR(__xludf.DUMMYFUNCTION("""COMPUTED_VALUE"""),"Socio de proyecto")</f>
        <v>Socio de proyecto</v>
      </c>
      <c r="H73" s="9" t="str">
        <f>IFERROR(__xludf.DUMMYFUNCTION("""COMPUTED_VALUE"""),"NO")</f>
        <v>NO</v>
      </c>
      <c r="I73" s="9">
        <f>IFERROR(__xludf.DUMMYFUNCTION("""COMPUTED_VALUE"""),8.0)</f>
        <v>8</v>
      </c>
      <c r="J73" s="9">
        <f>IFERROR(__xludf.DUMMYFUNCTION("""COMPUTED_VALUE"""),8.0)</f>
        <v>8</v>
      </c>
      <c r="K73" s="14">
        <f>IFERROR(__xludf.DUMMYFUNCTION("""COMPUTED_VALUE"""),3.0E7)</f>
        <v>30000000</v>
      </c>
      <c r="L73" s="14">
        <f>IFERROR(__xludf.DUMMYFUNCTION("""COMPUTED_VALUE"""),3.2890743E7)</f>
        <v>32890743</v>
      </c>
      <c r="M73" s="14">
        <f>IFERROR(__xludf.DUMMYFUNCTION("""COMPUTED_VALUE"""),0.0)</f>
        <v>0</v>
      </c>
      <c r="N73" s="14">
        <f>IFERROR(__xludf.DUMMYFUNCTION("""COMPUTED_VALUE"""),3.986462E7)</f>
        <v>39864620</v>
      </c>
    </row>
    <row r="74">
      <c r="A74" s="9">
        <f>IFERROR(__xludf.DUMMYFUNCTION("""COMPUTED_VALUE"""),128.0)</f>
        <v>128</v>
      </c>
      <c r="B74" s="9" t="str">
        <f>IFERROR(__xludf.DUMMYFUNCTION("""COMPUTED_VALUE"""),"Delmor Fancy")</f>
        <v>Delmor Fancy</v>
      </c>
      <c r="C74" s="9" t="str">
        <f>IFERROR(__xludf.DUMMYFUNCTION("""COMPUTED_VALUE"""),"dfancy3j@icq.com")</f>
        <v>dfancy3j@icq.com</v>
      </c>
      <c r="D74" s="9" t="str">
        <f>IFERROR(__xludf.DUMMYFUNCTION("""COMPUTED_VALUE"""),"Argentina")</f>
        <v>Argentina</v>
      </c>
      <c r="E74" s="9" t="str">
        <f>IFERROR(__xludf.DUMMYFUNCTION("""COMPUTED_VALUE"""),"Tecnología")</f>
        <v>Tecnología</v>
      </c>
      <c r="F74" s="9" t="str">
        <f>IFERROR(__xludf.DUMMYFUNCTION("""COMPUTED_VALUE"""),"Inversión")</f>
        <v>Inversión</v>
      </c>
      <c r="G74" s="9" t="str">
        <f>IFERROR(__xludf.DUMMYFUNCTION("""COMPUTED_VALUE"""),"Socio capitalista")</f>
        <v>Socio capitalista</v>
      </c>
      <c r="H74" s="9" t="str">
        <f>IFERROR(__xludf.DUMMYFUNCTION("""COMPUTED_VALUE"""),"SI")</f>
        <v>SI</v>
      </c>
      <c r="I74" s="9">
        <f>IFERROR(__xludf.DUMMYFUNCTION("""COMPUTED_VALUE"""),5.0)</f>
        <v>5</v>
      </c>
      <c r="J74" s="9">
        <f>IFERROR(__xludf.DUMMYFUNCTION("""COMPUTED_VALUE"""),10.0)</f>
        <v>10</v>
      </c>
      <c r="K74" s="14">
        <f>IFERROR(__xludf.DUMMYFUNCTION("""COMPUTED_VALUE"""),1.0E7)</f>
        <v>10000000</v>
      </c>
      <c r="L74" s="14">
        <f>IFERROR(__xludf.DUMMYFUNCTION("""COMPUTED_VALUE"""),3.1953589E7)</f>
        <v>31953589</v>
      </c>
      <c r="M74" s="14">
        <f>IFERROR(__xludf.DUMMYFUNCTION("""COMPUTED_VALUE"""),4.0068224E7)</f>
        <v>40068224</v>
      </c>
      <c r="N74" s="14">
        <f>IFERROR(__xludf.DUMMYFUNCTION("""COMPUTED_VALUE"""),8.0951038E7)</f>
        <v>80951038</v>
      </c>
    </row>
    <row r="75">
      <c r="A75" s="9">
        <f>IFERROR(__xludf.DUMMYFUNCTION("""COMPUTED_VALUE"""),129.0)</f>
        <v>129</v>
      </c>
      <c r="B75" s="9" t="str">
        <f>IFERROR(__xludf.DUMMYFUNCTION("""COMPUTED_VALUE"""),"Jefferson Kingswood")</f>
        <v>Jefferson Kingswood</v>
      </c>
      <c r="C75" s="9" t="str">
        <f>IFERROR(__xludf.DUMMYFUNCTION("""COMPUTED_VALUE"""),"jkingswood3k@feedburner.com")</f>
        <v>jkingswood3k@feedburner.com</v>
      </c>
      <c r="D75" s="9" t="str">
        <f>IFERROR(__xludf.DUMMYFUNCTION("""COMPUTED_VALUE"""),"Colombia")</f>
        <v>Colombia</v>
      </c>
      <c r="E75" s="9" t="str">
        <f>IFERROR(__xludf.DUMMYFUNCTION("""COMPUTED_VALUE"""),"Tecnología")</f>
        <v>Tecnología</v>
      </c>
      <c r="F75" s="9" t="str">
        <f>IFERROR(__xludf.DUMMYFUNCTION("""COMPUTED_VALUE"""),"Inversión")</f>
        <v>Inversión</v>
      </c>
      <c r="G75" s="9" t="str">
        <f>IFERROR(__xludf.DUMMYFUNCTION("""COMPUTED_VALUE"""),"Socio capitalista")</f>
        <v>Socio capitalista</v>
      </c>
      <c r="H75" s="9" t="str">
        <f>IFERROR(__xludf.DUMMYFUNCTION("""COMPUTED_VALUE"""),"NO")</f>
        <v>NO</v>
      </c>
      <c r="I75" s="9">
        <f>IFERROR(__xludf.DUMMYFUNCTION("""COMPUTED_VALUE"""),3.0)</f>
        <v>3</v>
      </c>
      <c r="J75" s="9">
        <f>IFERROR(__xludf.DUMMYFUNCTION("""COMPUTED_VALUE"""),5.0)</f>
        <v>5</v>
      </c>
      <c r="K75" s="14">
        <f>IFERROR(__xludf.DUMMYFUNCTION("""COMPUTED_VALUE"""),5.0E7)</f>
        <v>50000000</v>
      </c>
      <c r="L75" s="14">
        <f>IFERROR(__xludf.DUMMYFUNCTION("""COMPUTED_VALUE"""),7.8205651E7)</f>
        <v>78205651</v>
      </c>
      <c r="M75" s="14">
        <f>IFERROR(__xludf.DUMMYFUNCTION("""COMPUTED_VALUE"""),6.238118E7)</f>
        <v>62381180</v>
      </c>
      <c r="N75" s="14">
        <f>IFERROR(__xludf.DUMMYFUNCTION("""COMPUTED_VALUE"""),6508585.0)</f>
        <v>6508585</v>
      </c>
    </row>
    <row r="76">
      <c r="A76" s="9">
        <f>IFERROR(__xludf.DUMMYFUNCTION("""COMPUTED_VALUE"""),131.0)</f>
        <v>131</v>
      </c>
      <c r="B76" s="9" t="str">
        <f>IFERROR(__xludf.DUMMYFUNCTION("""COMPUTED_VALUE"""),"Aarika Sprouls")</f>
        <v>Aarika Sprouls</v>
      </c>
      <c r="C76" s="9" t="str">
        <f>IFERROR(__xludf.DUMMYFUNCTION("""COMPUTED_VALUE"""),"asprouls3m@accuweather.com")</f>
        <v>asprouls3m@accuweather.com</v>
      </c>
      <c r="D76" s="9" t="str">
        <f>IFERROR(__xludf.DUMMYFUNCTION("""COMPUTED_VALUE"""),"Bolivia")</f>
        <v>Bolivia</v>
      </c>
      <c r="E76" s="9" t="str">
        <f>IFERROR(__xludf.DUMMYFUNCTION("""COMPUTED_VALUE"""),"Tecnología")</f>
        <v>Tecnología</v>
      </c>
      <c r="F76" s="9" t="str">
        <f>IFERROR(__xludf.DUMMYFUNCTION("""COMPUTED_VALUE"""),"Conocimiento")</f>
        <v>Conocimiento</v>
      </c>
      <c r="G76" s="9" t="str">
        <f>IFERROR(__xludf.DUMMYFUNCTION("""COMPUTED_VALUE"""),"Otro tipo")</f>
        <v>Otro tipo</v>
      </c>
      <c r="H76" s="9" t="str">
        <f>IFERROR(__xludf.DUMMYFUNCTION("""COMPUTED_VALUE"""),"NO")</f>
        <v>NO</v>
      </c>
      <c r="I76" s="9">
        <f>IFERROR(__xludf.DUMMYFUNCTION("""COMPUTED_VALUE"""),5.0)</f>
        <v>5</v>
      </c>
      <c r="J76" s="9">
        <f>IFERROR(__xludf.DUMMYFUNCTION("""COMPUTED_VALUE"""),5.0)</f>
        <v>5</v>
      </c>
      <c r="K76" s="14">
        <f>IFERROR(__xludf.DUMMYFUNCTION("""COMPUTED_VALUE"""),0.0)</f>
        <v>0</v>
      </c>
      <c r="L76" s="14">
        <f>IFERROR(__xludf.DUMMYFUNCTION("""COMPUTED_VALUE"""),2.5891596E7)</f>
        <v>25891596</v>
      </c>
      <c r="M76" s="14">
        <f>IFERROR(__xludf.DUMMYFUNCTION("""COMPUTED_VALUE"""),7.6942676E7)</f>
        <v>76942676</v>
      </c>
      <c r="N76" s="14">
        <f>IFERROR(__xludf.DUMMYFUNCTION("""COMPUTED_VALUE"""),7.4216691E7)</f>
        <v>74216691</v>
      </c>
    </row>
    <row r="77">
      <c r="A77" s="9">
        <f>IFERROR(__xludf.DUMMYFUNCTION("""COMPUTED_VALUE"""),135.0)</f>
        <v>135</v>
      </c>
      <c r="B77" s="9" t="str">
        <f>IFERROR(__xludf.DUMMYFUNCTION("""COMPUTED_VALUE"""),"Joyann Guslon")</f>
        <v>Joyann Guslon</v>
      </c>
      <c r="C77" s="9" t="str">
        <f>IFERROR(__xludf.DUMMYFUNCTION("""COMPUTED_VALUE"""),"jguslon3q@google.pl")</f>
        <v>jguslon3q@google.pl</v>
      </c>
      <c r="D77" s="9" t="str">
        <f>IFERROR(__xludf.DUMMYFUNCTION("""COMPUTED_VALUE"""),"Paraguay")</f>
        <v>Paraguay</v>
      </c>
      <c r="E77" s="9" t="str">
        <f>IFERROR(__xludf.DUMMYFUNCTION("""COMPUTED_VALUE"""),"Tecnología")</f>
        <v>Tecnología</v>
      </c>
      <c r="F77" s="9" t="str">
        <f>IFERROR(__xludf.DUMMYFUNCTION("""COMPUTED_VALUE"""),"Trabajo")</f>
        <v>Trabajo</v>
      </c>
      <c r="G77" s="9" t="str">
        <f>IFERROR(__xludf.DUMMYFUNCTION("""COMPUTED_VALUE"""),"Ofreciendo trabajo")</f>
        <v>Ofreciendo trabajo</v>
      </c>
      <c r="H77" s="9" t="str">
        <f>IFERROR(__xludf.DUMMYFUNCTION("""COMPUTED_VALUE"""),"NO")</f>
        <v>NO</v>
      </c>
      <c r="I77" s="9">
        <f>IFERROR(__xludf.DUMMYFUNCTION("""COMPUTED_VALUE"""),5.0)</f>
        <v>5</v>
      </c>
      <c r="J77" s="9">
        <f>IFERROR(__xludf.DUMMYFUNCTION("""COMPUTED_VALUE"""),5.0)</f>
        <v>5</v>
      </c>
      <c r="K77" s="14">
        <f>IFERROR(__xludf.DUMMYFUNCTION("""COMPUTED_VALUE"""),0.0)</f>
        <v>0</v>
      </c>
      <c r="L77" s="14">
        <f>IFERROR(__xludf.DUMMYFUNCTION("""COMPUTED_VALUE"""),0.0)</f>
        <v>0</v>
      </c>
      <c r="M77" s="14">
        <f>IFERROR(__xludf.DUMMYFUNCTION("""COMPUTED_VALUE"""),8.2583322E7)</f>
        <v>82583322</v>
      </c>
      <c r="N77" s="14">
        <f>IFERROR(__xludf.DUMMYFUNCTION("""COMPUTED_VALUE"""),809058.0)</f>
        <v>809058</v>
      </c>
    </row>
    <row r="78">
      <c r="A78" s="9">
        <f>IFERROR(__xludf.DUMMYFUNCTION("""COMPUTED_VALUE"""),136.0)</f>
        <v>136</v>
      </c>
      <c r="B78" s="9" t="str">
        <f>IFERROR(__xludf.DUMMYFUNCTION("""COMPUTED_VALUE"""),"Leo Jancso")</f>
        <v>Leo Jancso</v>
      </c>
      <c r="C78" s="9" t="str">
        <f>IFERROR(__xludf.DUMMYFUNCTION("""COMPUTED_VALUE"""),"ljancso3r@java.com")</f>
        <v>ljancso3r@java.com</v>
      </c>
      <c r="D78" s="9" t="str">
        <f>IFERROR(__xludf.DUMMYFUNCTION("""COMPUTED_VALUE"""),"Brasil")</f>
        <v>Brasil</v>
      </c>
      <c r="E78" s="9" t="str">
        <f>IFERROR(__xludf.DUMMYFUNCTION("""COMPUTED_VALUE"""),"Tecnología")</f>
        <v>Tecnología</v>
      </c>
      <c r="F78" s="9" t="str">
        <f>IFERROR(__xludf.DUMMYFUNCTION("""COMPUTED_VALUE"""),"Inversión")</f>
        <v>Inversión</v>
      </c>
      <c r="G78" s="9" t="str">
        <f>IFERROR(__xludf.DUMMYFUNCTION("""COMPUTED_VALUE"""),"Socio de proyecto")</f>
        <v>Socio de proyecto</v>
      </c>
      <c r="H78" s="9" t="str">
        <f>IFERROR(__xludf.DUMMYFUNCTION("""COMPUTED_VALUE"""),"SI")</f>
        <v>SI</v>
      </c>
      <c r="I78" s="9">
        <f>IFERROR(__xludf.DUMMYFUNCTION("""COMPUTED_VALUE"""),4.0)</f>
        <v>4</v>
      </c>
      <c r="J78" s="9">
        <f>IFERROR(__xludf.DUMMYFUNCTION("""COMPUTED_VALUE"""),10.0)</f>
        <v>10</v>
      </c>
      <c r="K78" s="14">
        <f>IFERROR(__xludf.DUMMYFUNCTION("""COMPUTED_VALUE"""),1.0E7)</f>
        <v>10000000</v>
      </c>
      <c r="L78" s="14">
        <f>IFERROR(__xludf.DUMMYFUNCTION("""COMPUTED_VALUE"""),5.9890317E7)</f>
        <v>59890317</v>
      </c>
      <c r="M78" s="14">
        <f>IFERROR(__xludf.DUMMYFUNCTION("""COMPUTED_VALUE"""),4.2451842E7)</f>
        <v>42451842</v>
      </c>
      <c r="N78" s="14">
        <f>IFERROR(__xludf.DUMMYFUNCTION("""COMPUTED_VALUE"""),0.0)</f>
        <v>0</v>
      </c>
    </row>
    <row r="79">
      <c r="A79" s="9">
        <f>IFERROR(__xludf.DUMMYFUNCTION("""COMPUTED_VALUE"""),139.0)</f>
        <v>139</v>
      </c>
      <c r="B79" s="9" t="str">
        <f>IFERROR(__xludf.DUMMYFUNCTION("""COMPUTED_VALUE"""),"Cherry Eastment")</f>
        <v>Cherry Eastment</v>
      </c>
      <c r="C79" s="9" t="str">
        <f>IFERROR(__xludf.DUMMYFUNCTION("""COMPUTED_VALUE"""),"ceastment3u@wikia.com")</f>
        <v>ceastment3u@wikia.com</v>
      </c>
      <c r="D79" s="9" t="str">
        <f>IFERROR(__xludf.DUMMYFUNCTION("""COMPUTED_VALUE"""),"Paraguay")</f>
        <v>Paraguay</v>
      </c>
      <c r="E79" s="9" t="str">
        <f>IFERROR(__xludf.DUMMYFUNCTION("""COMPUTED_VALUE"""),"Tecnología")</f>
        <v>Tecnología</v>
      </c>
      <c r="F79" s="9" t="str">
        <f>IFERROR(__xludf.DUMMYFUNCTION("""COMPUTED_VALUE"""),"Trabajo")</f>
        <v>Trabajo</v>
      </c>
      <c r="G79" s="9" t="str">
        <f>IFERROR(__xludf.DUMMYFUNCTION("""COMPUTED_VALUE"""),"Buscando trabajo")</f>
        <v>Buscando trabajo</v>
      </c>
      <c r="H79" s="9" t="str">
        <f>IFERROR(__xludf.DUMMYFUNCTION("""COMPUTED_VALUE"""),"NO")</f>
        <v>NO</v>
      </c>
      <c r="I79" s="9">
        <f>IFERROR(__xludf.DUMMYFUNCTION("""COMPUTED_VALUE"""),3.0)</f>
        <v>3</v>
      </c>
      <c r="J79" s="9">
        <f>IFERROR(__xludf.DUMMYFUNCTION("""COMPUTED_VALUE"""),6.0)</f>
        <v>6</v>
      </c>
      <c r="K79" s="14">
        <f>IFERROR(__xludf.DUMMYFUNCTION("""COMPUTED_VALUE"""),0.0)</f>
        <v>0</v>
      </c>
      <c r="L79" s="14">
        <f>IFERROR(__xludf.DUMMYFUNCTION("""COMPUTED_VALUE"""),0.0)</f>
        <v>0</v>
      </c>
      <c r="M79" s="14">
        <f>IFERROR(__xludf.DUMMYFUNCTION("""COMPUTED_VALUE"""),0.0)</f>
        <v>0</v>
      </c>
      <c r="N79" s="14">
        <f>IFERROR(__xludf.DUMMYFUNCTION("""COMPUTED_VALUE"""),6.3436099E7)</f>
        <v>63436099</v>
      </c>
    </row>
    <row r="80">
      <c r="A80" s="9">
        <f>IFERROR(__xludf.DUMMYFUNCTION("""COMPUTED_VALUE"""),140.0)</f>
        <v>140</v>
      </c>
      <c r="B80" s="9" t="str">
        <f>IFERROR(__xludf.DUMMYFUNCTION("""COMPUTED_VALUE"""),"Milicent Bounde")</f>
        <v>Milicent Bounde</v>
      </c>
      <c r="C80" s="9" t="str">
        <f>IFERROR(__xludf.DUMMYFUNCTION("""COMPUTED_VALUE"""),"mbounde3v@nbcnews.com")</f>
        <v>mbounde3v@nbcnews.com</v>
      </c>
      <c r="D80" s="9" t="str">
        <f>IFERROR(__xludf.DUMMYFUNCTION("""COMPUTED_VALUE"""),"Paraguay")</f>
        <v>Paraguay</v>
      </c>
      <c r="E80" s="9" t="str">
        <f>IFERROR(__xludf.DUMMYFUNCTION("""COMPUTED_VALUE"""),"Tecnología")</f>
        <v>Tecnología</v>
      </c>
      <c r="F80" s="9" t="str">
        <f>IFERROR(__xludf.DUMMYFUNCTION("""COMPUTED_VALUE"""),"Inversión")</f>
        <v>Inversión</v>
      </c>
      <c r="G80" s="9" t="str">
        <f>IFERROR(__xludf.DUMMYFUNCTION("""COMPUTED_VALUE"""),"Socio capitalista")</f>
        <v>Socio capitalista</v>
      </c>
      <c r="H80" s="9" t="str">
        <f>IFERROR(__xludf.DUMMYFUNCTION("""COMPUTED_VALUE"""),"SI")</f>
        <v>SI</v>
      </c>
      <c r="I80" s="9">
        <f>IFERROR(__xludf.DUMMYFUNCTION("""COMPUTED_VALUE"""),7.0)</f>
        <v>7</v>
      </c>
      <c r="J80" s="9">
        <f>IFERROR(__xludf.DUMMYFUNCTION("""COMPUTED_VALUE"""),10.0)</f>
        <v>10</v>
      </c>
      <c r="K80" s="14">
        <f>IFERROR(__xludf.DUMMYFUNCTION("""COMPUTED_VALUE"""),1.0E7)</f>
        <v>10000000</v>
      </c>
      <c r="L80" s="14">
        <f>IFERROR(__xludf.DUMMYFUNCTION("""COMPUTED_VALUE"""),9.9989764E7)</f>
        <v>99989764</v>
      </c>
      <c r="M80" s="14">
        <f>IFERROR(__xludf.DUMMYFUNCTION("""COMPUTED_VALUE"""),8030175.0)</f>
        <v>8030175</v>
      </c>
      <c r="N80" s="14">
        <f>IFERROR(__xludf.DUMMYFUNCTION("""COMPUTED_VALUE"""),3.7676206E7)</f>
        <v>37676206</v>
      </c>
    </row>
    <row r="81">
      <c r="A81" s="9">
        <f>IFERROR(__xludf.DUMMYFUNCTION("""COMPUTED_VALUE"""),141.0)</f>
        <v>141</v>
      </c>
      <c r="B81" s="9" t="str">
        <f>IFERROR(__xludf.DUMMYFUNCTION("""COMPUTED_VALUE"""),"Ceil Jumont")</f>
        <v>Ceil Jumont</v>
      </c>
      <c r="C81" s="9" t="str">
        <f>IFERROR(__xludf.DUMMYFUNCTION("""COMPUTED_VALUE"""),"cjumont3w@dyndns.org")</f>
        <v>cjumont3w@dyndns.org</v>
      </c>
      <c r="D81" s="9" t="str">
        <f>IFERROR(__xludf.DUMMYFUNCTION("""COMPUTED_VALUE"""),"Venezuela")</f>
        <v>Venezuela</v>
      </c>
      <c r="E81" s="9" t="str">
        <f>IFERROR(__xludf.DUMMYFUNCTION("""COMPUTED_VALUE"""),"Tecnología")</f>
        <v>Tecnología</v>
      </c>
      <c r="F81" s="9" t="str">
        <f>IFERROR(__xludf.DUMMYFUNCTION("""COMPUTED_VALUE"""),"Trabajo")</f>
        <v>Trabajo</v>
      </c>
      <c r="G81" s="9" t="str">
        <f>IFERROR(__xludf.DUMMYFUNCTION("""COMPUTED_VALUE"""),"Buscando trabajo")</f>
        <v>Buscando trabajo</v>
      </c>
      <c r="H81" s="9" t="str">
        <f>IFERROR(__xludf.DUMMYFUNCTION("""COMPUTED_VALUE"""),"SI")</f>
        <v>SI</v>
      </c>
      <c r="I81" s="9">
        <f>IFERROR(__xludf.DUMMYFUNCTION("""COMPUTED_VALUE"""),5.0)</f>
        <v>5</v>
      </c>
      <c r="J81" s="9">
        <f>IFERROR(__xludf.DUMMYFUNCTION("""COMPUTED_VALUE"""),7.0)</f>
        <v>7</v>
      </c>
      <c r="K81" s="14">
        <f>IFERROR(__xludf.DUMMYFUNCTION("""COMPUTED_VALUE"""),0.0)</f>
        <v>0</v>
      </c>
      <c r="L81" s="14">
        <f>IFERROR(__xludf.DUMMYFUNCTION("""COMPUTED_VALUE"""),0.0)</f>
        <v>0</v>
      </c>
      <c r="M81" s="14">
        <f>IFERROR(__xludf.DUMMYFUNCTION("""COMPUTED_VALUE"""),1.2862402E7)</f>
        <v>12862402</v>
      </c>
      <c r="N81" s="14">
        <f>IFERROR(__xludf.DUMMYFUNCTION("""COMPUTED_VALUE"""),6.8922404E7)</f>
        <v>68922404</v>
      </c>
    </row>
    <row r="82">
      <c r="A82" s="9">
        <f>IFERROR(__xludf.DUMMYFUNCTION("""COMPUTED_VALUE"""),144.0)</f>
        <v>144</v>
      </c>
      <c r="B82" s="9" t="str">
        <f>IFERROR(__xludf.DUMMYFUNCTION("""COMPUTED_VALUE"""),"Cathrine Bradford")</f>
        <v>Cathrine Bradford</v>
      </c>
      <c r="C82" s="9" t="str">
        <f>IFERROR(__xludf.DUMMYFUNCTION("""COMPUTED_VALUE"""),"cbradford3z@cargocollective.com")</f>
        <v>cbradford3z@cargocollective.com</v>
      </c>
      <c r="D82" s="9" t="str">
        <f>IFERROR(__xludf.DUMMYFUNCTION("""COMPUTED_VALUE"""),"Paraguay")</f>
        <v>Paraguay</v>
      </c>
      <c r="E82" s="9" t="str">
        <f>IFERROR(__xludf.DUMMYFUNCTION("""COMPUTED_VALUE"""),"Tecnología")</f>
        <v>Tecnología</v>
      </c>
      <c r="F82" s="9" t="str">
        <f>IFERROR(__xludf.DUMMYFUNCTION("""COMPUTED_VALUE"""),"Inversión")</f>
        <v>Inversión</v>
      </c>
      <c r="G82" s="9" t="str">
        <f>IFERROR(__xludf.DUMMYFUNCTION("""COMPUTED_VALUE"""),"Socio capitalista")</f>
        <v>Socio capitalista</v>
      </c>
      <c r="H82" s="9" t="str">
        <f>IFERROR(__xludf.DUMMYFUNCTION("""COMPUTED_VALUE"""),"NO")</f>
        <v>NO</v>
      </c>
      <c r="I82" s="9">
        <f>IFERROR(__xludf.DUMMYFUNCTION("""COMPUTED_VALUE"""),5.0)</f>
        <v>5</v>
      </c>
      <c r="J82" s="9">
        <f>IFERROR(__xludf.DUMMYFUNCTION("""COMPUTED_VALUE"""),9.0)</f>
        <v>9</v>
      </c>
      <c r="K82" s="14">
        <f>IFERROR(__xludf.DUMMYFUNCTION("""COMPUTED_VALUE"""),5000000.0)</f>
        <v>5000000</v>
      </c>
      <c r="L82" s="14">
        <f>IFERROR(__xludf.DUMMYFUNCTION("""COMPUTED_VALUE"""),3.2915397E7)</f>
        <v>32915397</v>
      </c>
      <c r="M82" s="14">
        <f>IFERROR(__xludf.DUMMYFUNCTION("""COMPUTED_VALUE"""),7.4493461E7)</f>
        <v>74493461</v>
      </c>
      <c r="N82" s="14">
        <f>IFERROR(__xludf.DUMMYFUNCTION("""COMPUTED_VALUE"""),151779.0)</f>
        <v>151779</v>
      </c>
    </row>
    <row r="83">
      <c r="A83" s="9">
        <f>IFERROR(__xludf.DUMMYFUNCTION("""COMPUTED_VALUE"""),146.0)</f>
        <v>146</v>
      </c>
      <c r="B83" s="9" t="str">
        <f>IFERROR(__xludf.DUMMYFUNCTION("""COMPUTED_VALUE"""),"Lyn Rubertis")</f>
        <v>Lyn Rubertis</v>
      </c>
      <c r="C83" s="9" t="str">
        <f>IFERROR(__xludf.DUMMYFUNCTION("""COMPUTED_VALUE"""),"lrubertis41@sun.com")</f>
        <v>lrubertis41@sun.com</v>
      </c>
      <c r="D83" s="9" t="str">
        <f>IFERROR(__xludf.DUMMYFUNCTION("""COMPUTED_VALUE"""),"Chile")</f>
        <v>Chile</v>
      </c>
      <c r="E83" s="9" t="str">
        <f>IFERROR(__xludf.DUMMYFUNCTION("""COMPUTED_VALUE"""),"Tecnología")</f>
        <v>Tecnología</v>
      </c>
      <c r="F83" s="9" t="str">
        <f>IFERROR(__xludf.DUMMYFUNCTION("""COMPUTED_VALUE"""),"Trabajo")</f>
        <v>Trabajo</v>
      </c>
      <c r="G83" s="9" t="str">
        <f>IFERROR(__xludf.DUMMYFUNCTION("""COMPUTED_VALUE"""),"Buscando trabajo")</f>
        <v>Buscando trabajo</v>
      </c>
      <c r="H83" s="9" t="str">
        <f>IFERROR(__xludf.DUMMYFUNCTION("""COMPUTED_VALUE"""),"NO")</f>
        <v>NO</v>
      </c>
      <c r="I83" s="9">
        <f>IFERROR(__xludf.DUMMYFUNCTION("""COMPUTED_VALUE"""),3.0)</f>
        <v>3</v>
      </c>
      <c r="J83" s="9">
        <f>IFERROR(__xludf.DUMMYFUNCTION("""COMPUTED_VALUE"""),9.0)</f>
        <v>9</v>
      </c>
      <c r="K83" s="14">
        <f>IFERROR(__xludf.DUMMYFUNCTION("""COMPUTED_VALUE"""),0.0)</f>
        <v>0</v>
      </c>
      <c r="L83" s="14">
        <f>IFERROR(__xludf.DUMMYFUNCTION("""COMPUTED_VALUE"""),0.0)</f>
        <v>0</v>
      </c>
      <c r="M83" s="14">
        <f>IFERROR(__xludf.DUMMYFUNCTION("""COMPUTED_VALUE"""),1.4141858E7)</f>
        <v>14141858</v>
      </c>
      <c r="N83" s="14">
        <f>IFERROR(__xludf.DUMMYFUNCTION("""COMPUTED_VALUE"""),8.7162317E7)</f>
        <v>87162317</v>
      </c>
    </row>
    <row r="84">
      <c r="A84" s="9">
        <f>IFERROR(__xludf.DUMMYFUNCTION("""COMPUTED_VALUE"""),147.0)</f>
        <v>147</v>
      </c>
      <c r="B84" s="9" t="str">
        <f>IFERROR(__xludf.DUMMYFUNCTION("""COMPUTED_VALUE"""),"Ezmeralda MacNeilly")</f>
        <v>Ezmeralda MacNeilly</v>
      </c>
      <c r="C84" s="9" t="str">
        <f>IFERROR(__xludf.DUMMYFUNCTION("""COMPUTED_VALUE"""),"emacneilly42@vistaprint.com")</f>
        <v>emacneilly42@vistaprint.com</v>
      </c>
      <c r="D84" s="9" t="str">
        <f>IFERROR(__xludf.DUMMYFUNCTION("""COMPUTED_VALUE"""),"Bolivia")</f>
        <v>Bolivia</v>
      </c>
      <c r="E84" s="9" t="str">
        <f>IFERROR(__xludf.DUMMYFUNCTION("""COMPUTED_VALUE"""),"Tecnología")</f>
        <v>Tecnología</v>
      </c>
      <c r="F84" s="9" t="str">
        <f>IFERROR(__xludf.DUMMYFUNCTION("""COMPUTED_VALUE"""),"Trabajo")</f>
        <v>Trabajo</v>
      </c>
      <c r="G84" s="9" t="str">
        <f>IFERROR(__xludf.DUMMYFUNCTION("""COMPUTED_VALUE"""),"Buscando trabajo")</f>
        <v>Buscando trabajo</v>
      </c>
      <c r="H84" s="9" t="str">
        <f>IFERROR(__xludf.DUMMYFUNCTION("""COMPUTED_VALUE"""),"NO")</f>
        <v>NO</v>
      </c>
      <c r="I84" s="9">
        <f>IFERROR(__xludf.DUMMYFUNCTION("""COMPUTED_VALUE"""),5.0)</f>
        <v>5</v>
      </c>
      <c r="J84" s="9">
        <f>IFERROR(__xludf.DUMMYFUNCTION("""COMPUTED_VALUE"""),7.0)</f>
        <v>7</v>
      </c>
      <c r="K84" s="14">
        <f>IFERROR(__xludf.DUMMYFUNCTION("""COMPUTED_VALUE"""),0.0)</f>
        <v>0</v>
      </c>
      <c r="L84" s="14">
        <f>IFERROR(__xludf.DUMMYFUNCTION("""COMPUTED_VALUE"""),0.0)</f>
        <v>0</v>
      </c>
      <c r="M84" s="14">
        <f>IFERROR(__xludf.DUMMYFUNCTION("""COMPUTED_VALUE"""),2.9525162E7)</f>
        <v>29525162</v>
      </c>
      <c r="N84" s="14">
        <f>IFERROR(__xludf.DUMMYFUNCTION("""COMPUTED_VALUE"""),0.0)</f>
        <v>0</v>
      </c>
    </row>
    <row r="85">
      <c r="A85" s="9">
        <f>IFERROR(__xludf.DUMMYFUNCTION("""COMPUTED_VALUE"""),148.0)</f>
        <v>148</v>
      </c>
      <c r="B85" s="9" t="str">
        <f>IFERROR(__xludf.DUMMYFUNCTION("""COMPUTED_VALUE"""),"Franchot Levison")</f>
        <v>Franchot Levison</v>
      </c>
      <c r="C85" s="9" t="str">
        <f>IFERROR(__xludf.DUMMYFUNCTION("""COMPUTED_VALUE"""),"flevison43@com.com")</f>
        <v>flevison43@com.com</v>
      </c>
      <c r="D85" s="9" t="str">
        <f>IFERROR(__xludf.DUMMYFUNCTION("""COMPUTED_VALUE"""),"Brasil")</f>
        <v>Brasil</v>
      </c>
      <c r="E85" s="9" t="str">
        <f>IFERROR(__xludf.DUMMYFUNCTION("""COMPUTED_VALUE"""),"Tecnología")</f>
        <v>Tecnología</v>
      </c>
      <c r="F85" s="9" t="str">
        <f>IFERROR(__xludf.DUMMYFUNCTION("""COMPUTED_VALUE"""),"Trabajo")</f>
        <v>Trabajo</v>
      </c>
      <c r="G85" s="9" t="str">
        <f>IFERROR(__xludf.DUMMYFUNCTION("""COMPUTED_VALUE"""),"Ofreciendo trabajo")</f>
        <v>Ofreciendo trabajo</v>
      </c>
      <c r="H85" s="9" t="str">
        <f>IFERROR(__xludf.DUMMYFUNCTION("""COMPUTED_VALUE"""),"SI")</f>
        <v>SI</v>
      </c>
      <c r="I85" s="9">
        <f>IFERROR(__xludf.DUMMYFUNCTION("""COMPUTED_VALUE"""),7.0)</f>
        <v>7</v>
      </c>
      <c r="J85" s="9">
        <f>IFERROR(__xludf.DUMMYFUNCTION("""COMPUTED_VALUE"""),10.0)</f>
        <v>10</v>
      </c>
      <c r="K85" s="14">
        <f>IFERROR(__xludf.DUMMYFUNCTION("""COMPUTED_VALUE"""),0.0)</f>
        <v>0</v>
      </c>
      <c r="L85" s="14">
        <f>IFERROR(__xludf.DUMMYFUNCTION("""COMPUTED_VALUE"""),0.0)</f>
        <v>0</v>
      </c>
      <c r="M85" s="14">
        <f>IFERROR(__xludf.DUMMYFUNCTION("""COMPUTED_VALUE"""),2.9366791E7)</f>
        <v>29366791</v>
      </c>
      <c r="N85" s="14">
        <f>IFERROR(__xludf.DUMMYFUNCTION("""COMPUTED_VALUE"""),8.9805774E7)</f>
        <v>89805774</v>
      </c>
    </row>
    <row r="86">
      <c r="A86" s="9">
        <f>IFERROR(__xludf.DUMMYFUNCTION("""COMPUTED_VALUE"""),149.0)</f>
        <v>149</v>
      </c>
      <c r="B86" s="9" t="str">
        <f>IFERROR(__xludf.DUMMYFUNCTION("""COMPUTED_VALUE"""),"Desmond Addams")</f>
        <v>Desmond Addams</v>
      </c>
      <c r="C86" s="9" t="str">
        <f>IFERROR(__xludf.DUMMYFUNCTION("""COMPUTED_VALUE"""),"daddams44@imdb.com")</f>
        <v>daddams44@imdb.com</v>
      </c>
      <c r="D86" s="9" t="str">
        <f>IFERROR(__xludf.DUMMYFUNCTION("""COMPUTED_VALUE"""),"Chile")</f>
        <v>Chile</v>
      </c>
      <c r="E86" s="9" t="str">
        <f>IFERROR(__xludf.DUMMYFUNCTION("""COMPUTED_VALUE"""),"Tecnología")</f>
        <v>Tecnología</v>
      </c>
      <c r="F86" s="9" t="str">
        <f>IFERROR(__xludf.DUMMYFUNCTION("""COMPUTED_VALUE"""),"Trabajo")</f>
        <v>Trabajo</v>
      </c>
      <c r="G86" s="9" t="str">
        <f>IFERROR(__xludf.DUMMYFUNCTION("""COMPUTED_VALUE"""),"Buscando trabajo")</f>
        <v>Buscando trabajo</v>
      </c>
      <c r="H86" s="9" t="str">
        <f>IFERROR(__xludf.DUMMYFUNCTION("""COMPUTED_VALUE"""),"SI")</f>
        <v>SI</v>
      </c>
      <c r="I86" s="9">
        <f>IFERROR(__xludf.DUMMYFUNCTION("""COMPUTED_VALUE"""),7.0)</f>
        <v>7</v>
      </c>
      <c r="J86" s="9">
        <f>IFERROR(__xludf.DUMMYFUNCTION("""COMPUTED_VALUE"""),7.0)</f>
        <v>7</v>
      </c>
      <c r="K86" s="14">
        <f>IFERROR(__xludf.DUMMYFUNCTION("""COMPUTED_VALUE"""),0.0)</f>
        <v>0</v>
      </c>
      <c r="L86" s="14">
        <f>IFERROR(__xludf.DUMMYFUNCTION("""COMPUTED_VALUE"""),0.0)</f>
        <v>0</v>
      </c>
      <c r="M86" s="14">
        <f>IFERROR(__xludf.DUMMYFUNCTION("""COMPUTED_VALUE"""),7.3195518E7)</f>
        <v>73195518</v>
      </c>
      <c r="N86" s="14">
        <f>IFERROR(__xludf.DUMMYFUNCTION("""COMPUTED_VALUE"""),1.0695678E7)</f>
        <v>10695678</v>
      </c>
    </row>
    <row r="87">
      <c r="A87" s="9">
        <f>IFERROR(__xludf.DUMMYFUNCTION("""COMPUTED_VALUE"""),150.0)</f>
        <v>150</v>
      </c>
      <c r="B87" s="9" t="str">
        <f>IFERROR(__xludf.DUMMYFUNCTION("""COMPUTED_VALUE"""),"Roger Elmar")</f>
        <v>Roger Elmar</v>
      </c>
      <c r="C87" s="9" t="str">
        <f>IFERROR(__xludf.DUMMYFUNCTION("""COMPUTED_VALUE"""),"relmar45@51.la")</f>
        <v>relmar45@51.la</v>
      </c>
      <c r="D87" s="9" t="str">
        <f>IFERROR(__xludf.DUMMYFUNCTION("""COMPUTED_VALUE"""),"Paraguay")</f>
        <v>Paraguay</v>
      </c>
      <c r="E87" s="9" t="str">
        <f>IFERROR(__xludf.DUMMYFUNCTION("""COMPUTED_VALUE"""),"Tecnología")</f>
        <v>Tecnología</v>
      </c>
      <c r="F87" s="9" t="str">
        <f>IFERROR(__xludf.DUMMYFUNCTION("""COMPUTED_VALUE"""),"Trabajo")</f>
        <v>Trabajo</v>
      </c>
      <c r="G87" s="9" t="str">
        <f>IFERROR(__xludf.DUMMYFUNCTION("""COMPUTED_VALUE"""),"Buscando trabajo")</f>
        <v>Buscando trabajo</v>
      </c>
      <c r="H87" s="9" t="str">
        <f>IFERROR(__xludf.DUMMYFUNCTION("""COMPUTED_VALUE"""),"NO")</f>
        <v>NO</v>
      </c>
      <c r="I87" s="9">
        <f>IFERROR(__xludf.DUMMYFUNCTION("""COMPUTED_VALUE"""),5.0)</f>
        <v>5</v>
      </c>
      <c r="J87" s="9">
        <f>IFERROR(__xludf.DUMMYFUNCTION("""COMPUTED_VALUE"""),4.0)</f>
        <v>4</v>
      </c>
      <c r="K87" s="14">
        <f>IFERROR(__xludf.DUMMYFUNCTION("""COMPUTED_VALUE"""),0.0)</f>
        <v>0</v>
      </c>
      <c r="L87" s="14">
        <f>IFERROR(__xludf.DUMMYFUNCTION("""COMPUTED_VALUE"""),0.0)</f>
        <v>0</v>
      </c>
      <c r="M87" s="14">
        <f>IFERROR(__xludf.DUMMYFUNCTION("""COMPUTED_VALUE"""),1432950.0)</f>
        <v>1432950</v>
      </c>
      <c r="N87" s="14">
        <f>IFERROR(__xludf.DUMMYFUNCTION("""COMPUTED_VALUE"""),2.9672451E7)</f>
        <v>29672451</v>
      </c>
    </row>
    <row r="88">
      <c r="A88" s="9">
        <f>IFERROR(__xludf.DUMMYFUNCTION("""COMPUTED_VALUE"""),151.0)</f>
        <v>151</v>
      </c>
      <c r="B88" s="9" t="str">
        <f>IFERROR(__xludf.DUMMYFUNCTION("""COMPUTED_VALUE"""),"Adrea Dorset")</f>
        <v>Adrea Dorset</v>
      </c>
      <c r="C88" s="9" t="str">
        <f>IFERROR(__xludf.DUMMYFUNCTION("""COMPUTED_VALUE"""),"adorset46@pagesperso-orange.fr")</f>
        <v>adorset46@pagesperso-orange.fr</v>
      </c>
      <c r="D88" s="9" t="str">
        <f>IFERROR(__xludf.DUMMYFUNCTION("""COMPUTED_VALUE"""),"Colombia")</f>
        <v>Colombia</v>
      </c>
      <c r="E88" s="9" t="str">
        <f>IFERROR(__xludf.DUMMYFUNCTION("""COMPUTED_VALUE"""),"Tecnología")</f>
        <v>Tecnología</v>
      </c>
      <c r="F88" s="9" t="str">
        <f>IFERROR(__xludf.DUMMYFUNCTION("""COMPUTED_VALUE"""),"Inversión")</f>
        <v>Inversión</v>
      </c>
      <c r="G88" s="9" t="str">
        <f>IFERROR(__xludf.DUMMYFUNCTION("""COMPUTED_VALUE"""),"Socio capitalista")</f>
        <v>Socio capitalista</v>
      </c>
      <c r="H88" s="9" t="str">
        <f>IFERROR(__xludf.DUMMYFUNCTION("""COMPUTED_VALUE"""),"SI")</f>
        <v>SI</v>
      </c>
      <c r="I88" s="9">
        <f>IFERROR(__xludf.DUMMYFUNCTION("""COMPUTED_VALUE"""),7.0)</f>
        <v>7</v>
      </c>
      <c r="J88" s="9">
        <f>IFERROR(__xludf.DUMMYFUNCTION("""COMPUTED_VALUE"""),5.0)</f>
        <v>5</v>
      </c>
      <c r="K88" s="14">
        <f>IFERROR(__xludf.DUMMYFUNCTION("""COMPUTED_VALUE"""),1000000.0)</f>
        <v>1000000</v>
      </c>
      <c r="L88" s="14">
        <f>IFERROR(__xludf.DUMMYFUNCTION("""COMPUTED_VALUE"""),7.7159264E7)</f>
        <v>77159264</v>
      </c>
      <c r="M88" s="14">
        <f>IFERROR(__xludf.DUMMYFUNCTION("""COMPUTED_VALUE"""),0.0)</f>
        <v>0</v>
      </c>
      <c r="N88" s="14">
        <f>IFERROR(__xludf.DUMMYFUNCTION("""COMPUTED_VALUE"""),9.7234303E7)</f>
        <v>97234303</v>
      </c>
    </row>
    <row r="89">
      <c r="A89" s="9">
        <f>IFERROR(__xludf.DUMMYFUNCTION("""COMPUTED_VALUE"""),152.0)</f>
        <v>152</v>
      </c>
      <c r="B89" s="9" t="str">
        <f>IFERROR(__xludf.DUMMYFUNCTION("""COMPUTED_VALUE"""),"Vitia Skittrall")</f>
        <v>Vitia Skittrall</v>
      </c>
      <c r="C89" s="9" t="str">
        <f>IFERROR(__xludf.DUMMYFUNCTION("""COMPUTED_VALUE"""),"vskittrall47@163.com")</f>
        <v>vskittrall47@163.com</v>
      </c>
      <c r="D89" s="9" t="str">
        <f>IFERROR(__xludf.DUMMYFUNCTION("""COMPUTED_VALUE"""),"Paraguay")</f>
        <v>Paraguay</v>
      </c>
      <c r="E89" s="9" t="str">
        <f>IFERROR(__xludf.DUMMYFUNCTION("""COMPUTED_VALUE"""),"Tecnología")</f>
        <v>Tecnología</v>
      </c>
      <c r="F89" s="9" t="str">
        <f>IFERROR(__xludf.DUMMYFUNCTION("""COMPUTED_VALUE"""),"Inversión")</f>
        <v>Inversión</v>
      </c>
      <c r="G89" s="9" t="str">
        <f>IFERROR(__xludf.DUMMYFUNCTION("""COMPUTED_VALUE"""),"Socio capitalista")</f>
        <v>Socio capitalista</v>
      </c>
      <c r="H89" s="9" t="str">
        <f>IFERROR(__xludf.DUMMYFUNCTION("""COMPUTED_VALUE"""),"NO")</f>
        <v>NO</v>
      </c>
      <c r="I89" s="9">
        <f>IFERROR(__xludf.DUMMYFUNCTION("""COMPUTED_VALUE"""),8.0)</f>
        <v>8</v>
      </c>
      <c r="J89" s="9">
        <f>IFERROR(__xludf.DUMMYFUNCTION("""COMPUTED_VALUE"""),6.0)</f>
        <v>6</v>
      </c>
      <c r="K89" s="14">
        <f>IFERROR(__xludf.DUMMYFUNCTION("""COMPUTED_VALUE"""),1.0E8)</f>
        <v>100000000</v>
      </c>
      <c r="L89" s="14">
        <f>IFERROR(__xludf.DUMMYFUNCTION("""COMPUTED_VALUE"""),1.2451199E7)</f>
        <v>12451199</v>
      </c>
      <c r="M89" s="14">
        <f>IFERROR(__xludf.DUMMYFUNCTION("""COMPUTED_VALUE"""),7.4231711E7)</f>
        <v>74231711</v>
      </c>
      <c r="N89" s="14">
        <f>IFERROR(__xludf.DUMMYFUNCTION("""COMPUTED_VALUE"""),4.2951226E7)</f>
        <v>42951226</v>
      </c>
    </row>
    <row r="90">
      <c r="A90" s="9">
        <f>IFERROR(__xludf.DUMMYFUNCTION("""COMPUTED_VALUE"""),155.0)</f>
        <v>155</v>
      </c>
      <c r="B90" s="9" t="str">
        <f>IFERROR(__xludf.DUMMYFUNCTION("""COMPUTED_VALUE"""),"Cory McShane")</f>
        <v>Cory McShane</v>
      </c>
      <c r="C90" s="9" t="str">
        <f>IFERROR(__xludf.DUMMYFUNCTION("""COMPUTED_VALUE"""),"cmcshane4a@squidoo.com")</f>
        <v>cmcshane4a@squidoo.com</v>
      </c>
      <c r="D90" s="9" t="str">
        <f>IFERROR(__xludf.DUMMYFUNCTION("""COMPUTED_VALUE"""),"Ecuador")</f>
        <v>Ecuador</v>
      </c>
      <c r="E90" s="9" t="str">
        <f>IFERROR(__xludf.DUMMYFUNCTION("""COMPUTED_VALUE"""),"Tecnología")</f>
        <v>Tecnología</v>
      </c>
      <c r="F90" s="9" t="str">
        <f>IFERROR(__xludf.DUMMYFUNCTION("""COMPUTED_VALUE"""),"Inversión")</f>
        <v>Inversión</v>
      </c>
      <c r="G90" s="9" t="str">
        <f>IFERROR(__xludf.DUMMYFUNCTION("""COMPUTED_VALUE"""),"Socio capitalista")</f>
        <v>Socio capitalista</v>
      </c>
      <c r="H90" s="9" t="str">
        <f>IFERROR(__xludf.DUMMYFUNCTION("""COMPUTED_VALUE"""),"NO")</f>
        <v>NO</v>
      </c>
      <c r="I90" s="9">
        <f>IFERROR(__xludf.DUMMYFUNCTION("""COMPUTED_VALUE"""),5.0)</f>
        <v>5</v>
      </c>
      <c r="J90" s="9">
        <f>IFERROR(__xludf.DUMMYFUNCTION("""COMPUTED_VALUE"""),9.0)</f>
        <v>9</v>
      </c>
      <c r="K90" s="14">
        <f>IFERROR(__xludf.DUMMYFUNCTION("""COMPUTED_VALUE"""),5000000.0)</f>
        <v>5000000</v>
      </c>
      <c r="L90" s="14">
        <f>IFERROR(__xludf.DUMMYFUNCTION("""COMPUTED_VALUE"""),3.7959268E7)</f>
        <v>37959268</v>
      </c>
      <c r="M90" s="14">
        <f>IFERROR(__xludf.DUMMYFUNCTION("""COMPUTED_VALUE"""),6.9132389E7)</f>
        <v>69132389</v>
      </c>
      <c r="N90" s="14">
        <f>IFERROR(__xludf.DUMMYFUNCTION("""COMPUTED_VALUE"""),9.9564796E7)</f>
        <v>99564796</v>
      </c>
    </row>
    <row r="91">
      <c r="A91" s="9">
        <f>IFERROR(__xludf.DUMMYFUNCTION("""COMPUTED_VALUE"""),156.0)</f>
        <v>156</v>
      </c>
      <c r="B91" s="9" t="str">
        <f>IFERROR(__xludf.DUMMYFUNCTION("""COMPUTED_VALUE"""),"Ruthe Ipsley")</f>
        <v>Ruthe Ipsley</v>
      </c>
      <c r="C91" s="9" t="str">
        <f>IFERROR(__xludf.DUMMYFUNCTION("""COMPUTED_VALUE"""),"ripsley4b@bluehost.com")</f>
        <v>ripsley4b@bluehost.com</v>
      </c>
      <c r="D91" s="9" t="str">
        <f>IFERROR(__xludf.DUMMYFUNCTION("""COMPUTED_VALUE"""),"Paraguay")</f>
        <v>Paraguay</v>
      </c>
      <c r="E91" s="9" t="str">
        <f>IFERROR(__xludf.DUMMYFUNCTION("""COMPUTED_VALUE"""),"Tecnología")</f>
        <v>Tecnología</v>
      </c>
      <c r="F91" s="9" t="str">
        <f>IFERROR(__xludf.DUMMYFUNCTION("""COMPUTED_VALUE"""),"Trabajo")</f>
        <v>Trabajo</v>
      </c>
      <c r="G91" s="9" t="str">
        <f>IFERROR(__xludf.DUMMYFUNCTION("""COMPUTED_VALUE"""),"Buscando trabajo")</f>
        <v>Buscando trabajo</v>
      </c>
      <c r="H91" s="9" t="str">
        <f>IFERROR(__xludf.DUMMYFUNCTION("""COMPUTED_VALUE"""),"SI")</f>
        <v>SI</v>
      </c>
      <c r="I91" s="9">
        <f>IFERROR(__xludf.DUMMYFUNCTION("""COMPUTED_VALUE"""),6.0)</f>
        <v>6</v>
      </c>
      <c r="J91" s="9">
        <f>IFERROR(__xludf.DUMMYFUNCTION("""COMPUTED_VALUE"""),5.0)</f>
        <v>5</v>
      </c>
      <c r="K91" s="14">
        <f>IFERROR(__xludf.DUMMYFUNCTION("""COMPUTED_VALUE"""),0.0)</f>
        <v>0</v>
      </c>
      <c r="L91" s="14">
        <f>IFERROR(__xludf.DUMMYFUNCTION("""COMPUTED_VALUE"""),0.0)</f>
        <v>0</v>
      </c>
      <c r="M91" s="14">
        <f>IFERROR(__xludf.DUMMYFUNCTION("""COMPUTED_VALUE"""),2.6450622E7)</f>
        <v>26450622</v>
      </c>
      <c r="N91" s="14">
        <f>IFERROR(__xludf.DUMMYFUNCTION("""COMPUTED_VALUE"""),4227264.0)</f>
        <v>4227264</v>
      </c>
    </row>
    <row r="92">
      <c r="A92" s="9">
        <f>IFERROR(__xludf.DUMMYFUNCTION("""COMPUTED_VALUE"""),157.0)</f>
        <v>157</v>
      </c>
      <c r="B92" s="9" t="str">
        <f>IFERROR(__xludf.DUMMYFUNCTION("""COMPUTED_VALUE"""),"Asher Witchell")</f>
        <v>Asher Witchell</v>
      </c>
      <c r="C92" s="9" t="str">
        <f>IFERROR(__xludf.DUMMYFUNCTION("""COMPUTED_VALUE"""),"awitchell4c@marketwatch.com")</f>
        <v>awitchell4c@marketwatch.com</v>
      </c>
      <c r="D92" s="9" t="str">
        <f>IFERROR(__xludf.DUMMYFUNCTION("""COMPUTED_VALUE"""),"Brasil")</f>
        <v>Brasil</v>
      </c>
      <c r="E92" s="9" t="str">
        <f>IFERROR(__xludf.DUMMYFUNCTION("""COMPUTED_VALUE"""),"Tecnología")</f>
        <v>Tecnología</v>
      </c>
      <c r="F92" s="9" t="str">
        <f>IFERROR(__xludf.DUMMYFUNCTION("""COMPUTED_VALUE"""),"Trabajo")</f>
        <v>Trabajo</v>
      </c>
      <c r="G92" s="9" t="str">
        <f>IFERROR(__xludf.DUMMYFUNCTION("""COMPUTED_VALUE"""),"Buscando trabajo")</f>
        <v>Buscando trabajo</v>
      </c>
      <c r="H92" s="9" t="str">
        <f>IFERROR(__xludf.DUMMYFUNCTION("""COMPUTED_VALUE"""),"SI")</f>
        <v>SI</v>
      </c>
      <c r="I92" s="9">
        <f>IFERROR(__xludf.DUMMYFUNCTION("""COMPUTED_VALUE"""),3.0)</f>
        <v>3</v>
      </c>
      <c r="J92" s="9">
        <f>IFERROR(__xludf.DUMMYFUNCTION("""COMPUTED_VALUE"""),7.0)</f>
        <v>7</v>
      </c>
      <c r="K92" s="14">
        <f>IFERROR(__xludf.DUMMYFUNCTION("""COMPUTED_VALUE"""),0.0)</f>
        <v>0</v>
      </c>
      <c r="L92" s="14">
        <f>IFERROR(__xludf.DUMMYFUNCTION("""COMPUTED_VALUE"""),0.0)</f>
        <v>0</v>
      </c>
      <c r="M92" s="14">
        <f>IFERROR(__xludf.DUMMYFUNCTION("""COMPUTED_VALUE"""),0.0)</f>
        <v>0</v>
      </c>
      <c r="N92" s="14">
        <f>IFERROR(__xludf.DUMMYFUNCTION("""COMPUTED_VALUE"""),5.437664E7)</f>
        <v>54376640</v>
      </c>
    </row>
    <row r="93">
      <c r="A93" s="9">
        <f>IFERROR(__xludf.DUMMYFUNCTION("""COMPUTED_VALUE"""),158.0)</f>
        <v>158</v>
      </c>
      <c r="B93" s="9" t="str">
        <f>IFERROR(__xludf.DUMMYFUNCTION("""COMPUTED_VALUE"""),"Chelsea Gerrill")</f>
        <v>Chelsea Gerrill</v>
      </c>
      <c r="C93" s="9" t="str">
        <f>IFERROR(__xludf.DUMMYFUNCTION("""COMPUTED_VALUE"""),"cgerrill4d@sohu.com")</f>
        <v>cgerrill4d@sohu.com</v>
      </c>
      <c r="D93" s="9" t="str">
        <f>IFERROR(__xludf.DUMMYFUNCTION("""COMPUTED_VALUE"""),"Uruguay")</f>
        <v>Uruguay</v>
      </c>
      <c r="E93" s="9" t="str">
        <f>IFERROR(__xludf.DUMMYFUNCTION("""COMPUTED_VALUE"""),"Tecnología")</f>
        <v>Tecnología</v>
      </c>
      <c r="F93" s="9" t="str">
        <f>IFERROR(__xludf.DUMMYFUNCTION("""COMPUTED_VALUE"""),"Inversión")</f>
        <v>Inversión</v>
      </c>
      <c r="G93" s="9" t="str">
        <f>IFERROR(__xludf.DUMMYFUNCTION("""COMPUTED_VALUE"""),"Socio de proyecto")</f>
        <v>Socio de proyecto</v>
      </c>
      <c r="H93" s="9" t="str">
        <f>IFERROR(__xludf.DUMMYFUNCTION("""COMPUTED_VALUE"""),"NO")</f>
        <v>NO</v>
      </c>
      <c r="I93" s="9">
        <f>IFERROR(__xludf.DUMMYFUNCTION("""COMPUTED_VALUE"""),8.0)</f>
        <v>8</v>
      </c>
      <c r="J93" s="9">
        <f>IFERROR(__xludf.DUMMYFUNCTION("""COMPUTED_VALUE"""),6.0)</f>
        <v>6</v>
      </c>
      <c r="K93" s="14">
        <f>IFERROR(__xludf.DUMMYFUNCTION("""COMPUTED_VALUE"""),9.0E7)</f>
        <v>90000000</v>
      </c>
      <c r="L93" s="14">
        <f>IFERROR(__xludf.DUMMYFUNCTION("""COMPUTED_VALUE"""),2.9991873E7)</f>
        <v>29991873</v>
      </c>
      <c r="M93" s="14">
        <f>IFERROR(__xludf.DUMMYFUNCTION("""COMPUTED_VALUE"""),3.9252741E7)</f>
        <v>39252741</v>
      </c>
      <c r="N93" s="14">
        <f>IFERROR(__xludf.DUMMYFUNCTION("""COMPUTED_VALUE"""),1.5542722E7)</f>
        <v>15542722</v>
      </c>
    </row>
    <row r="94">
      <c r="A94" s="9">
        <f>IFERROR(__xludf.DUMMYFUNCTION("""COMPUTED_VALUE"""),159.0)</f>
        <v>159</v>
      </c>
      <c r="B94" s="9" t="str">
        <f>IFERROR(__xludf.DUMMYFUNCTION("""COMPUTED_VALUE"""),"Marcile Seedhouse")</f>
        <v>Marcile Seedhouse</v>
      </c>
      <c r="C94" s="9" t="str">
        <f>IFERROR(__xludf.DUMMYFUNCTION("""COMPUTED_VALUE"""),"mseedhouse4e@infoseek.co.jp")</f>
        <v>mseedhouse4e@infoseek.co.jp</v>
      </c>
      <c r="D94" s="9" t="str">
        <f>IFERROR(__xludf.DUMMYFUNCTION("""COMPUTED_VALUE"""),"Colombia")</f>
        <v>Colombia</v>
      </c>
      <c r="E94" s="9" t="str">
        <f>IFERROR(__xludf.DUMMYFUNCTION("""COMPUTED_VALUE"""),"Tecnología")</f>
        <v>Tecnología</v>
      </c>
      <c r="F94" s="9" t="str">
        <f>IFERROR(__xludf.DUMMYFUNCTION("""COMPUTED_VALUE"""),"Inversión")</f>
        <v>Inversión</v>
      </c>
      <c r="G94" s="9" t="str">
        <f>IFERROR(__xludf.DUMMYFUNCTION("""COMPUTED_VALUE"""),"Socio de proyecto")</f>
        <v>Socio de proyecto</v>
      </c>
      <c r="H94" s="9" t="str">
        <f>IFERROR(__xludf.DUMMYFUNCTION("""COMPUTED_VALUE"""),"NO")</f>
        <v>NO</v>
      </c>
      <c r="I94" s="9">
        <f>IFERROR(__xludf.DUMMYFUNCTION("""COMPUTED_VALUE"""),5.0)</f>
        <v>5</v>
      </c>
      <c r="J94" s="9">
        <f>IFERROR(__xludf.DUMMYFUNCTION("""COMPUTED_VALUE"""),5.0)</f>
        <v>5</v>
      </c>
      <c r="K94" s="14">
        <f>IFERROR(__xludf.DUMMYFUNCTION("""COMPUTED_VALUE"""),1.0E7)</f>
        <v>10000000</v>
      </c>
      <c r="L94" s="14">
        <f>IFERROR(__xludf.DUMMYFUNCTION("""COMPUTED_VALUE"""),7303129.0)</f>
        <v>7303129</v>
      </c>
      <c r="M94" s="14">
        <f>IFERROR(__xludf.DUMMYFUNCTION("""COMPUTED_VALUE"""),3765621.0)</f>
        <v>3765621</v>
      </c>
      <c r="N94" s="14">
        <f>IFERROR(__xludf.DUMMYFUNCTION("""COMPUTED_VALUE"""),1.8125151E7)</f>
        <v>18125151</v>
      </c>
    </row>
    <row r="95">
      <c r="A95" s="9">
        <f>IFERROR(__xludf.DUMMYFUNCTION("""COMPUTED_VALUE"""),160.0)</f>
        <v>160</v>
      </c>
      <c r="B95" s="9" t="str">
        <f>IFERROR(__xludf.DUMMYFUNCTION("""COMPUTED_VALUE"""),"Bertha Penni")</f>
        <v>Bertha Penni</v>
      </c>
      <c r="C95" s="9" t="str">
        <f>IFERROR(__xludf.DUMMYFUNCTION("""COMPUTED_VALUE"""),"bpenni4f@state.tx.us")</f>
        <v>bpenni4f@state.tx.us</v>
      </c>
      <c r="D95" s="9" t="str">
        <f>IFERROR(__xludf.DUMMYFUNCTION("""COMPUTED_VALUE"""),"Perú")</f>
        <v>Perú</v>
      </c>
      <c r="E95" s="9" t="str">
        <f>IFERROR(__xludf.DUMMYFUNCTION("""COMPUTED_VALUE"""),"Tecnología")</f>
        <v>Tecnología</v>
      </c>
      <c r="F95" s="9" t="str">
        <f>IFERROR(__xludf.DUMMYFUNCTION("""COMPUTED_VALUE"""),"Inversión")</f>
        <v>Inversión</v>
      </c>
      <c r="G95" s="9" t="str">
        <f>IFERROR(__xludf.DUMMYFUNCTION("""COMPUTED_VALUE"""),"Socio de proyecto")</f>
        <v>Socio de proyecto</v>
      </c>
      <c r="H95" s="9" t="str">
        <f>IFERROR(__xludf.DUMMYFUNCTION("""COMPUTED_VALUE"""),"NO")</f>
        <v>NO</v>
      </c>
      <c r="I95" s="9">
        <f>IFERROR(__xludf.DUMMYFUNCTION("""COMPUTED_VALUE"""),8.0)</f>
        <v>8</v>
      </c>
      <c r="J95" s="9">
        <f>IFERROR(__xludf.DUMMYFUNCTION("""COMPUTED_VALUE"""),9.0)</f>
        <v>9</v>
      </c>
      <c r="K95" s="14">
        <f>IFERROR(__xludf.DUMMYFUNCTION("""COMPUTED_VALUE"""),3.0E7)</f>
        <v>30000000</v>
      </c>
      <c r="L95" s="14">
        <f>IFERROR(__xludf.DUMMYFUNCTION("""COMPUTED_VALUE"""),4.4457754E7)</f>
        <v>44457754</v>
      </c>
      <c r="M95" s="14">
        <f>IFERROR(__xludf.DUMMYFUNCTION("""COMPUTED_VALUE"""),0.0)</f>
        <v>0</v>
      </c>
      <c r="N95" s="14">
        <f>IFERROR(__xludf.DUMMYFUNCTION("""COMPUTED_VALUE"""),6.2249765E7)</f>
        <v>62249765</v>
      </c>
    </row>
    <row r="96">
      <c r="A96" s="9">
        <f>IFERROR(__xludf.DUMMYFUNCTION("""COMPUTED_VALUE"""),161.0)</f>
        <v>161</v>
      </c>
      <c r="B96" s="9" t="str">
        <f>IFERROR(__xludf.DUMMYFUNCTION("""COMPUTED_VALUE"""),"Bev Bartke")</f>
        <v>Bev Bartke</v>
      </c>
      <c r="C96" s="9" t="str">
        <f>IFERROR(__xludf.DUMMYFUNCTION("""COMPUTED_VALUE"""),"bbartke4g@mozilla.com")</f>
        <v>bbartke4g@mozilla.com</v>
      </c>
      <c r="D96" s="9" t="str">
        <f>IFERROR(__xludf.DUMMYFUNCTION("""COMPUTED_VALUE"""),"Paraguay")</f>
        <v>Paraguay</v>
      </c>
      <c r="E96" s="9" t="str">
        <f>IFERROR(__xludf.DUMMYFUNCTION("""COMPUTED_VALUE"""),"Tecnología")</f>
        <v>Tecnología</v>
      </c>
      <c r="F96" s="9" t="str">
        <f>IFERROR(__xludf.DUMMYFUNCTION("""COMPUTED_VALUE"""),"Inversión")</f>
        <v>Inversión</v>
      </c>
      <c r="G96" s="9" t="str">
        <f>IFERROR(__xludf.DUMMYFUNCTION("""COMPUTED_VALUE"""),"Socio capitalista")</f>
        <v>Socio capitalista</v>
      </c>
      <c r="H96" s="9" t="str">
        <f>IFERROR(__xludf.DUMMYFUNCTION("""COMPUTED_VALUE"""),"NO")</f>
        <v>NO</v>
      </c>
      <c r="I96" s="9">
        <f>IFERROR(__xludf.DUMMYFUNCTION("""COMPUTED_VALUE"""),4.0)</f>
        <v>4</v>
      </c>
      <c r="J96" s="9">
        <f>IFERROR(__xludf.DUMMYFUNCTION("""COMPUTED_VALUE"""),10.0)</f>
        <v>10</v>
      </c>
      <c r="K96" s="14">
        <f>IFERROR(__xludf.DUMMYFUNCTION("""COMPUTED_VALUE"""),1.0E7)</f>
        <v>10000000</v>
      </c>
      <c r="L96" s="14">
        <f>IFERROR(__xludf.DUMMYFUNCTION("""COMPUTED_VALUE"""),5.4467236E7)</f>
        <v>54467236</v>
      </c>
      <c r="M96" s="14">
        <f>IFERROR(__xludf.DUMMYFUNCTION("""COMPUTED_VALUE"""),0.0)</f>
        <v>0</v>
      </c>
      <c r="N96" s="14">
        <f>IFERROR(__xludf.DUMMYFUNCTION("""COMPUTED_VALUE"""),1234692.0)</f>
        <v>1234692</v>
      </c>
    </row>
    <row r="97">
      <c r="A97" s="9">
        <f>IFERROR(__xludf.DUMMYFUNCTION("""COMPUTED_VALUE"""),162.0)</f>
        <v>162</v>
      </c>
      <c r="B97" s="9" t="str">
        <f>IFERROR(__xludf.DUMMYFUNCTION("""COMPUTED_VALUE"""),"Lucky Breache")</f>
        <v>Lucky Breache</v>
      </c>
      <c r="C97" s="9" t="str">
        <f>IFERROR(__xludf.DUMMYFUNCTION("""COMPUTED_VALUE"""),"lbreache4h@hibu.com")</f>
        <v>lbreache4h@hibu.com</v>
      </c>
      <c r="D97" s="9" t="str">
        <f>IFERROR(__xludf.DUMMYFUNCTION("""COMPUTED_VALUE"""),"Colombia")</f>
        <v>Colombia</v>
      </c>
      <c r="E97" s="9" t="str">
        <f>IFERROR(__xludf.DUMMYFUNCTION("""COMPUTED_VALUE"""),"Tecnología")</f>
        <v>Tecnología</v>
      </c>
      <c r="F97" s="9" t="str">
        <f>IFERROR(__xludf.DUMMYFUNCTION("""COMPUTED_VALUE"""),"Inversión")</f>
        <v>Inversión</v>
      </c>
      <c r="G97" s="9" t="str">
        <f>IFERROR(__xludf.DUMMYFUNCTION("""COMPUTED_VALUE"""),"Socio de proyecto")</f>
        <v>Socio de proyecto</v>
      </c>
      <c r="H97" s="9" t="str">
        <f>IFERROR(__xludf.DUMMYFUNCTION("""COMPUTED_VALUE"""),"NO")</f>
        <v>NO</v>
      </c>
      <c r="I97" s="9">
        <f>IFERROR(__xludf.DUMMYFUNCTION("""COMPUTED_VALUE"""),9.0)</f>
        <v>9</v>
      </c>
      <c r="J97" s="9">
        <f>IFERROR(__xludf.DUMMYFUNCTION("""COMPUTED_VALUE"""),9.0)</f>
        <v>9</v>
      </c>
      <c r="K97" s="14">
        <f>IFERROR(__xludf.DUMMYFUNCTION("""COMPUTED_VALUE"""),1.0E7)</f>
        <v>10000000</v>
      </c>
      <c r="L97" s="14">
        <f>IFERROR(__xludf.DUMMYFUNCTION("""COMPUTED_VALUE"""),1.7991607E7)</f>
        <v>17991607</v>
      </c>
      <c r="M97" s="14">
        <f>IFERROR(__xludf.DUMMYFUNCTION("""COMPUTED_VALUE"""),0.0)</f>
        <v>0</v>
      </c>
      <c r="N97" s="14">
        <f>IFERROR(__xludf.DUMMYFUNCTION("""COMPUTED_VALUE"""),174626.0)</f>
        <v>174626</v>
      </c>
    </row>
    <row r="98">
      <c r="A98" s="9">
        <f>IFERROR(__xludf.DUMMYFUNCTION("""COMPUTED_VALUE"""),163.0)</f>
        <v>163</v>
      </c>
      <c r="B98" s="9" t="str">
        <f>IFERROR(__xludf.DUMMYFUNCTION("""COMPUTED_VALUE"""),"Jermayne Furtado")</f>
        <v>Jermayne Furtado</v>
      </c>
      <c r="C98" s="9" t="str">
        <f>IFERROR(__xludf.DUMMYFUNCTION("""COMPUTED_VALUE"""),"jfurtado4i@bluehost.com")</f>
        <v>jfurtado4i@bluehost.com</v>
      </c>
      <c r="D98" s="9" t="str">
        <f>IFERROR(__xludf.DUMMYFUNCTION("""COMPUTED_VALUE"""),"Paraguay")</f>
        <v>Paraguay</v>
      </c>
      <c r="E98" s="9" t="str">
        <f>IFERROR(__xludf.DUMMYFUNCTION("""COMPUTED_VALUE"""),"Tecnología")</f>
        <v>Tecnología</v>
      </c>
      <c r="F98" s="9" t="str">
        <f>IFERROR(__xludf.DUMMYFUNCTION("""COMPUTED_VALUE"""),"Trabajo")</f>
        <v>Trabajo</v>
      </c>
      <c r="G98" s="9" t="str">
        <f>IFERROR(__xludf.DUMMYFUNCTION("""COMPUTED_VALUE"""),"Ofreciendo trabajo")</f>
        <v>Ofreciendo trabajo</v>
      </c>
      <c r="H98" s="9" t="str">
        <f>IFERROR(__xludf.DUMMYFUNCTION("""COMPUTED_VALUE"""),"NO")</f>
        <v>NO</v>
      </c>
      <c r="I98" s="9">
        <f>IFERROR(__xludf.DUMMYFUNCTION("""COMPUTED_VALUE"""),6.0)</f>
        <v>6</v>
      </c>
      <c r="J98" s="9">
        <f>IFERROR(__xludf.DUMMYFUNCTION("""COMPUTED_VALUE"""),10.0)</f>
        <v>10</v>
      </c>
      <c r="K98" s="14">
        <f>IFERROR(__xludf.DUMMYFUNCTION("""COMPUTED_VALUE"""),0.0)</f>
        <v>0</v>
      </c>
      <c r="L98" s="14">
        <f>IFERROR(__xludf.DUMMYFUNCTION("""COMPUTED_VALUE"""),0.0)</f>
        <v>0</v>
      </c>
      <c r="M98" s="14">
        <f>IFERROR(__xludf.DUMMYFUNCTION("""COMPUTED_VALUE"""),2.4965127E7)</f>
        <v>24965127</v>
      </c>
      <c r="N98" s="14">
        <f>IFERROR(__xludf.DUMMYFUNCTION("""COMPUTED_VALUE"""),4.1129782E7)</f>
        <v>41129782</v>
      </c>
    </row>
    <row r="99">
      <c r="A99" s="9">
        <f>IFERROR(__xludf.DUMMYFUNCTION("""COMPUTED_VALUE"""),166.0)</f>
        <v>166</v>
      </c>
      <c r="B99" s="9" t="str">
        <f>IFERROR(__xludf.DUMMYFUNCTION("""COMPUTED_VALUE"""),"Adiana Etches")</f>
        <v>Adiana Etches</v>
      </c>
      <c r="C99" s="9" t="str">
        <f>IFERROR(__xludf.DUMMYFUNCTION("""COMPUTED_VALUE"""),"aetches4l@gravatar.com")</f>
        <v>aetches4l@gravatar.com</v>
      </c>
      <c r="D99" s="9" t="str">
        <f>IFERROR(__xludf.DUMMYFUNCTION("""COMPUTED_VALUE"""),"Brasil")</f>
        <v>Brasil</v>
      </c>
      <c r="E99" s="9" t="str">
        <f>IFERROR(__xludf.DUMMYFUNCTION("""COMPUTED_VALUE"""),"Tecnología")</f>
        <v>Tecnología</v>
      </c>
      <c r="F99" s="9" t="str">
        <f>IFERROR(__xludf.DUMMYFUNCTION("""COMPUTED_VALUE"""),"Inversión")</f>
        <v>Inversión</v>
      </c>
      <c r="G99" s="9" t="str">
        <f>IFERROR(__xludf.DUMMYFUNCTION("""COMPUTED_VALUE"""),"Socio de proyecto")</f>
        <v>Socio de proyecto</v>
      </c>
      <c r="H99" s="9" t="str">
        <f>IFERROR(__xludf.DUMMYFUNCTION("""COMPUTED_VALUE"""),"NO")</f>
        <v>NO</v>
      </c>
      <c r="I99" s="9">
        <f>IFERROR(__xludf.DUMMYFUNCTION("""COMPUTED_VALUE"""),7.0)</f>
        <v>7</v>
      </c>
      <c r="J99" s="9">
        <f>IFERROR(__xludf.DUMMYFUNCTION("""COMPUTED_VALUE"""),7.0)</f>
        <v>7</v>
      </c>
      <c r="K99" s="14">
        <f>IFERROR(__xludf.DUMMYFUNCTION("""COMPUTED_VALUE"""),1.0E7)</f>
        <v>10000000</v>
      </c>
      <c r="L99" s="14">
        <f>IFERROR(__xludf.DUMMYFUNCTION("""COMPUTED_VALUE"""),4.3538967E7)</f>
        <v>43538967</v>
      </c>
      <c r="M99" s="14">
        <f>IFERROR(__xludf.DUMMYFUNCTION("""COMPUTED_VALUE"""),5161300.0)</f>
        <v>5161300</v>
      </c>
      <c r="N99" s="14">
        <f>IFERROR(__xludf.DUMMYFUNCTION("""COMPUTED_VALUE"""),8.5417673E7)</f>
        <v>85417673</v>
      </c>
    </row>
    <row r="100">
      <c r="A100" s="9">
        <f>IFERROR(__xludf.DUMMYFUNCTION("""COMPUTED_VALUE"""),167.0)</f>
        <v>167</v>
      </c>
      <c r="B100" s="9" t="str">
        <f>IFERROR(__xludf.DUMMYFUNCTION("""COMPUTED_VALUE"""),"Constantine McGibbon")</f>
        <v>Constantine McGibbon</v>
      </c>
      <c r="C100" s="9" t="str">
        <f>IFERROR(__xludf.DUMMYFUNCTION("""COMPUTED_VALUE"""),"cmcgibbon4m@istockphoto.com")</f>
        <v>cmcgibbon4m@istockphoto.com</v>
      </c>
      <c r="D100" s="9" t="str">
        <f>IFERROR(__xludf.DUMMYFUNCTION("""COMPUTED_VALUE"""),"Uruguay")</f>
        <v>Uruguay</v>
      </c>
      <c r="E100" s="9" t="str">
        <f>IFERROR(__xludf.DUMMYFUNCTION("""COMPUTED_VALUE"""),"Tecnología")</f>
        <v>Tecnología</v>
      </c>
      <c r="F100" s="9" t="str">
        <f>IFERROR(__xludf.DUMMYFUNCTION("""COMPUTED_VALUE"""),"Inversión")</f>
        <v>Inversión</v>
      </c>
      <c r="G100" s="9" t="str">
        <f>IFERROR(__xludf.DUMMYFUNCTION("""COMPUTED_VALUE"""),"Socio de proyecto")</f>
        <v>Socio de proyecto</v>
      </c>
      <c r="H100" s="9" t="str">
        <f>IFERROR(__xludf.DUMMYFUNCTION("""COMPUTED_VALUE"""),"SI")</f>
        <v>SI</v>
      </c>
      <c r="I100" s="9">
        <f>IFERROR(__xludf.DUMMYFUNCTION("""COMPUTED_VALUE"""),3.0)</f>
        <v>3</v>
      </c>
      <c r="J100" s="9">
        <f>IFERROR(__xludf.DUMMYFUNCTION("""COMPUTED_VALUE"""),7.0)</f>
        <v>7</v>
      </c>
      <c r="K100" s="14">
        <f>IFERROR(__xludf.DUMMYFUNCTION("""COMPUTED_VALUE"""),1000000.0)</f>
        <v>1000000</v>
      </c>
      <c r="L100" s="14">
        <f>IFERROR(__xludf.DUMMYFUNCTION("""COMPUTED_VALUE"""),9.5899452E7)</f>
        <v>95899452</v>
      </c>
      <c r="M100" s="14">
        <f>IFERROR(__xludf.DUMMYFUNCTION("""COMPUTED_VALUE"""),2565664.0)</f>
        <v>2565664</v>
      </c>
      <c r="N100" s="14">
        <f>IFERROR(__xludf.DUMMYFUNCTION("""COMPUTED_VALUE"""),3.9602953E7)</f>
        <v>39602953</v>
      </c>
    </row>
    <row r="101">
      <c r="A101" s="9">
        <f>IFERROR(__xludf.DUMMYFUNCTION("""COMPUTED_VALUE"""),168.0)</f>
        <v>168</v>
      </c>
      <c r="B101" s="9" t="str">
        <f>IFERROR(__xludf.DUMMYFUNCTION("""COMPUTED_VALUE"""),"Hughie Dawltrey")</f>
        <v>Hughie Dawltrey</v>
      </c>
      <c r="C101" s="9" t="str">
        <f>IFERROR(__xludf.DUMMYFUNCTION("""COMPUTED_VALUE"""),"hdawltrey4n@hud.gov")</f>
        <v>hdawltrey4n@hud.gov</v>
      </c>
      <c r="D101" s="9" t="str">
        <f>IFERROR(__xludf.DUMMYFUNCTION("""COMPUTED_VALUE"""),"Paraguay")</f>
        <v>Paraguay</v>
      </c>
      <c r="E101" s="9" t="str">
        <f>IFERROR(__xludf.DUMMYFUNCTION("""COMPUTED_VALUE"""),"Tecnología")</f>
        <v>Tecnología</v>
      </c>
      <c r="F101" s="9" t="str">
        <f>IFERROR(__xludf.DUMMYFUNCTION("""COMPUTED_VALUE"""),"Inversión")</f>
        <v>Inversión</v>
      </c>
      <c r="G101" s="9" t="str">
        <f>IFERROR(__xludf.DUMMYFUNCTION("""COMPUTED_VALUE"""),"Socio de proyecto")</f>
        <v>Socio de proyecto</v>
      </c>
      <c r="H101" s="9" t="str">
        <f>IFERROR(__xludf.DUMMYFUNCTION("""COMPUTED_VALUE"""),"SI")</f>
        <v>SI</v>
      </c>
      <c r="I101" s="9">
        <f>IFERROR(__xludf.DUMMYFUNCTION("""COMPUTED_VALUE"""),7.0)</f>
        <v>7</v>
      </c>
      <c r="J101" s="9">
        <f>IFERROR(__xludf.DUMMYFUNCTION("""COMPUTED_VALUE"""),7.0)</f>
        <v>7</v>
      </c>
      <c r="K101" s="14">
        <f>IFERROR(__xludf.DUMMYFUNCTION("""COMPUTED_VALUE"""),1000000.0)</f>
        <v>1000000</v>
      </c>
      <c r="L101" s="14">
        <f>IFERROR(__xludf.DUMMYFUNCTION("""COMPUTED_VALUE"""),8.1347428E7)</f>
        <v>81347428</v>
      </c>
      <c r="M101" s="14">
        <f>IFERROR(__xludf.DUMMYFUNCTION("""COMPUTED_VALUE"""),1.0860215E7)</f>
        <v>10860215</v>
      </c>
      <c r="N101" s="14">
        <f>IFERROR(__xludf.DUMMYFUNCTION("""COMPUTED_VALUE"""),2.863729E7)</f>
        <v>28637290</v>
      </c>
    </row>
    <row r="102">
      <c r="A102" s="9">
        <f>IFERROR(__xludf.DUMMYFUNCTION("""COMPUTED_VALUE"""),170.0)</f>
        <v>170</v>
      </c>
      <c r="B102" s="9" t="str">
        <f>IFERROR(__xludf.DUMMYFUNCTION("""COMPUTED_VALUE"""),"William Parysowna")</f>
        <v>William Parysowna</v>
      </c>
      <c r="C102" s="9" t="str">
        <f>IFERROR(__xludf.DUMMYFUNCTION("""COMPUTED_VALUE"""),"wparysowna4p@purevolume.com")</f>
        <v>wparysowna4p@purevolume.com</v>
      </c>
      <c r="D102" s="9" t="str">
        <f>IFERROR(__xludf.DUMMYFUNCTION("""COMPUTED_VALUE"""),"Argentina")</f>
        <v>Argentina</v>
      </c>
      <c r="E102" s="9" t="str">
        <f>IFERROR(__xludf.DUMMYFUNCTION("""COMPUTED_VALUE"""),"Tecnología")</f>
        <v>Tecnología</v>
      </c>
      <c r="F102" s="9" t="str">
        <f>IFERROR(__xludf.DUMMYFUNCTION("""COMPUTED_VALUE"""),"Inversión")</f>
        <v>Inversión</v>
      </c>
      <c r="G102" s="9" t="str">
        <f>IFERROR(__xludf.DUMMYFUNCTION("""COMPUTED_VALUE"""),"Socio de proyecto")</f>
        <v>Socio de proyecto</v>
      </c>
      <c r="H102" s="9" t="str">
        <f>IFERROR(__xludf.DUMMYFUNCTION("""COMPUTED_VALUE"""),"SI")</f>
        <v>SI</v>
      </c>
      <c r="I102" s="9">
        <f>IFERROR(__xludf.DUMMYFUNCTION("""COMPUTED_VALUE"""),3.0)</f>
        <v>3</v>
      </c>
      <c r="J102" s="9">
        <f>IFERROR(__xludf.DUMMYFUNCTION("""COMPUTED_VALUE"""),5.0)</f>
        <v>5</v>
      </c>
      <c r="K102" s="14">
        <f>IFERROR(__xludf.DUMMYFUNCTION("""COMPUTED_VALUE"""),1.0E7)</f>
        <v>10000000</v>
      </c>
      <c r="L102" s="14">
        <f>IFERROR(__xludf.DUMMYFUNCTION("""COMPUTED_VALUE"""),9.6199053E7)</f>
        <v>96199053</v>
      </c>
      <c r="M102" s="14">
        <f>IFERROR(__xludf.DUMMYFUNCTION("""COMPUTED_VALUE"""),3.1746355E7)</f>
        <v>31746355</v>
      </c>
      <c r="N102" s="14">
        <f>IFERROR(__xludf.DUMMYFUNCTION("""COMPUTED_VALUE"""),8.0063468E7)</f>
        <v>80063468</v>
      </c>
    </row>
    <row r="103">
      <c r="A103" s="9">
        <f>IFERROR(__xludf.DUMMYFUNCTION("""COMPUTED_VALUE"""),171.0)</f>
        <v>171</v>
      </c>
      <c r="B103" s="9" t="str">
        <f>IFERROR(__xludf.DUMMYFUNCTION("""COMPUTED_VALUE"""),"Gav Davio")</f>
        <v>Gav Davio</v>
      </c>
      <c r="C103" s="9" t="str">
        <f>IFERROR(__xludf.DUMMYFUNCTION("""COMPUTED_VALUE"""),"gdavio4q@google.ru")</f>
        <v>gdavio4q@google.ru</v>
      </c>
      <c r="D103" s="9" t="str">
        <f>IFERROR(__xludf.DUMMYFUNCTION("""COMPUTED_VALUE"""),"Colombia")</f>
        <v>Colombia</v>
      </c>
      <c r="E103" s="9" t="str">
        <f>IFERROR(__xludf.DUMMYFUNCTION("""COMPUTED_VALUE"""),"Tecnología")</f>
        <v>Tecnología</v>
      </c>
      <c r="F103" s="9" t="str">
        <f>IFERROR(__xludf.DUMMYFUNCTION("""COMPUTED_VALUE"""),"Inversión")</f>
        <v>Inversión</v>
      </c>
      <c r="G103" s="9" t="str">
        <f>IFERROR(__xludf.DUMMYFUNCTION("""COMPUTED_VALUE"""),"Socio de proyecto")</f>
        <v>Socio de proyecto</v>
      </c>
      <c r="H103" s="9" t="str">
        <f>IFERROR(__xludf.DUMMYFUNCTION("""COMPUTED_VALUE"""),"NO")</f>
        <v>NO</v>
      </c>
      <c r="I103" s="9">
        <f>IFERROR(__xludf.DUMMYFUNCTION("""COMPUTED_VALUE"""),8.0)</f>
        <v>8</v>
      </c>
      <c r="J103" s="9">
        <f>IFERROR(__xludf.DUMMYFUNCTION("""COMPUTED_VALUE"""),10.0)</f>
        <v>10</v>
      </c>
      <c r="K103" s="14">
        <f>IFERROR(__xludf.DUMMYFUNCTION("""COMPUTED_VALUE"""),1000000.0)</f>
        <v>1000000</v>
      </c>
      <c r="L103" s="14">
        <f>IFERROR(__xludf.DUMMYFUNCTION("""COMPUTED_VALUE"""),7.1783742E7)</f>
        <v>71783742</v>
      </c>
      <c r="M103" s="14">
        <f>IFERROR(__xludf.DUMMYFUNCTION("""COMPUTED_VALUE"""),6.4667814E7)</f>
        <v>64667814</v>
      </c>
      <c r="N103" s="14">
        <f>IFERROR(__xludf.DUMMYFUNCTION("""COMPUTED_VALUE"""),7.065318E7)</f>
        <v>70653180</v>
      </c>
    </row>
    <row r="104">
      <c r="A104" s="9">
        <f>IFERROR(__xludf.DUMMYFUNCTION("""COMPUTED_VALUE"""),174.0)</f>
        <v>174</v>
      </c>
      <c r="B104" s="9" t="str">
        <f>IFERROR(__xludf.DUMMYFUNCTION("""COMPUTED_VALUE"""),"Rorie Loadman")</f>
        <v>Rorie Loadman</v>
      </c>
      <c r="C104" s="9" t="str">
        <f>IFERROR(__xludf.DUMMYFUNCTION("""COMPUTED_VALUE"""),"rloadman4t@studiopress.com")</f>
        <v>rloadman4t@studiopress.com</v>
      </c>
      <c r="D104" s="9" t="str">
        <f>IFERROR(__xludf.DUMMYFUNCTION("""COMPUTED_VALUE"""),"Perú")</f>
        <v>Perú</v>
      </c>
      <c r="E104" s="9" t="str">
        <f>IFERROR(__xludf.DUMMYFUNCTION("""COMPUTED_VALUE"""),"Tecnología")</f>
        <v>Tecnología</v>
      </c>
      <c r="F104" s="9" t="str">
        <f>IFERROR(__xludf.DUMMYFUNCTION("""COMPUTED_VALUE"""),"Inversión")</f>
        <v>Inversión</v>
      </c>
      <c r="G104" s="9" t="str">
        <f>IFERROR(__xludf.DUMMYFUNCTION("""COMPUTED_VALUE"""),"Socio de proyecto")</f>
        <v>Socio de proyecto</v>
      </c>
      <c r="H104" s="9" t="str">
        <f>IFERROR(__xludf.DUMMYFUNCTION("""COMPUTED_VALUE"""),"SI")</f>
        <v>SI</v>
      </c>
      <c r="I104" s="9">
        <f>IFERROR(__xludf.DUMMYFUNCTION("""COMPUTED_VALUE"""),6.0)</f>
        <v>6</v>
      </c>
      <c r="J104" s="9">
        <f>IFERROR(__xludf.DUMMYFUNCTION("""COMPUTED_VALUE"""),5.0)</f>
        <v>5</v>
      </c>
      <c r="K104" s="14">
        <f>IFERROR(__xludf.DUMMYFUNCTION("""COMPUTED_VALUE"""),3.0E7)</f>
        <v>30000000</v>
      </c>
      <c r="L104" s="14">
        <f>IFERROR(__xludf.DUMMYFUNCTION("""COMPUTED_VALUE"""),3.3477783E7)</f>
        <v>33477783</v>
      </c>
      <c r="M104" s="14">
        <f>IFERROR(__xludf.DUMMYFUNCTION("""COMPUTED_VALUE"""),0.0)</f>
        <v>0</v>
      </c>
      <c r="N104" s="14">
        <f>IFERROR(__xludf.DUMMYFUNCTION("""COMPUTED_VALUE"""),2.7651635E7)</f>
        <v>27651635</v>
      </c>
    </row>
    <row r="105">
      <c r="A105" s="9">
        <f>IFERROR(__xludf.DUMMYFUNCTION("""COMPUTED_VALUE"""),176.0)</f>
        <v>176</v>
      </c>
      <c r="B105" s="9" t="str">
        <f>IFERROR(__xludf.DUMMYFUNCTION("""COMPUTED_VALUE"""),"Moe Corkill")</f>
        <v>Moe Corkill</v>
      </c>
      <c r="C105" s="9" t="str">
        <f>IFERROR(__xludf.DUMMYFUNCTION("""COMPUTED_VALUE"""),"mcorkill4v@ucsd.edu")</f>
        <v>mcorkill4v@ucsd.edu</v>
      </c>
      <c r="D105" s="9" t="str">
        <f>IFERROR(__xludf.DUMMYFUNCTION("""COMPUTED_VALUE"""),"Colombia")</f>
        <v>Colombia</v>
      </c>
      <c r="E105" s="9" t="str">
        <f>IFERROR(__xludf.DUMMYFUNCTION("""COMPUTED_VALUE"""),"Tecnología")</f>
        <v>Tecnología</v>
      </c>
      <c r="F105" s="9" t="str">
        <f>IFERROR(__xludf.DUMMYFUNCTION("""COMPUTED_VALUE"""),"Inversión")</f>
        <v>Inversión</v>
      </c>
      <c r="G105" s="9" t="str">
        <f>IFERROR(__xludf.DUMMYFUNCTION("""COMPUTED_VALUE"""),"Socio capitalista")</f>
        <v>Socio capitalista</v>
      </c>
      <c r="H105" s="9" t="str">
        <f>IFERROR(__xludf.DUMMYFUNCTION("""COMPUTED_VALUE"""),"NO")</f>
        <v>NO</v>
      </c>
      <c r="I105" s="9">
        <f>IFERROR(__xludf.DUMMYFUNCTION("""COMPUTED_VALUE"""),3.0)</f>
        <v>3</v>
      </c>
      <c r="J105" s="9">
        <f>IFERROR(__xludf.DUMMYFUNCTION("""COMPUTED_VALUE"""),8.0)</f>
        <v>8</v>
      </c>
      <c r="K105" s="14">
        <f>IFERROR(__xludf.DUMMYFUNCTION("""COMPUTED_VALUE"""),5.0E7)</f>
        <v>50000000</v>
      </c>
      <c r="L105" s="14">
        <f>IFERROR(__xludf.DUMMYFUNCTION("""COMPUTED_VALUE"""),7.0787848E7)</f>
        <v>70787848</v>
      </c>
      <c r="M105" s="14">
        <f>IFERROR(__xludf.DUMMYFUNCTION("""COMPUTED_VALUE"""),3.3368202E7)</f>
        <v>33368202</v>
      </c>
      <c r="N105" s="14">
        <f>IFERROR(__xludf.DUMMYFUNCTION("""COMPUTED_VALUE"""),4.3277527E7)</f>
        <v>43277527</v>
      </c>
    </row>
    <row r="106">
      <c r="A106" s="9">
        <f>IFERROR(__xludf.DUMMYFUNCTION("""COMPUTED_VALUE"""),177.0)</f>
        <v>177</v>
      </c>
      <c r="B106" s="9" t="str">
        <f>IFERROR(__xludf.DUMMYFUNCTION("""COMPUTED_VALUE"""),"Kerr Risborough")</f>
        <v>Kerr Risborough</v>
      </c>
      <c r="C106" s="9" t="str">
        <f>IFERROR(__xludf.DUMMYFUNCTION("""COMPUTED_VALUE"""),"krisborough4w@bbb.org")</f>
        <v>krisborough4w@bbb.org</v>
      </c>
      <c r="D106" s="9" t="str">
        <f>IFERROR(__xludf.DUMMYFUNCTION("""COMPUTED_VALUE"""),"Venezuela")</f>
        <v>Venezuela</v>
      </c>
      <c r="E106" s="9" t="str">
        <f>IFERROR(__xludf.DUMMYFUNCTION("""COMPUTED_VALUE"""),"Tecnología")</f>
        <v>Tecnología</v>
      </c>
      <c r="F106" s="9" t="str">
        <f>IFERROR(__xludf.DUMMYFUNCTION("""COMPUTED_VALUE"""),"Trabajo")</f>
        <v>Trabajo</v>
      </c>
      <c r="G106" s="9" t="str">
        <f>IFERROR(__xludf.DUMMYFUNCTION("""COMPUTED_VALUE"""),"Ofreciendo trabajo")</f>
        <v>Ofreciendo trabajo</v>
      </c>
      <c r="H106" s="9" t="str">
        <f>IFERROR(__xludf.DUMMYFUNCTION("""COMPUTED_VALUE"""),"SI")</f>
        <v>SI</v>
      </c>
      <c r="I106" s="9">
        <f>IFERROR(__xludf.DUMMYFUNCTION("""COMPUTED_VALUE"""),6.0)</f>
        <v>6</v>
      </c>
      <c r="J106" s="9">
        <f>IFERROR(__xludf.DUMMYFUNCTION("""COMPUTED_VALUE"""),9.0)</f>
        <v>9</v>
      </c>
      <c r="K106" s="14">
        <f>IFERROR(__xludf.DUMMYFUNCTION("""COMPUTED_VALUE"""),0.0)</f>
        <v>0</v>
      </c>
      <c r="L106" s="14">
        <f>IFERROR(__xludf.DUMMYFUNCTION("""COMPUTED_VALUE"""),0.0)</f>
        <v>0</v>
      </c>
      <c r="M106" s="14">
        <f>IFERROR(__xludf.DUMMYFUNCTION("""COMPUTED_VALUE"""),4.6563396E7)</f>
        <v>46563396</v>
      </c>
      <c r="N106" s="14">
        <f>IFERROR(__xludf.DUMMYFUNCTION("""COMPUTED_VALUE"""),6.3313535E7)</f>
        <v>63313535</v>
      </c>
    </row>
    <row r="107">
      <c r="A107" s="9">
        <f>IFERROR(__xludf.DUMMYFUNCTION("""COMPUTED_VALUE"""),178.0)</f>
        <v>178</v>
      </c>
      <c r="B107" s="9" t="str">
        <f>IFERROR(__xludf.DUMMYFUNCTION("""COMPUTED_VALUE"""),"Rosemarie Kitchenman")</f>
        <v>Rosemarie Kitchenman</v>
      </c>
      <c r="C107" s="9" t="str">
        <f>IFERROR(__xludf.DUMMYFUNCTION("""COMPUTED_VALUE"""),"rkitchenman4x@ovh.net")</f>
        <v>rkitchenman4x@ovh.net</v>
      </c>
      <c r="D107" s="9" t="str">
        <f>IFERROR(__xludf.DUMMYFUNCTION("""COMPUTED_VALUE"""),"Perú")</f>
        <v>Perú</v>
      </c>
      <c r="E107" s="9" t="str">
        <f>IFERROR(__xludf.DUMMYFUNCTION("""COMPUTED_VALUE"""),"Tecnología")</f>
        <v>Tecnología</v>
      </c>
      <c r="F107" s="9" t="str">
        <f>IFERROR(__xludf.DUMMYFUNCTION("""COMPUTED_VALUE"""),"Inversión")</f>
        <v>Inversión</v>
      </c>
      <c r="G107" s="9" t="str">
        <f>IFERROR(__xludf.DUMMYFUNCTION("""COMPUTED_VALUE"""),"Socio capitalista")</f>
        <v>Socio capitalista</v>
      </c>
      <c r="H107" s="9" t="str">
        <f>IFERROR(__xludf.DUMMYFUNCTION("""COMPUTED_VALUE"""),"NO")</f>
        <v>NO</v>
      </c>
      <c r="I107" s="9">
        <f>IFERROR(__xludf.DUMMYFUNCTION("""COMPUTED_VALUE"""),7.0)</f>
        <v>7</v>
      </c>
      <c r="J107" s="9">
        <f>IFERROR(__xludf.DUMMYFUNCTION("""COMPUTED_VALUE"""),6.0)</f>
        <v>6</v>
      </c>
      <c r="K107" s="14">
        <f>IFERROR(__xludf.DUMMYFUNCTION("""COMPUTED_VALUE"""),2.0E7)</f>
        <v>20000000</v>
      </c>
      <c r="L107" s="14">
        <f>IFERROR(__xludf.DUMMYFUNCTION("""COMPUTED_VALUE"""),4.006462E7)</f>
        <v>40064620</v>
      </c>
      <c r="M107" s="14">
        <f>IFERROR(__xludf.DUMMYFUNCTION("""COMPUTED_VALUE"""),9.8137438E7)</f>
        <v>98137438</v>
      </c>
      <c r="N107" s="14">
        <f>IFERROR(__xludf.DUMMYFUNCTION("""COMPUTED_VALUE"""),0.0)</f>
        <v>0</v>
      </c>
    </row>
    <row r="108">
      <c r="A108" s="9">
        <f>IFERROR(__xludf.DUMMYFUNCTION("""COMPUTED_VALUE"""),179.0)</f>
        <v>179</v>
      </c>
      <c r="B108" s="9" t="str">
        <f>IFERROR(__xludf.DUMMYFUNCTION("""COMPUTED_VALUE"""),"Nefen Pert")</f>
        <v>Nefen Pert</v>
      </c>
      <c r="C108" s="9" t="str">
        <f>IFERROR(__xludf.DUMMYFUNCTION("""COMPUTED_VALUE"""),"npert4y@sfgate.com")</f>
        <v>npert4y@sfgate.com</v>
      </c>
      <c r="D108" s="9" t="str">
        <f>IFERROR(__xludf.DUMMYFUNCTION("""COMPUTED_VALUE"""),"Brasil")</f>
        <v>Brasil</v>
      </c>
      <c r="E108" s="9" t="str">
        <f>IFERROR(__xludf.DUMMYFUNCTION("""COMPUTED_VALUE"""),"Tecnología")</f>
        <v>Tecnología</v>
      </c>
      <c r="F108" s="9" t="str">
        <f>IFERROR(__xludf.DUMMYFUNCTION("""COMPUTED_VALUE"""),"Inversión")</f>
        <v>Inversión</v>
      </c>
      <c r="G108" s="9" t="str">
        <f>IFERROR(__xludf.DUMMYFUNCTION("""COMPUTED_VALUE"""),"Socio de proyecto")</f>
        <v>Socio de proyecto</v>
      </c>
      <c r="H108" s="9" t="str">
        <f>IFERROR(__xludf.DUMMYFUNCTION("""COMPUTED_VALUE"""),"NO")</f>
        <v>NO</v>
      </c>
      <c r="I108" s="9">
        <f>IFERROR(__xludf.DUMMYFUNCTION("""COMPUTED_VALUE"""),6.0)</f>
        <v>6</v>
      </c>
      <c r="J108" s="9">
        <f>IFERROR(__xludf.DUMMYFUNCTION("""COMPUTED_VALUE"""),9.0)</f>
        <v>9</v>
      </c>
      <c r="K108" s="14">
        <f>IFERROR(__xludf.DUMMYFUNCTION("""COMPUTED_VALUE"""),3.0E7)</f>
        <v>30000000</v>
      </c>
      <c r="L108" s="14">
        <f>IFERROR(__xludf.DUMMYFUNCTION("""COMPUTED_VALUE"""),4.528936E7)</f>
        <v>45289360</v>
      </c>
      <c r="M108" s="14">
        <f>IFERROR(__xludf.DUMMYFUNCTION("""COMPUTED_VALUE"""),0.0)</f>
        <v>0</v>
      </c>
      <c r="N108" s="14">
        <f>IFERROR(__xludf.DUMMYFUNCTION("""COMPUTED_VALUE"""),4.6980526E7)</f>
        <v>46980526</v>
      </c>
    </row>
    <row r="109">
      <c r="A109" s="9">
        <f>IFERROR(__xludf.DUMMYFUNCTION("""COMPUTED_VALUE"""),181.0)</f>
        <v>181</v>
      </c>
      <c r="B109" s="9" t="str">
        <f>IFERROR(__xludf.DUMMYFUNCTION("""COMPUTED_VALUE"""),"Cyb Greder")</f>
        <v>Cyb Greder</v>
      </c>
      <c r="C109" s="9" t="str">
        <f>IFERROR(__xludf.DUMMYFUNCTION("""COMPUTED_VALUE"""),"cgreder50@psu.edu")</f>
        <v>cgreder50@psu.edu</v>
      </c>
      <c r="D109" s="9" t="str">
        <f>IFERROR(__xludf.DUMMYFUNCTION("""COMPUTED_VALUE"""),"Chile")</f>
        <v>Chile</v>
      </c>
      <c r="E109" s="9" t="str">
        <f>IFERROR(__xludf.DUMMYFUNCTION("""COMPUTED_VALUE"""),"Tecnología")</f>
        <v>Tecnología</v>
      </c>
      <c r="F109" s="9" t="str">
        <f>IFERROR(__xludf.DUMMYFUNCTION("""COMPUTED_VALUE"""),"Trabajo")</f>
        <v>Trabajo</v>
      </c>
      <c r="G109" s="9" t="str">
        <f>IFERROR(__xludf.DUMMYFUNCTION("""COMPUTED_VALUE"""),"Buscando trabajo")</f>
        <v>Buscando trabajo</v>
      </c>
      <c r="H109" s="9" t="str">
        <f>IFERROR(__xludf.DUMMYFUNCTION("""COMPUTED_VALUE"""),"SI")</f>
        <v>SI</v>
      </c>
      <c r="I109" s="9">
        <f>IFERROR(__xludf.DUMMYFUNCTION("""COMPUTED_VALUE"""),4.0)</f>
        <v>4</v>
      </c>
      <c r="J109" s="9">
        <f>IFERROR(__xludf.DUMMYFUNCTION("""COMPUTED_VALUE"""),5.0)</f>
        <v>5</v>
      </c>
      <c r="K109" s="14">
        <f>IFERROR(__xludf.DUMMYFUNCTION("""COMPUTED_VALUE"""),0.0)</f>
        <v>0</v>
      </c>
      <c r="L109" s="14">
        <f>IFERROR(__xludf.DUMMYFUNCTION("""COMPUTED_VALUE"""),0.0)</f>
        <v>0</v>
      </c>
      <c r="M109" s="14">
        <f>IFERROR(__xludf.DUMMYFUNCTION("""COMPUTED_VALUE"""),6.9870077E7)</f>
        <v>69870077</v>
      </c>
      <c r="N109" s="14">
        <f>IFERROR(__xludf.DUMMYFUNCTION("""COMPUTED_VALUE"""),9.844158E7)</f>
        <v>98441580</v>
      </c>
    </row>
    <row r="110">
      <c r="A110" s="9">
        <f>IFERROR(__xludf.DUMMYFUNCTION("""COMPUTED_VALUE"""),183.0)</f>
        <v>183</v>
      </c>
      <c r="B110" s="9" t="str">
        <f>IFERROR(__xludf.DUMMYFUNCTION("""COMPUTED_VALUE"""),"Brandais Matyukon")</f>
        <v>Brandais Matyukon</v>
      </c>
      <c r="C110" s="9" t="str">
        <f>IFERROR(__xludf.DUMMYFUNCTION("""COMPUTED_VALUE"""),"bmatyukon52@about.me")</f>
        <v>bmatyukon52@about.me</v>
      </c>
      <c r="D110" s="9" t="str">
        <f>IFERROR(__xludf.DUMMYFUNCTION("""COMPUTED_VALUE"""),"Argentina")</f>
        <v>Argentina</v>
      </c>
      <c r="E110" s="9" t="str">
        <f>IFERROR(__xludf.DUMMYFUNCTION("""COMPUTED_VALUE"""),"Tecnología")</f>
        <v>Tecnología</v>
      </c>
      <c r="F110" s="9" t="str">
        <f>IFERROR(__xludf.DUMMYFUNCTION("""COMPUTED_VALUE"""),"Inversión")</f>
        <v>Inversión</v>
      </c>
      <c r="G110" s="9" t="str">
        <f>IFERROR(__xludf.DUMMYFUNCTION("""COMPUTED_VALUE"""),"Socio capitalista")</f>
        <v>Socio capitalista</v>
      </c>
      <c r="H110" s="9" t="str">
        <f>IFERROR(__xludf.DUMMYFUNCTION("""COMPUTED_VALUE"""),"NO")</f>
        <v>NO</v>
      </c>
      <c r="I110" s="9">
        <f>IFERROR(__xludf.DUMMYFUNCTION("""COMPUTED_VALUE"""),5.0)</f>
        <v>5</v>
      </c>
      <c r="J110" s="9">
        <f>IFERROR(__xludf.DUMMYFUNCTION("""COMPUTED_VALUE"""),6.0)</f>
        <v>6</v>
      </c>
      <c r="K110" s="14">
        <f>IFERROR(__xludf.DUMMYFUNCTION("""COMPUTED_VALUE"""),1000000.0)</f>
        <v>1000000</v>
      </c>
      <c r="L110" s="14">
        <f>IFERROR(__xludf.DUMMYFUNCTION("""COMPUTED_VALUE"""),5.3008255E7)</f>
        <v>53008255</v>
      </c>
      <c r="M110" s="14">
        <f>IFERROR(__xludf.DUMMYFUNCTION("""COMPUTED_VALUE"""),4.691791E7)</f>
        <v>46917910</v>
      </c>
      <c r="N110" s="14">
        <f>IFERROR(__xludf.DUMMYFUNCTION("""COMPUTED_VALUE"""),4.7557281E7)</f>
        <v>47557281</v>
      </c>
    </row>
    <row r="111">
      <c r="A111" s="9">
        <f>IFERROR(__xludf.DUMMYFUNCTION("""COMPUTED_VALUE"""),184.0)</f>
        <v>184</v>
      </c>
      <c r="B111" s="9" t="str">
        <f>IFERROR(__xludf.DUMMYFUNCTION("""COMPUTED_VALUE"""),"Althea Vickors")</f>
        <v>Althea Vickors</v>
      </c>
      <c r="C111" s="9" t="str">
        <f>IFERROR(__xludf.DUMMYFUNCTION("""COMPUTED_VALUE"""),"avickors53@istockphoto.com")</f>
        <v>avickors53@istockphoto.com</v>
      </c>
      <c r="D111" s="9" t="str">
        <f>IFERROR(__xludf.DUMMYFUNCTION("""COMPUTED_VALUE"""),"Argentina")</f>
        <v>Argentina</v>
      </c>
      <c r="E111" s="9" t="str">
        <f>IFERROR(__xludf.DUMMYFUNCTION("""COMPUTED_VALUE"""),"Tecnología")</f>
        <v>Tecnología</v>
      </c>
      <c r="F111" s="9" t="str">
        <f>IFERROR(__xludf.DUMMYFUNCTION("""COMPUTED_VALUE"""),"Trabajo")</f>
        <v>Trabajo</v>
      </c>
      <c r="G111" s="9" t="str">
        <f>IFERROR(__xludf.DUMMYFUNCTION("""COMPUTED_VALUE"""),"Buscando trabajo")</f>
        <v>Buscando trabajo</v>
      </c>
      <c r="H111" s="9" t="str">
        <f>IFERROR(__xludf.DUMMYFUNCTION("""COMPUTED_VALUE"""),"NO")</f>
        <v>NO</v>
      </c>
      <c r="I111" s="9">
        <f>IFERROR(__xludf.DUMMYFUNCTION("""COMPUTED_VALUE"""),6.0)</f>
        <v>6</v>
      </c>
      <c r="J111" s="9">
        <f>IFERROR(__xludf.DUMMYFUNCTION("""COMPUTED_VALUE"""),5.0)</f>
        <v>5</v>
      </c>
      <c r="K111" s="14">
        <f>IFERROR(__xludf.DUMMYFUNCTION("""COMPUTED_VALUE"""),0.0)</f>
        <v>0</v>
      </c>
      <c r="L111" s="14">
        <f>IFERROR(__xludf.DUMMYFUNCTION("""COMPUTED_VALUE"""),0.0)</f>
        <v>0</v>
      </c>
      <c r="M111" s="14">
        <f>IFERROR(__xludf.DUMMYFUNCTION("""COMPUTED_VALUE"""),0.0)</f>
        <v>0</v>
      </c>
      <c r="N111" s="14">
        <f>IFERROR(__xludf.DUMMYFUNCTION("""COMPUTED_VALUE"""),2.267526E7)</f>
        <v>22675260</v>
      </c>
    </row>
    <row r="112">
      <c r="A112" s="9">
        <f>IFERROR(__xludf.DUMMYFUNCTION("""COMPUTED_VALUE"""),185.0)</f>
        <v>185</v>
      </c>
      <c r="B112" s="9" t="str">
        <f>IFERROR(__xludf.DUMMYFUNCTION("""COMPUTED_VALUE"""),"Hansiain Charnley")</f>
        <v>Hansiain Charnley</v>
      </c>
      <c r="C112" s="9" t="str">
        <f>IFERROR(__xludf.DUMMYFUNCTION("""COMPUTED_VALUE"""),"hcharnley54@pen.io")</f>
        <v>hcharnley54@pen.io</v>
      </c>
      <c r="D112" s="9" t="str">
        <f>IFERROR(__xludf.DUMMYFUNCTION("""COMPUTED_VALUE"""),"Uruguay")</f>
        <v>Uruguay</v>
      </c>
      <c r="E112" s="9" t="str">
        <f>IFERROR(__xludf.DUMMYFUNCTION("""COMPUTED_VALUE"""),"Tecnología")</f>
        <v>Tecnología</v>
      </c>
      <c r="F112" s="9" t="str">
        <f>IFERROR(__xludf.DUMMYFUNCTION("""COMPUTED_VALUE"""),"Inversión")</f>
        <v>Inversión</v>
      </c>
      <c r="G112" s="9" t="str">
        <f>IFERROR(__xludf.DUMMYFUNCTION("""COMPUTED_VALUE"""),"Socio capitalista")</f>
        <v>Socio capitalista</v>
      </c>
      <c r="H112" s="9" t="str">
        <f>IFERROR(__xludf.DUMMYFUNCTION("""COMPUTED_VALUE"""),"NO")</f>
        <v>NO</v>
      </c>
      <c r="I112" s="9">
        <f>IFERROR(__xludf.DUMMYFUNCTION("""COMPUTED_VALUE"""),9.0)</f>
        <v>9</v>
      </c>
      <c r="J112" s="9">
        <f>IFERROR(__xludf.DUMMYFUNCTION("""COMPUTED_VALUE"""),9.0)</f>
        <v>9</v>
      </c>
      <c r="K112" s="14">
        <f>IFERROR(__xludf.DUMMYFUNCTION("""COMPUTED_VALUE"""),1.0E8)</f>
        <v>100000000</v>
      </c>
      <c r="L112" s="14">
        <f>IFERROR(__xludf.DUMMYFUNCTION("""COMPUTED_VALUE"""),9.468872E7)</f>
        <v>94688720</v>
      </c>
      <c r="M112" s="14">
        <f>IFERROR(__xludf.DUMMYFUNCTION("""COMPUTED_VALUE"""),8.6323763E7)</f>
        <v>86323763</v>
      </c>
      <c r="N112" s="14">
        <f>IFERROR(__xludf.DUMMYFUNCTION("""COMPUTED_VALUE"""),2.0929788E7)</f>
        <v>20929788</v>
      </c>
    </row>
    <row r="113">
      <c r="A113" s="9">
        <f>IFERROR(__xludf.DUMMYFUNCTION("""COMPUTED_VALUE"""),188.0)</f>
        <v>188</v>
      </c>
      <c r="B113" s="9" t="str">
        <f>IFERROR(__xludf.DUMMYFUNCTION("""COMPUTED_VALUE"""),"Mala Eastmead")</f>
        <v>Mala Eastmead</v>
      </c>
      <c r="C113" s="9" t="str">
        <f>IFERROR(__xludf.DUMMYFUNCTION("""COMPUTED_VALUE"""),"meastmead57@princeton.edu")</f>
        <v>meastmead57@princeton.edu</v>
      </c>
      <c r="D113" s="9" t="str">
        <f>IFERROR(__xludf.DUMMYFUNCTION("""COMPUTED_VALUE"""),"Paraguay")</f>
        <v>Paraguay</v>
      </c>
      <c r="E113" s="9" t="str">
        <f>IFERROR(__xludf.DUMMYFUNCTION("""COMPUTED_VALUE"""),"Tecnología")</f>
        <v>Tecnología</v>
      </c>
      <c r="F113" s="9" t="str">
        <f>IFERROR(__xludf.DUMMYFUNCTION("""COMPUTED_VALUE"""),"Inversión")</f>
        <v>Inversión</v>
      </c>
      <c r="G113" s="9" t="str">
        <f>IFERROR(__xludf.DUMMYFUNCTION("""COMPUTED_VALUE"""),"Socio de proyecto")</f>
        <v>Socio de proyecto</v>
      </c>
      <c r="H113" s="9" t="str">
        <f>IFERROR(__xludf.DUMMYFUNCTION("""COMPUTED_VALUE"""),"NO")</f>
        <v>NO</v>
      </c>
      <c r="I113" s="9">
        <f>IFERROR(__xludf.DUMMYFUNCTION("""COMPUTED_VALUE"""),6.0)</f>
        <v>6</v>
      </c>
      <c r="J113" s="9">
        <f>IFERROR(__xludf.DUMMYFUNCTION("""COMPUTED_VALUE"""),9.0)</f>
        <v>9</v>
      </c>
      <c r="K113" s="14">
        <f>IFERROR(__xludf.DUMMYFUNCTION("""COMPUTED_VALUE"""),3.0E7)</f>
        <v>30000000</v>
      </c>
      <c r="L113" s="14">
        <f>IFERROR(__xludf.DUMMYFUNCTION("""COMPUTED_VALUE"""),3.2890743E7)</f>
        <v>32890743</v>
      </c>
      <c r="M113" s="14">
        <f>IFERROR(__xludf.DUMMYFUNCTION("""COMPUTED_VALUE"""),0.0)</f>
        <v>0</v>
      </c>
      <c r="N113" s="14">
        <f>IFERROR(__xludf.DUMMYFUNCTION("""COMPUTED_VALUE"""),3.986462E7)</f>
        <v>39864620</v>
      </c>
    </row>
    <row r="114">
      <c r="A114" s="9">
        <f>IFERROR(__xludf.DUMMYFUNCTION("""COMPUTED_VALUE"""),191.0)</f>
        <v>191</v>
      </c>
      <c r="B114" s="9" t="str">
        <f>IFERROR(__xludf.DUMMYFUNCTION("""COMPUTED_VALUE"""),"Reynard Timmis")</f>
        <v>Reynard Timmis</v>
      </c>
      <c r="C114" s="9" t="str">
        <f>IFERROR(__xludf.DUMMYFUNCTION("""COMPUTED_VALUE"""),"rtimmis5a@behance.net")</f>
        <v>rtimmis5a@behance.net</v>
      </c>
      <c r="D114" s="9" t="str">
        <f>IFERROR(__xludf.DUMMYFUNCTION("""COMPUTED_VALUE"""),"Perú")</f>
        <v>Perú</v>
      </c>
      <c r="E114" s="9" t="str">
        <f>IFERROR(__xludf.DUMMYFUNCTION("""COMPUTED_VALUE"""),"Tecnología")</f>
        <v>Tecnología</v>
      </c>
      <c r="F114" s="9" t="str">
        <f>IFERROR(__xludf.DUMMYFUNCTION("""COMPUTED_VALUE"""),"Inversión")</f>
        <v>Inversión</v>
      </c>
      <c r="G114" s="9" t="str">
        <f>IFERROR(__xludf.DUMMYFUNCTION("""COMPUTED_VALUE"""),"Socio capitalista")</f>
        <v>Socio capitalista</v>
      </c>
      <c r="H114" s="9" t="str">
        <f>IFERROR(__xludf.DUMMYFUNCTION("""COMPUTED_VALUE"""),"SI")</f>
        <v>SI</v>
      </c>
      <c r="I114" s="9">
        <f>IFERROR(__xludf.DUMMYFUNCTION("""COMPUTED_VALUE"""),9.0)</f>
        <v>9</v>
      </c>
      <c r="J114" s="9">
        <f>IFERROR(__xludf.DUMMYFUNCTION("""COMPUTED_VALUE"""),10.0)</f>
        <v>10</v>
      </c>
      <c r="K114" s="14">
        <f>IFERROR(__xludf.DUMMYFUNCTION("""COMPUTED_VALUE"""),1.0E7)</f>
        <v>10000000</v>
      </c>
      <c r="L114" s="14">
        <f>IFERROR(__xludf.DUMMYFUNCTION("""COMPUTED_VALUE"""),3.1953589E7)</f>
        <v>31953589</v>
      </c>
      <c r="M114" s="14">
        <f>IFERROR(__xludf.DUMMYFUNCTION("""COMPUTED_VALUE"""),4.0068224E7)</f>
        <v>40068224</v>
      </c>
      <c r="N114" s="14">
        <f>IFERROR(__xludf.DUMMYFUNCTION("""COMPUTED_VALUE"""),8.0951038E7)</f>
        <v>80951038</v>
      </c>
    </row>
    <row r="115">
      <c r="A115" s="9">
        <f>IFERROR(__xludf.DUMMYFUNCTION("""COMPUTED_VALUE"""),192.0)</f>
        <v>192</v>
      </c>
      <c r="B115" s="9" t="str">
        <f>IFERROR(__xludf.DUMMYFUNCTION("""COMPUTED_VALUE"""),"Theda Dericot")</f>
        <v>Theda Dericot</v>
      </c>
      <c r="C115" s="9" t="str">
        <f>IFERROR(__xludf.DUMMYFUNCTION("""COMPUTED_VALUE"""),"tdericot5b@nationalgeographic.com")</f>
        <v>tdericot5b@nationalgeographic.com</v>
      </c>
      <c r="D115" s="9" t="str">
        <f>IFERROR(__xludf.DUMMYFUNCTION("""COMPUTED_VALUE"""),"Perú")</f>
        <v>Perú</v>
      </c>
      <c r="E115" s="9" t="str">
        <f>IFERROR(__xludf.DUMMYFUNCTION("""COMPUTED_VALUE"""),"Tecnología")</f>
        <v>Tecnología</v>
      </c>
      <c r="F115" s="9" t="str">
        <f>IFERROR(__xludf.DUMMYFUNCTION("""COMPUTED_VALUE"""),"Inversión")</f>
        <v>Inversión</v>
      </c>
      <c r="G115" s="9" t="str">
        <f>IFERROR(__xludf.DUMMYFUNCTION("""COMPUTED_VALUE"""),"Socio capitalista")</f>
        <v>Socio capitalista</v>
      </c>
      <c r="H115" s="9" t="str">
        <f>IFERROR(__xludf.DUMMYFUNCTION("""COMPUTED_VALUE"""),"NO")</f>
        <v>NO</v>
      </c>
      <c r="I115" s="9">
        <f>IFERROR(__xludf.DUMMYFUNCTION("""COMPUTED_VALUE"""),3.0)</f>
        <v>3</v>
      </c>
      <c r="J115" s="9">
        <f>IFERROR(__xludf.DUMMYFUNCTION("""COMPUTED_VALUE"""),10.0)</f>
        <v>10</v>
      </c>
      <c r="K115" s="14">
        <f>IFERROR(__xludf.DUMMYFUNCTION("""COMPUTED_VALUE"""),5.0E7)</f>
        <v>50000000</v>
      </c>
      <c r="L115" s="14">
        <f>IFERROR(__xludf.DUMMYFUNCTION("""COMPUTED_VALUE"""),7.8205651E7)</f>
        <v>78205651</v>
      </c>
      <c r="M115" s="14">
        <f>IFERROR(__xludf.DUMMYFUNCTION("""COMPUTED_VALUE"""),6.238118E7)</f>
        <v>62381180</v>
      </c>
      <c r="N115" s="14">
        <f>IFERROR(__xludf.DUMMYFUNCTION("""COMPUTED_VALUE"""),6508585.0)</f>
        <v>6508585</v>
      </c>
    </row>
    <row r="116">
      <c r="A116" s="9">
        <f>IFERROR(__xludf.DUMMYFUNCTION("""COMPUTED_VALUE"""),194.0)</f>
        <v>194</v>
      </c>
      <c r="B116" s="9" t="str">
        <f>IFERROR(__xludf.DUMMYFUNCTION("""COMPUTED_VALUE"""),"Ludovika Sheavills")</f>
        <v>Ludovika Sheavills</v>
      </c>
      <c r="C116" s="9" t="str">
        <f>IFERROR(__xludf.DUMMYFUNCTION("""COMPUTED_VALUE"""),"lsheavills5d@google.cn")</f>
        <v>lsheavills5d@google.cn</v>
      </c>
      <c r="D116" s="9" t="str">
        <f>IFERROR(__xludf.DUMMYFUNCTION("""COMPUTED_VALUE"""),"Perú")</f>
        <v>Perú</v>
      </c>
      <c r="E116" s="9" t="str">
        <f>IFERROR(__xludf.DUMMYFUNCTION("""COMPUTED_VALUE"""),"Tecnología")</f>
        <v>Tecnología</v>
      </c>
      <c r="F116" s="9" t="str">
        <f>IFERROR(__xludf.DUMMYFUNCTION("""COMPUTED_VALUE"""),"Conocimiento")</f>
        <v>Conocimiento</v>
      </c>
      <c r="G116" s="9" t="str">
        <f>IFERROR(__xludf.DUMMYFUNCTION("""COMPUTED_VALUE"""),"Otro tipo")</f>
        <v>Otro tipo</v>
      </c>
      <c r="H116" s="9" t="str">
        <f>IFERROR(__xludf.DUMMYFUNCTION("""COMPUTED_VALUE"""),"NO")</f>
        <v>NO</v>
      </c>
      <c r="I116" s="9">
        <f>IFERROR(__xludf.DUMMYFUNCTION("""COMPUTED_VALUE"""),9.0)</f>
        <v>9</v>
      </c>
      <c r="J116" s="9">
        <f>IFERROR(__xludf.DUMMYFUNCTION("""COMPUTED_VALUE"""),5.0)</f>
        <v>5</v>
      </c>
      <c r="K116" s="14">
        <f>IFERROR(__xludf.DUMMYFUNCTION("""COMPUTED_VALUE"""),0.0)</f>
        <v>0</v>
      </c>
      <c r="L116" s="14">
        <f>IFERROR(__xludf.DUMMYFUNCTION("""COMPUTED_VALUE"""),0.0)</f>
        <v>0</v>
      </c>
      <c r="M116" s="14">
        <f>IFERROR(__xludf.DUMMYFUNCTION("""COMPUTED_VALUE"""),7.6942676E7)</f>
        <v>76942676</v>
      </c>
      <c r="N116" s="14">
        <f>IFERROR(__xludf.DUMMYFUNCTION("""COMPUTED_VALUE"""),7.4216691E7)</f>
        <v>74216691</v>
      </c>
    </row>
    <row r="117">
      <c r="A117" s="9">
        <f>IFERROR(__xludf.DUMMYFUNCTION("""COMPUTED_VALUE"""),198.0)</f>
        <v>198</v>
      </c>
      <c r="B117" s="9" t="str">
        <f>IFERROR(__xludf.DUMMYFUNCTION("""COMPUTED_VALUE"""),"Xever Morpeth")</f>
        <v>Xever Morpeth</v>
      </c>
      <c r="C117" s="9" t="str">
        <f>IFERROR(__xludf.DUMMYFUNCTION("""COMPUTED_VALUE"""),"xmorpeth5h@pinterest.com")</f>
        <v>xmorpeth5h@pinterest.com</v>
      </c>
      <c r="D117" s="9" t="str">
        <f>IFERROR(__xludf.DUMMYFUNCTION("""COMPUTED_VALUE"""),"Venezuela")</f>
        <v>Venezuela</v>
      </c>
      <c r="E117" s="9" t="str">
        <f>IFERROR(__xludf.DUMMYFUNCTION("""COMPUTED_VALUE"""),"Tecnología")</f>
        <v>Tecnología</v>
      </c>
      <c r="F117" s="9" t="str">
        <f>IFERROR(__xludf.DUMMYFUNCTION("""COMPUTED_VALUE"""),"Trabajo")</f>
        <v>Trabajo</v>
      </c>
      <c r="G117" s="9" t="str">
        <f>IFERROR(__xludf.DUMMYFUNCTION("""COMPUTED_VALUE"""),"Ofreciendo trabajo")</f>
        <v>Ofreciendo trabajo</v>
      </c>
      <c r="H117" s="9" t="str">
        <f>IFERROR(__xludf.DUMMYFUNCTION("""COMPUTED_VALUE"""),"NO")</f>
        <v>NO</v>
      </c>
      <c r="I117" s="9">
        <f>IFERROR(__xludf.DUMMYFUNCTION("""COMPUTED_VALUE"""),3.0)</f>
        <v>3</v>
      </c>
      <c r="J117" s="9">
        <f>IFERROR(__xludf.DUMMYFUNCTION("""COMPUTED_VALUE"""),7.0)</f>
        <v>7</v>
      </c>
      <c r="K117" s="14">
        <f>IFERROR(__xludf.DUMMYFUNCTION("""COMPUTED_VALUE"""),0.0)</f>
        <v>0</v>
      </c>
      <c r="L117" s="14">
        <f>IFERROR(__xludf.DUMMYFUNCTION("""COMPUTED_VALUE"""),0.0)</f>
        <v>0</v>
      </c>
      <c r="M117" s="14">
        <f>IFERROR(__xludf.DUMMYFUNCTION("""COMPUTED_VALUE"""),8.2583322E7)</f>
        <v>82583322</v>
      </c>
      <c r="N117" s="14">
        <f>IFERROR(__xludf.DUMMYFUNCTION("""COMPUTED_VALUE"""),809058.0)</f>
        <v>809058</v>
      </c>
    </row>
    <row r="118">
      <c r="A118" s="9">
        <f>IFERROR(__xludf.DUMMYFUNCTION("""COMPUTED_VALUE"""),199.0)</f>
        <v>199</v>
      </c>
      <c r="B118" s="9" t="str">
        <f>IFERROR(__xludf.DUMMYFUNCTION("""COMPUTED_VALUE"""),"Nickie Rennebeck")</f>
        <v>Nickie Rennebeck</v>
      </c>
      <c r="C118" s="9" t="str">
        <f>IFERROR(__xludf.DUMMYFUNCTION("""COMPUTED_VALUE"""),"nrennebeck5i@adobe.com")</f>
        <v>nrennebeck5i@adobe.com</v>
      </c>
      <c r="D118" s="9" t="str">
        <f>IFERROR(__xludf.DUMMYFUNCTION("""COMPUTED_VALUE"""),"Bolivia")</f>
        <v>Bolivia</v>
      </c>
      <c r="E118" s="9" t="str">
        <f>IFERROR(__xludf.DUMMYFUNCTION("""COMPUTED_VALUE"""),"Tecnología")</f>
        <v>Tecnología</v>
      </c>
      <c r="F118" s="9" t="str">
        <f>IFERROR(__xludf.DUMMYFUNCTION("""COMPUTED_VALUE"""),"Inversión")</f>
        <v>Inversión</v>
      </c>
      <c r="G118" s="9" t="str">
        <f>IFERROR(__xludf.DUMMYFUNCTION("""COMPUTED_VALUE"""),"Socio de proyecto")</f>
        <v>Socio de proyecto</v>
      </c>
      <c r="H118" s="9" t="str">
        <f>IFERROR(__xludf.DUMMYFUNCTION("""COMPUTED_VALUE"""),"SI")</f>
        <v>SI</v>
      </c>
      <c r="I118" s="9">
        <f>IFERROR(__xludf.DUMMYFUNCTION("""COMPUTED_VALUE"""),6.0)</f>
        <v>6</v>
      </c>
      <c r="J118" s="9">
        <f>IFERROR(__xludf.DUMMYFUNCTION("""COMPUTED_VALUE"""),9.0)</f>
        <v>9</v>
      </c>
      <c r="K118" s="14">
        <f>IFERROR(__xludf.DUMMYFUNCTION("""COMPUTED_VALUE"""),1.0E7)</f>
        <v>10000000</v>
      </c>
      <c r="L118" s="14">
        <f>IFERROR(__xludf.DUMMYFUNCTION("""COMPUTED_VALUE"""),5.9890317E7)</f>
        <v>59890317</v>
      </c>
      <c r="M118" s="14">
        <f>IFERROR(__xludf.DUMMYFUNCTION("""COMPUTED_VALUE"""),4.2451842E7)</f>
        <v>42451842</v>
      </c>
      <c r="N118" s="14">
        <f>IFERROR(__xludf.DUMMYFUNCTION("""COMPUTED_VALUE"""),0.0)</f>
        <v>0</v>
      </c>
    </row>
    <row r="119">
      <c r="A119" s="9">
        <f>IFERROR(__xludf.DUMMYFUNCTION("""COMPUTED_VALUE"""),202.0)</f>
        <v>202</v>
      </c>
      <c r="B119" s="9" t="str">
        <f>IFERROR(__xludf.DUMMYFUNCTION("""COMPUTED_VALUE"""),"Vlad Rossiter")</f>
        <v>Vlad Rossiter</v>
      </c>
      <c r="C119" s="9" t="str">
        <f>IFERROR(__xludf.DUMMYFUNCTION("""COMPUTED_VALUE"""),"vrossiter5l@topsy.com")</f>
        <v>vrossiter5l@topsy.com</v>
      </c>
      <c r="D119" s="9" t="str">
        <f>IFERROR(__xludf.DUMMYFUNCTION("""COMPUTED_VALUE"""),"Ecuador")</f>
        <v>Ecuador</v>
      </c>
      <c r="E119" s="9" t="str">
        <f>IFERROR(__xludf.DUMMYFUNCTION("""COMPUTED_VALUE"""),"Tecnología")</f>
        <v>Tecnología</v>
      </c>
      <c r="F119" s="9" t="str">
        <f>IFERROR(__xludf.DUMMYFUNCTION("""COMPUTED_VALUE"""),"Trabajo")</f>
        <v>Trabajo</v>
      </c>
      <c r="G119" s="9" t="str">
        <f>IFERROR(__xludf.DUMMYFUNCTION("""COMPUTED_VALUE"""),"Buscando trabajo")</f>
        <v>Buscando trabajo</v>
      </c>
      <c r="H119" s="9" t="str">
        <f>IFERROR(__xludf.DUMMYFUNCTION("""COMPUTED_VALUE"""),"NO")</f>
        <v>NO</v>
      </c>
      <c r="I119" s="9">
        <f>IFERROR(__xludf.DUMMYFUNCTION("""COMPUTED_VALUE"""),5.0)</f>
        <v>5</v>
      </c>
      <c r="J119" s="9">
        <f>IFERROR(__xludf.DUMMYFUNCTION("""COMPUTED_VALUE"""),7.0)</f>
        <v>7</v>
      </c>
      <c r="K119" s="14">
        <f>IFERROR(__xludf.DUMMYFUNCTION("""COMPUTED_VALUE"""),0.0)</f>
        <v>0</v>
      </c>
      <c r="L119" s="14">
        <f>IFERROR(__xludf.DUMMYFUNCTION("""COMPUTED_VALUE"""),0.0)</f>
        <v>0</v>
      </c>
      <c r="M119" s="14">
        <f>IFERROR(__xludf.DUMMYFUNCTION("""COMPUTED_VALUE"""),0.0)</f>
        <v>0</v>
      </c>
      <c r="N119" s="14">
        <f>IFERROR(__xludf.DUMMYFUNCTION("""COMPUTED_VALUE"""),6.3436099E7)</f>
        <v>63436099</v>
      </c>
    </row>
    <row r="120">
      <c r="A120" s="9">
        <f>IFERROR(__xludf.DUMMYFUNCTION("""COMPUTED_VALUE"""),203.0)</f>
        <v>203</v>
      </c>
      <c r="B120" s="9" t="str">
        <f>IFERROR(__xludf.DUMMYFUNCTION("""COMPUTED_VALUE"""),"Angeline Bruhke")</f>
        <v>Angeline Bruhke</v>
      </c>
      <c r="C120" s="9" t="str">
        <f>IFERROR(__xludf.DUMMYFUNCTION("""COMPUTED_VALUE"""),"abruhke5m@arstechnica.com")</f>
        <v>abruhke5m@arstechnica.com</v>
      </c>
      <c r="D120" s="9" t="str">
        <f>IFERROR(__xludf.DUMMYFUNCTION("""COMPUTED_VALUE"""),"Perú")</f>
        <v>Perú</v>
      </c>
      <c r="E120" s="9" t="str">
        <f>IFERROR(__xludf.DUMMYFUNCTION("""COMPUTED_VALUE"""),"Tecnología")</f>
        <v>Tecnología</v>
      </c>
      <c r="F120" s="9" t="str">
        <f>IFERROR(__xludf.DUMMYFUNCTION("""COMPUTED_VALUE"""),"Inversión")</f>
        <v>Inversión</v>
      </c>
      <c r="G120" s="9" t="str">
        <f>IFERROR(__xludf.DUMMYFUNCTION("""COMPUTED_VALUE"""),"Socio capitalista")</f>
        <v>Socio capitalista</v>
      </c>
      <c r="H120" s="9" t="str">
        <f>IFERROR(__xludf.DUMMYFUNCTION("""COMPUTED_VALUE"""),"SI")</f>
        <v>SI</v>
      </c>
      <c r="I120" s="9">
        <f>IFERROR(__xludf.DUMMYFUNCTION("""COMPUTED_VALUE"""),9.0)</f>
        <v>9</v>
      </c>
      <c r="J120" s="9">
        <f>IFERROR(__xludf.DUMMYFUNCTION("""COMPUTED_VALUE"""),6.0)</f>
        <v>6</v>
      </c>
      <c r="K120" s="14">
        <f>IFERROR(__xludf.DUMMYFUNCTION("""COMPUTED_VALUE"""),1.0E7)</f>
        <v>10000000</v>
      </c>
      <c r="L120" s="14">
        <f>IFERROR(__xludf.DUMMYFUNCTION("""COMPUTED_VALUE"""),9.9989764E7)</f>
        <v>99989764</v>
      </c>
      <c r="M120" s="14">
        <f>IFERROR(__xludf.DUMMYFUNCTION("""COMPUTED_VALUE"""),8030175.0)</f>
        <v>8030175</v>
      </c>
      <c r="N120" s="14">
        <f>IFERROR(__xludf.DUMMYFUNCTION("""COMPUTED_VALUE"""),3.7676206E7)</f>
        <v>37676206</v>
      </c>
    </row>
    <row r="121">
      <c r="A121" s="9">
        <f>IFERROR(__xludf.DUMMYFUNCTION("""COMPUTED_VALUE"""),204.0)</f>
        <v>204</v>
      </c>
      <c r="B121" s="9" t="str">
        <f>IFERROR(__xludf.DUMMYFUNCTION("""COMPUTED_VALUE"""),"Farica Titcumb")</f>
        <v>Farica Titcumb</v>
      </c>
      <c r="C121" s="9" t="str">
        <f>IFERROR(__xludf.DUMMYFUNCTION("""COMPUTED_VALUE"""),"ftitcumb5n@senate.gov")</f>
        <v>ftitcumb5n@senate.gov</v>
      </c>
      <c r="D121" s="9" t="str">
        <f>IFERROR(__xludf.DUMMYFUNCTION("""COMPUTED_VALUE"""),"Venezuela")</f>
        <v>Venezuela</v>
      </c>
      <c r="E121" s="9" t="str">
        <f>IFERROR(__xludf.DUMMYFUNCTION("""COMPUTED_VALUE"""),"Tecnología")</f>
        <v>Tecnología</v>
      </c>
      <c r="F121" s="9" t="str">
        <f>IFERROR(__xludf.DUMMYFUNCTION("""COMPUTED_VALUE"""),"Trabajo")</f>
        <v>Trabajo</v>
      </c>
      <c r="G121" s="9" t="str">
        <f>IFERROR(__xludf.DUMMYFUNCTION("""COMPUTED_VALUE"""),"Buscando trabajo")</f>
        <v>Buscando trabajo</v>
      </c>
      <c r="H121" s="9" t="str">
        <f>IFERROR(__xludf.DUMMYFUNCTION("""COMPUTED_VALUE"""),"SI")</f>
        <v>SI</v>
      </c>
      <c r="I121" s="9">
        <f>IFERROR(__xludf.DUMMYFUNCTION("""COMPUTED_VALUE"""),4.0)</f>
        <v>4</v>
      </c>
      <c r="J121" s="9">
        <f>IFERROR(__xludf.DUMMYFUNCTION("""COMPUTED_VALUE"""),6.0)</f>
        <v>6</v>
      </c>
      <c r="K121" s="14">
        <f>IFERROR(__xludf.DUMMYFUNCTION("""COMPUTED_VALUE"""),0.0)</f>
        <v>0</v>
      </c>
      <c r="L121" s="14">
        <f>IFERROR(__xludf.DUMMYFUNCTION("""COMPUTED_VALUE"""),0.0)</f>
        <v>0</v>
      </c>
      <c r="M121" s="14">
        <f>IFERROR(__xludf.DUMMYFUNCTION("""COMPUTED_VALUE"""),1.2862402E7)</f>
        <v>12862402</v>
      </c>
      <c r="N121" s="14">
        <f>IFERROR(__xludf.DUMMYFUNCTION("""COMPUTED_VALUE"""),6.8922404E7)</f>
        <v>68922404</v>
      </c>
    </row>
    <row r="122">
      <c r="A122" s="9">
        <f>IFERROR(__xludf.DUMMYFUNCTION("""COMPUTED_VALUE"""),207.0)</f>
        <v>207</v>
      </c>
      <c r="B122" s="9" t="str">
        <f>IFERROR(__xludf.DUMMYFUNCTION("""COMPUTED_VALUE"""),"Lynnell Minet")</f>
        <v>Lynnell Minet</v>
      </c>
      <c r="C122" s="9" t="str">
        <f>IFERROR(__xludf.DUMMYFUNCTION("""COMPUTED_VALUE"""),"lminet5q@sitemeter.com")</f>
        <v>lminet5q@sitemeter.com</v>
      </c>
      <c r="D122" s="9" t="str">
        <f>IFERROR(__xludf.DUMMYFUNCTION("""COMPUTED_VALUE"""),"Chile")</f>
        <v>Chile</v>
      </c>
      <c r="E122" s="9" t="str">
        <f>IFERROR(__xludf.DUMMYFUNCTION("""COMPUTED_VALUE"""),"Tecnología")</f>
        <v>Tecnología</v>
      </c>
      <c r="F122" s="9" t="str">
        <f>IFERROR(__xludf.DUMMYFUNCTION("""COMPUTED_VALUE"""),"Inversión")</f>
        <v>Inversión</v>
      </c>
      <c r="G122" s="9" t="str">
        <f>IFERROR(__xludf.DUMMYFUNCTION("""COMPUTED_VALUE"""),"Socio capitalista")</f>
        <v>Socio capitalista</v>
      </c>
      <c r="H122" s="9" t="str">
        <f>IFERROR(__xludf.DUMMYFUNCTION("""COMPUTED_VALUE"""),"NO")</f>
        <v>NO</v>
      </c>
      <c r="I122" s="9">
        <f>IFERROR(__xludf.DUMMYFUNCTION("""COMPUTED_VALUE"""),6.0)</f>
        <v>6</v>
      </c>
      <c r="J122" s="9">
        <f>IFERROR(__xludf.DUMMYFUNCTION("""COMPUTED_VALUE"""),9.0)</f>
        <v>9</v>
      </c>
      <c r="K122" s="14">
        <f>IFERROR(__xludf.DUMMYFUNCTION("""COMPUTED_VALUE"""),5000000.0)</f>
        <v>5000000</v>
      </c>
      <c r="L122" s="14">
        <f>IFERROR(__xludf.DUMMYFUNCTION("""COMPUTED_VALUE"""),3.2915397E7)</f>
        <v>32915397</v>
      </c>
      <c r="M122" s="14">
        <f>IFERROR(__xludf.DUMMYFUNCTION("""COMPUTED_VALUE"""),7.4493461E7)</f>
        <v>74493461</v>
      </c>
      <c r="N122" s="14">
        <f>IFERROR(__xludf.DUMMYFUNCTION("""COMPUTED_VALUE"""),151779.0)</f>
        <v>151779</v>
      </c>
    </row>
    <row r="123">
      <c r="A123" s="9">
        <f>IFERROR(__xludf.DUMMYFUNCTION("""COMPUTED_VALUE"""),209.0)</f>
        <v>209</v>
      </c>
      <c r="B123" s="9" t="str">
        <f>IFERROR(__xludf.DUMMYFUNCTION("""COMPUTED_VALUE"""),"Ophelia Chantrell")</f>
        <v>Ophelia Chantrell</v>
      </c>
      <c r="C123" s="9" t="str">
        <f>IFERROR(__xludf.DUMMYFUNCTION("""COMPUTED_VALUE"""),"ochantrell5s@narod.ru")</f>
        <v>ochantrell5s@narod.ru</v>
      </c>
      <c r="D123" s="9" t="str">
        <f>IFERROR(__xludf.DUMMYFUNCTION("""COMPUTED_VALUE"""),"Bolivia")</f>
        <v>Bolivia</v>
      </c>
      <c r="E123" s="9" t="str">
        <f>IFERROR(__xludf.DUMMYFUNCTION("""COMPUTED_VALUE"""),"Tecnología")</f>
        <v>Tecnología</v>
      </c>
      <c r="F123" s="9" t="str">
        <f>IFERROR(__xludf.DUMMYFUNCTION("""COMPUTED_VALUE"""),"Trabajo")</f>
        <v>Trabajo</v>
      </c>
      <c r="G123" s="9" t="str">
        <f>IFERROR(__xludf.DUMMYFUNCTION("""COMPUTED_VALUE"""),"Buscando trabajo")</f>
        <v>Buscando trabajo</v>
      </c>
      <c r="H123" s="9" t="str">
        <f>IFERROR(__xludf.DUMMYFUNCTION("""COMPUTED_VALUE"""),"NO")</f>
        <v>NO</v>
      </c>
      <c r="I123" s="9">
        <f>IFERROR(__xludf.DUMMYFUNCTION("""COMPUTED_VALUE"""),6.0)</f>
        <v>6</v>
      </c>
      <c r="J123" s="9">
        <f>IFERROR(__xludf.DUMMYFUNCTION("""COMPUTED_VALUE"""),9.0)</f>
        <v>9</v>
      </c>
      <c r="K123" s="14">
        <f>IFERROR(__xludf.DUMMYFUNCTION("""COMPUTED_VALUE"""),0.0)</f>
        <v>0</v>
      </c>
      <c r="L123" s="14">
        <f>IFERROR(__xludf.DUMMYFUNCTION("""COMPUTED_VALUE"""),0.0)</f>
        <v>0</v>
      </c>
      <c r="M123" s="14">
        <f>IFERROR(__xludf.DUMMYFUNCTION("""COMPUTED_VALUE"""),1.4141858E7)</f>
        <v>14141858</v>
      </c>
      <c r="N123" s="14">
        <f>IFERROR(__xludf.DUMMYFUNCTION("""COMPUTED_VALUE"""),8.7162317E7)</f>
        <v>87162317</v>
      </c>
    </row>
    <row r="124">
      <c r="A124" s="9">
        <f>IFERROR(__xludf.DUMMYFUNCTION("""COMPUTED_VALUE"""),210.0)</f>
        <v>210</v>
      </c>
      <c r="B124" s="9" t="str">
        <f>IFERROR(__xludf.DUMMYFUNCTION("""COMPUTED_VALUE"""),"Ame Cicci")</f>
        <v>Ame Cicci</v>
      </c>
      <c r="C124" s="9" t="str">
        <f>IFERROR(__xludf.DUMMYFUNCTION("""COMPUTED_VALUE"""),"acicci5t@google.co.jp")</f>
        <v>acicci5t@google.co.jp</v>
      </c>
      <c r="D124" s="9" t="str">
        <f>IFERROR(__xludf.DUMMYFUNCTION("""COMPUTED_VALUE"""),"Paraguay")</f>
        <v>Paraguay</v>
      </c>
      <c r="E124" s="9" t="str">
        <f>IFERROR(__xludf.DUMMYFUNCTION("""COMPUTED_VALUE"""),"Tecnología")</f>
        <v>Tecnología</v>
      </c>
      <c r="F124" s="9" t="str">
        <f>IFERROR(__xludf.DUMMYFUNCTION("""COMPUTED_VALUE"""),"Trabajo")</f>
        <v>Trabajo</v>
      </c>
      <c r="G124" s="9" t="str">
        <f>IFERROR(__xludf.DUMMYFUNCTION("""COMPUTED_VALUE"""),"Buscando trabajo")</f>
        <v>Buscando trabajo</v>
      </c>
      <c r="H124" s="9" t="str">
        <f>IFERROR(__xludf.DUMMYFUNCTION("""COMPUTED_VALUE"""),"NO")</f>
        <v>NO</v>
      </c>
      <c r="I124" s="9">
        <f>IFERROR(__xludf.DUMMYFUNCTION("""COMPUTED_VALUE"""),7.0)</f>
        <v>7</v>
      </c>
      <c r="J124" s="9">
        <f>IFERROR(__xludf.DUMMYFUNCTION("""COMPUTED_VALUE"""),10.0)</f>
        <v>10</v>
      </c>
      <c r="K124" s="14">
        <f>IFERROR(__xludf.DUMMYFUNCTION("""COMPUTED_VALUE"""),0.0)</f>
        <v>0</v>
      </c>
      <c r="L124" s="14">
        <f>IFERROR(__xludf.DUMMYFUNCTION("""COMPUTED_VALUE"""),0.0)</f>
        <v>0</v>
      </c>
      <c r="M124" s="14">
        <f>IFERROR(__xludf.DUMMYFUNCTION("""COMPUTED_VALUE"""),2.9525162E7)</f>
        <v>29525162</v>
      </c>
      <c r="N124" s="14">
        <f>IFERROR(__xludf.DUMMYFUNCTION("""COMPUTED_VALUE"""),0.0)</f>
        <v>0</v>
      </c>
    </row>
    <row r="125">
      <c r="A125" s="9">
        <f>IFERROR(__xludf.DUMMYFUNCTION("""COMPUTED_VALUE"""),211.0)</f>
        <v>211</v>
      </c>
      <c r="B125" s="9" t="str">
        <f>IFERROR(__xludf.DUMMYFUNCTION("""COMPUTED_VALUE"""),"Dugald Gerhts")</f>
        <v>Dugald Gerhts</v>
      </c>
      <c r="C125" s="9" t="str">
        <f>IFERROR(__xludf.DUMMYFUNCTION("""COMPUTED_VALUE"""),"dgerhts5u@stanford.edu")</f>
        <v>dgerhts5u@stanford.edu</v>
      </c>
      <c r="D125" s="9" t="str">
        <f>IFERROR(__xludf.DUMMYFUNCTION("""COMPUTED_VALUE"""),"Paraguay")</f>
        <v>Paraguay</v>
      </c>
      <c r="E125" s="9" t="str">
        <f>IFERROR(__xludf.DUMMYFUNCTION("""COMPUTED_VALUE"""),"Tecnología")</f>
        <v>Tecnología</v>
      </c>
      <c r="F125" s="9" t="str">
        <f>IFERROR(__xludf.DUMMYFUNCTION("""COMPUTED_VALUE"""),"Trabajo")</f>
        <v>Trabajo</v>
      </c>
      <c r="G125" s="9" t="str">
        <f>IFERROR(__xludf.DUMMYFUNCTION("""COMPUTED_VALUE"""),"Ofreciendo trabajo")</f>
        <v>Ofreciendo trabajo</v>
      </c>
      <c r="H125" s="9" t="str">
        <f>IFERROR(__xludf.DUMMYFUNCTION("""COMPUTED_VALUE"""),"SI")</f>
        <v>SI</v>
      </c>
      <c r="I125" s="9">
        <f>IFERROR(__xludf.DUMMYFUNCTION("""COMPUTED_VALUE"""),5.0)</f>
        <v>5</v>
      </c>
      <c r="J125" s="9">
        <f>IFERROR(__xludf.DUMMYFUNCTION("""COMPUTED_VALUE"""),9.0)</f>
        <v>9</v>
      </c>
      <c r="K125" s="14">
        <f>IFERROR(__xludf.DUMMYFUNCTION("""COMPUTED_VALUE"""),0.0)</f>
        <v>0</v>
      </c>
      <c r="L125" s="14">
        <f>IFERROR(__xludf.DUMMYFUNCTION("""COMPUTED_VALUE"""),0.0)</f>
        <v>0</v>
      </c>
      <c r="M125" s="14">
        <f>IFERROR(__xludf.DUMMYFUNCTION("""COMPUTED_VALUE"""),2.9366791E7)</f>
        <v>29366791</v>
      </c>
      <c r="N125" s="14">
        <f>IFERROR(__xludf.DUMMYFUNCTION("""COMPUTED_VALUE"""),8.9805774E7)</f>
        <v>89805774</v>
      </c>
    </row>
    <row r="126">
      <c r="A126" s="9">
        <f>IFERROR(__xludf.DUMMYFUNCTION("""COMPUTED_VALUE"""),212.0)</f>
        <v>212</v>
      </c>
      <c r="B126" s="9" t="str">
        <f>IFERROR(__xludf.DUMMYFUNCTION("""COMPUTED_VALUE"""),"Teodoor Rastrick")</f>
        <v>Teodoor Rastrick</v>
      </c>
      <c r="C126" s="9" t="str">
        <f>IFERROR(__xludf.DUMMYFUNCTION("""COMPUTED_VALUE"""),"trastrick5v@smh.com.au")</f>
        <v>trastrick5v@smh.com.au</v>
      </c>
      <c r="D126" s="9" t="str">
        <f>IFERROR(__xludf.DUMMYFUNCTION("""COMPUTED_VALUE"""),"Bolivia")</f>
        <v>Bolivia</v>
      </c>
      <c r="E126" s="9" t="str">
        <f>IFERROR(__xludf.DUMMYFUNCTION("""COMPUTED_VALUE"""),"Tecnología")</f>
        <v>Tecnología</v>
      </c>
      <c r="F126" s="9" t="str">
        <f>IFERROR(__xludf.DUMMYFUNCTION("""COMPUTED_VALUE"""),"Trabajo")</f>
        <v>Trabajo</v>
      </c>
      <c r="G126" s="9" t="str">
        <f>IFERROR(__xludf.DUMMYFUNCTION("""COMPUTED_VALUE"""),"Buscando trabajo")</f>
        <v>Buscando trabajo</v>
      </c>
      <c r="H126" s="9" t="str">
        <f>IFERROR(__xludf.DUMMYFUNCTION("""COMPUTED_VALUE"""),"SI")</f>
        <v>SI</v>
      </c>
      <c r="I126" s="9">
        <f>IFERROR(__xludf.DUMMYFUNCTION("""COMPUTED_VALUE"""),3.0)</f>
        <v>3</v>
      </c>
      <c r="J126" s="9">
        <f>IFERROR(__xludf.DUMMYFUNCTION("""COMPUTED_VALUE"""),7.0)</f>
        <v>7</v>
      </c>
      <c r="K126" s="14">
        <f>IFERROR(__xludf.DUMMYFUNCTION("""COMPUTED_VALUE"""),0.0)</f>
        <v>0</v>
      </c>
      <c r="L126" s="14">
        <f>IFERROR(__xludf.DUMMYFUNCTION("""COMPUTED_VALUE"""),0.0)</f>
        <v>0</v>
      </c>
      <c r="M126" s="14">
        <f>IFERROR(__xludf.DUMMYFUNCTION("""COMPUTED_VALUE"""),7.3195518E7)</f>
        <v>73195518</v>
      </c>
      <c r="N126" s="14">
        <f>IFERROR(__xludf.DUMMYFUNCTION("""COMPUTED_VALUE"""),1.0695678E7)</f>
        <v>10695678</v>
      </c>
    </row>
    <row r="127">
      <c r="A127" s="9">
        <f>IFERROR(__xludf.DUMMYFUNCTION("""COMPUTED_VALUE"""),213.0)</f>
        <v>213</v>
      </c>
      <c r="B127" s="9" t="str">
        <f>IFERROR(__xludf.DUMMYFUNCTION("""COMPUTED_VALUE"""),"Emory Andrin")</f>
        <v>Emory Andrin</v>
      </c>
      <c r="C127" s="9" t="str">
        <f>IFERROR(__xludf.DUMMYFUNCTION("""COMPUTED_VALUE"""),"eandrin5w@nymag.com")</f>
        <v>eandrin5w@nymag.com</v>
      </c>
      <c r="D127" s="9" t="str">
        <f>IFERROR(__xludf.DUMMYFUNCTION("""COMPUTED_VALUE"""),"Paraguay")</f>
        <v>Paraguay</v>
      </c>
      <c r="E127" s="9" t="str">
        <f>IFERROR(__xludf.DUMMYFUNCTION("""COMPUTED_VALUE"""),"Tecnología")</f>
        <v>Tecnología</v>
      </c>
      <c r="F127" s="9" t="str">
        <f>IFERROR(__xludf.DUMMYFUNCTION("""COMPUTED_VALUE"""),"Trabajo")</f>
        <v>Trabajo</v>
      </c>
      <c r="G127" s="9" t="str">
        <f>IFERROR(__xludf.DUMMYFUNCTION("""COMPUTED_VALUE"""),"Buscando trabajo")</f>
        <v>Buscando trabajo</v>
      </c>
      <c r="H127" s="9" t="str">
        <f>IFERROR(__xludf.DUMMYFUNCTION("""COMPUTED_VALUE"""),"NO")</f>
        <v>NO</v>
      </c>
      <c r="I127" s="9">
        <f>IFERROR(__xludf.DUMMYFUNCTION("""COMPUTED_VALUE"""),7.0)</f>
        <v>7</v>
      </c>
      <c r="J127" s="9">
        <f>IFERROR(__xludf.DUMMYFUNCTION("""COMPUTED_VALUE"""),10.0)</f>
        <v>10</v>
      </c>
      <c r="K127" s="14">
        <f>IFERROR(__xludf.DUMMYFUNCTION("""COMPUTED_VALUE"""),0.0)</f>
        <v>0</v>
      </c>
      <c r="L127" s="14">
        <f>IFERROR(__xludf.DUMMYFUNCTION("""COMPUTED_VALUE"""),0.0)</f>
        <v>0</v>
      </c>
      <c r="M127" s="14">
        <f>IFERROR(__xludf.DUMMYFUNCTION("""COMPUTED_VALUE"""),1432950.0)</f>
        <v>1432950</v>
      </c>
      <c r="N127" s="14">
        <f>IFERROR(__xludf.DUMMYFUNCTION("""COMPUTED_VALUE"""),2.9672451E7)</f>
        <v>29672451</v>
      </c>
    </row>
    <row r="128">
      <c r="A128" s="9">
        <f>IFERROR(__xludf.DUMMYFUNCTION("""COMPUTED_VALUE"""),214.0)</f>
        <v>214</v>
      </c>
      <c r="B128" s="9" t="str">
        <f>IFERROR(__xludf.DUMMYFUNCTION("""COMPUTED_VALUE"""),"Maxi Tremmil")</f>
        <v>Maxi Tremmil</v>
      </c>
      <c r="C128" s="9" t="str">
        <f>IFERROR(__xludf.DUMMYFUNCTION("""COMPUTED_VALUE"""),"mtremmil5x@behance.net")</f>
        <v>mtremmil5x@behance.net</v>
      </c>
      <c r="D128" s="9" t="str">
        <f>IFERROR(__xludf.DUMMYFUNCTION("""COMPUTED_VALUE"""),"Venezuela")</f>
        <v>Venezuela</v>
      </c>
      <c r="E128" s="9" t="str">
        <f>IFERROR(__xludf.DUMMYFUNCTION("""COMPUTED_VALUE"""),"Tecnología")</f>
        <v>Tecnología</v>
      </c>
      <c r="F128" s="9" t="str">
        <f>IFERROR(__xludf.DUMMYFUNCTION("""COMPUTED_VALUE"""),"Inversión")</f>
        <v>Inversión</v>
      </c>
      <c r="G128" s="9" t="str">
        <f>IFERROR(__xludf.DUMMYFUNCTION("""COMPUTED_VALUE"""),"Socio capitalista")</f>
        <v>Socio capitalista</v>
      </c>
      <c r="H128" s="9" t="str">
        <f>IFERROR(__xludf.DUMMYFUNCTION("""COMPUTED_VALUE"""),"SI")</f>
        <v>SI</v>
      </c>
      <c r="I128" s="9">
        <f>IFERROR(__xludf.DUMMYFUNCTION("""COMPUTED_VALUE"""),5.0)</f>
        <v>5</v>
      </c>
      <c r="J128" s="9">
        <f>IFERROR(__xludf.DUMMYFUNCTION("""COMPUTED_VALUE"""),7.0)</f>
        <v>7</v>
      </c>
      <c r="K128" s="14">
        <f>IFERROR(__xludf.DUMMYFUNCTION("""COMPUTED_VALUE"""),1000000.0)</f>
        <v>1000000</v>
      </c>
      <c r="L128" s="14">
        <f>IFERROR(__xludf.DUMMYFUNCTION("""COMPUTED_VALUE"""),7.7159264E7)</f>
        <v>77159264</v>
      </c>
      <c r="M128" s="14">
        <f>IFERROR(__xludf.DUMMYFUNCTION("""COMPUTED_VALUE"""),0.0)</f>
        <v>0</v>
      </c>
      <c r="N128" s="14">
        <f>IFERROR(__xludf.DUMMYFUNCTION("""COMPUTED_VALUE"""),9.7234303E7)</f>
        <v>97234303</v>
      </c>
    </row>
    <row r="129">
      <c r="A129" s="9">
        <f>IFERROR(__xludf.DUMMYFUNCTION("""COMPUTED_VALUE"""),215.0)</f>
        <v>215</v>
      </c>
      <c r="B129" s="9" t="str">
        <f>IFERROR(__xludf.DUMMYFUNCTION("""COMPUTED_VALUE"""),"Colet Spikeings")</f>
        <v>Colet Spikeings</v>
      </c>
      <c r="C129" s="9" t="str">
        <f>IFERROR(__xludf.DUMMYFUNCTION("""COMPUTED_VALUE"""),"cspikeings5y@newsvine.com")</f>
        <v>cspikeings5y@newsvine.com</v>
      </c>
      <c r="D129" s="9" t="str">
        <f>IFERROR(__xludf.DUMMYFUNCTION("""COMPUTED_VALUE"""),"Venezuela")</f>
        <v>Venezuela</v>
      </c>
      <c r="E129" s="9" t="str">
        <f>IFERROR(__xludf.DUMMYFUNCTION("""COMPUTED_VALUE"""),"Tecnología")</f>
        <v>Tecnología</v>
      </c>
      <c r="F129" s="9" t="str">
        <f>IFERROR(__xludf.DUMMYFUNCTION("""COMPUTED_VALUE"""),"Inversión")</f>
        <v>Inversión</v>
      </c>
      <c r="G129" s="9" t="str">
        <f>IFERROR(__xludf.DUMMYFUNCTION("""COMPUTED_VALUE"""),"Socio capitalista")</f>
        <v>Socio capitalista</v>
      </c>
      <c r="H129" s="9" t="str">
        <f>IFERROR(__xludf.DUMMYFUNCTION("""COMPUTED_VALUE"""),"NO")</f>
        <v>NO</v>
      </c>
      <c r="I129" s="9">
        <f>IFERROR(__xludf.DUMMYFUNCTION("""COMPUTED_VALUE"""),9.0)</f>
        <v>9</v>
      </c>
      <c r="J129" s="9">
        <f>IFERROR(__xludf.DUMMYFUNCTION("""COMPUTED_VALUE"""),4.0)</f>
        <v>4</v>
      </c>
      <c r="K129" s="14">
        <f>IFERROR(__xludf.DUMMYFUNCTION("""COMPUTED_VALUE"""),1.0E8)</f>
        <v>100000000</v>
      </c>
      <c r="L129" s="14">
        <f>IFERROR(__xludf.DUMMYFUNCTION("""COMPUTED_VALUE"""),1.2451199E7)</f>
        <v>12451199</v>
      </c>
      <c r="M129" s="14">
        <f>IFERROR(__xludf.DUMMYFUNCTION("""COMPUTED_VALUE"""),7.4231711E7)</f>
        <v>74231711</v>
      </c>
      <c r="N129" s="14">
        <f>IFERROR(__xludf.DUMMYFUNCTION("""COMPUTED_VALUE"""),4.2951226E7)</f>
        <v>42951226</v>
      </c>
    </row>
    <row r="130">
      <c r="A130" s="9">
        <f>IFERROR(__xludf.DUMMYFUNCTION("""COMPUTED_VALUE"""),218.0)</f>
        <v>218</v>
      </c>
      <c r="B130" s="9" t="str">
        <f>IFERROR(__xludf.DUMMYFUNCTION("""COMPUTED_VALUE"""),"Lena Bolesma")</f>
        <v>Lena Bolesma</v>
      </c>
      <c r="C130" s="9" t="str">
        <f>IFERROR(__xludf.DUMMYFUNCTION("""COMPUTED_VALUE"""),"lbolesma61@weebly.com")</f>
        <v>lbolesma61@weebly.com</v>
      </c>
      <c r="D130" s="9" t="str">
        <f>IFERROR(__xludf.DUMMYFUNCTION("""COMPUTED_VALUE"""),"Ecuador")</f>
        <v>Ecuador</v>
      </c>
      <c r="E130" s="9" t="str">
        <f>IFERROR(__xludf.DUMMYFUNCTION("""COMPUTED_VALUE"""),"Tecnología")</f>
        <v>Tecnología</v>
      </c>
      <c r="F130" s="9" t="str">
        <f>IFERROR(__xludf.DUMMYFUNCTION("""COMPUTED_VALUE"""),"Inversión")</f>
        <v>Inversión</v>
      </c>
      <c r="G130" s="9" t="str">
        <f>IFERROR(__xludf.DUMMYFUNCTION("""COMPUTED_VALUE"""),"Socio capitalista")</f>
        <v>Socio capitalista</v>
      </c>
      <c r="H130" s="9" t="str">
        <f>IFERROR(__xludf.DUMMYFUNCTION("""COMPUTED_VALUE"""),"NO")</f>
        <v>NO</v>
      </c>
      <c r="I130" s="9">
        <f>IFERROR(__xludf.DUMMYFUNCTION("""COMPUTED_VALUE"""),5.0)</f>
        <v>5</v>
      </c>
      <c r="J130" s="9">
        <f>IFERROR(__xludf.DUMMYFUNCTION("""COMPUTED_VALUE"""),7.0)</f>
        <v>7</v>
      </c>
      <c r="K130" s="14">
        <f>IFERROR(__xludf.DUMMYFUNCTION("""COMPUTED_VALUE"""),5000000.0)</f>
        <v>5000000</v>
      </c>
      <c r="L130" s="14">
        <f>IFERROR(__xludf.DUMMYFUNCTION("""COMPUTED_VALUE"""),3.7959268E7)</f>
        <v>37959268</v>
      </c>
      <c r="M130" s="14">
        <f>IFERROR(__xludf.DUMMYFUNCTION("""COMPUTED_VALUE"""),6.9132389E7)</f>
        <v>69132389</v>
      </c>
      <c r="N130" s="14">
        <f>IFERROR(__xludf.DUMMYFUNCTION("""COMPUTED_VALUE"""),9.9564796E7)</f>
        <v>99564796</v>
      </c>
    </row>
    <row r="131">
      <c r="A131" s="9">
        <f>IFERROR(__xludf.DUMMYFUNCTION("""COMPUTED_VALUE"""),219.0)</f>
        <v>219</v>
      </c>
      <c r="B131" s="9" t="str">
        <f>IFERROR(__xludf.DUMMYFUNCTION("""COMPUTED_VALUE"""),"Susy Klimmek")</f>
        <v>Susy Klimmek</v>
      </c>
      <c r="C131" s="9" t="str">
        <f>IFERROR(__xludf.DUMMYFUNCTION("""COMPUTED_VALUE"""),"sklimmek62@hubpages.com")</f>
        <v>sklimmek62@hubpages.com</v>
      </c>
      <c r="D131" s="9" t="str">
        <f>IFERROR(__xludf.DUMMYFUNCTION("""COMPUTED_VALUE"""),"Colombia")</f>
        <v>Colombia</v>
      </c>
      <c r="E131" s="9" t="str">
        <f>IFERROR(__xludf.DUMMYFUNCTION("""COMPUTED_VALUE"""),"Tecnología")</f>
        <v>Tecnología</v>
      </c>
      <c r="F131" s="9" t="str">
        <f>IFERROR(__xludf.DUMMYFUNCTION("""COMPUTED_VALUE"""),"Trabajo")</f>
        <v>Trabajo</v>
      </c>
      <c r="G131" s="9" t="str">
        <f>IFERROR(__xludf.DUMMYFUNCTION("""COMPUTED_VALUE"""),"Buscando trabajo")</f>
        <v>Buscando trabajo</v>
      </c>
      <c r="H131" s="9" t="str">
        <f>IFERROR(__xludf.DUMMYFUNCTION("""COMPUTED_VALUE"""),"SI")</f>
        <v>SI</v>
      </c>
      <c r="I131" s="9">
        <f>IFERROR(__xludf.DUMMYFUNCTION("""COMPUTED_VALUE"""),4.0)</f>
        <v>4</v>
      </c>
      <c r="J131" s="9">
        <f>IFERROR(__xludf.DUMMYFUNCTION("""COMPUTED_VALUE"""),10.0)</f>
        <v>10</v>
      </c>
      <c r="K131" s="14">
        <f>IFERROR(__xludf.DUMMYFUNCTION("""COMPUTED_VALUE"""),0.0)</f>
        <v>0</v>
      </c>
      <c r="L131" s="14">
        <f>IFERROR(__xludf.DUMMYFUNCTION("""COMPUTED_VALUE"""),0.0)</f>
        <v>0</v>
      </c>
      <c r="M131" s="14">
        <f>IFERROR(__xludf.DUMMYFUNCTION("""COMPUTED_VALUE"""),2.6450622E7)</f>
        <v>26450622</v>
      </c>
      <c r="N131" s="14">
        <f>IFERROR(__xludf.DUMMYFUNCTION("""COMPUTED_VALUE"""),4227264.0)</f>
        <v>4227264</v>
      </c>
    </row>
    <row r="132">
      <c r="A132" s="9">
        <f>IFERROR(__xludf.DUMMYFUNCTION("""COMPUTED_VALUE"""),220.0)</f>
        <v>220</v>
      </c>
      <c r="B132" s="9" t="str">
        <f>IFERROR(__xludf.DUMMYFUNCTION("""COMPUTED_VALUE"""),"Thomasin Mulhill")</f>
        <v>Thomasin Mulhill</v>
      </c>
      <c r="C132" s="9" t="str">
        <f>IFERROR(__xludf.DUMMYFUNCTION("""COMPUTED_VALUE"""),"tmulhill63@blogtalkradio.com")</f>
        <v>tmulhill63@blogtalkradio.com</v>
      </c>
      <c r="D132" s="9" t="str">
        <f>IFERROR(__xludf.DUMMYFUNCTION("""COMPUTED_VALUE"""),"Uruguay")</f>
        <v>Uruguay</v>
      </c>
      <c r="E132" s="9" t="str">
        <f>IFERROR(__xludf.DUMMYFUNCTION("""COMPUTED_VALUE"""),"Tecnología")</f>
        <v>Tecnología</v>
      </c>
      <c r="F132" s="9" t="str">
        <f>IFERROR(__xludf.DUMMYFUNCTION("""COMPUTED_VALUE"""),"Trabajo")</f>
        <v>Trabajo</v>
      </c>
      <c r="G132" s="9" t="str">
        <f>IFERROR(__xludf.DUMMYFUNCTION("""COMPUTED_VALUE"""),"Buscando trabajo")</f>
        <v>Buscando trabajo</v>
      </c>
      <c r="H132" s="9" t="str">
        <f>IFERROR(__xludf.DUMMYFUNCTION("""COMPUTED_VALUE"""),"SI")</f>
        <v>SI</v>
      </c>
      <c r="I132" s="9">
        <f>IFERROR(__xludf.DUMMYFUNCTION("""COMPUTED_VALUE"""),7.0)</f>
        <v>7</v>
      </c>
      <c r="J132" s="9">
        <f>IFERROR(__xludf.DUMMYFUNCTION("""COMPUTED_VALUE"""),9.0)</f>
        <v>9</v>
      </c>
      <c r="K132" s="14">
        <f>IFERROR(__xludf.DUMMYFUNCTION("""COMPUTED_VALUE"""),0.0)</f>
        <v>0</v>
      </c>
      <c r="L132" s="14">
        <f>IFERROR(__xludf.DUMMYFUNCTION("""COMPUTED_VALUE"""),0.0)</f>
        <v>0</v>
      </c>
      <c r="M132" s="14">
        <f>IFERROR(__xludf.DUMMYFUNCTION("""COMPUTED_VALUE"""),0.0)</f>
        <v>0</v>
      </c>
      <c r="N132" s="14">
        <f>IFERROR(__xludf.DUMMYFUNCTION("""COMPUTED_VALUE"""),5.437664E7)</f>
        <v>54376640</v>
      </c>
    </row>
    <row r="133">
      <c r="A133" s="9">
        <f>IFERROR(__xludf.DUMMYFUNCTION("""COMPUTED_VALUE"""),221.0)</f>
        <v>221</v>
      </c>
      <c r="B133" s="9" t="str">
        <f>IFERROR(__xludf.DUMMYFUNCTION("""COMPUTED_VALUE"""),"Rog Casbourne")</f>
        <v>Rog Casbourne</v>
      </c>
      <c r="C133" s="9" t="str">
        <f>IFERROR(__xludf.DUMMYFUNCTION("""COMPUTED_VALUE"""),"rcasbourne64@stumbleupon.com")</f>
        <v>rcasbourne64@stumbleupon.com</v>
      </c>
      <c r="D133" s="9" t="str">
        <f>IFERROR(__xludf.DUMMYFUNCTION("""COMPUTED_VALUE"""),"Uruguay")</f>
        <v>Uruguay</v>
      </c>
      <c r="E133" s="9" t="str">
        <f>IFERROR(__xludf.DUMMYFUNCTION("""COMPUTED_VALUE"""),"Tecnología")</f>
        <v>Tecnología</v>
      </c>
      <c r="F133" s="9" t="str">
        <f>IFERROR(__xludf.DUMMYFUNCTION("""COMPUTED_VALUE"""),"Inversión")</f>
        <v>Inversión</v>
      </c>
      <c r="G133" s="9" t="str">
        <f>IFERROR(__xludf.DUMMYFUNCTION("""COMPUTED_VALUE"""),"Socio de proyecto")</f>
        <v>Socio de proyecto</v>
      </c>
      <c r="H133" s="9" t="str">
        <f>IFERROR(__xludf.DUMMYFUNCTION("""COMPUTED_VALUE"""),"NO")</f>
        <v>NO</v>
      </c>
      <c r="I133" s="9">
        <f>IFERROR(__xludf.DUMMYFUNCTION("""COMPUTED_VALUE"""),3.0)</f>
        <v>3</v>
      </c>
      <c r="J133" s="9">
        <f>IFERROR(__xludf.DUMMYFUNCTION("""COMPUTED_VALUE"""),5.0)</f>
        <v>5</v>
      </c>
      <c r="K133" s="14">
        <f>IFERROR(__xludf.DUMMYFUNCTION("""COMPUTED_VALUE"""),9.0E7)</f>
        <v>90000000</v>
      </c>
      <c r="L133" s="14">
        <f>IFERROR(__xludf.DUMMYFUNCTION("""COMPUTED_VALUE"""),2.9991873E7)</f>
        <v>29991873</v>
      </c>
      <c r="M133" s="14">
        <f>IFERROR(__xludf.DUMMYFUNCTION("""COMPUTED_VALUE"""),3.9252741E7)</f>
        <v>39252741</v>
      </c>
      <c r="N133" s="14">
        <f>IFERROR(__xludf.DUMMYFUNCTION("""COMPUTED_VALUE"""),1.5542722E7)</f>
        <v>15542722</v>
      </c>
    </row>
    <row r="134">
      <c r="A134" s="9">
        <f>IFERROR(__xludf.DUMMYFUNCTION("""COMPUTED_VALUE"""),222.0)</f>
        <v>222</v>
      </c>
      <c r="B134" s="9" t="str">
        <f>IFERROR(__xludf.DUMMYFUNCTION("""COMPUTED_VALUE"""),"Valentino Aspinwall")</f>
        <v>Valentino Aspinwall</v>
      </c>
      <c r="C134" s="9" t="str">
        <f>IFERROR(__xludf.DUMMYFUNCTION("""COMPUTED_VALUE"""),"vaspinwall65@discovery.com")</f>
        <v>vaspinwall65@discovery.com</v>
      </c>
      <c r="D134" s="9" t="str">
        <f>IFERROR(__xludf.DUMMYFUNCTION("""COMPUTED_VALUE"""),"Colombia")</f>
        <v>Colombia</v>
      </c>
      <c r="E134" s="9" t="str">
        <f>IFERROR(__xludf.DUMMYFUNCTION("""COMPUTED_VALUE"""),"Tecnología")</f>
        <v>Tecnología</v>
      </c>
      <c r="F134" s="9" t="str">
        <f>IFERROR(__xludf.DUMMYFUNCTION("""COMPUTED_VALUE"""),"Inversión")</f>
        <v>Inversión</v>
      </c>
      <c r="G134" s="9" t="str">
        <f>IFERROR(__xludf.DUMMYFUNCTION("""COMPUTED_VALUE"""),"Socio de proyecto")</f>
        <v>Socio de proyecto</v>
      </c>
      <c r="H134" s="9" t="str">
        <f>IFERROR(__xludf.DUMMYFUNCTION("""COMPUTED_VALUE"""),"NO")</f>
        <v>NO</v>
      </c>
      <c r="I134" s="9">
        <f>IFERROR(__xludf.DUMMYFUNCTION("""COMPUTED_VALUE"""),3.0)</f>
        <v>3</v>
      </c>
      <c r="J134" s="9">
        <f>IFERROR(__xludf.DUMMYFUNCTION("""COMPUTED_VALUE"""),7.0)</f>
        <v>7</v>
      </c>
      <c r="K134" s="14">
        <f>IFERROR(__xludf.DUMMYFUNCTION("""COMPUTED_VALUE"""),1.0E7)</f>
        <v>10000000</v>
      </c>
      <c r="L134" s="14">
        <f>IFERROR(__xludf.DUMMYFUNCTION("""COMPUTED_VALUE"""),7303129.0)</f>
        <v>7303129</v>
      </c>
      <c r="M134" s="14">
        <f>IFERROR(__xludf.DUMMYFUNCTION("""COMPUTED_VALUE"""),3765621.0)</f>
        <v>3765621</v>
      </c>
      <c r="N134" s="14">
        <f>IFERROR(__xludf.DUMMYFUNCTION("""COMPUTED_VALUE"""),1.8125151E7)</f>
        <v>18125151</v>
      </c>
    </row>
    <row r="135">
      <c r="A135" s="9">
        <f>IFERROR(__xludf.DUMMYFUNCTION("""COMPUTED_VALUE"""),223.0)</f>
        <v>223</v>
      </c>
      <c r="B135" s="9" t="str">
        <f>IFERROR(__xludf.DUMMYFUNCTION("""COMPUTED_VALUE"""),"Shell Daskiewicz")</f>
        <v>Shell Daskiewicz</v>
      </c>
      <c r="C135" s="9" t="str">
        <f>IFERROR(__xludf.DUMMYFUNCTION("""COMPUTED_VALUE"""),"sdaskiewicz66@xing.com")</f>
        <v>sdaskiewicz66@xing.com</v>
      </c>
      <c r="D135" s="9" t="str">
        <f>IFERROR(__xludf.DUMMYFUNCTION("""COMPUTED_VALUE"""),"Chile")</f>
        <v>Chile</v>
      </c>
      <c r="E135" s="9" t="str">
        <f>IFERROR(__xludf.DUMMYFUNCTION("""COMPUTED_VALUE"""),"Tecnología")</f>
        <v>Tecnología</v>
      </c>
      <c r="F135" s="9" t="str">
        <f>IFERROR(__xludf.DUMMYFUNCTION("""COMPUTED_VALUE"""),"Inversión")</f>
        <v>Inversión</v>
      </c>
      <c r="G135" s="9" t="str">
        <f>IFERROR(__xludf.DUMMYFUNCTION("""COMPUTED_VALUE"""),"Socio de proyecto")</f>
        <v>Socio de proyecto</v>
      </c>
      <c r="H135" s="9" t="str">
        <f>IFERROR(__xludf.DUMMYFUNCTION("""COMPUTED_VALUE"""),"NO")</f>
        <v>NO</v>
      </c>
      <c r="I135" s="9">
        <f>IFERROR(__xludf.DUMMYFUNCTION("""COMPUTED_VALUE"""),7.0)</f>
        <v>7</v>
      </c>
      <c r="J135" s="9">
        <f>IFERROR(__xludf.DUMMYFUNCTION("""COMPUTED_VALUE"""),6.0)</f>
        <v>6</v>
      </c>
      <c r="K135" s="14">
        <f>IFERROR(__xludf.DUMMYFUNCTION("""COMPUTED_VALUE"""),3.0E7)</f>
        <v>30000000</v>
      </c>
      <c r="L135" s="14">
        <f>IFERROR(__xludf.DUMMYFUNCTION("""COMPUTED_VALUE"""),4.4457754E7)</f>
        <v>44457754</v>
      </c>
      <c r="M135" s="14">
        <f>IFERROR(__xludf.DUMMYFUNCTION("""COMPUTED_VALUE"""),0.0)</f>
        <v>0</v>
      </c>
      <c r="N135" s="14">
        <f>IFERROR(__xludf.DUMMYFUNCTION("""COMPUTED_VALUE"""),6.2249765E7)</f>
        <v>62249765</v>
      </c>
    </row>
    <row r="136">
      <c r="A136" s="9">
        <f>IFERROR(__xludf.DUMMYFUNCTION("""COMPUTED_VALUE"""),224.0)</f>
        <v>224</v>
      </c>
      <c r="B136" s="9" t="str">
        <f>IFERROR(__xludf.DUMMYFUNCTION("""COMPUTED_VALUE"""),"Nerissa Giddy")</f>
        <v>Nerissa Giddy</v>
      </c>
      <c r="C136" s="9" t="str">
        <f>IFERROR(__xludf.DUMMYFUNCTION("""COMPUTED_VALUE"""),"ngiddy67@examiner.com")</f>
        <v>ngiddy67@examiner.com</v>
      </c>
      <c r="D136" s="9" t="str">
        <f>IFERROR(__xludf.DUMMYFUNCTION("""COMPUTED_VALUE"""),"Perú")</f>
        <v>Perú</v>
      </c>
      <c r="E136" s="9" t="str">
        <f>IFERROR(__xludf.DUMMYFUNCTION("""COMPUTED_VALUE"""),"Tecnología")</f>
        <v>Tecnología</v>
      </c>
      <c r="F136" s="9" t="str">
        <f>IFERROR(__xludf.DUMMYFUNCTION("""COMPUTED_VALUE"""),"Inversión")</f>
        <v>Inversión</v>
      </c>
      <c r="G136" s="9" t="str">
        <f>IFERROR(__xludf.DUMMYFUNCTION("""COMPUTED_VALUE"""),"Socio capitalista")</f>
        <v>Socio capitalista</v>
      </c>
      <c r="H136" s="9" t="str">
        <f>IFERROR(__xludf.DUMMYFUNCTION("""COMPUTED_VALUE"""),"NO")</f>
        <v>NO</v>
      </c>
      <c r="I136" s="9">
        <f>IFERROR(__xludf.DUMMYFUNCTION("""COMPUTED_VALUE"""),5.0)</f>
        <v>5</v>
      </c>
      <c r="J136" s="9">
        <f>IFERROR(__xludf.DUMMYFUNCTION("""COMPUTED_VALUE"""),5.0)</f>
        <v>5</v>
      </c>
      <c r="K136" s="14">
        <f>IFERROR(__xludf.DUMMYFUNCTION("""COMPUTED_VALUE"""),1.0E7)</f>
        <v>10000000</v>
      </c>
      <c r="L136" s="14">
        <f>IFERROR(__xludf.DUMMYFUNCTION("""COMPUTED_VALUE"""),5.4467236E7)</f>
        <v>54467236</v>
      </c>
      <c r="M136" s="14">
        <f>IFERROR(__xludf.DUMMYFUNCTION("""COMPUTED_VALUE"""),0.0)</f>
        <v>0</v>
      </c>
      <c r="N136" s="14">
        <f>IFERROR(__xludf.DUMMYFUNCTION("""COMPUTED_VALUE"""),1234692.0)</f>
        <v>1234692</v>
      </c>
    </row>
    <row r="137">
      <c r="A137" s="9">
        <f>IFERROR(__xludf.DUMMYFUNCTION("""COMPUTED_VALUE"""),225.0)</f>
        <v>225</v>
      </c>
      <c r="B137" s="9" t="str">
        <f>IFERROR(__xludf.DUMMYFUNCTION("""COMPUTED_VALUE"""),"Brandice Leopold")</f>
        <v>Brandice Leopold</v>
      </c>
      <c r="C137" s="9" t="str">
        <f>IFERROR(__xludf.DUMMYFUNCTION("""COMPUTED_VALUE"""),"bleopold68@so-net.ne.jp")</f>
        <v>bleopold68@so-net.ne.jp</v>
      </c>
      <c r="D137" s="9" t="str">
        <f>IFERROR(__xludf.DUMMYFUNCTION("""COMPUTED_VALUE"""),"Ecuador")</f>
        <v>Ecuador</v>
      </c>
      <c r="E137" s="9" t="str">
        <f>IFERROR(__xludf.DUMMYFUNCTION("""COMPUTED_VALUE"""),"Tecnología")</f>
        <v>Tecnología</v>
      </c>
      <c r="F137" s="9" t="str">
        <f>IFERROR(__xludf.DUMMYFUNCTION("""COMPUTED_VALUE"""),"Inversión")</f>
        <v>Inversión</v>
      </c>
      <c r="G137" s="9" t="str">
        <f>IFERROR(__xludf.DUMMYFUNCTION("""COMPUTED_VALUE"""),"Socio de proyecto")</f>
        <v>Socio de proyecto</v>
      </c>
      <c r="H137" s="9" t="str">
        <f>IFERROR(__xludf.DUMMYFUNCTION("""COMPUTED_VALUE"""),"NO")</f>
        <v>NO</v>
      </c>
      <c r="I137" s="9">
        <f>IFERROR(__xludf.DUMMYFUNCTION("""COMPUTED_VALUE"""),9.0)</f>
        <v>9</v>
      </c>
      <c r="J137" s="9">
        <f>IFERROR(__xludf.DUMMYFUNCTION("""COMPUTED_VALUE"""),9.0)</f>
        <v>9</v>
      </c>
      <c r="K137" s="14">
        <f>IFERROR(__xludf.DUMMYFUNCTION("""COMPUTED_VALUE"""),1.0E7)</f>
        <v>10000000</v>
      </c>
      <c r="L137" s="14">
        <f>IFERROR(__xludf.DUMMYFUNCTION("""COMPUTED_VALUE"""),1.7991607E7)</f>
        <v>17991607</v>
      </c>
      <c r="M137" s="14">
        <f>IFERROR(__xludf.DUMMYFUNCTION("""COMPUTED_VALUE"""),0.0)</f>
        <v>0</v>
      </c>
      <c r="N137" s="14">
        <f>IFERROR(__xludf.DUMMYFUNCTION("""COMPUTED_VALUE"""),174626.0)</f>
        <v>174626</v>
      </c>
    </row>
    <row r="138">
      <c r="A138" s="9">
        <f>IFERROR(__xludf.DUMMYFUNCTION("""COMPUTED_VALUE"""),226.0)</f>
        <v>226</v>
      </c>
      <c r="B138" s="9" t="str">
        <f>IFERROR(__xludf.DUMMYFUNCTION("""COMPUTED_VALUE"""),"Shepherd Mapletoft")</f>
        <v>Shepherd Mapletoft</v>
      </c>
      <c r="C138" s="9" t="str">
        <f>IFERROR(__xludf.DUMMYFUNCTION("""COMPUTED_VALUE"""),"smapletoft69@flavors.me")</f>
        <v>smapletoft69@flavors.me</v>
      </c>
      <c r="D138" s="9" t="str">
        <f>IFERROR(__xludf.DUMMYFUNCTION("""COMPUTED_VALUE"""),"Chile")</f>
        <v>Chile</v>
      </c>
      <c r="E138" s="9" t="str">
        <f>IFERROR(__xludf.DUMMYFUNCTION("""COMPUTED_VALUE"""),"Tecnología")</f>
        <v>Tecnología</v>
      </c>
      <c r="F138" s="9" t="str">
        <f>IFERROR(__xludf.DUMMYFUNCTION("""COMPUTED_VALUE"""),"Trabajo")</f>
        <v>Trabajo</v>
      </c>
      <c r="G138" s="9" t="str">
        <f>IFERROR(__xludf.DUMMYFUNCTION("""COMPUTED_VALUE"""),"Ofreciendo trabajo")</f>
        <v>Ofreciendo trabajo</v>
      </c>
      <c r="H138" s="9" t="str">
        <f>IFERROR(__xludf.DUMMYFUNCTION("""COMPUTED_VALUE"""),"NO")</f>
        <v>NO</v>
      </c>
      <c r="I138" s="9">
        <f>IFERROR(__xludf.DUMMYFUNCTION("""COMPUTED_VALUE"""),4.0)</f>
        <v>4</v>
      </c>
      <c r="J138" s="9">
        <f>IFERROR(__xludf.DUMMYFUNCTION("""COMPUTED_VALUE"""),10.0)</f>
        <v>10</v>
      </c>
      <c r="K138" s="14">
        <f>IFERROR(__xludf.DUMMYFUNCTION("""COMPUTED_VALUE"""),0.0)</f>
        <v>0</v>
      </c>
      <c r="L138" s="14">
        <f>IFERROR(__xludf.DUMMYFUNCTION("""COMPUTED_VALUE"""),0.0)</f>
        <v>0</v>
      </c>
      <c r="M138" s="14">
        <f>IFERROR(__xludf.DUMMYFUNCTION("""COMPUTED_VALUE"""),2.4965127E7)</f>
        <v>24965127</v>
      </c>
      <c r="N138" s="14">
        <f>IFERROR(__xludf.DUMMYFUNCTION("""COMPUTED_VALUE"""),4.1129782E7)</f>
        <v>41129782</v>
      </c>
    </row>
    <row r="139">
      <c r="A139" s="9">
        <f>IFERROR(__xludf.DUMMYFUNCTION("""COMPUTED_VALUE"""),229.0)</f>
        <v>229</v>
      </c>
      <c r="B139" s="9" t="str">
        <f>IFERROR(__xludf.DUMMYFUNCTION("""COMPUTED_VALUE"""),"Dennet Dofty")</f>
        <v>Dennet Dofty</v>
      </c>
      <c r="C139" s="9" t="str">
        <f>IFERROR(__xludf.DUMMYFUNCTION("""COMPUTED_VALUE"""),"ddofty6c@boston.com")</f>
        <v>ddofty6c@boston.com</v>
      </c>
      <c r="D139" s="9" t="str">
        <f>IFERROR(__xludf.DUMMYFUNCTION("""COMPUTED_VALUE"""),"Colombia")</f>
        <v>Colombia</v>
      </c>
      <c r="E139" s="9" t="str">
        <f>IFERROR(__xludf.DUMMYFUNCTION("""COMPUTED_VALUE"""),"Tecnología")</f>
        <v>Tecnología</v>
      </c>
      <c r="F139" s="9" t="str">
        <f>IFERROR(__xludf.DUMMYFUNCTION("""COMPUTED_VALUE"""),"Inversión")</f>
        <v>Inversión</v>
      </c>
      <c r="G139" s="9" t="str">
        <f>IFERROR(__xludf.DUMMYFUNCTION("""COMPUTED_VALUE"""),"Socio de proyecto")</f>
        <v>Socio de proyecto</v>
      </c>
      <c r="H139" s="9" t="str">
        <f>IFERROR(__xludf.DUMMYFUNCTION("""COMPUTED_VALUE"""),"NO")</f>
        <v>NO</v>
      </c>
      <c r="I139" s="9">
        <f>IFERROR(__xludf.DUMMYFUNCTION("""COMPUTED_VALUE"""),3.0)</f>
        <v>3</v>
      </c>
      <c r="J139" s="9">
        <f>IFERROR(__xludf.DUMMYFUNCTION("""COMPUTED_VALUE"""),10.0)</f>
        <v>10</v>
      </c>
      <c r="K139" s="14">
        <f>IFERROR(__xludf.DUMMYFUNCTION("""COMPUTED_VALUE"""),1.0E7)</f>
        <v>10000000</v>
      </c>
      <c r="L139" s="14">
        <f>IFERROR(__xludf.DUMMYFUNCTION("""COMPUTED_VALUE"""),4.3538967E7)</f>
        <v>43538967</v>
      </c>
      <c r="M139" s="14">
        <f>IFERROR(__xludf.DUMMYFUNCTION("""COMPUTED_VALUE"""),5161300.0)</f>
        <v>5161300</v>
      </c>
      <c r="N139" s="14">
        <f>IFERROR(__xludf.DUMMYFUNCTION("""COMPUTED_VALUE"""),8.5417673E7)</f>
        <v>85417673</v>
      </c>
    </row>
    <row r="140">
      <c r="A140" s="9">
        <f>IFERROR(__xludf.DUMMYFUNCTION("""COMPUTED_VALUE"""),230.0)</f>
        <v>230</v>
      </c>
      <c r="B140" s="9" t="str">
        <f>IFERROR(__xludf.DUMMYFUNCTION("""COMPUTED_VALUE"""),"Tris McElhargy")</f>
        <v>Tris McElhargy</v>
      </c>
      <c r="C140" s="9" t="str">
        <f>IFERROR(__xludf.DUMMYFUNCTION("""COMPUTED_VALUE"""),"tmcelhargy6d@gizmodo.com")</f>
        <v>tmcelhargy6d@gizmodo.com</v>
      </c>
      <c r="D140" s="9" t="str">
        <f>IFERROR(__xludf.DUMMYFUNCTION("""COMPUTED_VALUE"""),"Venezuela")</f>
        <v>Venezuela</v>
      </c>
      <c r="E140" s="9" t="str">
        <f>IFERROR(__xludf.DUMMYFUNCTION("""COMPUTED_VALUE"""),"Tecnología")</f>
        <v>Tecnología</v>
      </c>
      <c r="F140" s="9" t="str">
        <f>IFERROR(__xludf.DUMMYFUNCTION("""COMPUTED_VALUE"""),"Inversión")</f>
        <v>Inversión</v>
      </c>
      <c r="G140" s="9" t="str">
        <f>IFERROR(__xludf.DUMMYFUNCTION("""COMPUTED_VALUE"""),"Socio de proyecto")</f>
        <v>Socio de proyecto</v>
      </c>
      <c r="H140" s="9" t="str">
        <f>IFERROR(__xludf.DUMMYFUNCTION("""COMPUTED_VALUE"""),"SI")</f>
        <v>SI</v>
      </c>
      <c r="I140" s="9">
        <f>IFERROR(__xludf.DUMMYFUNCTION("""COMPUTED_VALUE"""),5.0)</f>
        <v>5</v>
      </c>
      <c r="J140" s="9">
        <f>IFERROR(__xludf.DUMMYFUNCTION("""COMPUTED_VALUE"""),10.0)</f>
        <v>10</v>
      </c>
      <c r="K140" s="14">
        <f>IFERROR(__xludf.DUMMYFUNCTION("""COMPUTED_VALUE"""),1000000.0)</f>
        <v>1000000</v>
      </c>
      <c r="L140" s="14">
        <f>IFERROR(__xludf.DUMMYFUNCTION("""COMPUTED_VALUE"""),9.5899452E7)</f>
        <v>95899452</v>
      </c>
      <c r="M140" s="14">
        <f>IFERROR(__xludf.DUMMYFUNCTION("""COMPUTED_VALUE"""),2565664.0)</f>
        <v>2565664</v>
      </c>
      <c r="N140" s="14">
        <f>IFERROR(__xludf.DUMMYFUNCTION("""COMPUTED_VALUE"""),3.9602953E7)</f>
        <v>39602953</v>
      </c>
    </row>
    <row r="141">
      <c r="A141" s="9">
        <f>IFERROR(__xludf.DUMMYFUNCTION("""COMPUTED_VALUE"""),231.0)</f>
        <v>231</v>
      </c>
      <c r="B141" s="9" t="str">
        <f>IFERROR(__xludf.DUMMYFUNCTION("""COMPUTED_VALUE"""),"Damian Arlett")</f>
        <v>Damian Arlett</v>
      </c>
      <c r="C141" s="9" t="str">
        <f>IFERROR(__xludf.DUMMYFUNCTION("""COMPUTED_VALUE"""),"darlett6e@twitter.com")</f>
        <v>darlett6e@twitter.com</v>
      </c>
      <c r="D141" s="9" t="str">
        <f>IFERROR(__xludf.DUMMYFUNCTION("""COMPUTED_VALUE"""),"Venezuela")</f>
        <v>Venezuela</v>
      </c>
      <c r="E141" s="9" t="str">
        <f>IFERROR(__xludf.DUMMYFUNCTION("""COMPUTED_VALUE"""),"Tecnología")</f>
        <v>Tecnología</v>
      </c>
      <c r="F141" s="9" t="str">
        <f>IFERROR(__xludf.DUMMYFUNCTION("""COMPUTED_VALUE"""),"Inversión")</f>
        <v>Inversión</v>
      </c>
      <c r="G141" s="9" t="str">
        <f>IFERROR(__xludf.DUMMYFUNCTION("""COMPUTED_VALUE"""),"Socio de proyecto")</f>
        <v>Socio de proyecto</v>
      </c>
      <c r="H141" s="9" t="str">
        <f>IFERROR(__xludf.DUMMYFUNCTION("""COMPUTED_VALUE"""),"SI")</f>
        <v>SI</v>
      </c>
      <c r="I141" s="9">
        <f>IFERROR(__xludf.DUMMYFUNCTION("""COMPUTED_VALUE"""),7.0)</f>
        <v>7</v>
      </c>
      <c r="J141" s="9">
        <f>IFERROR(__xludf.DUMMYFUNCTION("""COMPUTED_VALUE"""),7.0)</f>
        <v>7</v>
      </c>
      <c r="K141" s="14">
        <f>IFERROR(__xludf.DUMMYFUNCTION("""COMPUTED_VALUE"""),1000000.0)</f>
        <v>1000000</v>
      </c>
      <c r="L141" s="14">
        <f>IFERROR(__xludf.DUMMYFUNCTION("""COMPUTED_VALUE"""),8.1347428E7)</f>
        <v>81347428</v>
      </c>
      <c r="M141" s="14">
        <f>IFERROR(__xludf.DUMMYFUNCTION("""COMPUTED_VALUE"""),1.0860215E7)</f>
        <v>10860215</v>
      </c>
      <c r="N141" s="14">
        <f>IFERROR(__xludf.DUMMYFUNCTION("""COMPUTED_VALUE"""),2.863729E7)</f>
        <v>28637290</v>
      </c>
    </row>
    <row r="142">
      <c r="A142" s="9">
        <f>IFERROR(__xludf.DUMMYFUNCTION("""COMPUTED_VALUE"""),233.0)</f>
        <v>233</v>
      </c>
      <c r="B142" s="9" t="str">
        <f>IFERROR(__xludf.DUMMYFUNCTION("""COMPUTED_VALUE"""),"Osbert Beig")</f>
        <v>Osbert Beig</v>
      </c>
      <c r="C142" s="9" t="str">
        <f>IFERROR(__xludf.DUMMYFUNCTION("""COMPUTED_VALUE"""),"obeig6g@de.vu")</f>
        <v>obeig6g@de.vu</v>
      </c>
      <c r="D142" s="9" t="str">
        <f>IFERROR(__xludf.DUMMYFUNCTION("""COMPUTED_VALUE"""),"Venezuela")</f>
        <v>Venezuela</v>
      </c>
      <c r="E142" s="9" t="str">
        <f>IFERROR(__xludf.DUMMYFUNCTION("""COMPUTED_VALUE"""),"Tecnología")</f>
        <v>Tecnología</v>
      </c>
      <c r="F142" s="9" t="str">
        <f>IFERROR(__xludf.DUMMYFUNCTION("""COMPUTED_VALUE"""),"Inversión")</f>
        <v>Inversión</v>
      </c>
      <c r="G142" s="9" t="str">
        <f>IFERROR(__xludf.DUMMYFUNCTION("""COMPUTED_VALUE"""),"Socio de proyecto")</f>
        <v>Socio de proyecto</v>
      </c>
      <c r="H142" s="9" t="str">
        <f>IFERROR(__xludf.DUMMYFUNCTION("""COMPUTED_VALUE"""),"SI")</f>
        <v>SI</v>
      </c>
      <c r="I142" s="9">
        <f>IFERROR(__xludf.DUMMYFUNCTION("""COMPUTED_VALUE"""),5.0)</f>
        <v>5</v>
      </c>
      <c r="J142" s="9">
        <f>IFERROR(__xludf.DUMMYFUNCTION("""COMPUTED_VALUE"""),7.0)</f>
        <v>7</v>
      </c>
      <c r="K142" s="14">
        <f>IFERROR(__xludf.DUMMYFUNCTION("""COMPUTED_VALUE"""),1.0E7)</f>
        <v>10000000</v>
      </c>
      <c r="L142" s="14">
        <f>IFERROR(__xludf.DUMMYFUNCTION("""COMPUTED_VALUE"""),9.6199053E7)</f>
        <v>96199053</v>
      </c>
      <c r="M142" s="14">
        <f>IFERROR(__xludf.DUMMYFUNCTION("""COMPUTED_VALUE"""),3.1746355E7)</f>
        <v>31746355</v>
      </c>
      <c r="N142" s="14">
        <f>IFERROR(__xludf.DUMMYFUNCTION("""COMPUTED_VALUE"""),8.0063468E7)</f>
        <v>80063468</v>
      </c>
    </row>
    <row r="143">
      <c r="A143" s="9">
        <f>IFERROR(__xludf.DUMMYFUNCTION("""COMPUTED_VALUE"""),234.0)</f>
        <v>234</v>
      </c>
      <c r="B143" s="9" t="str">
        <f>IFERROR(__xludf.DUMMYFUNCTION("""COMPUTED_VALUE"""),"Godard Hindge")</f>
        <v>Godard Hindge</v>
      </c>
      <c r="C143" s="9" t="str">
        <f>IFERROR(__xludf.DUMMYFUNCTION("""COMPUTED_VALUE"""),"ghindge6h@creativecommons.org")</f>
        <v>ghindge6h@creativecommons.org</v>
      </c>
      <c r="D143" s="9" t="str">
        <f>IFERROR(__xludf.DUMMYFUNCTION("""COMPUTED_VALUE"""),"Colombia")</f>
        <v>Colombia</v>
      </c>
      <c r="E143" s="9" t="str">
        <f>IFERROR(__xludf.DUMMYFUNCTION("""COMPUTED_VALUE"""),"Tecnología")</f>
        <v>Tecnología</v>
      </c>
      <c r="F143" s="9" t="str">
        <f>IFERROR(__xludf.DUMMYFUNCTION("""COMPUTED_VALUE"""),"Inversión")</f>
        <v>Inversión</v>
      </c>
      <c r="G143" s="9" t="str">
        <f>IFERROR(__xludf.DUMMYFUNCTION("""COMPUTED_VALUE"""),"Socio de proyecto")</f>
        <v>Socio de proyecto</v>
      </c>
      <c r="H143" s="9" t="str">
        <f>IFERROR(__xludf.DUMMYFUNCTION("""COMPUTED_VALUE"""),"NO")</f>
        <v>NO</v>
      </c>
      <c r="I143" s="9">
        <f>IFERROR(__xludf.DUMMYFUNCTION("""COMPUTED_VALUE"""),7.0)</f>
        <v>7</v>
      </c>
      <c r="J143" s="9">
        <f>IFERROR(__xludf.DUMMYFUNCTION("""COMPUTED_VALUE"""),9.0)</f>
        <v>9</v>
      </c>
      <c r="K143" s="14">
        <f>IFERROR(__xludf.DUMMYFUNCTION("""COMPUTED_VALUE"""),1000000.0)</f>
        <v>1000000</v>
      </c>
      <c r="L143" s="14">
        <f>IFERROR(__xludf.DUMMYFUNCTION("""COMPUTED_VALUE"""),7.1783742E7)</f>
        <v>71783742</v>
      </c>
      <c r="M143" s="14">
        <f>IFERROR(__xludf.DUMMYFUNCTION("""COMPUTED_VALUE"""),6.4667814E7)</f>
        <v>64667814</v>
      </c>
      <c r="N143" s="14">
        <f>IFERROR(__xludf.DUMMYFUNCTION("""COMPUTED_VALUE"""),7.065318E7)</f>
        <v>70653180</v>
      </c>
    </row>
    <row r="144">
      <c r="A144" s="9">
        <f>IFERROR(__xludf.DUMMYFUNCTION("""COMPUTED_VALUE"""),237.0)</f>
        <v>237</v>
      </c>
      <c r="B144" s="9" t="str">
        <f>IFERROR(__xludf.DUMMYFUNCTION("""COMPUTED_VALUE"""),"Regan Landrieu")</f>
        <v>Regan Landrieu</v>
      </c>
      <c r="C144" s="9" t="str">
        <f>IFERROR(__xludf.DUMMYFUNCTION("""COMPUTED_VALUE"""),"rlandrieu6k@sitemeter.com")</f>
        <v>rlandrieu6k@sitemeter.com</v>
      </c>
      <c r="D144" s="9" t="str">
        <f>IFERROR(__xludf.DUMMYFUNCTION("""COMPUTED_VALUE"""),"Ecuador")</f>
        <v>Ecuador</v>
      </c>
      <c r="E144" s="9" t="str">
        <f>IFERROR(__xludf.DUMMYFUNCTION("""COMPUTED_VALUE"""),"Tecnología")</f>
        <v>Tecnología</v>
      </c>
      <c r="F144" s="9" t="str">
        <f>IFERROR(__xludf.DUMMYFUNCTION("""COMPUTED_VALUE"""),"Inversión")</f>
        <v>Inversión</v>
      </c>
      <c r="G144" s="9" t="str">
        <f>IFERROR(__xludf.DUMMYFUNCTION("""COMPUTED_VALUE"""),"Socio de proyecto")</f>
        <v>Socio de proyecto</v>
      </c>
      <c r="H144" s="9" t="str">
        <f>IFERROR(__xludf.DUMMYFUNCTION("""COMPUTED_VALUE"""),"SI")</f>
        <v>SI</v>
      </c>
      <c r="I144" s="9">
        <f>IFERROR(__xludf.DUMMYFUNCTION("""COMPUTED_VALUE"""),8.0)</f>
        <v>8</v>
      </c>
      <c r="J144" s="9">
        <f>IFERROR(__xludf.DUMMYFUNCTION("""COMPUTED_VALUE"""),8.0)</f>
        <v>8</v>
      </c>
      <c r="K144" s="14">
        <f>IFERROR(__xludf.DUMMYFUNCTION("""COMPUTED_VALUE"""),3.0E7)</f>
        <v>30000000</v>
      </c>
      <c r="L144" s="14">
        <f>IFERROR(__xludf.DUMMYFUNCTION("""COMPUTED_VALUE"""),3.3477783E7)</f>
        <v>33477783</v>
      </c>
      <c r="M144" s="14">
        <f>IFERROR(__xludf.DUMMYFUNCTION("""COMPUTED_VALUE"""),0.0)</f>
        <v>0</v>
      </c>
      <c r="N144" s="14">
        <f>IFERROR(__xludf.DUMMYFUNCTION("""COMPUTED_VALUE"""),2.7651635E7)</f>
        <v>27651635</v>
      </c>
    </row>
    <row r="145">
      <c r="A145" s="9">
        <f>IFERROR(__xludf.DUMMYFUNCTION("""COMPUTED_VALUE"""),239.0)</f>
        <v>239</v>
      </c>
      <c r="B145" s="9" t="str">
        <f>IFERROR(__xludf.DUMMYFUNCTION("""COMPUTED_VALUE"""),"Maxi Lahy")</f>
        <v>Maxi Lahy</v>
      </c>
      <c r="C145" s="9" t="str">
        <f>IFERROR(__xludf.DUMMYFUNCTION("""COMPUTED_VALUE"""),"mlahy6m@4shared.com")</f>
        <v>mlahy6m@4shared.com</v>
      </c>
      <c r="D145" s="9" t="str">
        <f>IFERROR(__xludf.DUMMYFUNCTION("""COMPUTED_VALUE"""),"Perú")</f>
        <v>Perú</v>
      </c>
      <c r="E145" s="9" t="str">
        <f>IFERROR(__xludf.DUMMYFUNCTION("""COMPUTED_VALUE"""),"Tecnología")</f>
        <v>Tecnología</v>
      </c>
      <c r="F145" s="9" t="str">
        <f>IFERROR(__xludf.DUMMYFUNCTION("""COMPUTED_VALUE"""),"Inversión")</f>
        <v>Inversión</v>
      </c>
      <c r="G145" s="9" t="str">
        <f>IFERROR(__xludf.DUMMYFUNCTION("""COMPUTED_VALUE"""),"Socio capitalista")</f>
        <v>Socio capitalista</v>
      </c>
      <c r="H145" s="9" t="str">
        <f>IFERROR(__xludf.DUMMYFUNCTION("""COMPUTED_VALUE"""),"NO")</f>
        <v>NO</v>
      </c>
      <c r="I145" s="9">
        <f>IFERROR(__xludf.DUMMYFUNCTION("""COMPUTED_VALUE"""),6.0)</f>
        <v>6</v>
      </c>
      <c r="J145" s="9">
        <f>IFERROR(__xludf.DUMMYFUNCTION("""COMPUTED_VALUE"""),5.0)</f>
        <v>5</v>
      </c>
      <c r="K145" s="14">
        <f>IFERROR(__xludf.DUMMYFUNCTION("""COMPUTED_VALUE"""),5.0E7)</f>
        <v>50000000</v>
      </c>
      <c r="L145" s="14">
        <f>IFERROR(__xludf.DUMMYFUNCTION("""COMPUTED_VALUE"""),7.0787848E7)</f>
        <v>70787848</v>
      </c>
      <c r="M145" s="14">
        <f>IFERROR(__xludf.DUMMYFUNCTION("""COMPUTED_VALUE"""),3.3368202E7)</f>
        <v>33368202</v>
      </c>
      <c r="N145" s="14">
        <f>IFERROR(__xludf.DUMMYFUNCTION("""COMPUTED_VALUE"""),4.3277527E7)</f>
        <v>43277527</v>
      </c>
    </row>
    <row r="146">
      <c r="A146" s="9">
        <f>IFERROR(__xludf.DUMMYFUNCTION("""COMPUTED_VALUE"""),240.0)</f>
        <v>240</v>
      </c>
      <c r="B146" s="9" t="str">
        <f>IFERROR(__xludf.DUMMYFUNCTION("""COMPUTED_VALUE"""),"Guendolen Blueman")</f>
        <v>Guendolen Blueman</v>
      </c>
      <c r="C146" s="9" t="str">
        <f>IFERROR(__xludf.DUMMYFUNCTION("""COMPUTED_VALUE"""),"gblueman6n@mozilla.org")</f>
        <v>gblueman6n@mozilla.org</v>
      </c>
      <c r="D146" s="9" t="str">
        <f>IFERROR(__xludf.DUMMYFUNCTION("""COMPUTED_VALUE"""),"Paraguay")</f>
        <v>Paraguay</v>
      </c>
      <c r="E146" s="9" t="str">
        <f>IFERROR(__xludf.DUMMYFUNCTION("""COMPUTED_VALUE"""),"Tecnología")</f>
        <v>Tecnología</v>
      </c>
      <c r="F146" s="9" t="str">
        <f>IFERROR(__xludf.DUMMYFUNCTION("""COMPUTED_VALUE"""),"Trabajo")</f>
        <v>Trabajo</v>
      </c>
      <c r="G146" s="9" t="str">
        <f>IFERROR(__xludf.DUMMYFUNCTION("""COMPUTED_VALUE"""),"Ofreciendo trabajo")</f>
        <v>Ofreciendo trabajo</v>
      </c>
      <c r="H146" s="9" t="str">
        <f>IFERROR(__xludf.DUMMYFUNCTION("""COMPUTED_VALUE"""),"SI")</f>
        <v>SI</v>
      </c>
      <c r="I146" s="9">
        <f>IFERROR(__xludf.DUMMYFUNCTION("""COMPUTED_VALUE"""),3.0)</f>
        <v>3</v>
      </c>
      <c r="J146" s="9">
        <f>IFERROR(__xludf.DUMMYFUNCTION("""COMPUTED_VALUE"""),7.0)</f>
        <v>7</v>
      </c>
      <c r="K146" s="14">
        <f>IFERROR(__xludf.DUMMYFUNCTION("""COMPUTED_VALUE"""),0.0)</f>
        <v>0</v>
      </c>
      <c r="L146" s="14">
        <f>IFERROR(__xludf.DUMMYFUNCTION("""COMPUTED_VALUE"""),0.0)</f>
        <v>0</v>
      </c>
      <c r="M146" s="14">
        <f>IFERROR(__xludf.DUMMYFUNCTION("""COMPUTED_VALUE"""),4.6563396E7)</f>
        <v>46563396</v>
      </c>
      <c r="N146" s="14">
        <f>IFERROR(__xludf.DUMMYFUNCTION("""COMPUTED_VALUE"""),6.3313535E7)</f>
        <v>63313535</v>
      </c>
    </row>
    <row r="147">
      <c r="A147" s="9">
        <f>IFERROR(__xludf.DUMMYFUNCTION("""COMPUTED_VALUE"""),241.0)</f>
        <v>241</v>
      </c>
      <c r="B147" s="9" t="str">
        <f>IFERROR(__xludf.DUMMYFUNCTION("""COMPUTED_VALUE"""),"Tracy Prosh")</f>
        <v>Tracy Prosh</v>
      </c>
      <c r="C147" s="9" t="str">
        <f>IFERROR(__xludf.DUMMYFUNCTION("""COMPUTED_VALUE"""),"tprosh6o@ucsd.edu")</f>
        <v>tprosh6o@ucsd.edu</v>
      </c>
      <c r="D147" s="9" t="str">
        <f>IFERROR(__xludf.DUMMYFUNCTION("""COMPUTED_VALUE"""),"Paraguay")</f>
        <v>Paraguay</v>
      </c>
      <c r="E147" s="9" t="str">
        <f>IFERROR(__xludf.DUMMYFUNCTION("""COMPUTED_VALUE"""),"Tecnología")</f>
        <v>Tecnología</v>
      </c>
      <c r="F147" s="9" t="str">
        <f>IFERROR(__xludf.DUMMYFUNCTION("""COMPUTED_VALUE"""),"Inversión")</f>
        <v>Inversión</v>
      </c>
      <c r="G147" s="9" t="str">
        <f>IFERROR(__xludf.DUMMYFUNCTION("""COMPUTED_VALUE"""),"Socio capitalista")</f>
        <v>Socio capitalista</v>
      </c>
      <c r="H147" s="9" t="str">
        <f>IFERROR(__xludf.DUMMYFUNCTION("""COMPUTED_VALUE"""),"NO")</f>
        <v>NO</v>
      </c>
      <c r="I147" s="9">
        <f>IFERROR(__xludf.DUMMYFUNCTION("""COMPUTED_VALUE"""),8.0)</f>
        <v>8</v>
      </c>
      <c r="J147" s="9">
        <f>IFERROR(__xludf.DUMMYFUNCTION("""COMPUTED_VALUE"""),8.0)</f>
        <v>8</v>
      </c>
      <c r="K147" s="14">
        <f>IFERROR(__xludf.DUMMYFUNCTION("""COMPUTED_VALUE"""),2.0E7)</f>
        <v>20000000</v>
      </c>
      <c r="L147" s="14">
        <f>IFERROR(__xludf.DUMMYFUNCTION("""COMPUTED_VALUE"""),4.006462E7)</f>
        <v>40064620</v>
      </c>
      <c r="M147" s="14">
        <f>IFERROR(__xludf.DUMMYFUNCTION("""COMPUTED_VALUE"""),9.8137438E7)</f>
        <v>98137438</v>
      </c>
      <c r="N147" s="14">
        <f>IFERROR(__xludf.DUMMYFUNCTION("""COMPUTED_VALUE"""),0.0)</f>
        <v>0</v>
      </c>
    </row>
    <row r="148">
      <c r="A148" s="9">
        <f>IFERROR(__xludf.DUMMYFUNCTION("""COMPUTED_VALUE"""),242.0)</f>
        <v>242</v>
      </c>
      <c r="B148" s="9" t="str">
        <f>IFERROR(__xludf.DUMMYFUNCTION("""COMPUTED_VALUE"""),"Holly Brownstein")</f>
        <v>Holly Brownstein</v>
      </c>
      <c r="C148" s="9" t="str">
        <f>IFERROR(__xludf.DUMMYFUNCTION("""COMPUTED_VALUE"""),"hbrownstein6p@about.me")</f>
        <v>hbrownstein6p@about.me</v>
      </c>
      <c r="D148" s="9" t="str">
        <f>IFERROR(__xludf.DUMMYFUNCTION("""COMPUTED_VALUE"""),"Paraguay")</f>
        <v>Paraguay</v>
      </c>
      <c r="E148" s="9" t="str">
        <f>IFERROR(__xludf.DUMMYFUNCTION("""COMPUTED_VALUE"""),"Tecnología")</f>
        <v>Tecnología</v>
      </c>
      <c r="F148" s="9" t="str">
        <f>IFERROR(__xludf.DUMMYFUNCTION("""COMPUTED_VALUE"""),"Inversión")</f>
        <v>Inversión</v>
      </c>
      <c r="G148" s="9" t="str">
        <f>IFERROR(__xludf.DUMMYFUNCTION("""COMPUTED_VALUE"""),"Socio de proyecto")</f>
        <v>Socio de proyecto</v>
      </c>
      <c r="H148" s="9" t="str">
        <f>IFERROR(__xludf.DUMMYFUNCTION("""COMPUTED_VALUE"""),"NO")</f>
        <v>NO</v>
      </c>
      <c r="I148" s="9">
        <f>IFERROR(__xludf.DUMMYFUNCTION("""COMPUTED_VALUE"""),5.0)</f>
        <v>5</v>
      </c>
      <c r="J148" s="9">
        <f>IFERROR(__xludf.DUMMYFUNCTION("""COMPUTED_VALUE"""),9.0)</f>
        <v>9</v>
      </c>
      <c r="K148" s="14">
        <f>IFERROR(__xludf.DUMMYFUNCTION("""COMPUTED_VALUE"""),3.0E7)</f>
        <v>30000000</v>
      </c>
      <c r="L148" s="14">
        <f>IFERROR(__xludf.DUMMYFUNCTION("""COMPUTED_VALUE"""),4.528936E7)</f>
        <v>45289360</v>
      </c>
      <c r="M148" s="14">
        <f>IFERROR(__xludf.DUMMYFUNCTION("""COMPUTED_VALUE"""),0.0)</f>
        <v>0</v>
      </c>
      <c r="N148" s="14">
        <f>IFERROR(__xludf.DUMMYFUNCTION("""COMPUTED_VALUE"""),4.6980526E7)</f>
        <v>46980526</v>
      </c>
    </row>
    <row r="149">
      <c r="A149" s="9">
        <f>IFERROR(__xludf.DUMMYFUNCTION("""COMPUTED_VALUE"""),244.0)</f>
        <v>244</v>
      </c>
      <c r="B149" s="9" t="str">
        <f>IFERROR(__xludf.DUMMYFUNCTION("""COMPUTED_VALUE"""),"Berny MacAdam")</f>
        <v>Berny MacAdam</v>
      </c>
      <c r="C149" s="9" t="str">
        <f>IFERROR(__xludf.DUMMYFUNCTION("""COMPUTED_VALUE"""),"bmacadam6r@deviantart.com")</f>
        <v>bmacadam6r@deviantart.com</v>
      </c>
      <c r="D149" s="9" t="str">
        <f>IFERROR(__xludf.DUMMYFUNCTION("""COMPUTED_VALUE"""),"Colombia")</f>
        <v>Colombia</v>
      </c>
      <c r="E149" s="9" t="str">
        <f>IFERROR(__xludf.DUMMYFUNCTION("""COMPUTED_VALUE"""),"Tecnología")</f>
        <v>Tecnología</v>
      </c>
      <c r="F149" s="9" t="str">
        <f>IFERROR(__xludf.DUMMYFUNCTION("""COMPUTED_VALUE"""),"Trabajo")</f>
        <v>Trabajo</v>
      </c>
      <c r="G149" s="9" t="str">
        <f>IFERROR(__xludf.DUMMYFUNCTION("""COMPUTED_VALUE"""),"Buscando trabajo")</f>
        <v>Buscando trabajo</v>
      </c>
      <c r="H149" s="9" t="str">
        <f>IFERROR(__xludf.DUMMYFUNCTION("""COMPUTED_VALUE"""),"SI")</f>
        <v>SI</v>
      </c>
      <c r="I149" s="9">
        <f>IFERROR(__xludf.DUMMYFUNCTION("""COMPUTED_VALUE"""),4.0)</f>
        <v>4</v>
      </c>
      <c r="J149" s="9">
        <f>IFERROR(__xludf.DUMMYFUNCTION("""COMPUTED_VALUE"""),9.0)</f>
        <v>9</v>
      </c>
      <c r="K149" s="14">
        <f>IFERROR(__xludf.DUMMYFUNCTION("""COMPUTED_VALUE"""),0.0)</f>
        <v>0</v>
      </c>
      <c r="L149" s="14">
        <f>IFERROR(__xludf.DUMMYFUNCTION("""COMPUTED_VALUE"""),0.0)</f>
        <v>0</v>
      </c>
      <c r="M149" s="14">
        <f>IFERROR(__xludf.DUMMYFUNCTION("""COMPUTED_VALUE"""),6.9870077E7)</f>
        <v>69870077</v>
      </c>
      <c r="N149" s="14">
        <f>IFERROR(__xludf.DUMMYFUNCTION("""COMPUTED_VALUE"""),9.844158E7)</f>
        <v>98441580</v>
      </c>
    </row>
    <row r="150">
      <c r="A150" s="9">
        <f>IFERROR(__xludf.DUMMYFUNCTION("""COMPUTED_VALUE"""),246.0)</f>
        <v>246</v>
      </c>
      <c r="B150" s="9" t="str">
        <f>IFERROR(__xludf.DUMMYFUNCTION("""COMPUTED_VALUE"""),"Ernesta Revance")</f>
        <v>Ernesta Revance</v>
      </c>
      <c r="C150" s="9" t="str">
        <f>IFERROR(__xludf.DUMMYFUNCTION("""COMPUTED_VALUE"""),"erevance6t@arstechnica.com")</f>
        <v>erevance6t@arstechnica.com</v>
      </c>
      <c r="D150" s="9" t="str">
        <f>IFERROR(__xludf.DUMMYFUNCTION("""COMPUTED_VALUE"""),"Uruguay")</f>
        <v>Uruguay</v>
      </c>
      <c r="E150" s="9" t="str">
        <f>IFERROR(__xludf.DUMMYFUNCTION("""COMPUTED_VALUE"""),"Tecnología")</f>
        <v>Tecnología</v>
      </c>
      <c r="F150" s="9" t="str">
        <f>IFERROR(__xludf.DUMMYFUNCTION("""COMPUTED_VALUE"""),"Inversión")</f>
        <v>Inversión</v>
      </c>
      <c r="G150" s="9" t="str">
        <f>IFERROR(__xludf.DUMMYFUNCTION("""COMPUTED_VALUE"""),"Socio capitalista")</f>
        <v>Socio capitalista</v>
      </c>
      <c r="H150" s="9" t="str">
        <f>IFERROR(__xludf.DUMMYFUNCTION("""COMPUTED_VALUE"""),"NO")</f>
        <v>NO</v>
      </c>
      <c r="I150" s="9">
        <f>IFERROR(__xludf.DUMMYFUNCTION("""COMPUTED_VALUE"""),6.0)</f>
        <v>6</v>
      </c>
      <c r="J150" s="9">
        <f>IFERROR(__xludf.DUMMYFUNCTION("""COMPUTED_VALUE"""),5.0)</f>
        <v>5</v>
      </c>
      <c r="K150" s="14">
        <f>IFERROR(__xludf.DUMMYFUNCTION("""COMPUTED_VALUE"""),1000000.0)</f>
        <v>1000000</v>
      </c>
      <c r="L150" s="14">
        <f>IFERROR(__xludf.DUMMYFUNCTION("""COMPUTED_VALUE"""),5.3008255E7)</f>
        <v>53008255</v>
      </c>
      <c r="M150" s="14">
        <f>IFERROR(__xludf.DUMMYFUNCTION("""COMPUTED_VALUE"""),4.691791E7)</f>
        <v>46917910</v>
      </c>
      <c r="N150" s="14">
        <f>IFERROR(__xludf.DUMMYFUNCTION("""COMPUTED_VALUE"""),4.7557281E7)</f>
        <v>47557281</v>
      </c>
    </row>
    <row r="151">
      <c r="A151" s="9">
        <f>IFERROR(__xludf.DUMMYFUNCTION("""COMPUTED_VALUE"""),247.0)</f>
        <v>247</v>
      </c>
      <c r="B151" s="9" t="str">
        <f>IFERROR(__xludf.DUMMYFUNCTION("""COMPUTED_VALUE"""),"Larisa Corby")</f>
        <v>Larisa Corby</v>
      </c>
      <c r="C151" s="9" t="str">
        <f>IFERROR(__xludf.DUMMYFUNCTION("""COMPUTED_VALUE"""),"lcorby6u@eepurl.com")</f>
        <v>lcorby6u@eepurl.com</v>
      </c>
      <c r="D151" s="9" t="str">
        <f>IFERROR(__xludf.DUMMYFUNCTION("""COMPUTED_VALUE"""),"Bolivia")</f>
        <v>Bolivia</v>
      </c>
      <c r="E151" s="9" t="str">
        <f>IFERROR(__xludf.DUMMYFUNCTION("""COMPUTED_VALUE"""),"Tecnología")</f>
        <v>Tecnología</v>
      </c>
      <c r="F151" s="9" t="str">
        <f>IFERROR(__xludf.DUMMYFUNCTION("""COMPUTED_VALUE"""),"Trabajo")</f>
        <v>Trabajo</v>
      </c>
      <c r="G151" s="9" t="str">
        <f>IFERROR(__xludf.DUMMYFUNCTION("""COMPUTED_VALUE"""),"Buscando trabajo")</f>
        <v>Buscando trabajo</v>
      </c>
      <c r="H151" s="9" t="str">
        <f>IFERROR(__xludf.DUMMYFUNCTION("""COMPUTED_VALUE"""),"NO")</f>
        <v>NO</v>
      </c>
      <c r="I151" s="9">
        <f>IFERROR(__xludf.DUMMYFUNCTION("""COMPUTED_VALUE"""),3.0)</f>
        <v>3</v>
      </c>
      <c r="J151" s="9">
        <f>IFERROR(__xludf.DUMMYFUNCTION("""COMPUTED_VALUE"""),6.0)</f>
        <v>6</v>
      </c>
      <c r="K151" s="14">
        <f>IFERROR(__xludf.DUMMYFUNCTION("""COMPUTED_VALUE"""),0.0)</f>
        <v>0</v>
      </c>
      <c r="L151" s="14">
        <f>IFERROR(__xludf.DUMMYFUNCTION("""COMPUTED_VALUE"""),0.0)</f>
        <v>0</v>
      </c>
      <c r="M151" s="14">
        <f>IFERROR(__xludf.DUMMYFUNCTION("""COMPUTED_VALUE"""),0.0)</f>
        <v>0</v>
      </c>
      <c r="N151" s="14">
        <f>IFERROR(__xludf.DUMMYFUNCTION("""COMPUTED_VALUE"""),2.267526E7)</f>
        <v>22675260</v>
      </c>
    </row>
    <row r="152">
      <c r="A152" s="9">
        <f>IFERROR(__xludf.DUMMYFUNCTION("""COMPUTED_VALUE"""),248.0)</f>
        <v>248</v>
      </c>
      <c r="B152" s="9" t="str">
        <f>IFERROR(__xludf.DUMMYFUNCTION("""COMPUTED_VALUE"""),"Charmane Thying")</f>
        <v>Charmane Thying</v>
      </c>
      <c r="C152" s="9" t="str">
        <f>IFERROR(__xludf.DUMMYFUNCTION("""COMPUTED_VALUE"""),"cthying6v@wiley.com")</f>
        <v>cthying6v@wiley.com</v>
      </c>
      <c r="D152" s="9" t="str">
        <f>IFERROR(__xludf.DUMMYFUNCTION("""COMPUTED_VALUE"""),"Venezuela")</f>
        <v>Venezuela</v>
      </c>
      <c r="E152" s="9" t="str">
        <f>IFERROR(__xludf.DUMMYFUNCTION("""COMPUTED_VALUE"""),"Tecnología")</f>
        <v>Tecnología</v>
      </c>
      <c r="F152" s="9" t="str">
        <f>IFERROR(__xludf.DUMMYFUNCTION("""COMPUTED_VALUE"""),"Inversión")</f>
        <v>Inversión</v>
      </c>
      <c r="G152" s="9" t="str">
        <f>IFERROR(__xludf.DUMMYFUNCTION("""COMPUTED_VALUE"""),"Socio capitalista")</f>
        <v>Socio capitalista</v>
      </c>
      <c r="H152" s="9" t="str">
        <f>IFERROR(__xludf.DUMMYFUNCTION("""COMPUTED_VALUE"""),"NO")</f>
        <v>NO</v>
      </c>
      <c r="I152" s="9">
        <f>IFERROR(__xludf.DUMMYFUNCTION("""COMPUTED_VALUE"""),3.0)</f>
        <v>3</v>
      </c>
      <c r="J152" s="9">
        <f>IFERROR(__xludf.DUMMYFUNCTION("""COMPUTED_VALUE"""),6.0)</f>
        <v>6</v>
      </c>
      <c r="K152" s="14">
        <f>IFERROR(__xludf.DUMMYFUNCTION("""COMPUTED_VALUE"""),1.0E8)</f>
        <v>100000000</v>
      </c>
      <c r="L152" s="14">
        <f>IFERROR(__xludf.DUMMYFUNCTION("""COMPUTED_VALUE"""),9.468872E7)</f>
        <v>94688720</v>
      </c>
      <c r="M152" s="14">
        <f>IFERROR(__xludf.DUMMYFUNCTION("""COMPUTED_VALUE"""),8.6323763E7)</f>
        <v>86323763</v>
      </c>
      <c r="N152" s="14">
        <f>IFERROR(__xludf.DUMMYFUNCTION("""COMPUTED_VALUE"""),2.0929788E7)</f>
        <v>20929788</v>
      </c>
    </row>
    <row r="153">
      <c r="A153" s="9">
        <f>IFERROR(__xludf.DUMMYFUNCTION("""COMPUTED_VALUE"""),251.0)</f>
        <v>251</v>
      </c>
      <c r="B153" s="9" t="str">
        <f>IFERROR(__xludf.DUMMYFUNCTION("""COMPUTED_VALUE"""),"Eugen Buxton")</f>
        <v>Eugen Buxton</v>
      </c>
      <c r="C153" s="9" t="str">
        <f>IFERROR(__xludf.DUMMYFUNCTION("""COMPUTED_VALUE"""),"ebuxton6y@odnoklassniki.ru")</f>
        <v>ebuxton6y@odnoklassniki.ru</v>
      </c>
      <c r="D153" s="9" t="str">
        <f>IFERROR(__xludf.DUMMYFUNCTION("""COMPUTED_VALUE"""),"Ecuador")</f>
        <v>Ecuador</v>
      </c>
      <c r="E153" s="9" t="str">
        <f>IFERROR(__xludf.DUMMYFUNCTION("""COMPUTED_VALUE"""),"Tecnología")</f>
        <v>Tecnología</v>
      </c>
      <c r="F153" s="9" t="str">
        <f>IFERROR(__xludf.DUMMYFUNCTION("""COMPUTED_VALUE"""),"Inversión")</f>
        <v>Inversión</v>
      </c>
      <c r="G153" s="9" t="str">
        <f>IFERROR(__xludf.DUMMYFUNCTION("""COMPUTED_VALUE"""),"Socio de proyecto")</f>
        <v>Socio de proyecto</v>
      </c>
      <c r="H153" s="9" t="str">
        <f>IFERROR(__xludf.DUMMYFUNCTION("""COMPUTED_VALUE"""),"NO")</f>
        <v>NO</v>
      </c>
      <c r="I153" s="9">
        <f>IFERROR(__xludf.DUMMYFUNCTION("""COMPUTED_VALUE"""),7.0)</f>
        <v>7</v>
      </c>
      <c r="J153" s="9">
        <f>IFERROR(__xludf.DUMMYFUNCTION("""COMPUTED_VALUE"""),6.0)</f>
        <v>6</v>
      </c>
      <c r="K153" s="14">
        <f>IFERROR(__xludf.DUMMYFUNCTION("""COMPUTED_VALUE"""),3.0E7)</f>
        <v>30000000</v>
      </c>
      <c r="L153" s="14">
        <f>IFERROR(__xludf.DUMMYFUNCTION("""COMPUTED_VALUE"""),3.2890743E7)</f>
        <v>32890743</v>
      </c>
      <c r="M153" s="14">
        <f>IFERROR(__xludf.DUMMYFUNCTION("""COMPUTED_VALUE"""),0.0)</f>
        <v>0</v>
      </c>
      <c r="N153" s="14">
        <f>IFERROR(__xludf.DUMMYFUNCTION("""COMPUTED_VALUE"""),3.986462E7)</f>
        <v>39864620</v>
      </c>
    </row>
    <row r="154">
      <c r="A154" s="9">
        <f>IFERROR(__xludf.DUMMYFUNCTION("""COMPUTED_VALUE"""),254.0)</f>
        <v>254</v>
      </c>
      <c r="B154" s="9" t="str">
        <f>IFERROR(__xludf.DUMMYFUNCTION("""COMPUTED_VALUE"""),"Barbara Quinsee")</f>
        <v>Barbara Quinsee</v>
      </c>
      <c r="C154" s="9" t="str">
        <f>IFERROR(__xludf.DUMMYFUNCTION("""COMPUTED_VALUE"""),"bquinsee71@scientificamerican.com")</f>
        <v>bquinsee71@scientificamerican.com</v>
      </c>
      <c r="D154" s="9" t="str">
        <f>IFERROR(__xludf.DUMMYFUNCTION("""COMPUTED_VALUE"""),"Colombia")</f>
        <v>Colombia</v>
      </c>
      <c r="E154" s="9" t="str">
        <f>IFERROR(__xludf.DUMMYFUNCTION("""COMPUTED_VALUE"""),"Tecnología")</f>
        <v>Tecnología</v>
      </c>
      <c r="F154" s="9" t="str">
        <f>IFERROR(__xludf.DUMMYFUNCTION("""COMPUTED_VALUE"""),"Inversión")</f>
        <v>Inversión</v>
      </c>
      <c r="G154" s="9" t="str">
        <f>IFERROR(__xludf.DUMMYFUNCTION("""COMPUTED_VALUE"""),"Socio capitalista")</f>
        <v>Socio capitalista</v>
      </c>
      <c r="H154" s="9" t="str">
        <f>IFERROR(__xludf.DUMMYFUNCTION("""COMPUTED_VALUE"""),"SI")</f>
        <v>SI</v>
      </c>
      <c r="I154" s="9">
        <f>IFERROR(__xludf.DUMMYFUNCTION("""COMPUTED_VALUE"""),8.0)</f>
        <v>8</v>
      </c>
      <c r="J154" s="9">
        <f>IFERROR(__xludf.DUMMYFUNCTION("""COMPUTED_VALUE"""),5.0)</f>
        <v>5</v>
      </c>
      <c r="K154" s="14">
        <f>IFERROR(__xludf.DUMMYFUNCTION("""COMPUTED_VALUE"""),1.0E7)</f>
        <v>10000000</v>
      </c>
      <c r="L154" s="14">
        <f>IFERROR(__xludf.DUMMYFUNCTION("""COMPUTED_VALUE"""),3.1953589E7)</f>
        <v>31953589</v>
      </c>
      <c r="M154" s="14">
        <f>IFERROR(__xludf.DUMMYFUNCTION("""COMPUTED_VALUE"""),4.0068224E7)</f>
        <v>40068224</v>
      </c>
      <c r="N154" s="14">
        <f>IFERROR(__xludf.DUMMYFUNCTION("""COMPUTED_VALUE"""),8.0951038E7)</f>
        <v>80951038</v>
      </c>
    </row>
    <row r="155">
      <c r="A155" s="9">
        <f>IFERROR(__xludf.DUMMYFUNCTION("""COMPUTED_VALUE"""),255.0)</f>
        <v>255</v>
      </c>
      <c r="B155" s="9" t="str">
        <f>IFERROR(__xludf.DUMMYFUNCTION("""COMPUTED_VALUE"""),"Luciano Slemming")</f>
        <v>Luciano Slemming</v>
      </c>
      <c r="C155" s="9" t="str">
        <f>IFERROR(__xludf.DUMMYFUNCTION("""COMPUTED_VALUE"""),"lslemming72@msu.edu")</f>
        <v>lslemming72@msu.edu</v>
      </c>
      <c r="D155" s="9" t="str">
        <f>IFERROR(__xludf.DUMMYFUNCTION("""COMPUTED_VALUE"""),"Paraguay")</f>
        <v>Paraguay</v>
      </c>
      <c r="E155" s="9" t="str">
        <f>IFERROR(__xludf.DUMMYFUNCTION("""COMPUTED_VALUE"""),"Tecnología")</f>
        <v>Tecnología</v>
      </c>
      <c r="F155" s="9" t="str">
        <f>IFERROR(__xludf.DUMMYFUNCTION("""COMPUTED_VALUE"""),"Inversión")</f>
        <v>Inversión</v>
      </c>
      <c r="G155" s="9" t="str">
        <f>IFERROR(__xludf.DUMMYFUNCTION("""COMPUTED_VALUE"""),"Socio capitalista")</f>
        <v>Socio capitalista</v>
      </c>
      <c r="H155" s="9" t="str">
        <f>IFERROR(__xludf.DUMMYFUNCTION("""COMPUTED_VALUE"""),"NO")</f>
        <v>NO</v>
      </c>
      <c r="I155" s="9">
        <f>IFERROR(__xludf.DUMMYFUNCTION("""COMPUTED_VALUE"""),7.0)</f>
        <v>7</v>
      </c>
      <c r="J155" s="9">
        <f>IFERROR(__xludf.DUMMYFUNCTION("""COMPUTED_VALUE"""),8.0)</f>
        <v>8</v>
      </c>
      <c r="K155" s="14">
        <f>IFERROR(__xludf.DUMMYFUNCTION("""COMPUTED_VALUE"""),5.0E7)</f>
        <v>50000000</v>
      </c>
      <c r="L155" s="14">
        <f>IFERROR(__xludf.DUMMYFUNCTION("""COMPUTED_VALUE"""),7.8205651E7)</f>
        <v>78205651</v>
      </c>
      <c r="M155" s="14">
        <f>IFERROR(__xludf.DUMMYFUNCTION("""COMPUTED_VALUE"""),6.238118E7)</f>
        <v>62381180</v>
      </c>
      <c r="N155" s="14">
        <f>IFERROR(__xludf.DUMMYFUNCTION("""COMPUTED_VALUE"""),6508585.0)</f>
        <v>6508585</v>
      </c>
    </row>
    <row r="156">
      <c r="A156" s="9">
        <f>IFERROR(__xludf.DUMMYFUNCTION("""COMPUTED_VALUE"""),257.0)</f>
        <v>257</v>
      </c>
      <c r="B156" s="9" t="str">
        <f>IFERROR(__xludf.DUMMYFUNCTION("""COMPUTED_VALUE"""),"Jaymie McGrane")</f>
        <v>Jaymie McGrane</v>
      </c>
      <c r="C156" s="9" t="str">
        <f>IFERROR(__xludf.DUMMYFUNCTION("""COMPUTED_VALUE"""),"jmcgrane74@theatlantic.com")</f>
        <v>jmcgrane74@theatlantic.com</v>
      </c>
      <c r="D156" s="9" t="str">
        <f>IFERROR(__xludf.DUMMYFUNCTION("""COMPUTED_VALUE"""),"Paraguay")</f>
        <v>Paraguay</v>
      </c>
      <c r="E156" s="9" t="str">
        <f>IFERROR(__xludf.DUMMYFUNCTION("""COMPUTED_VALUE"""),"Tecnología")</f>
        <v>Tecnología</v>
      </c>
      <c r="F156" s="9" t="str">
        <f>IFERROR(__xludf.DUMMYFUNCTION("""COMPUTED_VALUE"""),"Conocimiento")</f>
        <v>Conocimiento</v>
      </c>
      <c r="G156" s="9" t="str">
        <f>IFERROR(__xludf.DUMMYFUNCTION("""COMPUTED_VALUE"""),"Otro tipo")</f>
        <v>Otro tipo</v>
      </c>
      <c r="H156" s="9" t="str">
        <f>IFERROR(__xludf.DUMMYFUNCTION("""COMPUTED_VALUE"""),"NO")</f>
        <v>NO</v>
      </c>
      <c r="I156" s="9">
        <f>IFERROR(__xludf.DUMMYFUNCTION("""COMPUTED_VALUE"""),6.0)</f>
        <v>6</v>
      </c>
      <c r="J156" s="9">
        <f>IFERROR(__xludf.DUMMYFUNCTION("""COMPUTED_VALUE"""),10.0)</f>
        <v>10</v>
      </c>
      <c r="K156" s="14">
        <f>IFERROR(__xludf.DUMMYFUNCTION("""COMPUTED_VALUE"""),0.0)</f>
        <v>0</v>
      </c>
      <c r="L156" s="14">
        <f>IFERROR(__xludf.DUMMYFUNCTION("""COMPUTED_VALUE"""),0.0)</f>
        <v>0</v>
      </c>
      <c r="M156" s="14">
        <f>IFERROR(__xludf.DUMMYFUNCTION("""COMPUTED_VALUE"""),7.6942676E7)</f>
        <v>76942676</v>
      </c>
      <c r="N156" s="14">
        <f>IFERROR(__xludf.DUMMYFUNCTION("""COMPUTED_VALUE"""),7.4216691E7)</f>
        <v>74216691</v>
      </c>
    </row>
    <row r="157">
      <c r="A157" s="9">
        <f>IFERROR(__xludf.DUMMYFUNCTION("""COMPUTED_VALUE"""),261.0)</f>
        <v>261</v>
      </c>
      <c r="B157" s="9" t="str">
        <f>IFERROR(__xludf.DUMMYFUNCTION("""COMPUTED_VALUE"""),"Carlyn Starsmeare")</f>
        <v>Carlyn Starsmeare</v>
      </c>
      <c r="C157" s="9" t="str">
        <f>IFERROR(__xludf.DUMMYFUNCTION("""COMPUTED_VALUE"""),"cstarsmeare78@hibu.com")</f>
        <v>cstarsmeare78@hibu.com</v>
      </c>
      <c r="D157" s="9" t="str">
        <f>IFERROR(__xludf.DUMMYFUNCTION("""COMPUTED_VALUE"""),"Colombia")</f>
        <v>Colombia</v>
      </c>
      <c r="E157" s="9" t="str">
        <f>IFERROR(__xludf.DUMMYFUNCTION("""COMPUTED_VALUE"""),"Tecnología")</f>
        <v>Tecnología</v>
      </c>
      <c r="F157" s="9" t="str">
        <f>IFERROR(__xludf.DUMMYFUNCTION("""COMPUTED_VALUE"""),"Trabajo")</f>
        <v>Trabajo</v>
      </c>
      <c r="G157" s="9" t="str">
        <f>IFERROR(__xludf.DUMMYFUNCTION("""COMPUTED_VALUE"""),"Ofreciendo trabajo")</f>
        <v>Ofreciendo trabajo</v>
      </c>
      <c r="H157" s="9" t="str">
        <f>IFERROR(__xludf.DUMMYFUNCTION("""COMPUTED_VALUE"""),"NO")</f>
        <v>NO</v>
      </c>
      <c r="I157" s="9">
        <f>IFERROR(__xludf.DUMMYFUNCTION("""COMPUTED_VALUE"""),7.0)</f>
        <v>7</v>
      </c>
      <c r="J157" s="9">
        <f>IFERROR(__xludf.DUMMYFUNCTION("""COMPUTED_VALUE"""),5.0)</f>
        <v>5</v>
      </c>
      <c r="K157" s="14">
        <f>IFERROR(__xludf.DUMMYFUNCTION("""COMPUTED_VALUE"""),0.0)</f>
        <v>0</v>
      </c>
      <c r="L157" s="14">
        <f>IFERROR(__xludf.DUMMYFUNCTION("""COMPUTED_VALUE"""),0.0)</f>
        <v>0</v>
      </c>
      <c r="M157" s="14">
        <f>IFERROR(__xludf.DUMMYFUNCTION("""COMPUTED_VALUE"""),8.2583322E7)</f>
        <v>82583322</v>
      </c>
      <c r="N157" s="14">
        <f>IFERROR(__xludf.DUMMYFUNCTION("""COMPUTED_VALUE"""),809058.0)</f>
        <v>809058</v>
      </c>
    </row>
    <row r="158">
      <c r="A158" s="9">
        <f>IFERROR(__xludf.DUMMYFUNCTION("""COMPUTED_VALUE"""),262.0)</f>
        <v>262</v>
      </c>
      <c r="B158" s="9" t="str">
        <f>IFERROR(__xludf.DUMMYFUNCTION("""COMPUTED_VALUE"""),"Regen Rabjohns")</f>
        <v>Regen Rabjohns</v>
      </c>
      <c r="C158" s="9" t="str">
        <f>IFERROR(__xludf.DUMMYFUNCTION("""COMPUTED_VALUE"""),"rrabjohns79@nature.com")</f>
        <v>rrabjohns79@nature.com</v>
      </c>
      <c r="D158" s="9" t="str">
        <f>IFERROR(__xludf.DUMMYFUNCTION("""COMPUTED_VALUE"""),"Paraguay")</f>
        <v>Paraguay</v>
      </c>
      <c r="E158" s="9" t="str">
        <f>IFERROR(__xludf.DUMMYFUNCTION("""COMPUTED_VALUE"""),"Tecnología")</f>
        <v>Tecnología</v>
      </c>
      <c r="F158" s="9" t="str">
        <f>IFERROR(__xludf.DUMMYFUNCTION("""COMPUTED_VALUE"""),"Inversión")</f>
        <v>Inversión</v>
      </c>
      <c r="G158" s="9" t="str">
        <f>IFERROR(__xludf.DUMMYFUNCTION("""COMPUTED_VALUE"""),"Socio de proyecto")</f>
        <v>Socio de proyecto</v>
      </c>
      <c r="H158" s="9" t="str">
        <f>IFERROR(__xludf.DUMMYFUNCTION("""COMPUTED_VALUE"""),"SI")</f>
        <v>SI</v>
      </c>
      <c r="I158" s="9">
        <f>IFERROR(__xludf.DUMMYFUNCTION("""COMPUTED_VALUE"""),6.0)</f>
        <v>6</v>
      </c>
      <c r="J158" s="9">
        <f>IFERROR(__xludf.DUMMYFUNCTION("""COMPUTED_VALUE"""),4.0)</f>
        <v>4</v>
      </c>
      <c r="K158" s="14">
        <f>IFERROR(__xludf.DUMMYFUNCTION("""COMPUTED_VALUE"""),1.0E7)</f>
        <v>10000000</v>
      </c>
      <c r="L158" s="14">
        <f>IFERROR(__xludf.DUMMYFUNCTION("""COMPUTED_VALUE"""),5.9890317E7)</f>
        <v>59890317</v>
      </c>
      <c r="M158" s="14">
        <f>IFERROR(__xludf.DUMMYFUNCTION("""COMPUTED_VALUE"""),4.2451842E7)</f>
        <v>42451842</v>
      </c>
      <c r="N158" s="14">
        <f>IFERROR(__xludf.DUMMYFUNCTION("""COMPUTED_VALUE"""),0.0)</f>
        <v>0</v>
      </c>
    </row>
    <row r="159">
      <c r="A159" s="9">
        <f>IFERROR(__xludf.DUMMYFUNCTION("""COMPUTED_VALUE"""),265.0)</f>
        <v>265</v>
      </c>
      <c r="B159" s="9" t="str">
        <f>IFERROR(__xludf.DUMMYFUNCTION("""COMPUTED_VALUE"""),"Hyacinthie Brimilcome")</f>
        <v>Hyacinthie Brimilcome</v>
      </c>
      <c r="C159" s="9" t="str">
        <f>IFERROR(__xludf.DUMMYFUNCTION("""COMPUTED_VALUE"""),"hbrimilcome7c@trellian.com")</f>
        <v>hbrimilcome7c@trellian.com</v>
      </c>
      <c r="D159" s="9" t="str">
        <f>IFERROR(__xludf.DUMMYFUNCTION("""COMPUTED_VALUE"""),"Paraguay")</f>
        <v>Paraguay</v>
      </c>
      <c r="E159" s="9" t="str">
        <f>IFERROR(__xludf.DUMMYFUNCTION("""COMPUTED_VALUE"""),"Tecnología")</f>
        <v>Tecnología</v>
      </c>
      <c r="F159" s="9" t="str">
        <f>IFERROR(__xludf.DUMMYFUNCTION("""COMPUTED_VALUE"""),"Trabajo")</f>
        <v>Trabajo</v>
      </c>
      <c r="G159" s="9" t="str">
        <f>IFERROR(__xludf.DUMMYFUNCTION("""COMPUTED_VALUE"""),"Buscando trabajo")</f>
        <v>Buscando trabajo</v>
      </c>
      <c r="H159" s="9" t="str">
        <f>IFERROR(__xludf.DUMMYFUNCTION("""COMPUTED_VALUE"""),"NO")</f>
        <v>NO</v>
      </c>
      <c r="I159" s="9">
        <f>IFERROR(__xludf.DUMMYFUNCTION("""COMPUTED_VALUE"""),4.0)</f>
        <v>4</v>
      </c>
      <c r="J159" s="9">
        <f>IFERROR(__xludf.DUMMYFUNCTION("""COMPUTED_VALUE"""),5.0)</f>
        <v>5</v>
      </c>
      <c r="K159" s="14">
        <f>IFERROR(__xludf.DUMMYFUNCTION("""COMPUTED_VALUE"""),0.0)</f>
        <v>0</v>
      </c>
      <c r="L159" s="14">
        <f>IFERROR(__xludf.DUMMYFUNCTION("""COMPUTED_VALUE"""),0.0)</f>
        <v>0</v>
      </c>
      <c r="M159" s="14">
        <f>IFERROR(__xludf.DUMMYFUNCTION("""COMPUTED_VALUE"""),0.0)</f>
        <v>0</v>
      </c>
      <c r="N159" s="14">
        <f>IFERROR(__xludf.DUMMYFUNCTION("""COMPUTED_VALUE"""),6.3436099E7)</f>
        <v>63436099</v>
      </c>
    </row>
    <row r="160">
      <c r="A160" s="9">
        <f>IFERROR(__xludf.DUMMYFUNCTION("""COMPUTED_VALUE"""),266.0)</f>
        <v>266</v>
      </c>
      <c r="B160" s="9" t="str">
        <f>IFERROR(__xludf.DUMMYFUNCTION("""COMPUTED_VALUE"""),"Karyl Farnham")</f>
        <v>Karyl Farnham</v>
      </c>
      <c r="C160" s="9" t="str">
        <f>IFERROR(__xludf.DUMMYFUNCTION("""COMPUTED_VALUE"""),"kfarnham7d@irs.gov")</f>
        <v>kfarnham7d@irs.gov</v>
      </c>
      <c r="D160" s="9" t="str">
        <f>IFERROR(__xludf.DUMMYFUNCTION("""COMPUTED_VALUE"""),"Paraguay")</f>
        <v>Paraguay</v>
      </c>
      <c r="E160" s="9" t="str">
        <f>IFERROR(__xludf.DUMMYFUNCTION("""COMPUTED_VALUE"""),"Tecnología")</f>
        <v>Tecnología</v>
      </c>
      <c r="F160" s="9" t="str">
        <f>IFERROR(__xludf.DUMMYFUNCTION("""COMPUTED_VALUE"""),"Inversión")</f>
        <v>Inversión</v>
      </c>
      <c r="G160" s="9" t="str">
        <f>IFERROR(__xludf.DUMMYFUNCTION("""COMPUTED_VALUE"""),"Socio capitalista")</f>
        <v>Socio capitalista</v>
      </c>
      <c r="H160" s="9" t="str">
        <f>IFERROR(__xludf.DUMMYFUNCTION("""COMPUTED_VALUE"""),"SI")</f>
        <v>SI</v>
      </c>
      <c r="I160" s="9">
        <f>IFERROR(__xludf.DUMMYFUNCTION("""COMPUTED_VALUE"""),5.0)</f>
        <v>5</v>
      </c>
      <c r="J160" s="9">
        <f>IFERROR(__xludf.DUMMYFUNCTION("""COMPUTED_VALUE"""),10.0)</f>
        <v>10</v>
      </c>
      <c r="K160" s="14">
        <f>IFERROR(__xludf.DUMMYFUNCTION("""COMPUTED_VALUE"""),1.0E7)</f>
        <v>10000000</v>
      </c>
      <c r="L160" s="14">
        <f>IFERROR(__xludf.DUMMYFUNCTION("""COMPUTED_VALUE"""),9.9989764E7)</f>
        <v>99989764</v>
      </c>
      <c r="M160" s="14">
        <f>IFERROR(__xludf.DUMMYFUNCTION("""COMPUTED_VALUE"""),8030175.0)</f>
        <v>8030175</v>
      </c>
      <c r="N160" s="14">
        <f>IFERROR(__xludf.DUMMYFUNCTION("""COMPUTED_VALUE"""),3.7676206E7)</f>
        <v>37676206</v>
      </c>
    </row>
    <row r="161">
      <c r="A161" s="9">
        <f>IFERROR(__xludf.DUMMYFUNCTION("""COMPUTED_VALUE"""),267.0)</f>
        <v>267</v>
      </c>
      <c r="B161" s="9" t="str">
        <f>IFERROR(__xludf.DUMMYFUNCTION("""COMPUTED_VALUE"""),"Herby Croucher")</f>
        <v>Herby Croucher</v>
      </c>
      <c r="C161" s="9" t="str">
        <f>IFERROR(__xludf.DUMMYFUNCTION("""COMPUTED_VALUE"""),"hcroucher7e@barnesandnoble.com")</f>
        <v>hcroucher7e@barnesandnoble.com</v>
      </c>
      <c r="D161" s="9" t="str">
        <f>IFERROR(__xludf.DUMMYFUNCTION("""COMPUTED_VALUE"""),"Paraguay")</f>
        <v>Paraguay</v>
      </c>
      <c r="E161" s="9" t="str">
        <f>IFERROR(__xludf.DUMMYFUNCTION("""COMPUTED_VALUE"""),"Tecnología")</f>
        <v>Tecnología</v>
      </c>
      <c r="F161" s="9" t="str">
        <f>IFERROR(__xludf.DUMMYFUNCTION("""COMPUTED_VALUE"""),"Trabajo")</f>
        <v>Trabajo</v>
      </c>
      <c r="G161" s="9" t="str">
        <f>IFERROR(__xludf.DUMMYFUNCTION("""COMPUTED_VALUE"""),"Buscando trabajo")</f>
        <v>Buscando trabajo</v>
      </c>
      <c r="H161" s="9" t="str">
        <f>IFERROR(__xludf.DUMMYFUNCTION("""COMPUTED_VALUE"""),"SI")</f>
        <v>SI</v>
      </c>
      <c r="I161" s="9">
        <f>IFERROR(__xludf.DUMMYFUNCTION("""COMPUTED_VALUE"""),6.0)</f>
        <v>6</v>
      </c>
      <c r="J161" s="9">
        <f>IFERROR(__xludf.DUMMYFUNCTION("""COMPUTED_VALUE"""),7.0)</f>
        <v>7</v>
      </c>
      <c r="K161" s="14">
        <f>IFERROR(__xludf.DUMMYFUNCTION("""COMPUTED_VALUE"""),0.0)</f>
        <v>0</v>
      </c>
      <c r="L161" s="14">
        <f>IFERROR(__xludf.DUMMYFUNCTION("""COMPUTED_VALUE"""),0.0)</f>
        <v>0</v>
      </c>
      <c r="M161" s="14">
        <f>IFERROR(__xludf.DUMMYFUNCTION("""COMPUTED_VALUE"""),1.2862402E7)</f>
        <v>12862402</v>
      </c>
      <c r="N161" s="14">
        <f>IFERROR(__xludf.DUMMYFUNCTION("""COMPUTED_VALUE"""),6.8922404E7)</f>
        <v>68922404</v>
      </c>
    </row>
    <row r="162">
      <c r="A162" s="9">
        <f>IFERROR(__xludf.DUMMYFUNCTION("""COMPUTED_VALUE"""),270.0)</f>
        <v>270</v>
      </c>
      <c r="B162" s="9" t="str">
        <f>IFERROR(__xludf.DUMMYFUNCTION("""COMPUTED_VALUE"""),"Clem Leaf")</f>
        <v>Clem Leaf</v>
      </c>
      <c r="C162" s="9" t="str">
        <f>IFERROR(__xludf.DUMMYFUNCTION("""COMPUTED_VALUE"""),"cleaf7h@ehow.com")</f>
        <v>cleaf7h@ehow.com</v>
      </c>
      <c r="D162" s="9" t="str">
        <f>IFERROR(__xludf.DUMMYFUNCTION("""COMPUTED_VALUE"""),"Ecuador")</f>
        <v>Ecuador</v>
      </c>
      <c r="E162" s="9" t="str">
        <f>IFERROR(__xludf.DUMMYFUNCTION("""COMPUTED_VALUE"""),"Tecnología")</f>
        <v>Tecnología</v>
      </c>
      <c r="F162" s="9" t="str">
        <f>IFERROR(__xludf.DUMMYFUNCTION("""COMPUTED_VALUE"""),"Inversión")</f>
        <v>Inversión</v>
      </c>
      <c r="G162" s="9" t="str">
        <f>IFERROR(__xludf.DUMMYFUNCTION("""COMPUTED_VALUE"""),"Socio capitalista")</f>
        <v>Socio capitalista</v>
      </c>
      <c r="H162" s="9" t="str">
        <f>IFERROR(__xludf.DUMMYFUNCTION("""COMPUTED_VALUE"""),"NO")</f>
        <v>NO</v>
      </c>
      <c r="I162" s="9">
        <f>IFERROR(__xludf.DUMMYFUNCTION("""COMPUTED_VALUE"""),6.0)</f>
        <v>6</v>
      </c>
      <c r="J162" s="9">
        <f>IFERROR(__xludf.DUMMYFUNCTION("""COMPUTED_VALUE"""),10.0)</f>
        <v>10</v>
      </c>
      <c r="K162" s="14">
        <f>IFERROR(__xludf.DUMMYFUNCTION("""COMPUTED_VALUE"""),5000000.0)</f>
        <v>5000000</v>
      </c>
      <c r="L162" s="14">
        <f>IFERROR(__xludf.DUMMYFUNCTION("""COMPUTED_VALUE"""),3.2915397E7)</f>
        <v>32915397</v>
      </c>
      <c r="M162" s="14">
        <f>IFERROR(__xludf.DUMMYFUNCTION("""COMPUTED_VALUE"""),7.4493461E7)</f>
        <v>74493461</v>
      </c>
      <c r="N162" s="14">
        <f>IFERROR(__xludf.DUMMYFUNCTION("""COMPUTED_VALUE"""),151779.0)</f>
        <v>151779</v>
      </c>
    </row>
    <row r="163">
      <c r="A163" s="9">
        <f>IFERROR(__xludf.DUMMYFUNCTION("""COMPUTED_VALUE"""),272.0)</f>
        <v>272</v>
      </c>
      <c r="B163" s="9" t="str">
        <f>IFERROR(__xludf.DUMMYFUNCTION("""COMPUTED_VALUE"""),"Angy Hubbucks")</f>
        <v>Angy Hubbucks</v>
      </c>
      <c r="C163" s="9" t="str">
        <f>IFERROR(__xludf.DUMMYFUNCTION("""COMPUTED_VALUE"""),"ahubbucks7j@pen.io")</f>
        <v>ahubbucks7j@pen.io</v>
      </c>
      <c r="D163" s="9" t="str">
        <f>IFERROR(__xludf.DUMMYFUNCTION("""COMPUTED_VALUE"""),"Uruguay")</f>
        <v>Uruguay</v>
      </c>
      <c r="E163" s="9" t="str">
        <f>IFERROR(__xludf.DUMMYFUNCTION("""COMPUTED_VALUE"""),"Tecnología")</f>
        <v>Tecnología</v>
      </c>
      <c r="F163" s="9" t="str">
        <f>IFERROR(__xludf.DUMMYFUNCTION("""COMPUTED_VALUE"""),"Trabajo")</f>
        <v>Trabajo</v>
      </c>
      <c r="G163" s="9" t="str">
        <f>IFERROR(__xludf.DUMMYFUNCTION("""COMPUTED_VALUE"""),"Buscando trabajo")</f>
        <v>Buscando trabajo</v>
      </c>
      <c r="H163" s="9" t="str">
        <f>IFERROR(__xludf.DUMMYFUNCTION("""COMPUTED_VALUE"""),"NO")</f>
        <v>NO</v>
      </c>
      <c r="I163" s="9">
        <f>IFERROR(__xludf.DUMMYFUNCTION("""COMPUTED_VALUE"""),8.0)</f>
        <v>8</v>
      </c>
      <c r="J163" s="9">
        <f>IFERROR(__xludf.DUMMYFUNCTION("""COMPUTED_VALUE"""),9.0)</f>
        <v>9</v>
      </c>
      <c r="K163" s="14">
        <f>IFERROR(__xludf.DUMMYFUNCTION("""COMPUTED_VALUE"""),0.0)</f>
        <v>0</v>
      </c>
      <c r="L163" s="14">
        <f>IFERROR(__xludf.DUMMYFUNCTION("""COMPUTED_VALUE"""),0.0)</f>
        <v>0</v>
      </c>
      <c r="M163" s="14">
        <f>IFERROR(__xludf.DUMMYFUNCTION("""COMPUTED_VALUE"""),1.4141858E7)</f>
        <v>14141858</v>
      </c>
      <c r="N163" s="14">
        <f>IFERROR(__xludf.DUMMYFUNCTION("""COMPUTED_VALUE"""),8.7162317E7)</f>
        <v>87162317</v>
      </c>
    </row>
    <row r="164">
      <c r="A164" s="9">
        <f>IFERROR(__xludf.DUMMYFUNCTION("""COMPUTED_VALUE"""),273.0)</f>
        <v>273</v>
      </c>
      <c r="B164" s="9" t="str">
        <f>IFERROR(__xludf.DUMMYFUNCTION("""COMPUTED_VALUE"""),"Casi Khan")</f>
        <v>Casi Khan</v>
      </c>
      <c r="C164" s="9" t="str">
        <f>IFERROR(__xludf.DUMMYFUNCTION("""COMPUTED_VALUE"""),"ckhan7k@economist.com")</f>
        <v>ckhan7k@economist.com</v>
      </c>
      <c r="D164" s="9" t="str">
        <f>IFERROR(__xludf.DUMMYFUNCTION("""COMPUTED_VALUE"""),"Perú")</f>
        <v>Perú</v>
      </c>
      <c r="E164" s="9" t="str">
        <f>IFERROR(__xludf.DUMMYFUNCTION("""COMPUTED_VALUE"""),"Tecnología")</f>
        <v>Tecnología</v>
      </c>
      <c r="F164" s="9" t="str">
        <f>IFERROR(__xludf.DUMMYFUNCTION("""COMPUTED_VALUE"""),"Trabajo")</f>
        <v>Trabajo</v>
      </c>
      <c r="G164" s="9" t="str">
        <f>IFERROR(__xludf.DUMMYFUNCTION("""COMPUTED_VALUE"""),"Buscando trabajo")</f>
        <v>Buscando trabajo</v>
      </c>
      <c r="H164" s="9" t="str">
        <f>IFERROR(__xludf.DUMMYFUNCTION("""COMPUTED_VALUE"""),"NO")</f>
        <v>NO</v>
      </c>
      <c r="I164" s="9">
        <f>IFERROR(__xludf.DUMMYFUNCTION("""COMPUTED_VALUE"""),7.0)</f>
        <v>7</v>
      </c>
      <c r="J164" s="9">
        <f>IFERROR(__xludf.DUMMYFUNCTION("""COMPUTED_VALUE"""),5.0)</f>
        <v>5</v>
      </c>
      <c r="K164" s="14">
        <f>IFERROR(__xludf.DUMMYFUNCTION("""COMPUTED_VALUE"""),0.0)</f>
        <v>0</v>
      </c>
      <c r="L164" s="14">
        <f>IFERROR(__xludf.DUMMYFUNCTION("""COMPUTED_VALUE"""),0.0)</f>
        <v>0</v>
      </c>
      <c r="M164" s="14">
        <f>IFERROR(__xludf.DUMMYFUNCTION("""COMPUTED_VALUE"""),2.9525162E7)</f>
        <v>29525162</v>
      </c>
      <c r="N164" s="14">
        <f>IFERROR(__xludf.DUMMYFUNCTION("""COMPUTED_VALUE"""),0.0)</f>
        <v>0</v>
      </c>
    </row>
    <row r="165">
      <c r="A165" s="9">
        <f>IFERROR(__xludf.DUMMYFUNCTION("""COMPUTED_VALUE"""),274.0)</f>
        <v>274</v>
      </c>
      <c r="B165" s="9" t="str">
        <f>IFERROR(__xludf.DUMMYFUNCTION("""COMPUTED_VALUE"""),"Alvera Geddis")</f>
        <v>Alvera Geddis</v>
      </c>
      <c r="C165" s="9" t="str">
        <f>IFERROR(__xludf.DUMMYFUNCTION("""COMPUTED_VALUE"""),"ageddis7l@fda.gov")</f>
        <v>ageddis7l@fda.gov</v>
      </c>
      <c r="D165" s="9" t="str">
        <f>IFERROR(__xludf.DUMMYFUNCTION("""COMPUTED_VALUE"""),"Uruguay")</f>
        <v>Uruguay</v>
      </c>
      <c r="E165" s="9" t="str">
        <f>IFERROR(__xludf.DUMMYFUNCTION("""COMPUTED_VALUE"""),"Tecnología")</f>
        <v>Tecnología</v>
      </c>
      <c r="F165" s="9" t="str">
        <f>IFERROR(__xludf.DUMMYFUNCTION("""COMPUTED_VALUE"""),"Trabajo")</f>
        <v>Trabajo</v>
      </c>
      <c r="G165" s="9" t="str">
        <f>IFERROR(__xludf.DUMMYFUNCTION("""COMPUTED_VALUE"""),"Ofreciendo trabajo")</f>
        <v>Ofreciendo trabajo</v>
      </c>
      <c r="H165" s="9" t="str">
        <f>IFERROR(__xludf.DUMMYFUNCTION("""COMPUTED_VALUE"""),"SI")</f>
        <v>SI</v>
      </c>
      <c r="I165" s="9">
        <f>IFERROR(__xludf.DUMMYFUNCTION("""COMPUTED_VALUE"""),9.0)</f>
        <v>9</v>
      </c>
      <c r="J165" s="9">
        <f>IFERROR(__xludf.DUMMYFUNCTION("""COMPUTED_VALUE"""),9.0)</f>
        <v>9</v>
      </c>
      <c r="K165" s="14">
        <f>IFERROR(__xludf.DUMMYFUNCTION("""COMPUTED_VALUE"""),0.0)</f>
        <v>0</v>
      </c>
      <c r="L165" s="14">
        <f>IFERROR(__xludf.DUMMYFUNCTION("""COMPUTED_VALUE"""),0.0)</f>
        <v>0</v>
      </c>
      <c r="M165" s="14">
        <f>IFERROR(__xludf.DUMMYFUNCTION("""COMPUTED_VALUE"""),2.9366791E7)</f>
        <v>29366791</v>
      </c>
      <c r="N165" s="14">
        <f>IFERROR(__xludf.DUMMYFUNCTION("""COMPUTED_VALUE"""),8.9805774E7)</f>
        <v>89805774</v>
      </c>
    </row>
    <row r="166">
      <c r="A166" s="9">
        <f>IFERROR(__xludf.DUMMYFUNCTION("""COMPUTED_VALUE"""),275.0)</f>
        <v>275</v>
      </c>
      <c r="B166" s="9" t="str">
        <f>IFERROR(__xludf.DUMMYFUNCTION("""COMPUTED_VALUE"""),"Lilias Suttie")</f>
        <v>Lilias Suttie</v>
      </c>
      <c r="C166" s="9" t="str">
        <f>IFERROR(__xludf.DUMMYFUNCTION("""COMPUTED_VALUE"""),"lsuttie7m@wix.com")</f>
        <v>lsuttie7m@wix.com</v>
      </c>
      <c r="D166" s="9" t="str">
        <f>IFERROR(__xludf.DUMMYFUNCTION("""COMPUTED_VALUE"""),"Perú")</f>
        <v>Perú</v>
      </c>
      <c r="E166" s="9" t="str">
        <f>IFERROR(__xludf.DUMMYFUNCTION("""COMPUTED_VALUE"""),"Tecnología")</f>
        <v>Tecnología</v>
      </c>
      <c r="F166" s="9" t="str">
        <f>IFERROR(__xludf.DUMMYFUNCTION("""COMPUTED_VALUE"""),"Trabajo")</f>
        <v>Trabajo</v>
      </c>
      <c r="G166" s="9" t="str">
        <f>IFERROR(__xludf.DUMMYFUNCTION("""COMPUTED_VALUE"""),"Buscando trabajo")</f>
        <v>Buscando trabajo</v>
      </c>
      <c r="H166" s="9" t="str">
        <f>IFERROR(__xludf.DUMMYFUNCTION("""COMPUTED_VALUE"""),"SI")</f>
        <v>SI</v>
      </c>
      <c r="I166" s="9">
        <f>IFERROR(__xludf.DUMMYFUNCTION("""COMPUTED_VALUE"""),3.0)</f>
        <v>3</v>
      </c>
      <c r="J166" s="9">
        <f>IFERROR(__xludf.DUMMYFUNCTION("""COMPUTED_VALUE"""),10.0)</f>
        <v>10</v>
      </c>
      <c r="K166" s="14">
        <f>IFERROR(__xludf.DUMMYFUNCTION("""COMPUTED_VALUE"""),0.0)</f>
        <v>0</v>
      </c>
      <c r="L166" s="14">
        <f>IFERROR(__xludf.DUMMYFUNCTION("""COMPUTED_VALUE"""),0.0)</f>
        <v>0</v>
      </c>
      <c r="M166" s="14">
        <f>IFERROR(__xludf.DUMMYFUNCTION("""COMPUTED_VALUE"""),7.3195518E7)</f>
        <v>73195518</v>
      </c>
      <c r="N166" s="14">
        <f>IFERROR(__xludf.DUMMYFUNCTION("""COMPUTED_VALUE"""),1.0695678E7)</f>
        <v>10695678</v>
      </c>
    </row>
    <row r="167">
      <c r="A167" s="9">
        <f>IFERROR(__xludf.DUMMYFUNCTION("""COMPUTED_VALUE"""),276.0)</f>
        <v>276</v>
      </c>
      <c r="B167" s="9" t="str">
        <f>IFERROR(__xludf.DUMMYFUNCTION("""COMPUTED_VALUE"""),"Holmes Brownsell")</f>
        <v>Holmes Brownsell</v>
      </c>
      <c r="C167" s="9" t="str">
        <f>IFERROR(__xludf.DUMMYFUNCTION("""COMPUTED_VALUE"""),"hbrownsell7n@trellian.com")</f>
        <v>hbrownsell7n@trellian.com</v>
      </c>
      <c r="D167" s="9" t="str">
        <f>IFERROR(__xludf.DUMMYFUNCTION("""COMPUTED_VALUE"""),"Brasil")</f>
        <v>Brasil</v>
      </c>
      <c r="E167" s="9" t="str">
        <f>IFERROR(__xludf.DUMMYFUNCTION("""COMPUTED_VALUE"""),"Tecnología")</f>
        <v>Tecnología</v>
      </c>
      <c r="F167" s="9" t="str">
        <f>IFERROR(__xludf.DUMMYFUNCTION("""COMPUTED_VALUE"""),"Trabajo")</f>
        <v>Trabajo</v>
      </c>
      <c r="G167" s="9" t="str">
        <f>IFERROR(__xludf.DUMMYFUNCTION("""COMPUTED_VALUE"""),"Buscando trabajo")</f>
        <v>Buscando trabajo</v>
      </c>
      <c r="H167" s="9" t="str">
        <f>IFERROR(__xludf.DUMMYFUNCTION("""COMPUTED_VALUE"""),"NO")</f>
        <v>NO</v>
      </c>
      <c r="I167" s="9">
        <f>IFERROR(__xludf.DUMMYFUNCTION("""COMPUTED_VALUE"""),6.0)</f>
        <v>6</v>
      </c>
      <c r="J167" s="9">
        <f>IFERROR(__xludf.DUMMYFUNCTION("""COMPUTED_VALUE"""),9.0)</f>
        <v>9</v>
      </c>
      <c r="K167" s="14">
        <f>IFERROR(__xludf.DUMMYFUNCTION("""COMPUTED_VALUE"""),0.0)</f>
        <v>0</v>
      </c>
      <c r="L167" s="14">
        <f>IFERROR(__xludf.DUMMYFUNCTION("""COMPUTED_VALUE"""),0.0)</f>
        <v>0</v>
      </c>
      <c r="M167" s="14">
        <f>IFERROR(__xludf.DUMMYFUNCTION("""COMPUTED_VALUE"""),1432950.0)</f>
        <v>1432950</v>
      </c>
      <c r="N167" s="14">
        <f>IFERROR(__xludf.DUMMYFUNCTION("""COMPUTED_VALUE"""),2.9672451E7)</f>
        <v>29672451</v>
      </c>
    </row>
    <row r="168">
      <c r="A168" s="9">
        <f>IFERROR(__xludf.DUMMYFUNCTION("""COMPUTED_VALUE"""),277.0)</f>
        <v>277</v>
      </c>
      <c r="B168" s="9" t="str">
        <f>IFERROR(__xludf.DUMMYFUNCTION("""COMPUTED_VALUE"""),"Bay Jurn")</f>
        <v>Bay Jurn</v>
      </c>
      <c r="C168" s="9" t="str">
        <f>IFERROR(__xludf.DUMMYFUNCTION("""COMPUTED_VALUE"""),"bjurn7o@patch.com")</f>
        <v>bjurn7o@patch.com</v>
      </c>
      <c r="D168" s="9" t="str">
        <f>IFERROR(__xludf.DUMMYFUNCTION("""COMPUTED_VALUE"""),"Brasil")</f>
        <v>Brasil</v>
      </c>
      <c r="E168" s="9" t="str">
        <f>IFERROR(__xludf.DUMMYFUNCTION("""COMPUTED_VALUE"""),"Tecnología")</f>
        <v>Tecnología</v>
      </c>
      <c r="F168" s="9" t="str">
        <f>IFERROR(__xludf.DUMMYFUNCTION("""COMPUTED_VALUE"""),"Inversión")</f>
        <v>Inversión</v>
      </c>
      <c r="G168" s="9" t="str">
        <f>IFERROR(__xludf.DUMMYFUNCTION("""COMPUTED_VALUE"""),"Socio capitalista")</f>
        <v>Socio capitalista</v>
      </c>
      <c r="H168" s="9" t="str">
        <f>IFERROR(__xludf.DUMMYFUNCTION("""COMPUTED_VALUE"""),"SI")</f>
        <v>SI</v>
      </c>
      <c r="I168" s="9">
        <f>IFERROR(__xludf.DUMMYFUNCTION("""COMPUTED_VALUE"""),9.0)</f>
        <v>9</v>
      </c>
      <c r="J168" s="9">
        <f>IFERROR(__xludf.DUMMYFUNCTION("""COMPUTED_VALUE"""),7.0)</f>
        <v>7</v>
      </c>
      <c r="K168" s="14">
        <f>IFERROR(__xludf.DUMMYFUNCTION("""COMPUTED_VALUE"""),1000000.0)</f>
        <v>1000000</v>
      </c>
      <c r="L168" s="14">
        <f>IFERROR(__xludf.DUMMYFUNCTION("""COMPUTED_VALUE"""),7.7159264E7)</f>
        <v>77159264</v>
      </c>
      <c r="M168" s="14">
        <f>IFERROR(__xludf.DUMMYFUNCTION("""COMPUTED_VALUE"""),0.0)</f>
        <v>0</v>
      </c>
      <c r="N168" s="14">
        <f>IFERROR(__xludf.DUMMYFUNCTION("""COMPUTED_VALUE"""),9.7234303E7)</f>
        <v>97234303</v>
      </c>
    </row>
    <row r="169">
      <c r="A169" s="9">
        <f>IFERROR(__xludf.DUMMYFUNCTION("""COMPUTED_VALUE"""),278.0)</f>
        <v>278</v>
      </c>
      <c r="B169" s="9" t="str">
        <f>IFERROR(__xludf.DUMMYFUNCTION("""COMPUTED_VALUE"""),"Eryn Allwright")</f>
        <v>Eryn Allwright</v>
      </c>
      <c r="C169" s="9" t="str">
        <f>IFERROR(__xludf.DUMMYFUNCTION("""COMPUTED_VALUE"""),"eallwright7p@apple.com")</f>
        <v>eallwright7p@apple.com</v>
      </c>
      <c r="D169" s="9" t="str">
        <f>IFERROR(__xludf.DUMMYFUNCTION("""COMPUTED_VALUE"""),"Uruguay")</f>
        <v>Uruguay</v>
      </c>
      <c r="E169" s="9" t="str">
        <f>IFERROR(__xludf.DUMMYFUNCTION("""COMPUTED_VALUE"""),"Tecnología")</f>
        <v>Tecnología</v>
      </c>
      <c r="F169" s="9" t="str">
        <f>IFERROR(__xludf.DUMMYFUNCTION("""COMPUTED_VALUE"""),"Inversión")</f>
        <v>Inversión</v>
      </c>
      <c r="G169" s="9" t="str">
        <f>IFERROR(__xludf.DUMMYFUNCTION("""COMPUTED_VALUE"""),"Socio capitalista")</f>
        <v>Socio capitalista</v>
      </c>
      <c r="H169" s="9" t="str">
        <f>IFERROR(__xludf.DUMMYFUNCTION("""COMPUTED_VALUE"""),"NO")</f>
        <v>NO</v>
      </c>
      <c r="I169" s="9">
        <f>IFERROR(__xludf.DUMMYFUNCTION("""COMPUTED_VALUE"""),8.0)</f>
        <v>8</v>
      </c>
      <c r="J169" s="9">
        <f>IFERROR(__xludf.DUMMYFUNCTION("""COMPUTED_VALUE"""),10.0)</f>
        <v>10</v>
      </c>
      <c r="K169" s="14">
        <f>IFERROR(__xludf.DUMMYFUNCTION("""COMPUTED_VALUE"""),1.0E8)</f>
        <v>100000000</v>
      </c>
      <c r="L169" s="14">
        <f>IFERROR(__xludf.DUMMYFUNCTION("""COMPUTED_VALUE"""),1.2451199E7)</f>
        <v>12451199</v>
      </c>
      <c r="M169" s="14">
        <f>IFERROR(__xludf.DUMMYFUNCTION("""COMPUTED_VALUE"""),7.4231711E7)</f>
        <v>74231711</v>
      </c>
      <c r="N169" s="14">
        <f>IFERROR(__xludf.DUMMYFUNCTION("""COMPUTED_VALUE"""),4.2951226E7)</f>
        <v>42951226</v>
      </c>
    </row>
    <row r="170">
      <c r="A170" s="9">
        <f>IFERROR(__xludf.DUMMYFUNCTION("""COMPUTED_VALUE"""),281.0)</f>
        <v>281</v>
      </c>
      <c r="B170" s="9" t="str">
        <f>IFERROR(__xludf.DUMMYFUNCTION("""COMPUTED_VALUE"""),"Fonz Rookes")</f>
        <v>Fonz Rookes</v>
      </c>
      <c r="C170" s="9" t="str">
        <f>IFERROR(__xludf.DUMMYFUNCTION("""COMPUTED_VALUE"""),"frookes7s@smh.com.au")</f>
        <v>frookes7s@smh.com.au</v>
      </c>
      <c r="D170" s="9" t="str">
        <f>IFERROR(__xludf.DUMMYFUNCTION("""COMPUTED_VALUE"""),"Uruguay")</f>
        <v>Uruguay</v>
      </c>
      <c r="E170" s="9" t="str">
        <f>IFERROR(__xludf.DUMMYFUNCTION("""COMPUTED_VALUE"""),"Tecnología")</f>
        <v>Tecnología</v>
      </c>
      <c r="F170" s="9" t="str">
        <f>IFERROR(__xludf.DUMMYFUNCTION("""COMPUTED_VALUE"""),"Inversión")</f>
        <v>Inversión</v>
      </c>
      <c r="G170" s="9" t="str">
        <f>IFERROR(__xludf.DUMMYFUNCTION("""COMPUTED_VALUE"""),"Socio capitalista")</f>
        <v>Socio capitalista</v>
      </c>
      <c r="H170" s="9" t="str">
        <f>IFERROR(__xludf.DUMMYFUNCTION("""COMPUTED_VALUE"""),"NO")</f>
        <v>NO</v>
      </c>
      <c r="I170" s="9">
        <f>IFERROR(__xludf.DUMMYFUNCTION("""COMPUTED_VALUE"""),3.0)</f>
        <v>3</v>
      </c>
      <c r="J170" s="9">
        <f>IFERROR(__xludf.DUMMYFUNCTION("""COMPUTED_VALUE"""),5.0)</f>
        <v>5</v>
      </c>
      <c r="K170" s="14">
        <f>IFERROR(__xludf.DUMMYFUNCTION("""COMPUTED_VALUE"""),5000000.0)</f>
        <v>5000000</v>
      </c>
      <c r="L170" s="14">
        <f>IFERROR(__xludf.DUMMYFUNCTION("""COMPUTED_VALUE"""),3.7959268E7)</f>
        <v>37959268</v>
      </c>
      <c r="M170" s="14">
        <f>IFERROR(__xludf.DUMMYFUNCTION("""COMPUTED_VALUE"""),6.9132389E7)</f>
        <v>69132389</v>
      </c>
      <c r="N170" s="14">
        <f>IFERROR(__xludf.DUMMYFUNCTION("""COMPUTED_VALUE"""),9.9564796E7)</f>
        <v>99564796</v>
      </c>
    </row>
    <row r="171">
      <c r="A171" s="9">
        <f>IFERROR(__xludf.DUMMYFUNCTION("""COMPUTED_VALUE"""),282.0)</f>
        <v>282</v>
      </c>
      <c r="B171" s="9" t="str">
        <f>IFERROR(__xludf.DUMMYFUNCTION("""COMPUTED_VALUE"""),"Koressa Beevis")</f>
        <v>Koressa Beevis</v>
      </c>
      <c r="C171" s="9" t="str">
        <f>IFERROR(__xludf.DUMMYFUNCTION("""COMPUTED_VALUE"""),"kbeevis7t@chicagotribune.com")</f>
        <v>kbeevis7t@chicagotribune.com</v>
      </c>
      <c r="D171" s="9" t="str">
        <f>IFERROR(__xludf.DUMMYFUNCTION("""COMPUTED_VALUE"""),"Argentina")</f>
        <v>Argentina</v>
      </c>
      <c r="E171" s="9" t="str">
        <f>IFERROR(__xludf.DUMMYFUNCTION("""COMPUTED_VALUE"""),"Tecnología")</f>
        <v>Tecnología</v>
      </c>
      <c r="F171" s="9" t="str">
        <f>IFERROR(__xludf.DUMMYFUNCTION("""COMPUTED_VALUE"""),"Trabajo")</f>
        <v>Trabajo</v>
      </c>
      <c r="G171" s="9" t="str">
        <f>IFERROR(__xludf.DUMMYFUNCTION("""COMPUTED_VALUE"""),"Buscando trabajo")</f>
        <v>Buscando trabajo</v>
      </c>
      <c r="H171" s="9" t="str">
        <f>IFERROR(__xludf.DUMMYFUNCTION("""COMPUTED_VALUE"""),"SI")</f>
        <v>SI</v>
      </c>
      <c r="I171" s="9">
        <f>IFERROR(__xludf.DUMMYFUNCTION("""COMPUTED_VALUE"""),6.0)</f>
        <v>6</v>
      </c>
      <c r="J171" s="9">
        <f>IFERROR(__xludf.DUMMYFUNCTION("""COMPUTED_VALUE"""),6.0)</f>
        <v>6</v>
      </c>
      <c r="K171" s="14">
        <f>IFERROR(__xludf.DUMMYFUNCTION("""COMPUTED_VALUE"""),0.0)</f>
        <v>0</v>
      </c>
      <c r="L171" s="14">
        <f>IFERROR(__xludf.DUMMYFUNCTION("""COMPUTED_VALUE"""),0.0)</f>
        <v>0</v>
      </c>
      <c r="M171" s="14">
        <f>IFERROR(__xludf.DUMMYFUNCTION("""COMPUTED_VALUE"""),2.6450622E7)</f>
        <v>26450622</v>
      </c>
      <c r="N171" s="14">
        <f>IFERROR(__xludf.DUMMYFUNCTION("""COMPUTED_VALUE"""),4227264.0)</f>
        <v>4227264</v>
      </c>
    </row>
    <row r="172">
      <c r="A172" s="9">
        <f>IFERROR(__xludf.DUMMYFUNCTION("""COMPUTED_VALUE"""),283.0)</f>
        <v>283</v>
      </c>
      <c r="B172" s="9" t="str">
        <f>IFERROR(__xludf.DUMMYFUNCTION("""COMPUTED_VALUE"""),"Jaquith Sturm")</f>
        <v>Jaquith Sturm</v>
      </c>
      <c r="C172" s="9" t="str">
        <f>IFERROR(__xludf.DUMMYFUNCTION("""COMPUTED_VALUE"""),"jsturm7u@wikia.com")</f>
        <v>jsturm7u@wikia.com</v>
      </c>
      <c r="D172" s="9" t="str">
        <f>IFERROR(__xludf.DUMMYFUNCTION("""COMPUTED_VALUE"""),"Colombia")</f>
        <v>Colombia</v>
      </c>
      <c r="E172" s="9" t="str">
        <f>IFERROR(__xludf.DUMMYFUNCTION("""COMPUTED_VALUE"""),"Tecnología")</f>
        <v>Tecnología</v>
      </c>
      <c r="F172" s="9" t="str">
        <f>IFERROR(__xludf.DUMMYFUNCTION("""COMPUTED_VALUE"""),"Trabajo")</f>
        <v>Trabajo</v>
      </c>
      <c r="G172" s="9" t="str">
        <f>IFERROR(__xludf.DUMMYFUNCTION("""COMPUTED_VALUE"""),"Buscando trabajo")</f>
        <v>Buscando trabajo</v>
      </c>
      <c r="H172" s="9" t="str">
        <f>IFERROR(__xludf.DUMMYFUNCTION("""COMPUTED_VALUE"""),"SI")</f>
        <v>SI</v>
      </c>
      <c r="I172" s="9">
        <f>IFERROR(__xludf.DUMMYFUNCTION("""COMPUTED_VALUE"""),6.0)</f>
        <v>6</v>
      </c>
      <c r="J172" s="9">
        <f>IFERROR(__xludf.DUMMYFUNCTION("""COMPUTED_VALUE"""),7.0)</f>
        <v>7</v>
      </c>
      <c r="K172" s="14">
        <f>IFERROR(__xludf.DUMMYFUNCTION("""COMPUTED_VALUE"""),0.0)</f>
        <v>0</v>
      </c>
      <c r="L172" s="14">
        <f>IFERROR(__xludf.DUMMYFUNCTION("""COMPUTED_VALUE"""),0.0)</f>
        <v>0</v>
      </c>
      <c r="M172" s="14">
        <f>IFERROR(__xludf.DUMMYFUNCTION("""COMPUTED_VALUE"""),0.0)</f>
        <v>0</v>
      </c>
      <c r="N172" s="14">
        <f>IFERROR(__xludf.DUMMYFUNCTION("""COMPUTED_VALUE"""),5.437664E7)</f>
        <v>54376640</v>
      </c>
    </row>
    <row r="173">
      <c r="A173" s="9">
        <f>IFERROR(__xludf.DUMMYFUNCTION("""COMPUTED_VALUE"""),284.0)</f>
        <v>284</v>
      </c>
      <c r="B173" s="9" t="str">
        <f>IFERROR(__xludf.DUMMYFUNCTION("""COMPUTED_VALUE"""),"Othelia Bernocchi")</f>
        <v>Othelia Bernocchi</v>
      </c>
      <c r="C173" s="9" t="str">
        <f>IFERROR(__xludf.DUMMYFUNCTION("""COMPUTED_VALUE"""),"obernocchi7v@1und1.de")</f>
        <v>obernocchi7v@1und1.de</v>
      </c>
      <c r="D173" s="9" t="str">
        <f>IFERROR(__xludf.DUMMYFUNCTION("""COMPUTED_VALUE"""),"Argentina")</f>
        <v>Argentina</v>
      </c>
      <c r="E173" s="9" t="str">
        <f>IFERROR(__xludf.DUMMYFUNCTION("""COMPUTED_VALUE"""),"Tecnología")</f>
        <v>Tecnología</v>
      </c>
      <c r="F173" s="9" t="str">
        <f>IFERROR(__xludf.DUMMYFUNCTION("""COMPUTED_VALUE"""),"Inversión")</f>
        <v>Inversión</v>
      </c>
      <c r="G173" s="9" t="str">
        <f>IFERROR(__xludf.DUMMYFUNCTION("""COMPUTED_VALUE"""),"Socio de proyecto")</f>
        <v>Socio de proyecto</v>
      </c>
      <c r="H173" s="9" t="str">
        <f>IFERROR(__xludf.DUMMYFUNCTION("""COMPUTED_VALUE"""),"NO")</f>
        <v>NO</v>
      </c>
      <c r="I173" s="9">
        <f>IFERROR(__xludf.DUMMYFUNCTION("""COMPUTED_VALUE"""),8.0)</f>
        <v>8</v>
      </c>
      <c r="J173" s="9">
        <f>IFERROR(__xludf.DUMMYFUNCTION("""COMPUTED_VALUE"""),10.0)</f>
        <v>10</v>
      </c>
      <c r="K173" s="14">
        <f>IFERROR(__xludf.DUMMYFUNCTION("""COMPUTED_VALUE"""),9.0E7)</f>
        <v>90000000</v>
      </c>
      <c r="L173" s="14">
        <f>IFERROR(__xludf.DUMMYFUNCTION("""COMPUTED_VALUE"""),2.9991873E7)</f>
        <v>29991873</v>
      </c>
      <c r="M173" s="14">
        <f>IFERROR(__xludf.DUMMYFUNCTION("""COMPUTED_VALUE"""),3.9252741E7)</f>
        <v>39252741</v>
      </c>
      <c r="N173" s="14">
        <f>IFERROR(__xludf.DUMMYFUNCTION("""COMPUTED_VALUE"""),1.5542722E7)</f>
        <v>15542722</v>
      </c>
    </row>
    <row r="174">
      <c r="A174" s="9">
        <f>IFERROR(__xludf.DUMMYFUNCTION("""COMPUTED_VALUE"""),285.0)</f>
        <v>285</v>
      </c>
      <c r="B174" s="9" t="str">
        <f>IFERROR(__xludf.DUMMYFUNCTION("""COMPUTED_VALUE"""),"Ardyce Abad")</f>
        <v>Ardyce Abad</v>
      </c>
      <c r="C174" s="9" t="str">
        <f>IFERROR(__xludf.DUMMYFUNCTION("""COMPUTED_VALUE"""),"aabad7w@nbcnews.com")</f>
        <v>aabad7w@nbcnews.com</v>
      </c>
      <c r="D174" s="9" t="str">
        <f>IFERROR(__xludf.DUMMYFUNCTION("""COMPUTED_VALUE"""),"Perú")</f>
        <v>Perú</v>
      </c>
      <c r="E174" s="9" t="str">
        <f>IFERROR(__xludf.DUMMYFUNCTION("""COMPUTED_VALUE"""),"Tecnología")</f>
        <v>Tecnología</v>
      </c>
      <c r="F174" s="9" t="str">
        <f>IFERROR(__xludf.DUMMYFUNCTION("""COMPUTED_VALUE"""),"Inversión")</f>
        <v>Inversión</v>
      </c>
      <c r="G174" s="9" t="str">
        <f>IFERROR(__xludf.DUMMYFUNCTION("""COMPUTED_VALUE"""),"Socio de proyecto")</f>
        <v>Socio de proyecto</v>
      </c>
      <c r="H174" s="9" t="str">
        <f>IFERROR(__xludf.DUMMYFUNCTION("""COMPUTED_VALUE"""),"NO")</f>
        <v>NO</v>
      </c>
      <c r="I174" s="9">
        <f>IFERROR(__xludf.DUMMYFUNCTION("""COMPUTED_VALUE"""),5.0)</f>
        <v>5</v>
      </c>
      <c r="J174" s="9">
        <f>IFERROR(__xludf.DUMMYFUNCTION("""COMPUTED_VALUE"""),9.0)</f>
        <v>9</v>
      </c>
      <c r="K174" s="14">
        <f>IFERROR(__xludf.DUMMYFUNCTION("""COMPUTED_VALUE"""),1.0E7)</f>
        <v>10000000</v>
      </c>
      <c r="L174" s="14">
        <f>IFERROR(__xludf.DUMMYFUNCTION("""COMPUTED_VALUE"""),7303129.0)</f>
        <v>7303129</v>
      </c>
      <c r="M174" s="14">
        <f>IFERROR(__xludf.DUMMYFUNCTION("""COMPUTED_VALUE"""),3765621.0)</f>
        <v>3765621</v>
      </c>
      <c r="N174" s="14">
        <f>IFERROR(__xludf.DUMMYFUNCTION("""COMPUTED_VALUE"""),1.8125151E7)</f>
        <v>18125151</v>
      </c>
    </row>
    <row r="175">
      <c r="A175" s="9">
        <f>IFERROR(__xludf.DUMMYFUNCTION("""COMPUTED_VALUE"""),286.0)</f>
        <v>286</v>
      </c>
      <c r="B175" s="9" t="str">
        <f>IFERROR(__xludf.DUMMYFUNCTION("""COMPUTED_VALUE"""),"Estell Westwood")</f>
        <v>Estell Westwood</v>
      </c>
      <c r="C175" s="9" t="str">
        <f>IFERROR(__xludf.DUMMYFUNCTION("""COMPUTED_VALUE"""),"ewestwood7x@youku.com")</f>
        <v>ewestwood7x@youku.com</v>
      </c>
      <c r="D175" s="9" t="str">
        <f>IFERROR(__xludf.DUMMYFUNCTION("""COMPUTED_VALUE"""),"Brasil")</f>
        <v>Brasil</v>
      </c>
      <c r="E175" s="9" t="str">
        <f>IFERROR(__xludf.DUMMYFUNCTION("""COMPUTED_VALUE"""),"Tecnología")</f>
        <v>Tecnología</v>
      </c>
      <c r="F175" s="9" t="str">
        <f>IFERROR(__xludf.DUMMYFUNCTION("""COMPUTED_VALUE"""),"Inversión")</f>
        <v>Inversión</v>
      </c>
      <c r="G175" s="9" t="str">
        <f>IFERROR(__xludf.DUMMYFUNCTION("""COMPUTED_VALUE"""),"Socio de proyecto")</f>
        <v>Socio de proyecto</v>
      </c>
      <c r="H175" s="9" t="str">
        <f>IFERROR(__xludf.DUMMYFUNCTION("""COMPUTED_VALUE"""),"NO")</f>
        <v>NO</v>
      </c>
      <c r="I175" s="9">
        <f>IFERROR(__xludf.DUMMYFUNCTION("""COMPUTED_VALUE"""),9.0)</f>
        <v>9</v>
      </c>
      <c r="J175" s="9">
        <f>IFERROR(__xludf.DUMMYFUNCTION("""COMPUTED_VALUE"""),5.0)</f>
        <v>5</v>
      </c>
      <c r="K175" s="14">
        <f>IFERROR(__xludf.DUMMYFUNCTION("""COMPUTED_VALUE"""),3.0E7)</f>
        <v>30000000</v>
      </c>
      <c r="L175" s="14">
        <f>IFERROR(__xludf.DUMMYFUNCTION("""COMPUTED_VALUE"""),4.4457754E7)</f>
        <v>44457754</v>
      </c>
      <c r="M175" s="14">
        <f>IFERROR(__xludf.DUMMYFUNCTION("""COMPUTED_VALUE"""),0.0)</f>
        <v>0</v>
      </c>
      <c r="N175" s="14">
        <f>IFERROR(__xludf.DUMMYFUNCTION("""COMPUTED_VALUE"""),6.2249765E7)</f>
        <v>62249765</v>
      </c>
    </row>
    <row r="176">
      <c r="A176" s="9">
        <f>IFERROR(__xludf.DUMMYFUNCTION("""COMPUTED_VALUE"""),287.0)</f>
        <v>287</v>
      </c>
      <c r="B176" s="9" t="str">
        <f>IFERROR(__xludf.DUMMYFUNCTION("""COMPUTED_VALUE"""),"Leisha Takis")</f>
        <v>Leisha Takis</v>
      </c>
      <c r="C176" s="9" t="str">
        <f>IFERROR(__xludf.DUMMYFUNCTION("""COMPUTED_VALUE"""),"ltakis7y@t-online.de")</f>
        <v>ltakis7y@t-online.de</v>
      </c>
      <c r="D176" s="9" t="str">
        <f>IFERROR(__xludf.DUMMYFUNCTION("""COMPUTED_VALUE"""),"Ecuador")</f>
        <v>Ecuador</v>
      </c>
      <c r="E176" s="9" t="str">
        <f>IFERROR(__xludf.DUMMYFUNCTION("""COMPUTED_VALUE"""),"Tecnología")</f>
        <v>Tecnología</v>
      </c>
      <c r="F176" s="9" t="str">
        <f>IFERROR(__xludf.DUMMYFUNCTION("""COMPUTED_VALUE"""),"Inversión")</f>
        <v>Inversión</v>
      </c>
      <c r="G176" s="9" t="str">
        <f>IFERROR(__xludf.DUMMYFUNCTION("""COMPUTED_VALUE"""),"Socio capitalista")</f>
        <v>Socio capitalista</v>
      </c>
      <c r="H176" s="9" t="str">
        <f>IFERROR(__xludf.DUMMYFUNCTION("""COMPUTED_VALUE"""),"NO")</f>
        <v>NO</v>
      </c>
      <c r="I176" s="9">
        <f>IFERROR(__xludf.DUMMYFUNCTION("""COMPUTED_VALUE"""),4.0)</f>
        <v>4</v>
      </c>
      <c r="J176" s="9">
        <f>IFERROR(__xludf.DUMMYFUNCTION("""COMPUTED_VALUE"""),7.0)</f>
        <v>7</v>
      </c>
      <c r="K176" s="14">
        <f>IFERROR(__xludf.DUMMYFUNCTION("""COMPUTED_VALUE"""),1.0E7)</f>
        <v>10000000</v>
      </c>
      <c r="L176" s="14">
        <f>IFERROR(__xludf.DUMMYFUNCTION("""COMPUTED_VALUE"""),5.4467236E7)</f>
        <v>54467236</v>
      </c>
      <c r="M176" s="14">
        <f>IFERROR(__xludf.DUMMYFUNCTION("""COMPUTED_VALUE"""),0.0)</f>
        <v>0</v>
      </c>
      <c r="N176" s="14">
        <f>IFERROR(__xludf.DUMMYFUNCTION("""COMPUTED_VALUE"""),1234692.0)</f>
        <v>1234692</v>
      </c>
    </row>
    <row r="177">
      <c r="A177" s="9">
        <f>IFERROR(__xludf.DUMMYFUNCTION("""COMPUTED_VALUE"""),288.0)</f>
        <v>288</v>
      </c>
      <c r="B177" s="9" t="str">
        <f>IFERROR(__xludf.DUMMYFUNCTION("""COMPUTED_VALUE"""),"Travus Cannavan")</f>
        <v>Travus Cannavan</v>
      </c>
      <c r="C177" s="9" t="str">
        <f>IFERROR(__xludf.DUMMYFUNCTION("""COMPUTED_VALUE"""),"tcannavan7z@goodreads.com")</f>
        <v>tcannavan7z@goodreads.com</v>
      </c>
      <c r="D177" s="9" t="str">
        <f>IFERROR(__xludf.DUMMYFUNCTION("""COMPUTED_VALUE"""),"Brasil")</f>
        <v>Brasil</v>
      </c>
      <c r="E177" s="9" t="str">
        <f>IFERROR(__xludf.DUMMYFUNCTION("""COMPUTED_VALUE"""),"Tecnología")</f>
        <v>Tecnología</v>
      </c>
      <c r="F177" s="9" t="str">
        <f>IFERROR(__xludf.DUMMYFUNCTION("""COMPUTED_VALUE"""),"Inversión")</f>
        <v>Inversión</v>
      </c>
      <c r="G177" s="9" t="str">
        <f>IFERROR(__xludf.DUMMYFUNCTION("""COMPUTED_VALUE"""),"Socio de proyecto")</f>
        <v>Socio de proyecto</v>
      </c>
      <c r="H177" s="9" t="str">
        <f>IFERROR(__xludf.DUMMYFUNCTION("""COMPUTED_VALUE"""),"NO")</f>
        <v>NO</v>
      </c>
      <c r="I177" s="9">
        <f>IFERROR(__xludf.DUMMYFUNCTION("""COMPUTED_VALUE"""),4.0)</f>
        <v>4</v>
      </c>
      <c r="J177" s="9">
        <f>IFERROR(__xludf.DUMMYFUNCTION("""COMPUTED_VALUE"""),6.0)</f>
        <v>6</v>
      </c>
      <c r="K177" s="14">
        <f>IFERROR(__xludf.DUMMYFUNCTION("""COMPUTED_VALUE"""),1.0E7)</f>
        <v>10000000</v>
      </c>
      <c r="L177" s="14">
        <f>IFERROR(__xludf.DUMMYFUNCTION("""COMPUTED_VALUE"""),1.7991607E7)</f>
        <v>17991607</v>
      </c>
      <c r="M177" s="14">
        <f>IFERROR(__xludf.DUMMYFUNCTION("""COMPUTED_VALUE"""),0.0)</f>
        <v>0</v>
      </c>
      <c r="N177" s="14">
        <f>IFERROR(__xludf.DUMMYFUNCTION("""COMPUTED_VALUE"""),174626.0)</f>
        <v>174626</v>
      </c>
    </row>
    <row r="178">
      <c r="A178" s="9">
        <f>IFERROR(__xludf.DUMMYFUNCTION("""COMPUTED_VALUE"""),289.0)</f>
        <v>289</v>
      </c>
      <c r="B178" s="9" t="str">
        <f>IFERROR(__xludf.DUMMYFUNCTION("""COMPUTED_VALUE"""),"Amalita Seppey")</f>
        <v>Amalita Seppey</v>
      </c>
      <c r="C178" s="9" t="str">
        <f>IFERROR(__xludf.DUMMYFUNCTION("""COMPUTED_VALUE"""),"aseppey80@yale.edu")</f>
        <v>aseppey80@yale.edu</v>
      </c>
      <c r="D178" s="9" t="str">
        <f>IFERROR(__xludf.DUMMYFUNCTION("""COMPUTED_VALUE"""),"Brasil")</f>
        <v>Brasil</v>
      </c>
      <c r="E178" s="9" t="str">
        <f>IFERROR(__xludf.DUMMYFUNCTION("""COMPUTED_VALUE"""),"Tecnología")</f>
        <v>Tecnología</v>
      </c>
      <c r="F178" s="9" t="str">
        <f>IFERROR(__xludf.DUMMYFUNCTION("""COMPUTED_VALUE"""),"Trabajo")</f>
        <v>Trabajo</v>
      </c>
      <c r="G178" s="9" t="str">
        <f>IFERROR(__xludf.DUMMYFUNCTION("""COMPUTED_VALUE"""),"Ofreciendo trabajo")</f>
        <v>Ofreciendo trabajo</v>
      </c>
      <c r="H178" s="9" t="str">
        <f>IFERROR(__xludf.DUMMYFUNCTION("""COMPUTED_VALUE"""),"NO")</f>
        <v>NO</v>
      </c>
      <c r="I178" s="9">
        <f>IFERROR(__xludf.DUMMYFUNCTION("""COMPUTED_VALUE"""),9.0)</f>
        <v>9</v>
      </c>
      <c r="J178" s="9">
        <f>IFERROR(__xludf.DUMMYFUNCTION("""COMPUTED_VALUE"""),5.0)</f>
        <v>5</v>
      </c>
      <c r="K178" s="14">
        <f>IFERROR(__xludf.DUMMYFUNCTION("""COMPUTED_VALUE"""),0.0)</f>
        <v>0</v>
      </c>
      <c r="L178" s="14">
        <f>IFERROR(__xludf.DUMMYFUNCTION("""COMPUTED_VALUE"""),0.0)</f>
        <v>0</v>
      </c>
      <c r="M178" s="14">
        <f>IFERROR(__xludf.DUMMYFUNCTION("""COMPUTED_VALUE"""),2.4965127E7)</f>
        <v>24965127</v>
      </c>
      <c r="N178" s="14">
        <f>IFERROR(__xludf.DUMMYFUNCTION("""COMPUTED_VALUE"""),4.1129782E7)</f>
        <v>41129782</v>
      </c>
    </row>
    <row r="179">
      <c r="A179" s="9">
        <f>IFERROR(__xludf.DUMMYFUNCTION("""COMPUTED_VALUE"""),292.0)</f>
        <v>292</v>
      </c>
      <c r="B179" s="9" t="str">
        <f>IFERROR(__xludf.DUMMYFUNCTION("""COMPUTED_VALUE"""),"Ursala Durban")</f>
        <v>Ursala Durban</v>
      </c>
      <c r="C179" s="9" t="str">
        <f>IFERROR(__xludf.DUMMYFUNCTION("""COMPUTED_VALUE"""),"udurban83@mac.com")</f>
        <v>udurban83@mac.com</v>
      </c>
      <c r="D179" s="9" t="str">
        <f>IFERROR(__xludf.DUMMYFUNCTION("""COMPUTED_VALUE"""),"Venezuela")</f>
        <v>Venezuela</v>
      </c>
      <c r="E179" s="9" t="str">
        <f>IFERROR(__xludf.DUMMYFUNCTION("""COMPUTED_VALUE"""),"Tecnología")</f>
        <v>Tecnología</v>
      </c>
      <c r="F179" s="9" t="str">
        <f>IFERROR(__xludf.DUMMYFUNCTION("""COMPUTED_VALUE"""),"Inversión")</f>
        <v>Inversión</v>
      </c>
      <c r="G179" s="9" t="str">
        <f>IFERROR(__xludf.DUMMYFUNCTION("""COMPUTED_VALUE"""),"Socio de proyecto")</f>
        <v>Socio de proyecto</v>
      </c>
      <c r="H179" s="9" t="str">
        <f>IFERROR(__xludf.DUMMYFUNCTION("""COMPUTED_VALUE"""),"NO")</f>
        <v>NO</v>
      </c>
      <c r="I179" s="9">
        <f>IFERROR(__xludf.DUMMYFUNCTION("""COMPUTED_VALUE"""),6.0)</f>
        <v>6</v>
      </c>
      <c r="J179" s="9">
        <f>IFERROR(__xludf.DUMMYFUNCTION("""COMPUTED_VALUE"""),9.0)</f>
        <v>9</v>
      </c>
      <c r="K179" s="14">
        <f>IFERROR(__xludf.DUMMYFUNCTION("""COMPUTED_VALUE"""),1.0E7)</f>
        <v>10000000</v>
      </c>
      <c r="L179" s="14">
        <f>IFERROR(__xludf.DUMMYFUNCTION("""COMPUTED_VALUE"""),4.3538967E7)</f>
        <v>43538967</v>
      </c>
      <c r="M179" s="14">
        <f>IFERROR(__xludf.DUMMYFUNCTION("""COMPUTED_VALUE"""),5161300.0)</f>
        <v>5161300</v>
      </c>
      <c r="N179" s="14">
        <f>IFERROR(__xludf.DUMMYFUNCTION("""COMPUTED_VALUE"""),8.5417673E7)</f>
        <v>85417673</v>
      </c>
    </row>
    <row r="180">
      <c r="A180" s="9">
        <f>IFERROR(__xludf.DUMMYFUNCTION("""COMPUTED_VALUE"""),293.0)</f>
        <v>293</v>
      </c>
      <c r="B180" s="9" t="str">
        <f>IFERROR(__xludf.DUMMYFUNCTION("""COMPUTED_VALUE"""),"Hadley Fearnley")</f>
        <v>Hadley Fearnley</v>
      </c>
      <c r="C180" s="9" t="str">
        <f>IFERROR(__xludf.DUMMYFUNCTION("""COMPUTED_VALUE"""),"hfearnley84@admin.ch")</f>
        <v>hfearnley84@admin.ch</v>
      </c>
      <c r="D180" s="9" t="str">
        <f>IFERROR(__xludf.DUMMYFUNCTION("""COMPUTED_VALUE"""),"Perú")</f>
        <v>Perú</v>
      </c>
      <c r="E180" s="9" t="str">
        <f>IFERROR(__xludf.DUMMYFUNCTION("""COMPUTED_VALUE"""),"Tecnología")</f>
        <v>Tecnología</v>
      </c>
      <c r="F180" s="9" t="str">
        <f>IFERROR(__xludf.DUMMYFUNCTION("""COMPUTED_VALUE"""),"Inversión")</f>
        <v>Inversión</v>
      </c>
      <c r="G180" s="9" t="str">
        <f>IFERROR(__xludf.DUMMYFUNCTION("""COMPUTED_VALUE"""),"Socio de proyecto")</f>
        <v>Socio de proyecto</v>
      </c>
      <c r="H180" s="9" t="str">
        <f>IFERROR(__xludf.DUMMYFUNCTION("""COMPUTED_VALUE"""),"SI")</f>
        <v>SI</v>
      </c>
      <c r="I180" s="9">
        <f>IFERROR(__xludf.DUMMYFUNCTION("""COMPUTED_VALUE"""),7.0)</f>
        <v>7</v>
      </c>
      <c r="J180" s="9">
        <f>IFERROR(__xludf.DUMMYFUNCTION("""COMPUTED_VALUE"""),10.0)</f>
        <v>10</v>
      </c>
      <c r="K180" s="14">
        <f>IFERROR(__xludf.DUMMYFUNCTION("""COMPUTED_VALUE"""),1000000.0)</f>
        <v>1000000</v>
      </c>
      <c r="L180" s="14">
        <f>IFERROR(__xludf.DUMMYFUNCTION("""COMPUTED_VALUE"""),9.5899452E7)</f>
        <v>95899452</v>
      </c>
      <c r="M180" s="14">
        <f>IFERROR(__xludf.DUMMYFUNCTION("""COMPUTED_VALUE"""),2565664.0)</f>
        <v>2565664</v>
      </c>
      <c r="N180" s="14">
        <f>IFERROR(__xludf.DUMMYFUNCTION("""COMPUTED_VALUE"""),3.9602953E7)</f>
        <v>39602953</v>
      </c>
    </row>
    <row r="181">
      <c r="A181" s="9">
        <f>IFERROR(__xludf.DUMMYFUNCTION("""COMPUTED_VALUE"""),294.0)</f>
        <v>294</v>
      </c>
      <c r="B181" s="9" t="str">
        <f>IFERROR(__xludf.DUMMYFUNCTION("""COMPUTED_VALUE"""),"Myrwyn Argente")</f>
        <v>Myrwyn Argente</v>
      </c>
      <c r="C181" s="9" t="str">
        <f>IFERROR(__xludf.DUMMYFUNCTION("""COMPUTED_VALUE"""),"margente85@oakley.com")</f>
        <v>margente85@oakley.com</v>
      </c>
      <c r="D181" s="9" t="str">
        <f>IFERROR(__xludf.DUMMYFUNCTION("""COMPUTED_VALUE"""),"Argentina")</f>
        <v>Argentina</v>
      </c>
      <c r="E181" s="9" t="str">
        <f>IFERROR(__xludf.DUMMYFUNCTION("""COMPUTED_VALUE"""),"Tecnología")</f>
        <v>Tecnología</v>
      </c>
      <c r="F181" s="9" t="str">
        <f>IFERROR(__xludf.DUMMYFUNCTION("""COMPUTED_VALUE"""),"Inversión")</f>
        <v>Inversión</v>
      </c>
      <c r="G181" s="9" t="str">
        <f>IFERROR(__xludf.DUMMYFUNCTION("""COMPUTED_VALUE"""),"Socio de proyecto")</f>
        <v>Socio de proyecto</v>
      </c>
      <c r="H181" s="9" t="str">
        <f>IFERROR(__xludf.DUMMYFUNCTION("""COMPUTED_VALUE"""),"SI")</f>
        <v>SI</v>
      </c>
      <c r="I181" s="9">
        <f>IFERROR(__xludf.DUMMYFUNCTION("""COMPUTED_VALUE"""),5.0)</f>
        <v>5</v>
      </c>
      <c r="J181" s="9">
        <f>IFERROR(__xludf.DUMMYFUNCTION("""COMPUTED_VALUE"""),10.0)</f>
        <v>10</v>
      </c>
      <c r="K181" s="14">
        <f>IFERROR(__xludf.DUMMYFUNCTION("""COMPUTED_VALUE"""),1000000.0)</f>
        <v>1000000</v>
      </c>
      <c r="L181" s="14">
        <f>IFERROR(__xludf.DUMMYFUNCTION("""COMPUTED_VALUE"""),8.1347428E7)</f>
        <v>81347428</v>
      </c>
      <c r="M181" s="14">
        <f>IFERROR(__xludf.DUMMYFUNCTION("""COMPUTED_VALUE"""),1.0860215E7)</f>
        <v>10860215</v>
      </c>
      <c r="N181" s="14">
        <f>IFERROR(__xludf.DUMMYFUNCTION("""COMPUTED_VALUE"""),2.863729E7)</f>
        <v>28637290</v>
      </c>
    </row>
    <row r="182">
      <c r="A182" s="9">
        <f>IFERROR(__xludf.DUMMYFUNCTION("""COMPUTED_VALUE"""),296.0)</f>
        <v>296</v>
      </c>
      <c r="B182" s="9" t="str">
        <f>IFERROR(__xludf.DUMMYFUNCTION("""COMPUTED_VALUE"""),"Roderigo Huguet")</f>
        <v>Roderigo Huguet</v>
      </c>
      <c r="C182" s="9" t="str">
        <f>IFERROR(__xludf.DUMMYFUNCTION("""COMPUTED_VALUE"""),"rhuguet87@tmall.com")</f>
        <v>rhuguet87@tmall.com</v>
      </c>
      <c r="D182" s="9" t="str">
        <f>IFERROR(__xludf.DUMMYFUNCTION("""COMPUTED_VALUE"""),"Paraguay")</f>
        <v>Paraguay</v>
      </c>
      <c r="E182" s="9" t="str">
        <f>IFERROR(__xludf.DUMMYFUNCTION("""COMPUTED_VALUE"""),"Tecnología")</f>
        <v>Tecnología</v>
      </c>
      <c r="F182" s="9" t="str">
        <f>IFERROR(__xludf.DUMMYFUNCTION("""COMPUTED_VALUE"""),"Inversión")</f>
        <v>Inversión</v>
      </c>
      <c r="G182" s="9" t="str">
        <f>IFERROR(__xludf.DUMMYFUNCTION("""COMPUTED_VALUE"""),"Socio de proyecto")</f>
        <v>Socio de proyecto</v>
      </c>
      <c r="H182" s="9" t="str">
        <f>IFERROR(__xludf.DUMMYFUNCTION("""COMPUTED_VALUE"""),"SI")</f>
        <v>SI</v>
      </c>
      <c r="I182" s="9">
        <f>IFERROR(__xludf.DUMMYFUNCTION("""COMPUTED_VALUE"""),7.0)</f>
        <v>7</v>
      </c>
      <c r="J182" s="9">
        <f>IFERROR(__xludf.DUMMYFUNCTION("""COMPUTED_VALUE"""),7.0)</f>
        <v>7</v>
      </c>
      <c r="K182" s="14">
        <f>IFERROR(__xludf.DUMMYFUNCTION("""COMPUTED_VALUE"""),1.0E7)</f>
        <v>10000000</v>
      </c>
      <c r="L182" s="14">
        <f>IFERROR(__xludf.DUMMYFUNCTION("""COMPUTED_VALUE"""),9.6199053E7)</f>
        <v>96199053</v>
      </c>
      <c r="M182" s="14">
        <f>IFERROR(__xludf.DUMMYFUNCTION("""COMPUTED_VALUE"""),3.1746355E7)</f>
        <v>31746355</v>
      </c>
      <c r="N182" s="14">
        <f>IFERROR(__xludf.DUMMYFUNCTION("""COMPUTED_VALUE"""),8.0063468E7)</f>
        <v>80063468</v>
      </c>
    </row>
    <row r="183">
      <c r="A183" s="9">
        <f>IFERROR(__xludf.DUMMYFUNCTION("""COMPUTED_VALUE"""),297.0)</f>
        <v>297</v>
      </c>
      <c r="B183" s="9" t="str">
        <f>IFERROR(__xludf.DUMMYFUNCTION("""COMPUTED_VALUE"""),"Loella Dudliston")</f>
        <v>Loella Dudliston</v>
      </c>
      <c r="C183" s="9" t="str">
        <f>IFERROR(__xludf.DUMMYFUNCTION("""COMPUTED_VALUE"""),"ldudliston88@deviantart.com")</f>
        <v>ldudliston88@deviantart.com</v>
      </c>
      <c r="D183" s="9" t="str">
        <f>IFERROR(__xludf.DUMMYFUNCTION("""COMPUTED_VALUE"""),"Venezuela")</f>
        <v>Venezuela</v>
      </c>
      <c r="E183" s="9" t="str">
        <f>IFERROR(__xludf.DUMMYFUNCTION("""COMPUTED_VALUE"""),"Tecnología")</f>
        <v>Tecnología</v>
      </c>
      <c r="F183" s="9" t="str">
        <f>IFERROR(__xludf.DUMMYFUNCTION("""COMPUTED_VALUE"""),"Inversión")</f>
        <v>Inversión</v>
      </c>
      <c r="G183" s="9" t="str">
        <f>IFERROR(__xludf.DUMMYFUNCTION("""COMPUTED_VALUE"""),"Socio de proyecto")</f>
        <v>Socio de proyecto</v>
      </c>
      <c r="H183" s="9" t="str">
        <f>IFERROR(__xludf.DUMMYFUNCTION("""COMPUTED_VALUE"""),"NO")</f>
        <v>NO</v>
      </c>
      <c r="I183" s="9">
        <f>IFERROR(__xludf.DUMMYFUNCTION("""COMPUTED_VALUE"""),5.0)</f>
        <v>5</v>
      </c>
      <c r="J183" s="9">
        <f>IFERROR(__xludf.DUMMYFUNCTION("""COMPUTED_VALUE"""),7.0)</f>
        <v>7</v>
      </c>
      <c r="K183" s="14">
        <f>IFERROR(__xludf.DUMMYFUNCTION("""COMPUTED_VALUE"""),1000000.0)</f>
        <v>1000000</v>
      </c>
      <c r="L183" s="14">
        <f>IFERROR(__xludf.DUMMYFUNCTION("""COMPUTED_VALUE"""),7.1783742E7)</f>
        <v>71783742</v>
      </c>
      <c r="M183" s="14">
        <f>IFERROR(__xludf.DUMMYFUNCTION("""COMPUTED_VALUE"""),6.4667814E7)</f>
        <v>64667814</v>
      </c>
      <c r="N183" s="14">
        <f>IFERROR(__xludf.DUMMYFUNCTION("""COMPUTED_VALUE"""),7.065318E7)</f>
        <v>70653180</v>
      </c>
    </row>
    <row r="184">
      <c r="A184" s="9">
        <f>IFERROR(__xludf.DUMMYFUNCTION("""COMPUTED_VALUE"""),300.0)</f>
        <v>300</v>
      </c>
      <c r="B184" s="9" t="str">
        <f>IFERROR(__xludf.DUMMYFUNCTION("""COMPUTED_VALUE"""),"Joyce McColgan")</f>
        <v>Joyce McColgan</v>
      </c>
      <c r="C184" s="9" t="str">
        <f>IFERROR(__xludf.DUMMYFUNCTION("""COMPUTED_VALUE"""),"jmccolgan8b@miitbeian.gov.cn")</f>
        <v>jmccolgan8b@miitbeian.gov.cn</v>
      </c>
      <c r="D184" s="9" t="str">
        <f>IFERROR(__xludf.DUMMYFUNCTION("""COMPUTED_VALUE"""),"Paraguay")</f>
        <v>Paraguay</v>
      </c>
      <c r="E184" s="9" t="str">
        <f>IFERROR(__xludf.DUMMYFUNCTION("""COMPUTED_VALUE"""),"Tecnología")</f>
        <v>Tecnología</v>
      </c>
      <c r="F184" s="9" t="str">
        <f>IFERROR(__xludf.DUMMYFUNCTION("""COMPUTED_VALUE"""),"Inversión")</f>
        <v>Inversión</v>
      </c>
      <c r="G184" s="9" t="str">
        <f>IFERROR(__xludf.DUMMYFUNCTION("""COMPUTED_VALUE"""),"Socio de proyecto")</f>
        <v>Socio de proyecto</v>
      </c>
      <c r="H184" s="9" t="str">
        <f>IFERROR(__xludf.DUMMYFUNCTION("""COMPUTED_VALUE"""),"SI")</f>
        <v>SI</v>
      </c>
      <c r="I184" s="9">
        <f>IFERROR(__xludf.DUMMYFUNCTION("""COMPUTED_VALUE"""),7.0)</f>
        <v>7</v>
      </c>
      <c r="J184" s="9">
        <f>IFERROR(__xludf.DUMMYFUNCTION("""COMPUTED_VALUE"""),5.0)</f>
        <v>5</v>
      </c>
      <c r="K184" s="14">
        <f>IFERROR(__xludf.DUMMYFUNCTION("""COMPUTED_VALUE"""),3.0E7)</f>
        <v>30000000</v>
      </c>
      <c r="L184" s="14">
        <f>IFERROR(__xludf.DUMMYFUNCTION("""COMPUTED_VALUE"""),3.3477783E7)</f>
        <v>33477783</v>
      </c>
      <c r="M184" s="14">
        <f>IFERROR(__xludf.DUMMYFUNCTION("""COMPUTED_VALUE"""),0.0)</f>
        <v>0</v>
      </c>
      <c r="N184" s="14">
        <f>IFERROR(__xludf.DUMMYFUNCTION("""COMPUTED_VALUE"""),2.7651635E7)</f>
        <v>27651635</v>
      </c>
    </row>
    <row r="185">
      <c r="A185" s="9">
        <f>IFERROR(__xludf.DUMMYFUNCTION("""COMPUTED_VALUE"""),302.0)</f>
        <v>302</v>
      </c>
      <c r="B185" s="9" t="str">
        <f>IFERROR(__xludf.DUMMYFUNCTION("""COMPUTED_VALUE"""),"Bart Arnison")</f>
        <v>Bart Arnison</v>
      </c>
      <c r="C185" s="9" t="str">
        <f>IFERROR(__xludf.DUMMYFUNCTION("""COMPUTED_VALUE"""),"barnison8d@mit.edu")</f>
        <v>barnison8d@mit.edu</v>
      </c>
      <c r="D185" s="9" t="str">
        <f>IFERROR(__xludf.DUMMYFUNCTION("""COMPUTED_VALUE"""),"Argentina")</f>
        <v>Argentina</v>
      </c>
      <c r="E185" s="9" t="str">
        <f>IFERROR(__xludf.DUMMYFUNCTION("""COMPUTED_VALUE"""),"Tecnología")</f>
        <v>Tecnología</v>
      </c>
      <c r="F185" s="9" t="str">
        <f>IFERROR(__xludf.DUMMYFUNCTION("""COMPUTED_VALUE"""),"Inversión")</f>
        <v>Inversión</v>
      </c>
      <c r="G185" s="9" t="str">
        <f>IFERROR(__xludf.DUMMYFUNCTION("""COMPUTED_VALUE"""),"Socio capitalista")</f>
        <v>Socio capitalista</v>
      </c>
      <c r="H185" s="9" t="str">
        <f>IFERROR(__xludf.DUMMYFUNCTION("""COMPUTED_VALUE"""),"NO")</f>
        <v>NO</v>
      </c>
      <c r="I185" s="9">
        <f>IFERROR(__xludf.DUMMYFUNCTION("""COMPUTED_VALUE"""),4.0)</f>
        <v>4</v>
      </c>
      <c r="J185" s="9">
        <f>IFERROR(__xludf.DUMMYFUNCTION("""COMPUTED_VALUE"""),8.0)</f>
        <v>8</v>
      </c>
      <c r="K185" s="14">
        <f>IFERROR(__xludf.DUMMYFUNCTION("""COMPUTED_VALUE"""),5.0E7)</f>
        <v>50000000</v>
      </c>
      <c r="L185" s="14">
        <f>IFERROR(__xludf.DUMMYFUNCTION("""COMPUTED_VALUE"""),7.0787848E7)</f>
        <v>70787848</v>
      </c>
      <c r="M185" s="14">
        <f>IFERROR(__xludf.DUMMYFUNCTION("""COMPUTED_VALUE"""),3.3368202E7)</f>
        <v>33368202</v>
      </c>
      <c r="N185" s="14">
        <f>IFERROR(__xludf.DUMMYFUNCTION("""COMPUTED_VALUE"""),4.3277527E7)</f>
        <v>43277527</v>
      </c>
    </row>
    <row r="186">
      <c r="A186" s="9">
        <f>IFERROR(__xludf.DUMMYFUNCTION("""COMPUTED_VALUE"""),303.0)</f>
        <v>303</v>
      </c>
      <c r="B186" s="9" t="str">
        <f>IFERROR(__xludf.DUMMYFUNCTION("""COMPUTED_VALUE"""),"Jayne Trevallion")</f>
        <v>Jayne Trevallion</v>
      </c>
      <c r="C186" s="9" t="str">
        <f>IFERROR(__xludf.DUMMYFUNCTION("""COMPUTED_VALUE"""),"jtrevallion8e@soundcloud.com")</f>
        <v>jtrevallion8e@soundcloud.com</v>
      </c>
      <c r="D186" s="9" t="str">
        <f>IFERROR(__xludf.DUMMYFUNCTION("""COMPUTED_VALUE"""),"Ecuador")</f>
        <v>Ecuador</v>
      </c>
      <c r="E186" s="9" t="str">
        <f>IFERROR(__xludf.DUMMYFUNCTION("""COMPUTED_VALUE"""),"Tecnología")</f>
        <v>Tecnología</v>
      </c>
      <c r="F186" s="9" t="str">
        <f>IFERROR(__xludf.DUMMYFUNCTION("""COMPUTED_VALUE"""),"Trabajo")</f>
        <v>Trabajo</v>
      </c>
      <c r="G186" s="9" t="str">
        <f>IFERROR(__xludf.DUMMYFUNCTION("""COMPUTED_VALUE"""),"Ofreciendo trabajo")</f>
        <v>Ofreciendo trabajo</v>
      </c>
      <c r="H186" s="9" t="str">
        <f>IFERROR(__xludf.DUMMYFUNCTION("""COMPUTED_VALUE"""),"SI")</f>
        <v>SI</v>
      </c>
      <c r="I186" s="9">
        <f>IFERROR(__xludf.DUMMYFUNCTION("""COMPUTED_VALUE"""),7.0)</f>
        <v>7</v>
      </c>
      <c r="J186" s="9">
        <f>IFERROR(__xludf.DUMMYFUNCTION("""COMPUTED_VALUE"""),10.0)</f>
        <v>10</v>
      </c>
      <c r="K186" s="14">
        <f>IFERROR(__xludf.DUMMYFUNCTION("""COMPUTED_VALUE"""),0.0)</f>
        <v>0</v>
      </c>
      <c r="L186" s="14">
        <f>IFERROR(__xludf.DUMMYFUNCTION("""COMPUTED_VALUE"""),0.0)</f>
        <v>0</v>
      </c>
      <c r="M186" s="14">
        <f>IFERROR(__xludf.DUMMYFUNCTION("""COMPUTED_VALUE"""),4.6563396E7)</f>
        <v>46563396</v>
      </c>
      <c r="N186" s="14">
        <f>IFERROR(__xludf.DUMMYFUNCTION("""COMPUTED_VALUE"""),6.3313535E7)</f>
        <v>63313535</v>
      </c>
    </row>
    <row r="187">
      <c r="A187" s="9">
        <f>IFERROR(__xludf.DUMMYFUNCTION("""COMPUTED_VALUE"""),304.0)</f>
        <v>304</v>
      </c>
      <c r="B187" s="9" t="str">
        <f>IFERROR(__xludf.DUMMYFUNCTION("""COMPUTED_VALUE"""),"Esdras Wennam")</f>
        <v>Esdras Wennam</v>
      </c>
      <c r="C187" s="9" t="str">
        <f>IFERROR(__xludf.DUMMYFUNCTION("""COMPUTED_VALUE"""),"ewennam8f@sina.com.cn")</f>
        <v>ewennam8f@sina.com.cn</v>
      </c>
      <c r="D187" s="9" t="str">
        <f>IFERROR(__xludf.DUMMYFUNCTION("""COMPUTED_VALUE"""),"Ecuador")</f>
        <v>Ecuador</v>
      </c>
      <c r="E187" s="9" t="str">
        <f>IFERROR(__xludf.DUMMYFUNCTION("""COMPUTED_VALUE"""),"Tecnología")</f>
        <v>Tecnología</v>
      </c>
      <c r="F187" s="9" t="str">
        <f>IFERROR(__xludf.DUMMYFUNCTION("""COMPUTED_VALUE"""),"Inversión")</f>
        <v>Inversión</v>
      </c>
      <c r="G187" s="9" t="str">
        <f>IFERROR(__xludf.DUMMYFUNCTION("""COMPUTED_VALUE"""),"Socio capitalista")</f>
        <v>Socio capitalista</v>
      </c>
      <c r="H187" s="9" t="str">
        <f>IFERROR(__xludf.DUMMYFUNCTION("""COMPUTED_VALUE"""),"NO")</f>
        <v>NO</v>
      </c>
      <c r="I187" s="9">
        <f>IFERROR(__xludf.DUMMYFUNCTION("""COMPUTED_VALUE"""),3.0)</f>
        <v>3</v>
      </c>
      <c r="J187" s="9">
        <f>IFERROR(__xludf.DUMMYFUNCTION("""COMPUTED_VALUE"""),5.0)</f>
        <v>5</v>
      </c>
      <c r="K187" s="14">
        <f>IFERROR(__xludf.DUMMYFUNCTION("""COMPUTED_VALUE"""),2.0E7)</f>
        <v>20000000</v>
      </c>
      <c r="L187" s="14">
        <f>IFERROR(__xludf.DUMMYFUNCTION("""COMPUTED_VALUE"""),4.006462E7)</f>
        <v>40064620</v>
      </c>
      <c r="M187" s="14">
        <f>IFERROR(__xludf.DUMMYFUNCTION("""COMPUTED_VALUE"""),9.8137438E7)</f>
        <v>98137438</v>
      </c>
      <c r="N187" s="14">
        <f>IFERROR(__xludf.DUMMYFUNCTION("""COMPUTED_VALUE"""),0.0)</f>
        <v>0</v>
      </c>
    </row>
    <row r="188">
      <c r="A188" s="9">
        <f>IFERROR(__xludf.DUMMYFUNCTION("""COMPUTED_VALUE"""),305.0)</f>
        <v>305</v>
      </c>
      <c r="B188" s="9" t="str">
        <f>IFERROR(__xludf.DUMMYFUNCTION("""COMPUTED_VALUE"""),"Emmalyn Viall")</f>
        <v>Emmalyn Viall</v>
      </c>
      <c r="C188" s="9" t="str">
        <f>IFERROR(__xludf.DUMMYFUNCTION("""COMPUTED_VALUE"""),"eviall8g@odnoklassniki.ru")</f>
        <v>eviall8g@odnoklassniki.ru</v>
      </c>
      <c r="D188" s="9" t="str">
        <f>IFERROR(__xludf.DUMMYFUNCTION("""COMPUTED_VALUE"""),"Brasil")</f>
        <v>Brasil</v>
      </c>
      <c r="E188" s="9" t="str">
        <f>IFERROR(__xludf.DUMMYFUNCTION("""COMPUTED_VALUE"""),"Tecnología")</f>
        <v>Tecnología</v>
      </c>
      <c r="F188" s="9" t="str">
        <f>IFERROR(__xludf.DUMMYFUNCTION("""COMPUTED_VALUE"""),"Inversión")</f>
        <v>Inversión</v>
      </c>
      <c r="G188" s="9" t="str">
        <f>IFERROR(__xludf.DUMMYFUNCTION("""COMPUTED_VALUE"""),"Socio de proyecto")</f>
        <v>Socio de proyecto</v>
      </c>
      <c r="H188" s="9" t="str">
        <f>IFERROR(__xludf.DUMMYFUNCTION("""COMPUTED_VALUE"""),"NO")</f>
        <v>NO</v>
      </c>
      <c r="I188" s="9">
        <f>IFERROR(__xludf.DUMMYFUNCTION("""COMPUTED_VALUE"""),3.0)</f>
        <v>3</v>
      </c>
      <c r="J188" s="9">
        <f>IFERROR(__xludf.DUMMYFUNCTION("""COMPUTED_VALUE"""),7.0)</f>
        <v>7</v>
      </c>
      <c r="K188" s="14">
        <f>IFERROR(__xludf.DUMMYFUNCTION("""COMPUTED_VALUE"""),3.0E7)</f>
        <v>30000000</v>
      </c>
      <c r="L188" s="14">
        <f>IFERROR(__xludf.DUMMYFUNCTION("""COMPUTED_VALUE"""),4.528936E7)</f>
        <v>45289360</v>
      </c>
      <c r="M188" s="14">
        <f>IFERROR(__xludf.DUMMYFUNCTION("""COMPUTED_VALUE"""),0.0)</f>
        <v>0</v>
      </c>
      <c r="N188" s="14">
        <f>IFERROR(__xludf.DUMMYFUNCTION("""COMPUTED_VALUE"""),4.6980526E7)</f>
        <v>46980526</v>
      </c>
    </row>
    <row r="189">
      <c r="A189" s="9">
        <f>IFERROR(__xludf.DUMMYFUNCTION("""COMPUTED_VALUE"""),307.0)</f>
        <v>307</v>
      </c>
      <c r="B189" s="9" t="str">
        <f>IFERROR(__xludf.DUMMYFUNCTION("""COMPUTED_VALUE"""),"Zed Birchwood")</f>
        <v>Zed Birchwood</v>
      </c>
      <c r="C189" s="9" t="str">
        <f>IFERROR(__xludf.DUMMYFUNCTION("""COMPUTED_VALUE"""),"zbirchwood8i@cam.ac.uk")</f>
        <v>zbirchwood8i@cam.ac.uk</v>
      </c>
      <c r="D189" s="9" t="str">
        <f>IFERROR(__xludf.DUMMYFUNCTION("""COMPUTED_VALUE"""),"Perú")</f>
        <v>Perú</v>
      </c>
      <c r="E189" s="9" t="str">
        <f>IFERROR(__xludf.DUMMYFUNCTION("""COMPUTED_VALUE"""),"Tecnología")</f>
        <v>Tecnología</v>
      </c>
      <c r="F189" s="9" t="str">
        <f>IFERROR(__xludf.DUMMYFUNCTION("""COMPUTED_VALUE"""),"Trabajo")</f>
        <v>Trabajo</v>
      </c>
      <c r="G189" s="9" t="str">
        <f>IFERROR(__xludf.DUMMYFUNCTION("""COMPUTED_VALUE"""),"Buscando trabajo")</f>
        <v>Buscando trabajo</v>
      </c>
      <c r="H189" s="9" t="str">
        <f>IFERROR(__xludf.DUMMYFUNCTION("""COMPUTED_VALUE"""),"SI")</f>
        <v>SI</v>
      </c>
      <c r="I189" s="9">
        <f>IFERROR(__xludf.DUMMYFUNCTION("""COMPUTED_VALUE"""),5.0)</f>
        <v>5</v>
      </c>
      <c r="J189" s="9">
        <f>IFERROR(__xludf.DUMMYFUNCTION("""COMPUTED_VALUE"""),9.0)</f>
        <v>9</v>
      </c>
      <c r="K189" s="14">
        <f>IFERROR(__xludf.DUMMYFUNCTION("""COMPUTED_VALUE"""),0.0)</f>
        <v>0</v>
      </c>
      <c r="L189" s="14">
        <f>IFERROR(__xludf.DUMMYFUNCTION("""COMPUTED_VALUE"""),0.0)</f>
        <v>0</v>
      </c>
      <c r="M189" s="14">
        <f>IFERROR(__xludf.DUMMYFUNCTION("""COMPUTED_VALUE"""),6.9870077E7)</f>
        <v>69870077</v>
      </c>
      <c r="N189" s="14">
        <f>IFERROR(__xludf.DUMMYFUNCTION("""COMPUTED_VALUE"""),9.844158E7)</f>
        <v>98441580</v>
      </c>
    </row>
    <row r="190">
      <c r="A190" s="9">
        <f>IFERROR(__xludf.DUMMYFUNCTION("""COMPUTED_VALUE"""),309.0)</f>
        <v>309</v>
      </c>
      <c r="B190" s="9" t="str">
        <f>IFERROR(__xludf.DUMMYFUNCTION("""COMPUTED_VALUE"""),"Chico Coppock.")</f>
        <v>Chico Coppock.</v>
      </c>
      <c r="C190" s="9" t="str">
        <f>IFERROR(__xludf.DUMMYFUNCTION("""COMPUTED_VALUE"""),"ccoppock8k@usnews.com")</f>
        <v>ccoppock8k@usnews.com</v>
      </c>
      <c r="D190" s="9" t="str">
        <f>IFERROR(__xludf.DUMMYFUNCTION("""COMPUTED_VALUE"""),"Bolivia")</f>
        <v>Bolivia</v>
      </c>
      <c r="E190" s="9" t="str">
        <f>IFERROR(__xludf.DUMMYFUNCTION("""COMPUTED_VALUE"""),"Tecnología")</f>
        <v>Tecnología</v>
      </c>
      <c r="F190" s="9" t="str">
        <f>IFERROR(__xludf.DUMMYFUNCTION("""COMPUTED_VALUE"""),"Inversión")</f>
        <v>Inversión</v>
      </c>
      <c r="G190" s="9" t="str">
        <f>IFERROR(__xludf.DUMMYFUNCTION("""COMPUTED_VALUE"""),"Socio capitalista")</f>
        <v>Socio capitalista</v>
      </c>
      <c r="H190" s="9" t="str">
        <f>IFERROR(__xludf.DUMMYFUNCTION("""COMPUTED_VALUE"""),"NO")</f>
        <v>NO</v>
      </c>
      <c r="I190" s="9">
        <f>IFERROR(__xludf.DUMMYFUNCTION("""COMPUTED_VALUE"""),4.0)</f>
        <v>4</v>
      </c>
      <c r="J190" s="9">
        <f>IFERROR(__xludf.DUMMYFUNCTION("""COMPUTED_VALUE"""),9.0)</f>
        <v>9</v>
      </c>
      <c r="K190" s="14">
        <f>IFERROR(__xludf.DUMMYFUNCTION("""COMPUTED_VALUE"""),1000000.0)</f>
        <v>1000000</v>
      </c>
      <c r="L190" s="14">
        <f>IFERROR(__xludf.DUMMYFUNCTION("""COMPUTED_VALUE"""),5.3008255E7)</f>
        <v>53008255</v>
      </c>
      <c r="M190" s="14">
        <f>IFERROR(__xludf.DUMMYFUNCTION("""COMPUTED_VALUE"""),4.691791E7)</f>
        <v>46917910</v>
      </c>
      <c r="N190" s="14">
        <f>IFERROR(__xludf.DUMMYFUNCTION("""COMPUTED_VALUE"""),4.7557281E7)</f>
        <v>47557281</v>
      </c>
    </row>
    <row r="191">
      <c r="A191" s="9">
        <f>IFERROR(__xludf.DUMMYFUNCTION("""COMPUTED_VALUE"""),310.0)</f>
        <v>310</v>
      </c>
      <c r="B191" s="9" t="str">
        <f>IFERROR(__xludf.DUMMYFUNCTION("""COMPUTED_VALUE"""),"Gael Dell 'Orto")</f>
        <v>Gael Dell 'Orto</v>
      </c>
      <c r="C191" s="9" t="str">
        <f>IFERROR(__xludf.DUMMYFUNCTION("""COMPUTED_VALUE"""),"gdell8l@state.tx.us")</f>
        <v>gdell8l@state.tx.us</v>
      </c>
      <c r="D191" s="9" t="str">
        <f>IFERROR(__xludf.DUMMYFUNCTION("""COMPUTED_VALUE"""),"Colombia")</f>
        <v>Colombia</v>
      </c>
      <c r="E191" s="9" t="str">
        <f>IFERROR(__xludf.DUMMYFUNCTION("""COMPUTED_VALUE"""),"Tecnología")</f>
        <v>Tecnología</v>
      </c>
      <c r="F191" s="9" t="str">
        <f>IFERROR(__xludf.DUMMYFUNCTION("""COMPUTED_VALUE"""),"Trabajo")</f>
        <v>Trabajo</v>
      </c>
      <c r="G191" s="9" t="str">
        <f>IFERROR(__xludf.DUMMYFUNCTION("""COMPUTED_VALUE"""),"Buscando trabajo")</f>
        <v>Buscando trabajo</v>
      </c>
      <c r="H191" s="9" t="str">
        <f>IFERROR(__xludf.DUMMYFUNCTION("""COMPUTED_VALUE"""),"NO")</f>
        <v>NO</v>
      </c>
      <c r="I191" s="9">
        <f>IFERROR(__xludf.DUMMYFUNCTION("""COMPUTED_VALUE"""),5.0)</f>
        <v>5</v>
      </c>
      <c r="J191" s="9">
        <f>IFERROR(__xludf.DUMMYFUNCTION("""COMPUTED_VALUE"""),8.0)</f>
        <v>8</v>
      </c>
      <c r="K191" s="14">
        <f>IFERROR(__xludf.DUMMYFUNCTION("""COMPUTED_VALUE"""),0.0)</f>
        <v>0</v>
      </c>
      <c r="L191" s="14">
        <f>IFERROR(__xludf.DUMMYFUNCTION("""COMPUTED_VALUE"""),0.0)</f>
        <v>0</v>
      </c>
      <c r="M191" s="14">
        <f>IFERROR(__xludf.DUMMYFUNCTION("""COMPUTED_VALUE"""),0.0)</f>
        <v>0</v>
      </c>
      <c r="N191" s="14">
        <f>IFERROR(__xludf.DUMMYFUNCTION("""COMPUTED_VALUE"""),2.267526E7)</f>
        <v>22675260</v>
      </c>
    </row>
    <row r="192">
      <c r="A192" s="9">
        <f>IFERROR(__xludf.DUMMYFUNCTION("""COMPUTED_VALUE"""),311.0)</f>
        <v>311</v>
      </c>
      <c r="B192" s="9" t="str">
        <f>IFERROR(__xludf.DUMMYFUNCTION("""COMPUTED_VALUE"""),"Monah Lindenstrauss")</f>
        <v>Monah Lindenstrauss</v>
      </c>
      <c r="C192" s="9" t="str">
        <f>IFERROR(__xludf.DUMMYFUNCTION("""COMPUTED_VALUE"""),"mlindenstrauss8m@yale.edu")</f>
        <v>mlindenstrauss8m@yale.edu</v>
      </c>
      <c r="D192" s="9" t="str">
        <f>IFERROR(__xludf.DUMMYFUNCTION("""COMPUTED_VALUE"""),"Paraguay")</f>
        <v>Paraguay</v>
      </c>
      <c r="E192" s="9" t="str">
        <f>IFERROR(__xludf.DUMMYFUNCTION("""COMPUTED_VALUE"""),"Tecnología")</f>
        <v>Tecnología</v>
      </c>
      <c r="F192" s="9" t="str">
        <f>IFERROR(__xludf.DUMMYFUNCTION("""COMPUTED_VALUE"""),"Inversión")</f>
        <v>Inversión</v>
      </c>
      <c r="G192" s="9" t="str">
        <f>IFERROR(__xludf.DUMMYFUNCTION("""COMPUTED_VALUE"""),"Socio capitalista")</f>
        <v>Socio capitalista</v>
      </c>
      <c r="H192" s="9" t="str">
        <f>IFERROR(__xludf.DUMMYFUNCTION("""COMPUTED_VALUE"""),"NO")</f>
        <v>NO</v>
      </c>
      <c r="I192" s="9">
        <f>IFERROR(__xludf.DUMMYFUNCTION("""COMPUTED_VALUE"""),3.0)</f>
        <v>3</v>
      </c>
      <c r="J192" s="9">
        <f>IFERROR(__xludf.DUMMYFUNCTION("""COMPUTED_VALUE"""),5.0)</f>
        <v>5</v>
      </c>
      <c r="K192" s="14">
        <f>IFERROR(__xludf.DUMMYFUNCTION("""COMPUTED_VALUE"""),1.0E8)</f>
        <v>100000000</v>
      </c>
      <c r="L192" s="14">
        <f>IFERROR(__xludf.DUMMYFUNCTION("""COMPUTED_VALUE"""),9.468872E7)</f>
        <v>94688720</v>
      </c>
      <c r="M192" s="14">
        <f>IFERROR(__xludf.DUMMYFUNCTION("""COMPUTED_VALUE"""),8.6323763E7)</f>
        <v>86323763</v>
      </c>
      <c r="N192" s="14">
        <f>IFERROR(__xludf.DUMMYFUNCTION("""COMPUTED_VALUE"""),2.0929788E7)</f>
        <v>20929788</v>
      </c>
    </row>
    <row r="193">
      <c r="A193" s="9">
        <f>IFERROR(__xludf.DUMMYFUNCTION("""COMPUTED_VALUE"""),314.0)</f>
        <v>314</v>
      </c>
      <c r="B193" s="9" t="str">
        <f>IFERROR(__xludf.DUMMYFUNCTION("""COMPUTED_VALUE"""),"Biddie Bellay")</f>
        <v>Biddie Bellay</v>
      </c>
      <c r="C193" s="9" t="str">
        <f>IFERROR(__xludf.DUMMYFUNCTION("""COMPUTED_VALUE"""),"bbellay8p@google.es")</f>
        <v>bbellay8p@google.es</v>
      </c>
      <c r="D193" s="9" t="str">
        <f>IFERROR(__xludf.DUMMYFUNCTION("""COMPUTED_VALUE"""),"Uruguay")</f>
        <v>Uruguay</v>
      </c>
      <c r="E193" s="9" t="str">
        <f>IFERROR(__xludf.DUMMYFUNCTION("""COMPUTED_VALUE"""),"Tecnología")</f>
        <v>Tecnología</v>
      </c>
      <c r="F193" s="9" t="str">
        <f>IFERROR(__xludf.DUMMYFUNCTION("""COMPUTED_VALUE"""),"Inversión")</f>
        <v>Inversión</v>
      </c>
      <c r="G193" s="9" t="str">
        <f>IFERROR(__xludf.DUMMYFUNCTION("""COMPUTED_VALUE"""),"Socio de proyecto")</f>
        <v>Socio de proyecto</v>
      </c>
      <c r="H193" s="9" t="str">
        <f>IFERROR(__xludf.DUMMYFUNCTION("""COMPUTED_VALUE"""),"NO")</f>
        <v>NO</v>
      </c>
      <c r="I193" s="9">
        <f>IFERROR(__xludf.DUMMYFUNCTION("""COMPUTED_VALUE"""),7.0)</f>
        <v>7</v>
      </c>
      <c r="J193" s="9">
        <f>IFERROR(__xludf.DUMMYFUNCTION("""COMPUTED_VALUE"""),5.0)</f>
        <v>5</v>
      </c>
      <c r="K193" s="14">
        <f>IFERROR(__xludf.DUMMYFUNCTION("""COMPUTED_VALUE"""),3.0E7)</f>
        <v>30000000</v>
      </c>
      <c r="L193" s="14">
        <f>IFERROR(__xludf.DUMMYFUNCTION("""COMPUTED_VALUE"""),3.2890743E7)</f>
        <v>32890743</v>
      </c>
      <c r="M193" s="14">
        <f>IFERROR(__xludf.DUMMYFUNCTION("""COMPUTED_VALUE"""),0.0)</f>
        <v>0</v>
      </c>
      <c r="N193" s="14">
        <f>IFERROR(__xludf.DUMMYFUNCTION("""COMPUTED_VALUE"""),3.986462E7)</f>
        <v>39864620</v>
      </c>
    </row>
    <row r="194">
      <c r="A194" s="9">
        <f>IFERROR(__xludf.DUMMYFUNCTION("""COMPUTED_VALUE"""),317.0)</f>
        <v>317</v>
      </c>
      <c r="B194" s="9" t="str">
        <f>IFERROR(__xludf.DUMMYFUNCTION("""COMPUTED_VALUE"""),"Reginauld Jackling")</f>
        <v>Reginauld Jackling</v>
      </c>
      <c r="C194" s="9" t="str">
        <f>IFERROR(__xludf.DUMMYFUNCTION("""COMPUTED_VALUE"""),"rjackling8s@archive.org")</f>
        <v>rjackling8s@archive.org</v>
      </c>
      <c r="D194" s="9" t="str">
        <f>IFERROR(__xludf.DUMMYFUNCTION("""COMPUTED_VALUE"""),"Uruguay")</f>
        <v>Uruguay</v>
      </c>
      <c r="E194" s="9" t="str">
        <f>IFERROR(__xludf.DUMMYFUNCTION("""COMPUTED_VALUE"""),"Tecnología")</f>
        <v>Tecnología</v>
      </c>
      <c r="F194" s="9" t="str">
        <f>IFERROR(__xludf.DUMMYFUNCTION("""COMPUTED_VALUE"""),"Inversión")</f>
        <v>Inversión</v>
      </c>
      <c r="G194" s="9" t="str">
        <f>IFERROR(__xludf.DUMMYFUNCTION("""COMPUTED_VALUE"""),"Socio capitalista")</f>
        <v>Socio capitalista</v>
      </c>
      <c r="H194" s="9" t="str">
        <f>IFERROR(__xludf.DUMMYFUNCTION("""COMPUTED_VALUE"""),"SI")</f>
        <v>SI</v>
      </c>
      <c r="I194" s="9">
        <f>IFERROR(__xludf.DUMMYFUNCTION("""COMPUTED_VALUE"""),7.0)</f>
        <v>7</v>
      </c>
      <c r="J194" s="9">
        <f>IFERROR(__xludf.DUMMYFUNCTION("""COMPUTED_VALUE"""),10.0)</f>
        <v>10</v>
      </c>
      <c r="K194" s="14">
        <f>IFERROR(__xludf.DUMMYFUNCTION("""COMPUTED_VALUE"""),1.0E7)</f>
        <v>10000000</v>
      </c>
      <c r="L194" s="14">
        <f>IFERROR(__xludf.DUMMYFUNCTION("""COMPUTED_VALUE"""),3.1953589E7)</f>
        <v>31953589</v>
      </c>
      <c r="M194" s="14">
        <f>IFERROR(__xludf.DUMMYFUNCTION("""COMPUTED_VALUE"""),4.0068224E7)</f>
        <v>40068224</v>
      </c>
      <c r="N194" s="14">
        <f>IFERROR(__xludf.DUMMYFUNCTION("""COMPUTED_VALUE"""),8.0951038E7)</f>
        <v>80951038</v>
      </c>
    </row>
    <row r="195">
      <c r="A195" s="9">
        <f>IFERROR(__xludf.DUMMYFUNCTION("""COMPUTED_VALUE"""),318.0)</f>
        <v>318</v>
      </c>
      <c r="B195" s="9" t="str">
        <f>IFERROR(__xludf.DUMMYFUNCTION("""COMPUTED_VALUE"""),"Harmonia Gorstidge")</f>
        <v>Harmonia Gorstidge</v>
      </c>
      <c r="C195" s="9" t="str">
        <f>IFERROR(__xludf.DUMMYFUNCTION("""COMPUTED_VALUE"""),"hgorstidge8t@storify.com")</f>
        <v>hgorstidge8t@storify.com</v>
      </c>
      <c r="D195" s="9" t="str">
        <f>IFERROR(__xludf.DUMMYFUNCTION("""COMPUTED_VALUE"""),"Ecuador")</f>
        <v>Ecuador</v>
      </c>
      <c r="E195" s="9" t="str">
        <f>IFERROR(__xludf.DUMMYFUNCTION("""COMPUTED_VALUE"""),"Tecnología")</f>
        <v>Tecnología</v>
      </c>
      <c r="F195" s="9" t="str">
        <f>IFERROR(__xludf.DUMMYFUNCTION("""COMPUTED_VALUE"""),"Inversión")</f>
        <v>Inversión</v>
      </c>
      <c r="G195" s="9" t="str">
        <f>IFERROR(__xludf.DUMMYFUNCTION("""COMPUTED_VALUE"""),"Socio capitalista")</f>
        <v>Socio capitalista</v>
      </c>
      <c r="H195" s="9" t="str">
        <f>IFERROR(__xludf.DUMMYFUNCTION("""COMPUTED_VALUE"""),"NO")</f>
        <v>NO</v>
      </c>
      <c r="I195" s="9">
        <f>IFERROR(__xludf.DUMMYFUNCTION("""COMPUTED_VALUE"""),8.0)</f>
        <v>8</v>
      </c>
      <c r="J195" s="9">
        <f>IFERROR(__xludf.DUMMYFUNCTION("""COMPUTED_VALUE"""),9.0)</f>
        <v>9</v>
      </c>
      <c r="K195" s="14">
        <f>IFERROR(__xludf.DUMMYFUNCTION("""COMPUTED_VALUE"""),5.0E7)</f>
        <v>50000000</v>
      </c>
      <c r="L195" s="14">
        <f>IFERROR(__xludf.DUMMYFUNCTION("""COMPUTED_VALUE"""),7.8205651E7)</f>
        <v>78205651</v>
      </c>
      <c r="M195" s="14">
        <f>IFERROR(__xludf.DUMMYFUNCTION("""COMPUTED_VALUE"""),6.238118E7)</f>
        <v>62381180</v>
      </c>
      <c r="N195" s="14">
        <f>IFERROR(__xludf.DUMMYFUNCTION("""COMPUTED_VALUE"""),6508585.0)</f>
        <v>6508585</v>
      </c>
    </row>
    <row r="196">
      <c r="A196" s="9">
        <f>IFERROR(__xludf.DUMMYFUNCTION("""COMPUTED_VALUE"""),320.0)</f>
        <v>320</v>
      </c>
      <c r="B196" s="9" t="str">
        <f>IFERROR(__xludf.DUMMYFUNCTION("""COMPUTED_VALUE"""),"Lucio Drinkeld")</f>
        <v>Lucio Drinkeld</v>
      </c>
      <c r="C196" s="9" t="str">
        <f>IFERROR(__xludf.DUMMYFUNCTION("""COMPUTED_VALUE"""),"ldrinkeld8v@noaa.gov")</f>
        <v>ldrinkeld8v@noaa.gov</v>
      </c>
      <c r="D196" s="9" t="str">
        <f>IFERROR(__xludf.DUMMYFUNCTION("""COMPUTED_VALUE"""),"Argentina")</f>
        <v>Argentina</v>
      </c>
      <c r="E196" s="9" t="str">
        <f>IFERROR(__xludf.DUMMYFUNCTION("""COMPUTED_VALUE"""),"Tecnología")</f>
        <v>Tecnología</v>
      </c>
      <c r="F196" s="9" t="str">
        <f>IFERROR(__xludf.DUMMYFUNCTION("""COMPUTED_VALUE"""),"Conocimiento")</f>
        <v>Conocimiento</v>
      </c>
      <c r="G196" s="9" t="str">
        <f>IFERROR(__xludf.DUMMYFUNCTION("""COMPUTED_VALUE"""),"Otro tipo")</f>
        <v>Otro tipo</v>
      </c>
      <c r="H196" s="9" t="str">
        <f>IFERROR(__xludf.DUMMYFUNCTION("""COMPUTED_VALUE"""),"NO")</f>
        <v>NO</v>
      </c>
      <c r="I196" s="9">
        <f>IFERROR(__xludf.DUMMYFUNCTION("""COMPUTED_VALUE"""),8.0)</f>
        <v>8</v>
      </c>
      <c r="J196" s="9">
        <f>IFERROR(__xludf.DUMMYFUNCTION("""COMPUTED_VALUE"""),8.0)</f>
        <v>8</v>
      </c>
      <c r="K196" s="14">
        <f>IFERROR(__xludf.DUMMYFUNCTION("""COMPUTED_VALUE"""),0.0)</f>
        <v>0</v>
      </c>
      <c r="L196" s="14">
        <f>IFERROR(__xludf.DUMMYFUNCTION("""COMPUTED_VALUE"""),0.0)</f>
        <v>0</v>
      </c>
      <c r="M196" s="14">
        <f>IFERROR(__xludf.DUMMYFUNCTION("""COMPUTED_VALUE"""),7.6942676E7)</f>
        <v>76942676</v>
      </c>
      <c r="N196" s="14">
        <f>IFERROR(__xludf.DUMMYFUNCTION("""COMPUTED_VALUE"""),7.4216691E7)</f>
        <v>74216691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9">
        <f>IFERROR(__xludf.DUMMYFUNCTION("FILTER(todos,sector=Menu!D4,intencion=Menu!D5)"),2.0)</f>
        <v>2</v>
      </c>
      <c r="B2" s="9" t="str">
        <f>IFERROR(__xludf.DUMMYFUNCTION("""COMPUTED_VALUE"""),"Kermit Wedmore.")</f>
        <v>Kermit Wedmore.</v>
      </c>
      <c r="C2" s="9" t="str">
        <f>IFERROR(__xludf.DUMMYFUNCTION("""COMPUTED_VALUE"""),"kwedmore1@deliciousdays.com")</f>
        <v>kwedmore1@deliciousdays.com</v>
      </c>
      <c r="D2" s="9" t="str">
        <f>IFERROR(__xludf.DUMMYFUNCTION("""COMPUTED_VALUE"""),"Paraguay")</f>
        <v>Paraguay</v>
      </c>
      <c r="E2" s="9" t="str">
        <f>IFERROR(__xludf.DUMMYFUNCTION("""COMPUTED_VALUE"""),"Tecnología")</f>
        <v>Tecnología</v>
      </c>
      <c r="F2" s="9" t="str">
        <f>IFERROR(__xludf.DUMMYFUNCTION("""COMPUTED_VALUE"""),"Inversión")</f>
        <v>Inversión</v>
      </c>
      <c r="G2" s="9" t="str">
        <f>IFERROR(__xludf.DUMMYFUNCTION("""COMPUTED_VALUE"""),"Socio capitalista")</f>
        <v>Socio capitalista</v>
      </c>
      <c r="H2" s="9" t="str">
        <f>IFERROR(__xludf.DUMMYFUNCTION("""COMPUTED_VALUE"""),"SI")</f>
        <v>SI</v>
      </c>
      <c r="I2" s="9">
        <f>IFERROR(__xludf.DUMMYFUNCTION("""COMPUTED_VALUE"""),8.0)</f>
        <v>8</v>
      </c>
      <c r="J2" s="9">
        <f>IFERROR(__xludf.DUMMYFUNCTION("""COMPUTED_VALUE"""),7.0)</f>
        <v>7</v>
      </c>
      <c r="K2" s="14">
        <f>IFERROR(__xludf.DUMMYFUNCTION("""COMPUTED_VALUE"""),1.0E7)</f>
        <v>10000000</v>
      </c>
      <c r="L2" s="14">
        <f>IFERROR(__xludf.DUMMYFUNCTION("""COMPUTED_VALUE"""),4.0848959E7)</f>
        <v>40848959</v>
      </c>
      <c r="M2" s="14">
        <f>IFERROR(__xludf.DUMMYFUNCTION("""COMPUTED_VALUE"""),9.2963332E7)</f>
        <v>92963332</v>
      </c>
      <c r="N2" s="14">
        <f>IFERROR(__xludf.DUMMYFUNCTION("""COMPUTED_VALUE"""),4.7565587E7)</f>
        <v>47565587</v>
      </c>
    </row>
    <row r="3">
      <c r="A3" s="9">
        <f>IFERROR(__xludf.DUMMYFUNCTION("""COMPUTED_VALUE"""),4.0)</f>
        <v>4</v>
      </c>
      <c r="B3" s="9" t="str">
        <f>IFERROR(__xludf.DUMMYFUNCTION("""COMPUTED_VALUE"""),"Darnall Benedidick")</f>
        <v>Darnall Benedidick</v>
      </c>
      <c r="C3" s="9" t="str">
        <f>IFERROR(__xludf.DUMMYFUNCTION("""COMPUTED_VALUE"""),"dbenedidick3@deviantart.com")</f>
        <v>dbenedidick3@deviantart.com</v>
      </c>
      <c r="D3" s="9" t="str">
        <f>IFERROR(__xludf.DUMMYFUNCTION("""COMPUTED_VALUE"""),"Argentina")</f>
        <v>Argentina</v>
      </c>
      <c r="E3" s="9" t="str">
        <f>IFERROR(__xludf.DUMMYFUNCTION("""COMPUTED_VALUE"""),"Tecnología")</f>
        <v>Tecnología</v>
      </c>
      <c r="F3" s="9" t="str">
        <f>IFERROR(__xludf.DUMMYFUNCTION("""COMPUTED_VALUE"""),"Inversión")</f>
        <v>Inversión</v>
      </c>
      <c r="G3" s="9" t="str">
        <f>IFERROR(__xludf.DUMMYFUNCTION("""COMPUTED_VALUE"""),"Socio de proyecto")</f>
        <v>Socio de proyecto</v>
      </c>
      <c r="H3" s="9" t="str">
        <f>IFERROR(__xludf.DUMMYFUNCTION("""COMPUTED_VALUE"""),"NO")</f>
        <v>NO</v>
      </c>
      <c r="I3" s="9">
        <f>IFERROR(__xludf.DUMMYFUNCTION("""COMPUTED_VALUE"""),4.0)</f>
        <v>4</v>
      </c>
      <c r="J3" s="9">
        <f>IFERROR(__xludf.DUMMYFUNCTION("""COMPUTED_VALUE"""),8.0)</f>
        <v>8</v>
      </c>
      <c r="K3" s="14">
        <f>IFERROR(__xludf.DUMMYFUNCTION("""COMPUTED_VALUE"""),1.0E7)</f>
        <v>10000000</v>
      </c>
      <c r="L3" s="14">
        <f>IFERROR(__xludf.DUMMYFUNCTION("""COMPUTED_VALUE"""),7.830888E7)</f>
        <v>78308880</v>
      </c>
      <c r="M3" s="14">
        <f>IFERROR(__xludf.DUMMYFUNCTION("""COMPUTED_VALUE"""),3248026.0)</f>
        <v>3248026</v>
      </c>
      <c r="N3" s="14">
        <f>IFERROR(__xludf.DUMMYFUNCTION("""COMPUTED_VALUE"""),2.714327E7)</f>
        <v>27143270</v>
      </c>
    </row>
    <row r="4">
      <c r="A4" s="9">
        <f>IFERROR(__xludf.DUMMYFUNCTION("""COMPUTED_VALUE"""),6.0)</f>
        <v>6</v>
      </c>
      <c r="B4" s="9" t="str">
        <f>IFERROR(__xludf.DUMMYFUNCTION("""COMPUTED_VALUE"""),"Harcourt Spreckley")</f>
        <v>Harcourt Spreckley</v>
      </c>
      <c r="C4" s="9" t="str">
        <f>IFERROR(__xludf.DUMMYFUNCTION("""COMPUTED_VALUE"""),"hspreckley5@gnu.org")</f>
        <v>hspreckley5@gnu.org</v>
      </c>
      <c r="D4" s="9" t="str">
        <f>IFERROR(__xludf.DUMMYFUNCTION("""COMPUTED_VALUE"""),"Bolivia")</f>
        <v>Bolivia</v>
      </c>
      <c r="E4" s="9" t="str">
        <f>IFERROR(__xludf.DUMMYFUNCTION("""COMPUTED_VALUE"""),"Tecnología")</f>
        <v>Tecnología</v>
      </c>
      <c r="F4" s="9" t="str">
        <f>IFERROR(__xludf.DUMMYFUNCTION("""COMPUTED_VALUE"""),"Inversión")</f>
        <v>Inversión</v>
      </c>
      <c r="G4" s="9" t="str">
        <f>IFERROR(__xludf.DUMMYFUNCTION("""COMPUTED_VALUE"""),"Socio de proyecto")</f>
        <v>Socio de proyecto</v>
      </c>
      <c r="H4" s="9" t="str">
        <f>IFERROR(__xludf.DUMMYFUNCTION("""COMPUTED_VALUE"""),"NO")</f>
        <v>NO</v>
      </c>
      <c r="I4" s="9">
        <f>IFERROR(__xludf.DUMMYFUNCTION("""COMPUTED_VALUE"""),9.0)</f>
        <v>9</v>
      </c>
      <c r="J4" s="9">
        <f>IFERROR(__xludf.DUMMYFUNCTION("""COMPUTED_VALUE"""),7.0)</f>
        <v>7</v>
      </c>
      <c r="K4" s="14">
        <f>IFERROR(__xludf.DUMMYFUNCTION("""COMPUTED_VALUE"""),9.0E7)</f>
        <v>90000000</v>
      </c>
      <c r="L4" s="14">
        <f>IFERROR(__xludf.DUMMYFUNCTION("""COMPUTED_VALUE"""),5.0075523E7)</f>
        <v>50075523</v>
      </c>
      <c r="M4" s="14">
        <f>IFERROR(__xludf.DUMMYFUNCTION("""COMPUTED_VALUE"""),5.9142617E7)</f>
        <v>59142617</v>
      </c>
      <c r="N4" s="14">
        <f>IFERROR(__xludf.DUMMYFUNCTION("""COMPUTED_VALUE"""),9.5314026E7)</f>
        <v>95314026</v>
      </c>
    </row>
    <row r="5">
      <c r="A5" s="9">
        <f>IFERROR(__xludf.DUMMYFUNCTION("""COMPUTED_VALUE"""),8.0)</f>
        <v>8</v>
      </c>
      <c r="B5" s="9" t="str">
        <f>IFERROR(__xludf.DUMMYFUNCTION("""COMPUTED_VALUE"""),"Tressa Petrescu")</f>
        <v>Tressa Petrescu</v>
      </c>
      <c r="C5" s="9" t="str">
        <f>IFERROR(__xludf.DUMMYFUNCTION("""COMPUTED_VALUE"""),"tpetrescu7@topsy.com")</f>
        <v>tpetrescu7@topsy.com</v>
      </c>
      <c r="D5" s="9" t="str">
        <f>IFERROR(__xludf.DUMMYFUNCTION("""COMPUTED_VALUE"""),"Bolivia")</f>
        <v>Bolivia</v>
      </c>
      <c r="E5" s="9" t="str">
        <f>IFERROR(__xludf.DUMMYFUNCTION("""COMPUTED_VALUE"""),"Tecnología")</f>
        <v>Tecnología</v>
      </c>
      <c r="F5" s="9" t="str">
        <f>IFERROR(__xludf.DUMMYFUNCTION("""COMPUTED_VALUE"""),"Inversión")</f>
        <v>Inversión</v>
      </c>
      <c r="G5" s="9" t="str">
        <f>IFERROR(__xludf.DUMMYFUNCTION("""COMPUTED_VALUE"""),"Socio capitalista")</f>
        <v>Socio capitalista</v>
      </c>
      <c r="H5" s="9" t="str">
        <f>IFERROR(__xludf.DUMMYFUNCTION("""COMPUTED_VALUE"""),"SI")</f>
        <v>SI</v>
      </c>
      <c r="I5" s="9">
        <f>IFERROR(__xludf.DUMMYFUNCTION("""COMPUTED_VALUE"""),8.0)</f>
        <v>8</v>
      </c>
      <c r="J5" s="9">
        <f>IFERROR(__xludf.DUMMYFUNCTION("""COMPUTED_VALUE"""),10.0)</f>
        <v>10</v>
      </c>
      <c r="K5" s="14">
        <f>IFERROR(__xludf.DUMMYFUNCTION("""COMPUTED_VALUE"""),1000000.0)</f>
        <v>1000000</v>
      </c>
      <c r="L5" s="14">
        <f>IFERROR(__xludf.DUMMYFUNCTION("""COMPUTED_VALUE"""),5305190.0)</f>
        <v>5305190</v>
      </c>
      <c r="M5" s="14">
        <f>IFERROR(__xludf.DUMMYFUNCTION("""COMPUTED_VALUE"""),5.3291805E7)</f>
        <v>53291805</v>
      </c>
      <c r="N5" s="14">
        <f>IFERROR(__xludf.DUMMYFUNCTION("""COMPUTED_VALUE"""),8.4809282E7)</f>
        <v>84809282</v>
      </c>
    </row>
    <row r="6">
      <c r="A6" s="9">
        <f>IFERROR(__xludf.DUMMYFUNCTION("""COMPUTED_VALUE"""),11.0)</f>
        <v>11</v>
      </c>
      <c r="B6" s="9" t="str">
        <f>IFERROR(__xludf.DUMMYFUNCTION("""COMPUTED_VALUE"""),"Maje Blaschke")</f>
        <v>Maje Blaschke</v>
      </c>
      <c r="C6" s="9" t="str">
        <f>IFERROR(__xludf.DUMMYFUNCTION("""COMPUTED_VALUE"""),"mblaschkea@sfgate.com")</f>
        <v>mblaschkea@sfgate.com</v>
      </c>
      <c r="D6" s="9" t="str">
        <f>IFERROR(__xludf.DUMMYFUNCTION("""COMPUTED_VALUE"""),"Perú")</f>
        <v>Perú</v>
      </c>
      <c r="E6" s="9" t="str">
        <f>IFERROR(__xludf.DUMMYFUNCTION("""COMPUTED_VALUE"""),"Tecnología")</f>
        <v>Tecnología</v>
      </c>
      <c r="F6" s="9" t="str">
        <f>IFERROR(__xludf.DUMMYFUNCTION("""COMPUTED_VALUE"""),"Inversión")</f>
        <v>Inversión</v>
      </c>
      <c r="G6" s="9" t="str">
        <f>IFERROR(__xludf.DUMMYFUNCTION("""COMPUTED_VALUE"""),"Socio de proyecto")</f>
        <v>Socio de proyecto</v>
      </c>
      <c r="H6" s="9" t="str">
        <f>IFERROR(__xludf.DUMMYFUNCTION("""COMPUTED_VALUE"""),"NO")</f>
        <v>NO</v>
      </c>
      <c r="I6" s="9">
        <f>IFERROR(__xludf.DUMMYFUNCTION("""COMPUTED_VALUE"""),4.0)</f>
        <v>4</v>
      </c>
      <c r="J6" s="9">
        <f>IFERROR(__xludf.DUMMYFUNCTION("""COMPUTED_VALUE"""),5.0)</f>
        <v>5</v>
      </c>
      <c r="K6" s="14">
        <f>IFERROR(__xludf.DUMMYFUNCTION("""COMPUTED_VALUE"""),1000000.0)</f>
        <v>1000000</v>
      </c>
      <c r="L6" s="14">
        <f>IFERROR(__xludf.DUMMYFUNCTION("""COMPUTED_VALUE"""),2.8926771E7)</f>
        <v>28926771</v>
      </c>
      <c r="M6" s="14">
        <f>IFERROR(__xludf.DUMMYFUNCTION("""COMPUTED_VALUE"""),5.693961E7)</f>
        <v>56939610</v>
      </c>
      <c r="N6" s="14">
        <f>IFERROR(__xludf.DUMMYFUNCTION("""COMPUTED_VALUE"""),9.2726884E7)</f>
        <v>92726884</v>
      </c>
    </row>
    <row r="7">
      <c r="A7" s="9">
        <f>IFERROR(__xludf.DUMMYFUNCTION("""COMPUTED_VALUE"""),12.0)</f>
        <v>12</v>
      </c>
      <c r="B7" s="9" t="str">
        <f>IFERROR(__xludf.DUMMYFUNCTION("""COMPUTED_VALUE"""),"Dicky Marriot")</f>
        <v>Dicky Marriot</v>
      </c>
      <c r="C7" s="9" t="str">
        <f>IFERROR(__xludf.DUMMYFUNCTION("""COMPUTED_VALUE"""),"dmarriotb@pinterest.com")</f>
        <v>dmarriotb@pinterest.com</v>
      </c>
      <c r="D7" s="9" t="str">
        <f>IFERROR(__xludf.DUMMYFUNCTION("""COMPUTED_VALUE"""),"Perú")</f>
        <v>Perú</v>
      </c>
      <c r="E7" s="9" t="str">
        <f>IFERROR(__xludf.DUMMYFUNCTION("""COMPUTED_VALUE"""),"Tecnología")</f>
        <v>Tecnología</v>
      </c>
      <c r="F7" s="9" t="str">
        <f>IFERROR(__xludf.DUMMYFUNCTION("""COMPUTED_VALUE"""),"Inversión")</f>
        <v>Inversión</v>
      </c>
      <c r="G7" s="9" t="str">
        <f>IFERROR(__xludf.DUMMYFUNCTION("""COMPUTED_VALUE"""),"Socio de proyecto")</f>
        <v>Socio de proyecto</v>
      </c>
      <c r="H7" s="9" t="str">
        <f>IFERROR(__xludf.DUMMYFUNCTION("""COMPUTED_VALUE"""),"NO")</f>
        <v>NO</v>
      </c>
      <c r="I7" s="9">
        <f>IFERROR(__xludf.DUMMYFUNCTION("""COMPUTED_VALUE"""),3.0)</f>
        <v>3</v>
      </c>
      <c r="J7" s="9">
        <f>IFERROR(__xludf.DUMMYFUNCTION("""COMPUTED_VALUE"""),8.0)</f>
        <v>8</v>
      </c>
      <c r="K7" s="14">
        <f>IFERROR(__xludf.DUMMYFUNCTION("""COMPUTED_VALUE"""),1000000.0)</f>
        <v>1000000</v>
      </c>
      <c r="L7" s="14">
        <f>IFERROR(__xludf.DUMMYFUNCTION("""COMPUTED_VALUE"""),3.4252074E7)</f>
        <v>34252074</v>
      </c>
      <c r="M7" s="14">
        <f>IFERROR(__xludf.DUMMYFUNCTION("""COMPUTED_VALUE"""),0.0)</f>
        <v>0</v>
      </c>
      <c r="N7" s="14">
        <f>IFERROR(__xludf.DUMMYFUNCTION("""COMPUTED_VALUE"""),2.2994819E7)</f>
        <v>22994819</v>
      </c>
    </row>
    <row r="8">
      <c r="A8" s="9">
        <f>IFERROR(__xludf.DUMMYFUNCTION("""COMPUTED_VALUE"""),17.0)</f>
        <v>17</v>
      </c>
      <c r="B8" s="9" t="str">
        <f>IFERROR(__xludf.DUMMYFUNCTION("""COMPUTED_VALUE"""),"Araldo Armfirld")</f>
        <v>Araldo Armfirld</v>
      </c>
      <c r="C8" s="9" t="str">
        <f>IFERROR(__xludf.DUMMYFUNCTION("""COMPUTED_VALUE"""),"aarmfirldg@marketwatch.com")</f>
        <v>aarmfirldg@marketwatch.com</v>
      </c>
      <c r="D8" s="9" t="str">
        <f>IFERROR(__xludf.DUMMYFUNCTION("""COMPUTED_VALUE"""),"Colombia")</f>
        <v>Colombia</v>
      </c>
      <c r="E8" s="9" t="str">
        <f>IFERROR(__xludf.DUMMYFUNCTION("""COMPUTED_VALUE"""),"Tecnología")</f>
        <v>Tecnología</v>
      </c>
      <c r="F8" s="9" t="str">
        <f>IFERROR(__xludf.DUMMYFUNCTION("""COMPUTED_VALUE"""),"Inversión")</f>
        <v>Inversión</v>
      </c>
      <c r="G8" s="9" t="str">
        <f>IFERROR(__xludf.DUMMYFUNCTION("""COMPUTED_VALUE"""),"Socio capitalista")</f>
        <v>Socio capitalista</v>
      </c>
      <c r="H8" s="9" t="str">
        <f>IFERROR(__xludf.DUMMYFUNCTION("""COMPUTED_VALUE"""),"NO")</f>
        <v>NO</v>
      </c>
      <c r="I8" s="9">
        <f>IFERROR(__xludf.DUMMYFUNCTION("""COMPUTED_VALUE"""),5.0)</f>
        <v>5</v>
      </c>
      <c r="J8" s="9">
        <f>IFERROR(__xludf.DUMMYFUNCTION("""COMPUTED_VALUE"""),7.0)</f>
        <v>7</v>
      </c>
      <c r="K8" s="14">
        <f>IFERROR(__xludf.DUMMYFUNCTION("""COMPUTED_VALUE"""),1.0E8)</f>
        <v>100000000</v>
      </c>
      <c r="L8" s="14">
        <f>IFERROR(__xludf.DUMMYFUNCTION("""COMPUTED_VALUE"""),7.2903049E7)</f>
        <v>72903049</v>
      </c>
      <c r="M8" s="14">
        <f>IFERROR(__xludf.DUMMYFUNCTION("""COMPUTED_VALUE"""),6.7375493E7)</f>
        <v>67375493</v>
      </c>
      <c r="N8" s="14">
        <f>IFERROR(__xludf.DUMMYFUNCTION("""COMPUTED_VALUE"""),4753995.0)</f>
        <v>4753995</v>
      </c>
    </row>
    <row r="9">
      <c r="A9" s="9">
        <f>IFERROR(__xludf.DUMMYFUNCTION("""COMPUTED_VALUE"""),20.0)</f>
        <v>20</v>
      </c>
      <c r="B9" s="9" t="str">
        <f>IFERROR(__xludf.DUMMYFUNCTION("""COMPUTED_VALUE"""),"Cassaundra Fitton")</f>
        <v>Cassaundra Fitton</v>
      </c>
      <c r="C9" s="9" t="str">
        <f>IFERROR(__xludf.DUMMYFUNCTION("""COMPUTED_VALUE"""),"cfittonj@plala.or.jp")</f>
        <v>cfittonj@plala.or.jp</v>
      </c>
      <c r="D9" s="9" t="str">
        <f>IFERROR(__xludf.DUMMYFUNCTION("""COMPUTED_VALUE"""),"Colombia")</f>
        <v>Colombia</v>
      </c>
      <c r="E9" s="9" t="str">
        <f>IFERROR(__xludf.DUMMYFUNCTION("""COMPUTED_VALUE"""),"Tecnología")</f>
        <v>Tecnología</v>
      </c>
      <c r="F9" s="9" t="str">
        <f>IFERROR(__xludf.DUMMYFUNCTION("""COMPUTED_VALUE"""),"Inversión")</f>
        <v>Inversión</v>
      </c>
      <c r="G9" s="9" t="str">
        <f>IFERROR(__xludf.DUMMYFUNCTION("""COMPUTED_VALUE"""),"Socio de proyecto")</f>
        <v>Socio de proyecto</v>
      </c>
      <c r="H9" s="9" t="str">
        <f>IFERROR(__xludf.DUMMYFUNCTION("""COMPUTED_VALUE"""),"NO")</f>
        <v>NO</v>
      </c>
      <c r="I9" s="9">
        <f>IFERROR(__xludf.DUMMYFUNCTION("""COMPUTED_VALUE"""),5.0)</f>
        <v>5</v>
      </c>
      <c r="J9" s="9">
        <f>IFERROR(__xludf.DUMMYFUNCTION("""COMPUTED_VALUE"""),6.0)</f>
        <v>6</v>
      </c>
      <c r="K9" s="14">
        <f>IFERROR(__xludf.DUMMYFUNCTION("""COMPUTED_VALUE"""),1000000.0)</f>
        <v>1000000</v>
      </c>
      <c r="L9" s="14">
        <f>IFERROR(__xludf.DUMMYFUNCTION("""COMPUTED_VALUE"""),9.6696256E7)</f>
        <v>96696256</v>
      </c>
      <c r="M9" s="14">
        <f>IFERROR(__xludf.DUMMYFUNCTION("""COMPUTED_VALUE"""),6.2106884E7)</f>
        <v>62106884</v>
      </c>
      <c r="N9" s="14">
        <f>IFERROR(__xludf.DUMMYFUNCTION("""COMPUTED_VALUE"""),8.522819E7)</f>
        <v>85228190</v>
      </c>
    </row>
    <row r="10">
      <c r="A10" s="9">
        <f>IFERROR(__xludf.DUMMYFUNCTION("""COMPUTED_VALUE"""),21.0)</f>
        <v>21</v>
      </c>
      <c r="B10" s="9" t="str">
        <f>IFERROR(__xludf.DUMMYFUNCTION("""COMPUTED_VALUE"""),"Dilan Spuner")</f>
        <v>Dilan Spuner</v>
      </c>
      <c r="C10" s="9" t="str">
        <f>IFERROR(__xludf.DUMMYFUNCTION("""COMPUTED_VALUE"""),"dspunerk@slate.com")</f>
        <v>dspunerk@slate.com</v>
      </c>
      <c r="D10" s="9" t="str">
        <f>IFERROR(__xludf.DUMMYFUNCTION("""COMPUTED_VALUE"""),"Brasil")</f>
        <v>Brasil</v>
      </c>
      <c r="E10" s="9" t="str">
        <f>IFERROR(__xludf.DUMMYFUNCTION("""COMPUTED_VALUE"""),"Tecnología")</f>
        <v>Tecnología</v>
      </c>
      <c r="F10" s="9" t="str">
        <f>IFERROR(__xludf.DUMMYFUNCTION("""COMPUTED_VALUE"""),"Inversión")</f>
        <v>Inversión</v>
      </c>
      <c r="G10" s="9" t="str">
        <f>IFERROR(__xludf.DUMMYFUNCTION("""COMPUTED_VALUE"""),"Socio de proyecto")</f>
        <v>Socio de proyecto</v>
      </c>
      <c r="H10" s="9" t="str">
        <f>IFERROR(__xludf.DUMMYFUNCTION("""COMPUTED_VALUE"""),"NO")</f>
        <v>NO</v>
      </c>
      <c r="I10" s="9">
        <f>IFERROR(__xludf.DUMMYFUNCTION("""COMPUTED_VALUE"""),6.0)</f>
        <v>6</v>
      </c>
      <c r="J10" s="9">
        <f>IFERROR(__xludf.DUMMYFUNCTION("""COMPUTED_VALUE"""),7.0)</f>
        <v>7</v>
      </c>
      <c r="K10" s="14">
        <f>IFERROR(__xludf.DUMMYFUNCTION("""COMPUTED_VALUE"""),1.0E7)</f>
        <v>10000000</v>
      </c>
      <c r="L10" s="14">
        <f>IFERROR(__xludf.DUMMYFUNCTION("""COMPUTED_VALUE"""),5.1531809E7)</f>
        <v>51531809</v>
      </c>
      <c r="M10" s="14">
        <f>IFERROR(__xludf.DUMMYFUNCTION("""COMPUTED_VALUE"""),9.9819688E7)</f>
        <v>99819688</v>
      </c>
      <c r="N10" s="14">
        <f>IFERROR(__xludf.DUMMYFUNCTION("""COMPUTED_VALUE"""),2.4233431E7)</f>
        <v>24233431</v>
      </c>
    </row>
    <row r="11">
      <c r="A11" s="9">
        <f>IFERROR(__xludf.DUMMYFUNCTION("""COMPUTED_VALUE"""),25.0)</f>
        <v>25</v>
      </c>
      <c r="B11" s="9" t="str">
        <f>IFERROR(__xludf.DUMMYFUNCTION("""COMPUTED_VALUE"""),"Colet Misk")</f>
        <v>Colet Misk</v>
      </c>
      <c r="C11" s="9" t="str">
        <f>IFERROR(__xludf.DUMMYFUNCTION("""COMPUTED_VALUE"""),"cmisko@tripadvisor.com")</f>
        <v>cmisko@tripadvisor.com</v>
      </c>
      <c r="D11" s="9" t="str">
        <f>IFERROR(__xludf.DUMMYFUNCTION("""COMPUTED_VALUE"""),"Ecuador")</f>
        <v>Ecuador</v>
      </c>
      <c r="E11" s="9" t="str">
        <f>IFERROR(__xludf.DUMMYFUNCTION("""COMPUTED_VALUE"""),"Tecnología")</f>
        <v>Tecnología</v>
      </c>
      <c r="F11" s="9" t="str">
        <f>IFERROR(__xludf.DUMMYFUNCTION("""COMPUTED_VALUE"""),"Inversión")</f>
        <v>Inversión</v>
      </c>
      <c r="G11" s="9" t="str">
        <f>IFERROR(__xludf.DUMMYFUNCTION("""COMPUTED_VALUE"""),"Socio capitalista")</f>
        <v>Socio capitalista</v>
      </c>
      <c r="H11" s="9" t="str">
        <f>IFERROR(__xludf.DUMMYFUNCTION("""COMPUTED_VALUE"""),"NO")</f>
        <v>NO</v>
      </c>
      <c r="I11" s="9">
        <f>IFERROR(__xludf.DUMMYFUNCTION("""COMPUTED_VALUE"""),9.0)</f>
        <v>9</v>
      </c>
      <c r="J11" s="9">
        <f>IFERROR(__xludf.DUMMYFUNCTION("""COMPUTED_VALUE"""),10.0)</f>
        <v>10</v>
      </c>
      <c r="K11" s="14">
        <f>IFERROR(__xludf.DUMMYFUNCTION("""COMPUTED_VALUE"""),9.0E7)</f>
        <v>90000000</v>
      </c>
      <c r="L11" s="14">
        <f>IFERROR(__xludf.DUMMYFUNCTION("""COMPUTED_VALUE"""),6.208818E7)</f>
        <v>62088180</v>
      </c>
      <c r="M11" s="14">
        <f>IFERROR(__xludf.DUMMYFUNCTION("""COMPUTED_VALUE"""),1.8047519E7)</f>
        <v>18047519</v>
      </c>
      <c r="N11" s="14">
        <f>IFERROR(__xludf.DUMMYFUNCTION("""COMPUTED_VALUE"""),3738158.0)</f>
        <v>3738158</v>
      </c>
    </row>
    <row r="12">
      <c r="A12" s="9">
        <f>IFERROR(__xludf.DUMMYFUNCTION("""COMPUTED_VALUE"""),29.0)</f>
        <v>29</v>
      </c>
      <c r="B12" s="9" t="str">
        <f>IFERROR(__xludf.DUMMYFUNCTION("""COMPUTED_VALUE"""),"Fredrika Djuricic")</f>
        <v>Fredrika Djuricic</v>
      </c>
      <c r="C12" s="9" t="str">
        <f>IFERROR(__xludf.DUMMYFUNCTION("""COMPUTED_VALUE"""),"fdjuricics@360.cn")</f>
        <v>fdjuricics@360.cn</v>
      </c>
      <c r="D12" s="9" t="str">
        <f>IFERROR(__xludf.DUMMYFUNCTION("""COMPUTED_VALUE"""),"Brasil")</f>
        <v>Brasil</v>
      </c>
      <c r="E12" s="9" t="str">
        <f>IFERROR(__xludf.DUMMYFUNCTION("""COMPUTED_VALUE"""),"Tecnología")</f>
        <v>Tecnología</v>
      </c>
      <c r="F12" s="9" t="str">
        <f>IFERROR(__xludf.DUMMYFUNCTION("""COMPUTED_VALUE"""),"Inversión")</f>
        <v>Inversión</v>
      </c>
      <c r="G12" s="9" t="str">
        <f>IFERROR(__xludf.DUMMYFUNCTION("""COMPUTED_VALUE"""),"Socio de proyecto")</f>
        <v>Socio de proyecto</v>
      </c>
      <c r="H12" s="9" t="str">
        <f>IFERROR(__xludf.DUMMYFUNCTION("""COMPUTED_VALUE"""),"NO")</f>
        <v>NO</v>
      </c>
      <c r="I12" s="9">
        <f>IFERROR(__xludf.DUMMYFUNCTION("""COMPUTED_VALUE"""),8.0)</f>
        <v>8</v>
      </c>
      <c r="J12" s="9">
        <f>IFERROR(__xludf.DUMMYFUNCTION("""COMPUTED_VALUE"""),7.0)</f>
        <v>7</v>
      </c>
      <c r="K12" s="14">
        <f>IFERROR(__xludf.DUMMYFUNCTION("""COMPUTED_VALUE"""),9.0E7)</f>
        <v>90000000</v>
      </c>
      <c r="L12" s="14">
        <f>IFERROR(__xludf.DUMMYFUNCTION("""COMPUTED_VALUE"""),2.3888885E7)</f>
        <v>23888885</v>
      </c>
      <c r="M12" s="14">
        <f>IFERROR(__xludf.DUMMYFUNCTION("""COMPUTED_VALUE"""),6.8725539E7)</f>
        <v>68725539</v>
      </c>
      <c r="N12" s="14">
        <f>IFERROR(__xludf.DUMMYFUNCTION("""COMPUTED_VALUE"""),7.8613526E7)</f>
        <v>78613526</v>
      </c>
    </row>
    <row r="13">
      <c r="A13" s="9">
        <f>IFERROR(__xludf.DUMMYFUNCTION("""COMPUTED_VALUE"""),33.0)</f>
        <v>33</v>
      </c>
      <c r="B13" s="9" t="str">
        <f>IFERROR(__xludf.DUMMYFUNCTION("""COMPUTED_VALUE"""),"Carolyne Fudge")</f>
        <v>Carolyne Fudge</v>
      </c>
      <c r="C13" s="9" t="str">
        <f>IFERROR(__xludf.DUMMYFUNCTION("""COMPUTED_VALUE"""),"cfudgew@google.es")</f>
        <v>cfudgew@google.es</v>
      </c>
      <c r="D13" s="9" t="str">
        <f>IFERROR(__xludf.DUMMYFUNCTION("""COMPUTED_VALUE"""),"Perú")</f>
        <v>Perú</v>
      </c>
      <c r="E13" s="9" t="str">
        <f>IFERROR(__xludf.DUMMYFUNCTION("""COMPUTED_VALUE"""),"Tecnología")</f>
        <v>Tecnología</v>
      </c>
      <c r="F13" s="9" t="str">
        <f>IFERROR(__xludf.DUMMYFUNCTION("""COMPUTED_VALUE"""),"Inversión")</f>
        <v>Inversión</v>
      </c>
      <c r="G13" s="9" t="str">
        <f>IFERROR(__xludf.DUMMYFUNCTION("""COMPUTED_VALUE"""),"Socio capitalista")</f>
        <v>Socio capitalista</v>
      </c>
      <c r="H13" s="9" t="str">
        <f>IFERROR(__xludf.DUMMYFUNCTION("""COMPUTED_VALUE"""),"NO")</f>
        <v>NO</v>
      </c>
      <c r="I13" s="9">
        <f>IFERROR(__xludf.DUMMYFUNCTION("""COMPUTED_VALUE"""),6.0)</f>
        <v>6</v>
      </c>
      <c r="J13" s="9">
        <f>IFERROR(__xludf.DUMMYFUNCTION("""COMPUTED_VALUE"""),7.0)</f>
        <v>7</v>
      </c>
      <c r="K13" s="14">
        <f>IFERROR(__xludf.DUMMYFUNCTION("""COMPUTED_VALUE"""),1.0E7)</f>
        <v>10000000</v>
      </c>
      <c r="L13" s="14">
        <f>IFERROR(__xludf.DUMMYFUNCTION("""COMPUTED_VALUE"""),2.2390348E7)</f>
        <v>22390348</v>
      </c>
      <c r="M13" s="14">
        <f>IFERROR(__xludf.DUMMYFUNCTION("""COMPUTED_VALUE"""),2.4476166E7)</f>
        <v>24476166</v>
      </c>
      <c r="N13" s="14">
        <f>IFERROR(__xludf.DUMMYFUNCTION("""COMPUTED_VALUE"""),0.0)</f>
        <v>0</v>
      </c>
    </row>
    <row r="14">
      <c r="A14" s="9">
        <f>IFERROR(__xludf.DUMMYFUNCTION("""COMPUTED_VALUE"""),37.0)</f>
        <v>37</v>
      </c>
      <c r="B14" s="9" t="str">
        <f>IFERROR(__xludf.DUMMYFUNCTION("""COMPUTED_VALUE"""),"Dusty Backs")</f>
        <v>Dusty Backs</v>
      </c>
      <c r="C14" s="9" t="str">
        <f>IFERROR(__xludf.DUMMYFUNCTION("""COMPUTED_VALUE"""),"dbacks10@aol.com")</f>
        <v>dbacks10@aol.com</v>
      </c>
      <c r="D14" s="9" t="str">
        <f>IFERROR(__xludf.DUMMYFUNCTION("""COMPUTED_VALUE"""),"Paraguay")</f>
        <v>Paraguay</v>
      </c>
      <c r="E14" s="9" t="str">
        <f>IFERROR(__xludf.DUMMYFUNCTION("""COMPUTED_VALUE"""),"Tecnología")</f>
        <v>Tecnología</v>
      </c>
      <c r="F14" s="9" t="str">
        <f>IFERROR(__xludf.DUMMYFUNCTION("""COMPUTED_VALUE"""),"Inversión")</f>
        <v>Inversión</v>
      </c>
      <c r="G14" s="9" t="str">
        <f>IFERROR(__xludf.DUMMYFUNCTION("""COMPUTED_VALUE"""),"Socio capitalista")</f>
        <v>Socio capitalista</v>
      </c>
      <c r="H14" s="9" t="str">
        <f>IFERROR(__xludf.DUMMYFUNCTION("""COMPUTED_VALUE"""),"NO")</f>
        <v>NO</v>
      </c>
      <c r="I14" s="9">
        <f>IFERROR(__xludf.DUMMYFUNCTION("""COMPUTED_VALUE"""),9.0)</f>
        <v>9</v>
      </c>
      <c r="J14" s="9">
        <f>IFERROR(__xludf.DUMMYFUNCTION("""COMPUTED_VALUE"""),7.0)</f>
        <v>7</v>
      </c>
      <c r="K14" s="14">
        <f>IFERROR(__xludf.DUMMYFUNCTION("""COMPUTED_VALUE"""),3.0E7)</f>
        <v>30000000</v>
      </c>
      <c r="L14" s="14">
        <f>IFERROR(__xludf.DUMMYFUNCTION("""COMPUTED_VALUE"""),9.1413171E7)</f>
        <v>91413171</v>
      </c>
      <c r="M14" s="14">
        <f>IFERROR(__xludf.DUMMYFUNCTION("""COMPUTED_VALUE"""),1.3211402E7)</f>
        <v>13211402</v>
      </c>
      <c r="N14" s="14">
        <f>IFERROR(__xludf.DUMMYFUNCTION("""COMPUTED_VALUE"""),0.0)</f>
        <v>0</v>
      </c>
    </row>
    <row r="15">
      <c r="A15" s="9">
        <f>IFERROR(__xludf.DUMMYFUNCTION("""COMPUTED_VALUE"""),40.0)</f>
        <v>40</v>
      </c>
      <c r="B15" s="9" t="str">
        <f>IFERROR(__xludf.DUMMYFUNCTION("""COMPUTED_VALUE"""),"Mollee Whithalgh")</f>
        <v>Mollee Whithalgh</v>
      </c>
      <c r="C15" s="9" t="str">
        <f>IFERROR(__xludf.DUMMYFUNCTION("""COMPUTED_VALUE"""),"mwhithalgh13@elegantthemes.com")</f>
        <v>mwhithalgh13@elegantthemes.com</v>
      </c>
      <c r="D15" s="9" t="str">
        <f>IFERROR(__xludf.DUMMYFUNCTION("""COMPUTED_VALUE"""),"Ecuador")</f>
        <v>Ecuador</v>
      </c>
      <c r="E15" s="9" t="str">
        <f>IFERROR(__xludf.DUMMYFUNCTION("""COMPUTED_VALUE"""),"Tecnología")</f>
        <v>Tecnología</v>
      </c>
      <c r="F15" s="9" t="str">
        <f>IFERROR(__xludf.DUMMYFUNCTION("""COMPUTED_VALUE"""),"Inversión")</f>
        <v>Inversión</v>
      </c>
      <c r="G15" s="9" t="str">
        <f>IFERROR(__xludf.DUMMYFUNCTION("""COMPUTED_VALUE"""),"Socio de proyecto")</f>
        <v>Socio de proyecto</v>
      </c>
      <c r="H15" s="9" t="str">
        <f>IFERROR(__xludf.DUMMYFUNCTION("""COMPUTED_VALUE"""),"NO")</f>
        <v>NO</v>
      </c>
      <c r="I15" s="9">
        <f>IFERROR(__xludf.DUMMYFUNCTION("""COMPUTED_VALUE"""),9.0)</f>
        <v>9</v>
      </c>
      <c r="J15" s="9">
        <f>IFERROR(__xludf.DUMMYFUNCTION("""COMPUTED_VALUE"""),5.0)</f>
        <v>5</v>
      </c>
      <c r="K15" s="14">
        <f>IFERROR(__xludf.DUMMYFUNCTION("""COMPUTED_VALUE"""),1.0E7)</f>
        <v>10000000</v>
      </c>
      <c r="L15" s="14">
        <f>IFERROR(__xludf.DUMMYFUNCTION("""COMPUTED_VALUE"""),4.3538967E7)</f>
        <v>43538967</v>
      </c>
      <c r="M15" s="14">
        <f>IFERROR(__xludf.DUMMYFUNCTION("""COMPUTED_VALUE"""),5161300.0)</f>
        <v>5161300</v>
      </c>
      <c r="N15" s="14">
        <f>IFERROR(__xludf.DUMMYFUNCTION("""COMPUTED_VALUE"""),8.5417673E7)</f>
        <v>85417673</v>
      </c>
    </row>
    <row r="16">
      <c r="A16" s="9">
        <f>IFERROR(__xludf.DUMMYFUNCTION("""COMPUTED_VALUE"""),41.0)</f>
        <v>41</v>
      </c>
      <c r="B16" s="9" t="str">
        <f>IFERROR(__xludf.DUMMYFUNCTION("""COMPUTED_VALUE"""),"Ralph McFaul")</f>
        <v>Ralph McFaul</v>
      </c>
      <c r="C16" s="9" t="str">
        <f>IFERROR(__xludf.DUMMYFUNCTION("""COMPUTED_VALUE"""),"rmcfaul14@1688.com")</f>
        <v>rmcfaul14@1688.com</v>
      </c>
      <c r="D16" s="9" t="str">
        <f>IFERROR(__xludf.DUMMYFUNCTION("""COMPUTED_VALUE"""),"Uruguay")</f>
        <v>Uruguay</v>
      </c>
      <c r="E16" s="9" t="str">
        <f>IFERROR(__xludf.DUMMYFUNCTION("""COMPUTED_VALUE"""),"Tecnología")</f>
        <v>Tecnología</v>
      </c>
      <c r="F16" s="9" t="str">
        <f>IFERROR(__xludf.DUMMYFUNCTION("""COMPUTED_VALUE"""),"Inversión")</f>
        <v>Inversión</v>
      </c>
      <c r="G16" s="9" t="str">
        <f>IFERROR(__xludf.DUMMYFUNCTION("""COMPUTED_VALUE"""),"Socio de proyecto")</f>
        <v>Socio de proyecto</v>
      </c>
      <c r="H16" s="9" t="str">
        <f>IFERROR(__xludf.DUMMYFUNCTION("""COMPUTED_VALUE"""),"SI")</f>
        <v>SI</v>
      </c>
      <c r="I16" s="9">
        <f>IFERROR(__xludf.DUMMYFUNCTION("""COMPUTED_VALUE"""),6.0)</f>
        <v>6</v>
      </c>
      <c r="J16" s="9">
        <f>IFERROR(__xludf.DUMMYFUNCTION("""COMPUTED_VALUE"""),10.0)</f>
        <v>10</v>
      </c>
      <c r="K16" s="14">
        <f>IFERROR(__xludf.DUMMYFUNCTION("""COMPUTED_VALUE"""),1000000.0)</f>
        <v>1000000</v>
      </c>
      <c r="L16" s="14">
        <f>IFERROR(__xludf.DUMMYFUNCTION("""COMPUTED_VALUE"""),9.5899452E7)</f>
        <v>95899452</v>
      </c>
      <c r="M16" s="14">
        <f>IFERROR(__xludf.DUMMYFUNCTION("""COMPUTED_VALUE"""),2565664.0)</f>
        <v>2565664</v>
      </c>
      <c r="N16" s="14">
        <f>IFERROR(__xludf.DUMMYFUNCTION("""COMPUTED_VALUE"""),3.9602953E7)</f>
        <v>39602953</v>
      </c>
    </row>
    <row r="17">
      <c r="A17" s="9">
        <f>IFERROR(__xludf.DUMMYFUNCTION("""COMPUTED_VALUE"""),42.0)</f>
        <v>42</v>
      </c>
      <c r="B17" s="9" t="str">
        <f>IFERROR(__xludf.DUMMYFUNCTION("""COMPUTED_VALUE"""),"Derward Glenfield")</f>
        <v>Derward Glenfield</v>
      </c>
      <c r="C17" s="9" t="str">
        <f>IFERROR(__xludf.DUMMYFUNCTION("""COMPUTED_VALUE"""),"dglenfield15@technorati.com")</f>
        <v>dglenfield15@technorati.com</v>
      </c>
      <c r="D17" s="9" t="str">
        <f>IFERROR(__xludf.DUMMYFUNCTION("""COMPUTED_VALUE"""),"Colombia")</f>
        <v>Colombia</v>
      </c>
      <c r="E17" s="9" t="str">
        <f>IFERROR(__xludf.DUMMYFUNCTION("""COMPUTED_VALUE"""),"Tecnología")</f>
        <v>Tecnología</v>
      </c>
      <c r="F17" s="9" t="str">
        <f>IFERROR(__xludf.DUMMYFUNCTION("""COMPUTED_VALUE"""),"Inversión")</f>
        <v>Inversión</v>
      </c>
      <c r="G17" s="9" t="str">
        <f>IFERROR(__xludf.DUMMYFUNCTION("""COMPUTED_VALUE"""),"Socio de proyecto")</f>
        <v>Socio de proyecto</v>
      </c>
      <c r="H17" s="9" t="str">
        <f>IFERROR(__xludf.DUMMYFUNCTION("""COMPUTED_VALUE"""),"SI")</f>
        <v>SI</v>
      </c>
      <c r="I17" s="9">
        <f>IFERROR(__xludf.DUMMYFUNCTION("""COMPUTED_VALUE"""),8.0)</f>
        <v>8</v>
      </c>
      <c r="J17" s="9">
        <f>IFERROR(__xludf.DUMMYFUNCTION("""COMPUTED_VALUE"""),8.0)</f>
        <v>8</v>
      </c>
      <c r="K17" s="14">
        <f>IFERROR(__xludf.DUMMYFUNCTION("""COMPUTED_VALUE"""),1000000.0)</f>
        <v>1000000</v>
      </c>
      <c r="L17" s="14">
        <f>IFERROR(__xludf.DUMMYFUNCTION("""COMPUTED_VALUE"""),8.1347428E7)</f>
        <v>81347428</v>
      </c>
      <c r="M17" s="14">
        <f>IFERROR(__xludf.DUMMYFUNCTION("""COMPUTED_VALUE"""),1.0860215E7)</f>
        <v>10860215</v>
      </c>
      <c r="N17" s="14">
        <f>IFERROR(__xludf.DUMMYFUNCTION("""COMPUTED_VALUE"""),2.863729E7)</f>
        <v>28637290</v>
      </c>
    </row>
    <row r="18">
      <c r="A18" s="9">
        <f>IFERROR(__xludf.DUMMYFUNCTION("""COMPUTED_VALUE"""),44.0)</f>
        <v>44</v>
      </c>
      <c r="B18" s="9" t="str">
        <f>IFERROR(__xludf.DUMMYFUNCTION("""COMPUTED_VALUE"""),"Janenna Pook")</f>
        <v>Janenna Pook</v>
      </c>
      <c r="C18" s="9" t="str">
        <f>IFERROR(__xludf.DUMMYFUNCTION("""COMPUTED_VALUE"""),"jpook17@weebly.com")</f>
        <v>jpook17@weebly.com</v>
      </c>
      <c r="D18" s="9" t="str">
        <f>IFERROR(__xludf.DUMMYFUNCTION("""COMPUTED_VALUE"""),"Argentina")</f>
        <v>Argentina</v>
      </c>
      <c r="E18" s="9" t="str">
        <f>IFERROR(__xludf.DUMMYFUNCTION("""COMPUTED_VALUE"""),"Tecnología")</f>
        <v>Tecnología</v>
      </c>
      <c r="F18" s="9" t="str">
        <f>IFERROR(__xludf.DUMMYFUNCTION("""COMPUTED_VALUE"""),"Inversión")</f>
        <v>Inversión</v>
      </c>
      <c r="G18" s="9" t="str">
        <f>IFERROR(__xludf.DUMMYFUNCTION("""COMPUTED_VALUE"""),"Socio de proyecto")</f>
        <v>Socio de proyecto</v>
      </c>
      <c r="H18" s="9" t="str">
        <f>IFERROR(__xludf.DUMMYFUNCTION("""COMPUTED_VALUE"""),"SI")</f>
        <v>SI</v>
      </c>
      <c r="I18" s="9">
        <f>IFERROR(__xludf.DUMMYFUNCTION("""COMPUTED_VALUE"""),7.0)</f>
        <v>7</v>
      </c>
      <c r="J18" s="9">
        <f>IFERROR(__xludf.DUMMYFUNCTION("""COMPUTED_VALUE"""),5.0)</f>
        <v>5</v>
      </c>
      <c r="K18" s="14">
        <f>IFERROR(__xludf.DUMMYFUNCTION("""COMPUTED_VALUE"""),1.0E7)</f>
        <v>10000000</v>
      </c>
      <c r="L18" s="14">
        <f>IFERROR(__xludf.DUMMYFUNCTION("""COMPUTED_VALUE"""),9.6199053E7)</f>
        <v>96199053</v>
      </c>
      <c r="M18" s="14">
        <f>IFERROR(__xludf.DUMMYFUNCTION("""COMPUTED_VALUE"""),3.1746355E7)</f>
        <v>31746355</v>
      </c>
      <c r="N18" s="14">
        <f>IFERROR(__xludf.DUMMYFUNCTION("""COMPUTED_VALUE"""),8.0063468E7)</f>
        <v>80063468</v>
      </c>
    </row>
    <row r="19">
      <c r="A19" s="9">
        <f>IFERROR(__xludf.DUMMYFUNCTION("""COMPUTED_VALUE"""),45.0)</f>
        <v>45</v>
      </c>
      <c r="B19" s="9" t="str">
        <f>IFERROR(__xludf.DUMMYFUNCTION("""COMPUTED_VALUE"""),"Minor Vasyukhnov")</f>
        <v>Minor Vasyukhnov</v>
      </c>
      <c r="C19" s="9" t="str">
        <f>IFERROR(__xludf.DUMMYFUNCTION("""COMPUTED_VALUE"""),"mvasyukhnov18@amazonaws.com")</f>
        <v>mvasyukhnov18@amazonaws.com</v>
      </c>
      <c r="D19" s="9" t="str">
        <f>IFERROR(__xludf.DUMMYFUNCTION("""COMPUTED_VALUE"""),"Uruguay")</f>
        <v>Uruguay</v>
      </c>
      <c r="E19" s="9" t="str">
        <f>IFERROR(__xludf.DUMMYFUNCTION("""COMPUTED_VALUE"""),"Tecnología")</f>
        <v>Tecnología</v>
      </c>
      <c r="F19" s="9" t="str">
        <f>IFERROR(__xludf.DUMMYFUNCTION("""COMPUTED_VALUE"""),"Inversión")</f>
        <v>Inversión</v>
      </c>
      <c r="G19" s="9" t="str">
        <f>IFERROR(__xludf.DUMMYFUNCTION("""COMPUTED_VALUE"""),"Socio de proyecto")</f>
        <v>Socio de proyecto</v>
      </c>
      <c r="H19" s="9" t="str">
        <f>IFERROR(__xludf.DUMMYFUNCTION("""COMPUTED_VALUE"""),"NO")</f>
        <v>NO</v>
      </c>
      <c r="I19" s="9">
        <f>IFERROR(__xludf.DUMMYFUNCTION("""COMPUTED_VALUE"""),5.0)</f>
        <v>5</v>
      </c>
      <c r="J19" s="9">
        <f>IFERROR(__xludf.DUMMYFUNCTION("""COMPUTED_VALUE"""),7.0)</f>
        <v>7</v>
      </c>
      <c r="K19" s="14">
        <f>IFERROR(__xludf.DUMMYFUNCTION("""COMPUTED_VALUE"""),1000000.0)</f>
        <v>1000000</v>
      </c>
      <c r="L19" s="14">
        <f>IFERROR(__xludf.DUMMYFUNCTION("""COMPUTED_VALUE"""),7.1783742E7)</f>
        <v>71783742</v>
      </c>
      <c r="M19" s="14">
        <f>IFERROR(__xludf.DUMMYFUNCTION("""COMPUTED_VALUE"""),6.4667814E7)</f>
        <v>64667814</v>
      </c>
      <c r="N19" s="14">
        <f>IFERROR(__xludf.DUMMYFUNCTION("""COMPUTED_VALUE"""),7.065318E7)</f>
        <v>70653180</v>
      </c>
    </row>
    <row r="20">
      <c r="A20" s="9">
        <f>IFERROR(__xludf.DUMMYFUNCTION("""COMPUTED_VALUE"""),48.0)</f>
        <v>48</v>
      </c>
      <c r="B20" s="9" t="str">
        <f>IFERROR(__xludf.DUMMYFUNCTION("""COMPUTED_VALUE"""),"Lila Oiseau")</f>
        <v>Lila Oiseau</v>
      </c>
      <c r="C20" s="9" t="str">
        <f>IFERROR(__xludf.DUMMYFUNCTION("""COMPUTED_VALUE"""),"loiseau1b@indiatimes.com")</f>
        <v>loiseau1b@indiatimes.com</v>
      </c>
      <c r="D20" s="9" t="str">
        <f>IFERROR(__xludf.DUMMYFUNCTION("""COMPUTED_VALUE"""),"Ecuador")</f>
        <v>Ecuador</v>
      </c>
      <c r="E20" s="9" t="str">
        <f>IFERROR(__xludf.DUMMYFUNCTION("""COMPUTED_VALUE"""),"Tecnología")</f>
        <v>Tecnología</v>
      </c>
      <c r="F20" s="9" t="str">
        <f>IFERROR(__xludf.DUMMYFUNCTION("""COMPUTED_VALUE"""),"Inversión")</f>
        <v>Inversión</v>
      </c>
      <c r="G20" s="9" t="str">
        <f>IFERROR(__xludf.DUMMYFUNCTION("""COMPUTED_VALUE"""),"Socio de proyecto")</f>
        <v>Socio de proyecto</v>
      </c>
      <c r="H20" s="9" t="str">
        <f>IFERROR(__xludf.DUMMYFUNCTION("""COMPUTED_VALUE"""),"SI")</f>
        <v>SI</v>
      </c>
      <c r="I20" s="9">
        <f>IFERROR(__xludf.DUMMYFUNCTION("""COMPUTED_VALUE"""),5.0)</f>
        <v>5</v>
      </c>
      <c r="J20" s="9">
        <f>IFERROR(__xludf.DUMMYFUNCTION("""COMPUTED_VALUE"""),6.0)</f>
        <v>6</v>
      </c>
      <c r="K20" s="14">
        <f>IFERROR(__xludf.DUMMYFUNCTION("""COMPUTED_VALUE"""),3.0E7)</f>
        <v>30000000</v>
      </c>
      <c r="L20" s="14">
        <f>IFERROR(__xludf.DUMMYFUNCTION("""COMPUTED_VALUE"""),3.3477783E7)</f>
        <v>33477783</v>
      </c>
      <c r="M20" s="14">
        <f>IFERROR(__xludf.DUMMYFUNCTION("""COMPUTED_VALUE"""),0.0)</f>
        <v>0</v>
      </c>
      <c r="N20" s="14">
        <f>IFERROR(__xludf.DUMMYFUNCTION("""COMPUTED_VALUE"""),2.7651635E7)</f>
        <v>27651635</v>
      </c>
    </row>
    <row r="21">
      <c r="A21" s="9">
        <f>IFERROR(__xludf.DUMMYFUNCTION("""COMPUTED_VALUE"""),50.0)</f>
        <v>50</v>
      </c>
      <c r="B21" s="9" t="str">
        <f>IFERROR(__xludf.DUMMYFUNCTION("""COMPUTED_VALUE"""),"Ernestine Tarbath")</f>
        <v>Ernestine Tarbath</v>
      </c>
      <c r="C21" s="9" t="str">
        <f>IFERROR(__xludf.DUMMYFUNCTION("""COMPUTED_VALUE"""),"etarbath1d@globo.com")</f>
        <v>etarbath1d@globo.com</v>
      </c>
      <c r="D21" s="9" t="str">
        <f>IFERROR(__xludf.DUMMYFUNCTION("""COMPUTED_VALUE"""),"Paraguay")</f>
        <v>Paraguay</v>
      </c>
      <c r="E21" s="9" t="str">
        <f>IFERROR(__xludf.DUMMYFUNCTION("""COMPUTED_VALUE"""),"Tecnología")</f>
        <v>Tecnología</v>
      </c>
      <c r="F21" s="9" t="str">
        <f>IFERROR(__xludf.DUMMYFUNCTION("""COMPUTED_VALUE"""),"Inversión")</f>
        <v>Inversión</v>
      </c>
      <c r="G21" s="9" t="str">
        <f>IFERROR(__xludf.DUMMYFUNCTION("""COMPUTED_VALUE"""),"Socio capitalista")</f>
        <v>Socio capitalista</v>
      </c>
      <c r="H21" s="9" t="str">
        <f>IFERROR(__xludf.DUMMYFUNCTION("""COMPUTED_VALUE"""),"NO")</f>
        <v>NO</v>
      </c>
      <c r="I21" s="9">
        <f>IFERROR(__xludf.DUMMYFUNCTION("""COMPUTED_VALUE"""),6.0)</f>
        <v>6</v>
      </c>
      <c r="J21" s="9">
        <f>IFERROR(__xludf.DUMMYFUNCTION("""COMPUTED_VALUE"""),8.0)</f>
        <v>8</v>
      </c>
      <c r="K21" s="14">
        <f>IFERROR(__xludf.DUMMYFUNCTION("""COMPUTED_VALUE"""),5.0E7)</f>
        <v>50000000</v>
      </c>
      <c r="L21" s="14">
        <f>IFERROR(__xludf.DUMMYFUNCTION("""COMPUTED_VALUE"""),7.0787848E7)</f>
        <v>70787848</v>
      </c>
      <c r="M21" s="14">
        <f>IFERROR(__xludf.DUMMYFUNCTION("""COMPUTED_VALUE"""),3.3368202E7)</f>
        <v>33368202</v>
      </c>
      <c r="N21" s="14">
        <f>IFERROR(__xludf.DUMMYFUNCTION("""COMPUTED_VALUE"""),4.3277527E7)</f>
        <v>43277527</v>
      </c>
    </row>
    <row r="22">
      <c r="A22" s="9">
        <f>IFERROR(__xludf.DUMMYFUNCTION("""COMPUTED_VALUE"""),52.0)</f>
        <v>52</v>
      </c>
      <c r="B22" s="9" t="str">
        <f>IFERROR(__xludf.DUMMYFUNCTION("""COMPUTED_VALUE"""),"Ardelle Udy")</f>
        <v>Ardelle Udy</v>
      </c>
      <c r="C22" s="9" t="str">
        <f>IFERROR(__xludf.DUMMYFUNCTION("""COMPUTED_VALUE"""),"audy1f@de.vu")</f>
        <v>audy1f@de.vu</v>
      </c>
      <c r="D22" s="9" t="str">
        <f>IFERROR(__xludf.DUMMYFUNCTION("""COMPUTED_VALUE"""),"Brasil")</f>
        <v>Brasil</v>
      </c>
      <c r="E22" s="9" t="str">
        <f>IFERROR(__xludf.DUMMYFUNCTION("""COMPUTED_VALUE"""),"Tecnología")</f>
        <v>Tecnología</v>
      </c>
      <c r="F22" s="9" t="str">
        <f>IFERROR(__xludf.DUMMYFUNCTION("""COMPUTED_VALUE"""),"Inversión")</f>
        <v>Inversión</v>
      </c>
      <c r="G22" s="9" t="str">
        <f>IFERROR(__xludf.DUMMYFUNCTION("""COMPUTED_VALUE"""),"Socio capitalista")</f>
        <v>Socio capitalista</v>
      </c>
      <c r="H22" s="9" t="str">
        <f>IFERROR(__xludf.DUMMYFUNCTION("""COMPUTED_VALUE"""),"NO")</f>
        <v>NO</v>
      </c>
      <c r="I22" s="9">
        <f>IFERROR(__xludf.DUMMYFUNCTION("""COMPUTED_VALUE"""),5.0)</f>
        <v>5</v>
      </c>
      <c r="J22" s="9">
        <f>IFERROR(__xludf.DUMMYFUNCTION("""COMPUTED_VALUE"""),6.0)</f>
        <v>6</v>
      </c>
      <c r="K22" s="14">
        <f>IFERROR(__xludf.DUMMYFUNCTION("""COMPUTED_VALUE"""),2.0E7)</f>
        <v>20000000</v>
      </c>
      <c r="L22" s="14">
        <f>IFERROR(__xludf.DUMMYFUNCTION("""COMPUTED_VALUE"""),4.006462E7)</f>
        <v>40064620</v>
      </c>
      <c r="M22" s="14">
        <f>IFERROR(__xludf.DUMMYFUNCTION("""COMPUTED_VALUE"""),9.8137438E7)</f>
        <v>98137438</v>
      </c>
      <c r="N22" s="14">
        <f>IFERROR(__xludf.DUMMYFUNCTION("""COMPUTED_VALUE"""),0.0)</f>
        <v>0</v>
      </c>
    </row>
    <row r="23">
      <c r="A23" s="9">
        <f>IFERROR(__xludf.DUMMYFUNCTION("""COMPUTED_VALUE"""),53.0)</f>
        <v>53</v>
      </c>
      <c r="B23" s="9" t="str">
        <f>IFERROR(__xludf.DUMMYFUNCTION("""COMPUTED_VALUE"""),"Larine Markwelley")</f>
        <v>Larine Markwelley</v>
      </c>
      <c r="C23" s="9" t="str">
        <f>IFERROR(__xludf.DUMMYFUNCTION("""COMPUTED_VALUE"""),"lmarkwelley1g@blogger.com")</f>
        <v>lmarkwelley1g@blogger.com</v>
      </c>
      <c r="D23" s="9" t="str">
        <f>IFERROR(__xludf.DUMMYFUNCTION("""COMPUTED_VALUE"""),"Bolivia")</f>
        <v>Bolivia</v>
      </c>
      <c r="E23" s="9" t="str">
        <f>IFERROR(__xludf.DUMMYFUNCTION("""COMPUTED_VALUE"""),"Tecnología")</f>
        <v>Tecnología</v>
      </c>
      <c r="F23" s="9" t="str">
        <f>IFERROR(__xludf.DUMMYFUNCTION("""COMPUTED_VALUE"""),"Inversión")</f>
        <v>Inversión</v>
      </c>
      <c r="G23" s="9" t="str">
        <f>IFERROR(__xludf.DUMMYFUNCTION("""COMPUTED_VALUE"""),"Socio de proyecto")</f>
        <v>Socio de proyecto</v>
      </c>
      <c r="H23" s="9" t="str">
        <f>IFERROR(__xludf.DUMMYFUNCTION("""COMPUTED_VALUE"""),"NO")</f>
        <v>NO</v>
      </c>
      <c r="I23" s="9">
        <f>IFERROR(__xludf.DUMMYFUNCTION("""COMPUTED_VALUE"""),4.0)</f>
        <v>4</v>
      </c>
      <c r="J23" s="9">
        <f>IFERROR(__xludf.DUMMYFUNCTION("""COMPUTED_VALUE"""),6.0)</f>
        <v>6</v>
      </c>
      <c r="K23" s="14">
        <f>IFERROR(__xludf.DUMMYFUNCTION("""COMPUTED_VALUE"""),3.0E7)</f>
        <v>30000000</v>
      </c>
      <c r="L23" s="14">
        <f>IFERROR(__xludf.DUMMYFUNCTION("""COMPUTED_VALUE"""),4.528936E7)</f>
        <v>45289360</v>
      </c>
      <c r="M23" s="14">
        <f>IFERROR(__xludf.DUMMYFUNCTION("""COMPUTED_VALUE"""),0.0)</f>
        <v>0</v>
      </c>
      <c r="N23" s="14">
        <f>IFERROR(__xludf.DUMMYFUNCTION("""COMPUTED_VALUE"""),4.6980526E7)</f>
        <v>46980526</v>
      </c>
    </row>
    <row r="24">
      <c r="A24" s="9">
        <f>IFERROR(__xludf.DUMMYFUNCTION("""COMPUTED_VALUE"""),57.0)</f>
        <v>57</v>
      </c>
      <c r="B24" s="9" t="str">
        <f>IFERROR(__xludf.DUMMYFUNCTION("""COMPUTED_VALUE"""),"Jackelyn Charlo")</f>
        <v>Jackelyn Charlo</v>
      </c>
      <c r="C24" s="9" t="str">
        <f>IFERROR(__xludf.DUMMYFUNCTION("""COMPUTED_VALUE"""),"jcharlo1k@google.nl")</f>
        <v>jcharlo1k@google.nl</v>
      </c>
      <c r="D24" s="9" t="str">
        <f>IFERROR(__xludf.DUMMYFUNCTION("""COMPUTED_VALUE"""),"Chile")</f>
        <v>Chile</v>
      </c>
      <c r="E24" s="9" t="str">
        <f>IFERROR(__xludf.DUMMYFUNCTION("""COMPUTED_VALUE"""),"Tecnología")</f>
        <v>Tecnología</v>
      </c>
      <c r="F24" s="9" t="str">
        <f>IFERROR(__xludf.DUMMYFUNCTION("""COMPUTED_VALUE"""),"Inversión")</f>
        <v>Inversión</v>
      </c>
      <c r="G24" s="9" t="str">
        <f>IFERROR(__xludf.DUMMYFUNCTION("""COMPUTED_VALUE"""),"Socio capitalista")</f>
        <v>Socio capitalista</v>
      </c>
      <c r="H24" s="9" t="str">
        <f>IFERROR(__xludf.DUMMYFUNCTION("""COMPUTED_VALUE"""),"NO")</f>
        <v>NO</v>
      </c>
      <c r="I24" s="9">
        <f>IFERROR(__xludf.DUMMYFUNCTION("""COMPUTED_VALUE"""),7.0)</f>
        <v>7</v>
      </c>
      <c r="J24" s="9">
        <f>IFERROR(__xludf.DUMMYFUNCTION("""COMPUTED_VALUE"""),10.0)</f>
        <v>10</v>
      </c>
      <c r="K24" s="14">
        <f>IFERROR(__xludf.DUMMYFUNCTION("""COMPUTED_VALUE"""),1000000.0)</f>
        <v>1000000</v>
      </c>
      <c r="L24" s="14">
        <f>IFERROR(__xludf.DUMMYFUNCTION("""COMPUTED_VALUE"""),5.3008255E7)</f>
        <v>53008255</v>
      </c>
      <c r="M24" s="14">
        <f>IFERROR(__xludf.DUMMYFUNCTION("""COMPUTED_VALUE"""),4.691791E7)</f>
        <v>46917910</v>
      </c>
      <c r="N24" s="14">
        <f>IFERROR(__xludf.DUMMYFUNCTION("""COMPUTED_VALUE"""),4.7557281E7)</f>
        <v>47557281</v>
      </c>
    </row>
    <row r="25">
      <c r="A25" s="9">
        <f>IFERROR(__xludf.DUMMYFUNCTION("""COMPUTED_VALUE"""),59.0)</f>
        <v>59</v>
      </c>
      <c r="B25" s="9" t="str">
        <f>IFERROR(__xludf.DUMMYFUNCTION("""COMPUTED_VALUE"""),"Daffie Whitchurch")</f>
        <v>Daffie Whitchurch</v>
      </c>
      <c r="C25" s="9" t="str">
        <f>IFERROR(__xludf.DUMMYFUNCTION("""COMPUTED_VALUE"""),"dwhitchurch1m@issuu.com")</f>
        <v>dwhitchurch1m@issuu.com</v>
      </c>
      <c r="D25" s="9" t="str">
        <f>IFERROR(__xludf.DUMMYFUNCTION("""COMPUTED_VALUE"""),"Bolivia")</f>
        <v>Bolivia</v>
      </c>
      <c r="E25" s="9" t="str">
        <f>IFERROR(__xludf.DUMMYFUNCTION("""COMPUTED_VALUE"""),"Tecnología")</f>
        <v>Tecnología</v>
      </c>
      <c r="F25" s="9" t="str">
        <f>IFERROR(__xludf.DUMMYFUNCTION("""COMPUTED_VALUE"""),"Inversión")</f>
        <v>Inversión</v>
      </c>
      <c r="G25" s="9" t="str">
        <f>IFERROR(__xludf.DUMMYFUNCTION("""COMPUTED_VALUE"""),"Socio capitalista")</f>
        <v>Socio capitalista</v>
      </c>
      <c r="H25" s="9" t="str">
        <f>IFERROR(__xludf.DUMMYFUNCTION("""COMPUTED_VALUE"""),"NO")</f>
        <v>NO</v>
      </c>
      <c r="I25" s="9">
        <f>IFERROR(__xludf.DUMMYFUNCTION("""COMPUTED_VALUE"""),9.0)</f>
        <v>9</v>
      </c>
      <c r="J25" s="9">
        <f>IFERROR(__xludf.DUMMYFUNCTION("""COMPUTED_VALUE"""),5.0)</f>
        <v>5</v>
      </c>
      <c r="K25" s="14">
        <f>IFERROR(__xludf.DUMMYFUNCTION("""COMPUTED_VALUE"""),1.0E8)</f>
        <v>100000000</v>
      </c>
      <c r="L25" s="14">
        <f>IFERROR(__xludf.DUMMYFUNCTION("""COMPUTED_VALUE"""),9.468872E7)</f>
        <v>94688720</v>
      </c>
      <c r="M25" s="14">
        <f>IFERROR(__xludf.DUMMYFUNCTION("""COMPUTED_VALUE"""),8.6323763E7)</f>
        <v>86323763</v>
      </c>
      <c r="N25" s="14">
        <f>IFERROR(__xludf.DUMMYFUNCTION("""COMPUTED_VALUE"""),2.0929788E7)</f>
        <v>20929788</v>
      </c>
    </row>
    <row r="26">
      <c r="A26" s="9">
        <f>IFERROR(__xludf.DUMMYFUNCTION("""COMPUTED_VALUE"""),62.0)</f>
        <v>62</v>
      </c>
      <c r="B26" s="9" t="str">
        <f>IFERROR(__xludf.DUMMYFUNCTION("""COMPUTED_VALUE"""),"Bernardo Lamond")</f>
        <v>Bernardo Lamond</v>
      </c>
      <c r="C26" s="9" t="str">
        <f>IFERROR(__xludf.DUMMYFUNCTION("""COMPUTED_VALUE"""),"blamond1p@icio.us")</f>
        <v>blamond1p@icio.us</v>
      </c>
      <c r="D26" s="9" t="str">
        <f>IFERROR(__xludf.DUMMYFUNCTION("""COMPUTED_VALUE"""),"Argentina")</f>
        <v>Argentina</v>
      </c>
      <c r="E26" s="9" t="str">
        <f>IFERROR(__xludf.DUMMYFUNCTION("""COMPUTED_VALUE"""),"Tecnología")</f>
        <v>Tecnología</v>
      </c>
      <c r="F26" s="9" t="str">
        <f>IFERROR(__xludf.DUMMYFUNCTION("""COMPUTED_VALUE"""),"Inversión")</f>
        <v>Inversión</v>
      </c>
      <c r="G26" s="9" t="str">
        <f>IFERROR(__xludf.DUMMYFUNCTION("""COMPUTED_VALUE"""),"Socio de proyecto")</f>
        <v>Socio de proyecto</v>
      </c>
      <c r="H26" s="9" t="str">
        <f>IFERROR(__xludf.DUMMYFUNCTION("""COMPUTED_VALUE"""),"NO")</f>
        <v>NO</v>
      </c>
      <c r="I26" s="9">
        <f>IFERROR(__xludf.DUMMYFUNCTION("""COMPUTED_VALUE"""),3.0)</f>
        <v>3</v>
      </c>
      <c r="J26" s="9">
        <f>IFERROR(__xludf.DUMMYFUNCTION("""COMPUTED_VALUE"""),10.0)</f>
        <v>10</v>
      </c>
      <c r="K26" s="14">
        <f>IFERROR(__xludf.DUMMYFUNCTION("""COMPUTED_VALUE"""),3.0E7)</f>
        <v>30000000</v>
      </c>
      <c r="L26" s="14">
        <f>IFERROR(__xludf.DUMMYFUNCTION("""COMPUTED_VALUE"""),3.2890743E7)</f>
        <v>32890743</v>
      </c>
      <c r="M26" s="14">
        <f>IFERROR(__xludf.DUMMYFUNCTION("""COMPUTED_VALUE"""),0.0)</f>
        <v>0</v>
      </c>
      <c r="N26" s="14">
        <f>IFERROR(__xludf.DUMMYFUNCTION("""COMPUTED_VALUE"""),3.986462E7)</f>
        <v>39864620</v>
      </c>
    </row>
    <row r="27">
      <c r="A27" s="9">
        <f>IFERROR(__xludf.DUMMYFUNCTION("""COMPUTED_VALUE"""),65.0)</f>
        <v>65</v>
      </c>
      <c r="B27" s="9" t="str">
        <f>IFERROR(__xludf.DUMMYFUNCTION("""COMPUTED_VALUE"""),"Blake Krochmann")</f>
        <v>Blake Krochmann</v>
      </c>
      <c r="C27" s="9" t="str">
        <f>IFERROR(__xludf.DUMMYFUNCTION("""COMPUTED_VALUE"""),"bkrochmann1s@wp.com")</f>
        <v>bkrochmann1s@wp.com</v>
      </c>
      <c r="D27" s="9" t="str">
        <f>IFERROR(__xludf.DUMMYFUNCTION("""COMPUTED_VALUE"""),"Venezuela")</f>
        <v>Venezuela</v>
      </c>
      <c r="E27" s="9" t="str">
        <f>IFERROR(__xludf.DUMMYFUNCTION("""COMPUTED_VALUE"""),"Tecnología")</f>
        <v>Tecnología</v>
      </c>
      <c r="F27" s="9" t="str">
        <f>IFERROR(__xludf.DUMMYFUNCTION("""COMPUTED_VALUE"""),"Inversión")</f>
        <v>Inversión</v>
      </c>
      <c r="G27" s="9" t="str">
        <f>IFERROR(__xludf.DUMMYFUNCTION("""COMPUTED_VALUE"""),"Socio capitalista")</f>
        <v>Socio capitalista</v>
      </c>
      <c r="H27" s="9" t="str">
        <f>IFERROR(__xludf.DUMMYFUNCTION("""COMPUTED_VALUE"""),"SI")</f>
        <v>SI</v>
      </c>
      <c r="I27" s="9">
        <f>IFERROR(__xludf.DUMMYFUNCTION("""COMPUTED_VALUE"""),7.0)</f>
        <v>7</v>
      </c>
      <c r="J27" s="9">
        <f>IFERROR(__xludf.DUMMYFUNCTION("""COMPUTED_VALUE"""),7.0)</f>
        <v>7</v>
      </c>
      <c r="K27" s="14">
        <f>IFERROR(__xludf.DUMMYFUNCTION("""COMPUTED_VALUE"""),1.0E7)</f>
        <v>10000000</v>
      </c>
      <c r="L27" s="14">
        <f>IFERROR(__xludf.DUMMYFUNCTION("""COMPUTED_VALUE"""),3.1953589E7)</f>
        <v>31953589</v>
      </c>
      <c r="M27" s="14">
        <f>IFERROR(__xludf.DUMMYFUNCTION("""COMPUTED_VALUE"""),4.0068224E7)</f>
        <v>40068224</v>
      </c>
      <c r="N27" s="14">
        <f>IFERROR(__xludf.DUMMYFUNCTION("""COMPUTED_VALUE"""),8.0951038E7)</f>
        <v>80951038</v>
      </c>
    </row>
    <row r="28">
      <c r="A28" s="9">
        <f>IFERROR(__xludf.DUMMYFUNCTION("""COMPUTED_VALUE"""),66.0)</f>
        <v>66</v>
      </c>
      <c r="B28" s="9" t="str">
        <f>IFERROR(__xludf.DUMMYFUNCTION("""COMPUTED_VALUE"""),"Meghann Brislan")</f>
        <v>Meghann Brislan</v>
      </c>
      <c r="C28" s="9" t="str">
        <f>IFERROR(__xludf.DUMMYFUNCTION("""COMPUTED_VALUE"""),"mbrislan1t@yale.edu")</f>
        <v>mbrislan1t@yale.edu</v>
      </c>
      <c r="D28" s="9" t="str">
        <f>IFERROR(__xludf.DUMMYFUNCTION("""COMPUTED_VALUE"""),"Chile")</f>
        <v>Chile</v>
      </c>
      <c r="E28" s="9" t="str">
        <f>IFERROR(__xludf.DUMMYFUNCTION("""COMPUTED_VALUE"""),"Tecnología")</f>
        <v>Tecnología</v>
      </c>
      <c r="F28" s="9" t="str">
        <f>IFERROR(__xludf.DUMMYFUNCTION("""COMPUTED_VALUE"""),"Inversión")</f>
        <v>Inversión</v>
      </c>
      <c r="G28" s="9" t="str">
        <f>IFERROR(__xludf.DUMMYFUNCTION("""COMPUTED_VALUE"""),"Socio capitalista")</f>
        <v>Socio capitalista</v>
      </c>
      <c r="H28" s="9" t="str">
        <f>IFERROR(__xludf.DUMMYFUNCTION("""COMPUTED_VALUE"""),"NO")</f>
        <v>NO</v>
      </c>
      <c r="I28" s="9">
        <f>IFERROR(__xludf.DUMMYFUNCTION("""COMPUTED_VALUE"""),7.0)</f>
        <v>7</v>
      </c>
      <c r="J28" s="9">
        <f>IFERROR(__xludf.DUMMYFUNCTION("""COMPUTED_VALUE"""),5.0)</f>
        <v>5</v>
      </c>
      <c r="K28" s="14">
        <f>IFERROR(__xludf.DUMMYFUNCTION("""COMPUTED_VALUE"""),5.0E7)</f>
        <v>50000000</v>
      </c>
      <c r="L28" s="14">
        <f>IFERROR(__xludf.DUMMYFUNCTION("""COMPUTED_VALUE"""),7.8205651E7)</f>
        <v>78205651</v>
      </c>
      <c r="M28" s="14">
        <f>IFERROR(__xludf.DUMMYFUNCTION("""COMPUTED_VALUE"""),6.238118E7)</f>
        <v>62381180</v>
      </c>
      <c r="N28" s="14">
        <f>IFERROR(__xludf.DUMMYFUNCTION("""COMPUTED_VALUE"""),6508585.0)</f>
        <v>6508585</v>
      </c>
    </row>
    <row r="29">
      <c r="A29" s="9">
        <f>IFERROR(__xludf.DUMMYFUNCTION("""COMPUTED_VALUE"""),73.0)</f>
        <v>73</v>
      </c>
      <c r="B29" s="9" t="str">
        <f>IFERROR(__xludf.DUMMYFUNCTION("""COMPUTED_VALUE"""),"Minda Eates")</f>
        <v>Minda Eates</v>
      </c>
      <c r="C29" s="9" t="str">
        <f>IFERROR(__xludf.DUMMYFUNCTION("""COMPUTED_VALUE"""),"meates20@photobucket.com")</f>
        <v>meates20@photobucket.com</v>
      </c>
      <c r="D29" s="9" t="str">
        <f>IFERROR(__xludf.DUMMYFUNCTION("""COMPUTED_VALUE"""),"Ecuador")</f>
        <v>Ecuador</v>
      </c>
      <c r="E29" s="9" t="str">
        <f>IFERROR(__xludf.DUMMYFUNCTION("""COMPUTED_VALUE"""),"Tecnología")</f>
        <v>Tecnología</v>
      </c>
      <c r="F29" s="9" t="str">
        <f>IFERROR(__xludf.DUMMYFUNCTION("""COMPUTED_VALUE"""),"Inversión")</f>
        <v>Inversión</v>
      </c>
      <c r="G29" s="9" t="str">
        <f>IFERROR(__xludf.DUMMYFUNCTION("""COMPUTED_VALUE"""),"Socio de proyecto")</f>
        <v>Socio de proyecto</v>
      </c>
      <c r="H29" s="9" t="str">
        <f>IFERROR(__xludf.DUMMYFUNCTION("""COMPUTED_VALUE"""),"SI")</f>
        <v>SI</v>
      </c>
      <c r="I29" s="9">
        <f>IFERROR(__xludf.DUMMYFUNCTION("""COMPUTED_VALUE"""),6.0)</f>
        <v>6</v>
      </c>
      <c r="J29" s="9">
        <f>IFERROR(__xludf.DUMMYFUNCTION("""COMPUTED_VALUE"""),6.0)</f>
        <v>6</v>
      </c>
      <c r="K29" s="14">
        <f>IFERROR(__xludf.DUMMYFUNCTION("""COMPUTED_VALUE"""),1.0E7)</f>
        <v>10000000</v>
      </c>
      <c r="L29" s="14">
        <f>IFERROR(__xludf.DUMMYFUNCTION("""COMPUTED_VALUE"""),5.9890317E7)</f>
        <v>59890317</v>
      </c>
      <c r="M29" s="14">
        <f>IFERROR(__xludf.DUMMYFUNCTION("""COMPUTED_VALUE"""),4.2451842E7)</f>
        <v>42451842</v>
      </c>
      <c r="N29" s="14">
        <f>IFERROR(__xludf.DUMMYFUNCTION("""COMPUTED_VALUE"""),0.0)</f>
        <v>0</v>
      </c>
    </row>
    <row r="30">
      <c r="A30" s="9">
        <f>IFERROR(__xludf.DUMMYFUNCTION("""COMPUTED_VALUE"""),77.0)</f>
        <v>77</v>
      </c>
      <c r="B30" s="9" t="str">
        <f>IFERROR(__xludf.DUMMYFUNCTION("""COMPUTED_VALUE"""),"Cinderella Hasted")</f>
        <v>Cinderella Hasted</v>
      </c>
      <c r="C30" s="9" t="str">
        <f>IFERROR(__xludf.DUMMYFUNCTION("""COMPUTED_VALUE"""),"chasted24@princeton.edu")</f>
        <v>chasted24@princeton.edu</v>
      </c>
      <c r="D30" s="9" t="str">
        <f>IFERROR(__xludf.DUMMYFUNCTION("""COMPUTED_VALUE"""),"Brasil")</f>
        <v>Brasil</v>
      </c>
      <c r="E30" s="9" t="str">
        <f>IFERROR(__xludf.DUMMYFUNCTION("""COMPUTED_VALUE"""),"Tecnología")</f>
        <v>Tecnología</v>
      </c>
      <c r="F30" s="9" t="str">
        <f>IFERROR(__xludf.DUMMYFUNCTION("""COMPUTED_VALUE"""),"Inversión")</f>
        <v>Inversión</v>
      </c>
      <c r="G30" s="9" t="str">
        <f>IFERROR(__xludf.DUMMYFUNCTION("""COMPUTED_VALUE"""),"Socio capitalista")</f>
        <v>Socio capitalista</v>
      </c>
      <c r="H30" s="9" t="str">
        <f>IFERROR(__xludf.DUMMYFUNCTION("""COMPUTED_VALUE"""),"SI")</f>
        <v>SI</v>
      </c>
      <c r="I30" s="9">
        <f>IFERROR(__xludf.DUMMYFUNCTION("""COMPUTED_VALUE"""),8.0)</f>
        <v>8</v>
      </c>
      <c r="J30" s="9">
        <f>IFERROR(__xludf.DUMMYFUNCTION("""COMPUTED_VALUE"""),9.0)</f>
        <v>9</v>
      </c>
      <c r="K30" s="14">
        <f>IFERROR(__xludf.DUMMYFUNCTION("""COMPUTED_VALUE"""),1.0E7)</f>
        <v>10000000</v>
      </c>
      <c r="L30" s="14">
        <f>IFERROR(__xludf.DUMMYFUNCTION("""COMPUTED_VALUE"""),9.9989764E7)</f>
        <v>99989764</v>
      </c>
      <c r="M30" s="14">
        <f>IFERROR(__xludf.DUMMYFUNCTION("""COMPUTED_VALUE"""),8030175.0)</f>
        <v>8030175</v>
      </c>
      <c r="N30" s="14">
        <f>IFERROR(__xludf.DUMMYFUNCTION("""COMPUTED_VALUE"""),3.7676206E7)</f>
        <v>37676206</v>
      </c>
    </row>
    <row r="31">
      <c r="A31" s="9">
        <f>IFERROR(__xludf.DUMMYFUNCTION("""COMPUTED_VALUE"""),81.0)</f>
        <v>81</v>
      </c>
      <c r="B31" s="9" t="str">
        <f>IFERROR(__xludf.DUMMYFUNCTION("""COMPUTED_VALUE"""),"Basilius Olney")</f>
        <v>Basilius Olney</v>
      </c>
      <c r="C31" s="9" t="str">
        <f>IFERROR(__xludf.DUMMYFUNCTION("""COMPUTED_VALUE"""),"bolney28@howstuffworks.com")</f>
        <v>bolney28@howstuffworks.com</v>
      </c>
      <c r="D31" s="9" t="str">
        <f>IFERROR(__xludf.DUMMYFUNCTION("""COMPUTED_VALUE"""),"Bolivia")</f>
        <v>Bolivia</v>
      </c>
      <c r="E31" s="9" t="str">
        <f>IFERROR(__xludf.DUMMYFUNCTION("""COMPUTED_VALUE"""),"Tecnología")</f>
        <v>Tecnología</v>
      </c>
      <c r="F31" s="9" t="str">
        <f>IFERROR(__xludf.DUMMYFUNCTION("""COMPUTED_VALUE"""),"Inversión")</f>
        <v>Inversión</v>
      </c>
      <c r="G31" s="9" t="str">
        <f>IFERROR(__xludf.DUMMYFUNCTION("""COMPUTED_VALUE"""),"Socio capitalista")</f>
        <v>Socio capitalista</v>
      </c>
      <c r="H31" s="9" t="str">
        <f>IFERROR(__xludf.DUMMYFUNCTION("""COMPUTED_VALUE"""),"NO")</f>
        <v>NO</v>
      </c>
      <c r="I31" s="9">
        <f>IFERROR(__xludf.DUMMYFUNCTION("""COMPUTED_VALUE"""),3.0)</f>
        <v>3</v>
      </c>
      <c r="J31" s="9">
        <f>IFERROR(__xludf.DUMMYFUNCTION("""COMPUTED_VALUE"""),9.0)</f>
        <v>9</v>
      </c>
      <c r="K31" s="14">
        <f>IFERROR(__xludf.DUMMYFUNCTION("""COMPUTED_VALUE"""),5000000.0)</f>
        <v>5000000</v>
      </c>
      <c r="L31" s="14">
        <f>IFERROR(__xludf.DUMMYFUNCTION("""COMPUTED_VALUE"""),3.2915397E7)</f>
        <v>32915397</v>
      </c>
      <c r="M31" s="14">
        <f>IFERROR(__xludf.DUMMYFUNCTION("""COMPUTED_VALUE"""),7.4493461E7)</f>
        <v>74493461</v>
      </c>
      <c r="N31" s="14">
        <f>IFERROR(__xludf.DUMMYFUNCTION("""COMPUTED_VALUE"""),151779.0)</f>
        <v>151779</v>
      </c>
    </row>
    <row r="32">
      <c r="A32" s="9">
        <f>IFERROR(__xludf.DUMMYFUNCTION("""COMPUTED_VALUE"""),88.0)</f>
        <v>88</v>
      </c>
      <c r="B32" s="9" t="str">
        <f>IFERROR(__xludf.DUMMYFUNCTION("""COMPUTED_VALUE"""),"Vitia Treslove")</f>
        <v>Vitia Treslove</v>
      </c>
      <c r="C32" s="9" t="str">
        <f>IFERROR(__xludf.DUMMYFUNCTION("""COMPUTED_VALUE"""),"vtreslove2f@arizona.edu")</f>
        <v>vtreslove2f@arizona.edu</v>
      </c>
      <c r="D32" s="9" t="str">
        <f>IFERROR(__xludf.DUMMYFUNCTION("""COMPUTED_VALUE"""),"Colombia")</f>
        <v>Colombia</v>
      </c>
      <c r="E32" s="9" t="str">
        <f>IFERROR(__xludf.DUMMYFUNCTION("""COMPUTED_VALUE"""),"Tecnología")</f>
        <v>Tecnología</v>
      </c>
      <c r="F32" s="9" t="str">
        <f>IFERROR(__xludf.DUMMYFUNCTION("""COMPUTED_VALUE"""),"Inversión")</f>
        <v>Inversión</v>
      </c>
      <c r="G32" s="9" t="str">
        <f>IFERROR(__xludf.DUMMYFUNCTION("""COMPUTED_VALUE"""),"Socio capitalista")</f>
        <v>Socio capitalista</v>
      </c>
      <c r="H32" s="9" t="str">
        <f>IFERROR(__xludf.DUMMYFUNCTION("""COMPUTED_VALUE"""),"SI")</f>
        <v>SI</v>
      </c>
      <c r="I32" s="9">
        <f>IFERROR(__xludf.DUMMYFUNCTION("""COMPUTED_VALUE"""),8.0)</f>
        <v>8</v>
      </c>
      <c r="J32" s="9">
        <f>IFERROR(__xludf.DUMMYFUNCTION("""COMPUTED_VALUE"""),7.0)</f>
        <v>7</v>
      </c>
      <c r="K32" s="14">
        <f>IFERROR(__xludf.DUMMYFUNCTION("""COMPUTED_VALUE"""),1000000.0)</f>
        <v>1000000</v>
      </c>
      <c r="L32" s="14">
        <f>IFERROR(__xludf.DUMMYFUNCTION("""COMPUTED_VALUE"""),7.7159264E7)</f>
        <v>77159264</v>
      </c>
      <c r="M32" s="14">
        <f>IFERROR(__xludf.DUMMYFUNCTION("""COMPUTED_VALUE"""),0.0)</f>
        <v>0</v>
      </c>
      <c r="N32" s="14">
        <f>IFERROR(__xludf.DUMMYFUNCTION("""COMPUTED_VALUE"""),9.7234303E7)</f>
        <v>97234303</v>
      </c>
    </row>
    <row r="33">
      <c r="A33" s="9">
        <f>IFERROR(__xludf.DUMMYFUNCTION("""COMPUTED_VALUE"""),89.0)</f>
        <v>89</v>
      </c>
      <c r="B33" s="9" t="str">
        <f>IFERROR(__xludf.DUMMYFUNCTION("""COMPUTED_VALUE"""),"Lory Abbison")</f>
        <v>Lory Abbison</v>
      </c>
      <c r="C33" s="9" t="str">
        <f>IFERROR(__xludf.DUMMYFUNCTION("""COMPUTED_VALUE"""),"labbison2g@who.int")</f>
        <v>labbison2g@who.int</v>
      </c>
      <c r="D33" s="9" t="str">
        <f>IFERROR(__xludf.DUMMYFUNCTION("""COMPUTED_VALUE"""),"Paraguay")</f>
        <v>Paraguay</v>
      </c>
      <c r="E33" s="9" t="str">
        <f>IFERROR(__xludf.DUMMYFUNCTION("""COMPUTED_VALUE"""),"Tecnología")</f>
        <v>Tecnología</v>
      </c>
      <c r="F33" s="9" t="str">
        <f>IFERROR(__xludf.DUMMYFUNCTION("""COMPUTED_VALUE"""),"Inversión")</f>
        <v>Inversión</v>
      </c>
      <c r="G33" s="9" t="str">
        <f>IFERROR(__xludf.DUMMYFUNCTION("""COMPUTED_VALUE"""),"Socio capitalista")</f>
        <v>Socio capitalista</v>
      </c>
      <c r="H33" s="9" t="str">
        <f>IFERROR(__xludf.DUMMYFUNCTION("""COMPUTED_VALUE"""),"NO")</f>
        <v>NO</v>
      </c>
      <c r="I33" s="9">
        <f>IFERROR(__xludf.DUMMYFUNCTION("""COMPUTED_VALUE"""),7.0)</f>
        <v>7</v>
      </c>
      <c r="J33" s="9">
        <f>IFERROR(__xludf.DUMMYFUNCTION("""COMPUTED_VALUE"""),10.0)</f>
        <v>10</v>
      </c>
      <c r="K33" s="14">
        <f>IFERROR(__xludf.DUMMYFUNCTION("""COMPUTED_VALUE"""),1.0E8)</f>
        <v>100000000</v>
      </c>
      <c r="L33" s="14">
        <f>IFERROR(__xludf.DUMMYFUNCTION("""COMPUTED_VALUE"""),1.2451199E7)</f>
        <v>12451199</v>
      </c>
      <c r="M33" s="14">
        <f>IFERROR(__xludf.DUMMYFUNCTION("""COMPUTED_VALUE"""),7.4231711E7)</f>
        <v>74231711</v>
      </c>
      <c r="N33" s="14">
        <f>IFERROR(__xludf.DUMMYFUNCTION("""COMPUTED_VALUE"""),4.2951226E7)</f>
        <v>42951226</v>
      </c>
    </row>
    <row r="34">
      <c r="A34" s="9">
        <f>IFERROR(__xludf.DUMMYFUNCTION("""COMPUTED_VALUE"""),92.0)</f>
        <v>92</v>
      </c>
      <c r="B34" s="9" t="str">
        <f>IFERROR(__xludf.DUMMYFUNCTION("""COMPUTED_VALUE"""),"Shawna Simkin")</f>
        <v>Shawna Simkin</v>
      </c>
      <c r="C34" s="9" t="str">
        <f>IFERROR(__xludf.DUMMYFUNCTION("""COMPUTED_VALUE"""),"ssimkin2j@craigslist.org")</f>
        <v>ssimkin2j@craigslist.org</v>
      </c>
      <c r="D34" s="9" t="str">
        <f>IFERROR(__xludf.DUMMYFUNCTION("""COMPUTED_VALUE"""),"Ecuador")</f>
        <v>Ecuador</v>
      </c>
      <c r="E34" s="9" t="str">
        <f>IFERROR(__xludf.DUMMYFUNCTION("""COMPUTED_VALUE"""),"Tecnología")</f>
        <v>Tecnología</v>
      </c>
      <c r="F34" s="9" t="str">
        <f>IFERROR(__xludf.DUMMYFUNCTION("""COMPUTED_VALUE"""),"Inversión")</f>
        <v>Inversión</v>
      </c>
      <c r="G34" s="9" t="str">
        <f>IFERROR(__xludf.DUMMYFUNCTION("""COMPUTED_VALUE"""),"Socio capitalista")</f>
        <v>Socio capitalista</v>
      </c>
      <c r="H34" s="9" t="str">
        <f>IFERROR(__xludf.DUMMYFUNCTION("""COMPUTED_VALUE"""),"NO")</f>
        <v>NO</v>
      </c>
      <c r="I34" s="9">
        <f>IFERROR(__xludf.DUMMYFUNCTION("""COMPUTED_VALUE"""),8.0)</f>
        <v>8</v>
      </c>
      <c r="J34" s="9">
        <f>IFERROR(__xludf.DUMMYFUNCTION("""COMPUTED_VALUE"""),7.0)</f>
        <v>7</v>
      </c>
      <c r="K34" s="14">
        <f>IFERROR(__xludf.DUMMYFUNCTION("""COMPUTED_VALUE"""),5000000.0)</f>
        <v>5000000</v>
      </c>
      <c r="L34" s="14">
        <f>IFERROR(__xludf.DUMMYFUNCTION("""COMPUTED_VALUE"""),3.7959268E7)</f>
        <v>37959268</v>
      </c>
      <c r="M34" s="14">
        <f>IFERROR(__xludf.DUMMYFUNCTION("""COMPUTED_VALUE"""),6.9132389E7)</f>
        <v>69132389</v>
      </c>
      <c r="N34" s="14">
        <f>IFERROR(__xludf.DUMMYFUNCTION("""COMPUTED_VALUE"""),9.9564796E7)</f>
        <v>99564796</v>
      </c>
    </row>
    <row r="35">
      <c r="A35" s="9">
        <f>IFERROR(__xludf.DUMMYFUNCTION("""COMPUTED_VALUE"""),95.0)</f>
        <v>95</v>
      </c>
      <c r="B35" s="9" t="str">
        <f>IFERROR(__xludf.DUMMYFUNCTION("""COMPUTED_VALUE"""),"Thekla Scocroft")</f>
        <v>Thekla Scocroft</v>
      </c>
      <c r="C35" s="9" t="str">
        <f>IFERROR(__xludf.DUMMYFUNCTION("""COMPUTED_VALUE"""),"tscocroft2m@usa.gov")</f>
        <v>tscocroft2m@usa.gov</v>
      </c>
      <c r="D35" s="9" t="str">
        <f>IFERROR(__xludf.DUMMYFUNCTION("""COMPUTED_VALUE"""),"Argentina")</f>
        <v>Argentina</v>
      </c>
      <c r="E35" s="9" t="str">
        <f>IFERROR(__xludf.DUMMYFUNCTION("""COMPUTED_VALUE"""),"Tecnología")</f>
        <v>Tecnología</v>
      </c>
      <c r="F35" s="9" t="str">
        <f>IFERROR(__xludf.DUMMYFUNCTION("""COMPUTED_VALUE"""),"Inversión")</f>
        <v>Inversión</v>
      </c>
      <c r="G35" s="9" t="str">
        <f>IFERROR(__xludf.DUMMYFUNCTION("""COMPUTED_VALUE"""),"Socio de proyecto")</f>
        <v>Socio de proyecto</v>
      </c>
      <c r="H35" s="9" t="str">
        <f>IFERROR(__xludf.DUMMYFUNCTION("""COMPUTED_VALUE"""),"NO")</f>
        <v>NO</v>
      </c>
      <c r="I35" s="9">
        <f>IFERROR(__xludf.DUMMYFUNCTION("""COMPUTED_VALUE"""),7.0)</f>
        <v>7</v>
      </c>
      <c r="J35" s="9">
        <f>IFERROR(__xludf.DUMMYFUNCTION("""COMPUTED_VALUE"""),9.0)</f>
        <v>9</v>
      </c>
      <c r="K35" s="14">
        <f>IFERROR(__xludf.DUMMYFUNCTION("""COMPUTED_VALUE"""),9.0E7)</f>
        <v>90000000</v>
      </c>
      <c r="L35" s="14">
        <f>IFERROR(__xludf.DUMMYFUNCTION("""COMPUTED_VALUE"""),2.9991873E7)</f>
        <v>29991873</v>
      </c>
      <c r="M35" s="14">
        <f>IFERROR(__xludf.DUMMYFUNCTION("""COMPUTED_VALUE"""),3.9252741E7)</f>
        <v>39252741</v>
      </c>
      <c r="N35" s="14">
        <f>IFERROR(__xludf.DUMMYFUNCTION("""COMPUTED_VALUE"""),1.5542722E7)</f>
        <v>15542722</v>
      </c>
    </row>
    <row r="36">
      <c r="A36" s="9">
        <f>IFERROR(__xludf.DUMMYFUNCTION("""COMPUTED_VALUE"""),96.0)</f>
        <v>96</v>
      </c>
      <c r="B36" s="9" t="str">
        <f>IFERROR(__xludf.DUMMYFUNCTION("""COMPUTED_VALUE"""),"Cody Jouhan")</f>
        <v>Cody Jouhan</v>
      </c>
      <c r="C36" s="9" t="str">
        <f>IFERROR(__xludf.DUMMYFUNCTION("""COMPUTED_VALUE"""),"cjouhan2n@oracle.com")</f>
        <v>cjouhan2n@oracle.com</v>
      </c>
      <c r="D36" s="9" t="str">
        <f>IFERROR(__xludf.DUMMYFUNCTION("""COMPUTED_VALUE"""),"Argentina")</f>
        <v>Argentina</v>
      </c>
      <c r="E36" s="9" t="str">
        <f>IFERROR(__xludf.DUMMYFUNCTION("""COMPUTED_VALUE"""),"Tecnología")</f>
        <v>Tecnología</v>
      </c>
      <c r="F36" s="9" t="str">
        <f>IFERROR(__xludf.DUMMYFUNCTION("""COMPUTED_VALUE"""),"Inversión")</f>
        <v>Inversión</v>
      </c>
      <c r="G36" s="9" t="str">
        <f>IFERROR(__xludf.DUMMYFUNCTION("""COMPUTED_VALUE"""),"Socio de proyecto")</f>
        <v>Socio de proyecto</v>
      </c>
      <c r="H36" s="9" t="str">
        <f>IFERROR(__xludf.DUMMYFUNCTION("""COMPUTED_VALUE"""),"NO")</f>
        <v>NO</v>
      </c>
      <c r="I36" s="9">
        <f>IFERROR(__xludf.DUMMYFUNCTION("""COMPUTED_VALUE"""),6.0)</f>
        <v>6</v>
      </c>
      <c r="J36" s="9">
        <f>IFERROR(__xludf.DUMMYFUNCTION("""COMPUTED_VALUE"""),10.0)</f>
        <v>10</v>
      </c>
      <c r="K36" s="14">
        <f>IFERROR(__xludf.DUMMYFUNCTION("""COMPUTED_VALUE"""),1.0E7)</f>
        <v>10000000</v>
      </c>
      <c r="L36" s="14">
        <f>IFERROR(__xludf.DUMMYFUNCTION("""COMPUTED_VALUE"""),7303129.0)</f>
        <v>7303129</v>
      </c>
      <c r="M36" s="14">
        <f>IFERROR(__xludf.DUMMYFUNCTION("""COMPUTED_VALUE"""),3765621.0)</f>
        <v>3765621</v>
      </c>
      <c r="N36" s="14">
        <f>IFERROR(__xludf.DUMMYFUNCTION("""COMPUTED_VALUE"""),1.8125151E7)</f>
        <v>18125151</v>
      </c>
    </row>
    <row r="37">
      <c r="A37" s="9">
        <f>IFERROR(__xludf.DUMMYFUNCTION("""COMPUTED_VALUE"""),97.0)</f>
        <v>97</v>
      </c>
      <c r="B37" s="9" t="str">
        <f>IFERROR(__xludf.DUMMYFUNCTION("""COMPUTED_VALUE"""),"Deena McIllroy")</f>
        <v>Deena McIllroy</v>
      </c>
      <c r="C37" s="9" t="str">
        <f>IFERROR(__xludf.DUMMYFUNCTION("""COMPUTED_VALUE"""),"dmcillroy2o@redcross.org")</f>
        <v>dmcillroy2o@redcross.org</v>
      </c>
      <c r="D37" s="9" t="str">
        <f>IFERROR(__xludf.DUMMYFUNCTION("""COMPUTED_VALUE"""),"Uruguay")</f>
        <v>Uruguay</v>
      </c>
      <c r="E37" s="9" t="str">
        <f>IFERROR(__xludf.DUMMYFUNCTION("""COMPUTED_VALUE"""),"Tecnología")</f>
        <v>Tecnología</v>
      </c>
      <c r="F37" s="9" t="str">
        <f>IFERROR(__xludf.DUMMYFUNCTION("""COMPUTED_VALUE"""),"Inversión")</f>
        <v>Inversión</v>
      </c>
      <c r="G37" s="9" t="str">
        <f>IFERROR(__xludf.DUMMYFUNCTION("""COMPUTED_VALUE"""),"Socio de proyecto")</f>
        <v>Socio de proyecto</v>
      </c>
      <c r="H37" s="9" t="str">
        <f>IFERROR(__xludf.DUMMYFUNCTION("""COMPUTED_VALUE"""),"NO")</f>
        <v>NO</v>
      </c>
      <c r="I37" s="9">
        <f>IFERROR(__xludf.DUMMYFUNCTION("""COMPUTED_VALUE"""),3.0)</f>
        <v>3</v>
      </c>
      <c r="J37" s="9">
        <f>IFERROR(__xludf.DUMMYFUNCTION("""COMPUTED_VALUE"""),9.0)</f>
        <v>9</v>
      </c>
      <c r="K37" s="14">
        <f>IFERROR(__xludf.DUMMYFUNCTION("""COMPUTED_VALUE"""),3.0E7)</f>
        <v>30000000</v>
      </c>
      <c r="L37" s="14">
        <f>IFERROR(__xludf.DUMMYFUNCTION("""COMPUTED_VALUE"""),4.4457754E7)</f>
        <v>44457754</v>
      </c>
      <c r="M37" s="14">
        <f>IFERROR(__xludf.DUMMYFUNCTION("""COMPUTED_VALUE"""),0.0)</f>
        <v>0</v>
      </c>
      <c r="N37" s="14">
        <f>IFERROR(__xludf.DUMMYFUNCTION("""COMPUTED_VALUE"""),6.2249765E7)</f>
        <v>62249765</v>
      </c>
    </row>
    <row r="38">
      <c r="A38" s="9">
        <f>IFERROR(__xludf.DUMMYFUNCTION("""COMPUTED_VALUE"""),98.0)</f>
        <v>98</v>
      </c>
      <c r="B38" s="9" t="str">
        <f>IFERROR(__xludf.DUMMYFUNCTION("""COMPUTED_VALUE"""),"Madison Moulds")</f>
        <v>Madison Moulds</v>
      </c>
      <c r="C38" s="9" t="str">
        <f>IFERROR(__xludf.DUMMYFUNCTION("""COMPUTED_VALUE"""),"mmoulds2p@jiathis.com")</f>
        <v>mmoulds2p@jiathis.com</v>
      </c>
      <c r="D38" s="9" t="str">
        <f>IFERROR(__xludf.DUMMYFUNCTION("""COMPUTED_VALUE"""),"Colombia")</f>
        <v>Colombia</v>
      </c>
      <c r="E38" s="9" t="str">
        <f>IFERROR(__xludf.DUMMYFUNCTION("""COMPUTED_VALUE"""),"Tecnología")</f>
        <v>Tecnología</v>
      </c>
      <c r="F38" s="9" t="str">
        <f>IFERROR(__xludf.DUMMYFUNCTION("""COMPUTED_VALUE"""),"Inversión")</f>
        <v>Inversión</v>
      </c>
      <c r="G38" s="9" t="str">
        <f>IFERROR(__xludf.DUMMYFUNCTION("""COMPUTED_VALUE"""),"Socio capitalista")</f>
        <v>Socio capitalista</v>
      </c>
      <c r="H38" s="9" t="str">
        <f>IFERROR(__xludf.DUMMYFUNCTION("""COMPUTED_VALUE"""),"NO")</f>
        <v>NO</v>
      </c>
      <c r="I38" s="9">
        <f>IFERROR(__xludf.DUMMYFUNCTION("""COMPUTED_VALUE"""),4.0)</f>
        <v>4</v>
      </c>
      <c r="J38" s="9">
        <f>IFERROR(__xludf.DUMMYFUNCTION("""COMPUTED_VALUE"""),10.0)</f>
        <v>10</v>
      </c>
      <c r="K38" s="14">
        <f>IFERROR(__xludf.DUMMYFUNCTION("""COMPUTED_VALUE"""),1.0E7)</f>
        <v>10000000</v>
      </c>
      <c r="L38" s="14">
        <f>IFERROR(__xludf.DUMMYFUNCTION("""COMPUTED_VALUE"""),5.4467236E7)</f>
        <v>54467236</v>
      </c>
      <c r="M38" s="14">
        <f>IFERROR(__xludf.DUMMYFUNCTION("""COMPUTED_VALUE"""),0.0)</f>
        <v>0</v>
      </c>
      <c r="N38" s="14">
        <f>IFERROR(__xludf.DUMMYFUNCTION("""COMPUTED_VALUE"""),1234692.0)</f>
        <v>1234692</v>
      </c>
    </row>
    <row r="39">
      <c r="A39" s="9">
        <f>IFERROR(__xludf.DUMMYFUNCTION("""COMPUTED_VALUE"""),99.0)</f>
        <v>99</v>
      </c>
      <c r="B39" s="9" t="str">
        <f>IFERROR(__xludf.DUMMYFUNCTION("""COMPUTED_VALUE"""),"Gustaf Jeffcoat")</f>
        <v>Gustaf Jeffcoat</v>
      </c>
      <c r="C39" s="9" t="str">
        <f>IFERROR(__xludf.DUMMYFUNCTION("""COMPUTED_VALUE"""),"gjeffcoat2q@tuttocitta.it")</f>
        <v>gjeffcoat2q@tuttocitta.it</v>
      </c>
      <c r="D39" s="9" t="str">
        <f>IFERROR(__xludf.DUMMYFUNCTION("""COMPUTED_VALUE"""),"Brasil")</f>
        <v>Brasil</v>
      </c>
      <c r="E39" s="9" t="str">
        <f>IFERROR(__xludf.DUMMYFUNCTION("""COMPUTED_VALUE"""),"Tecnología")</f>
        <v>Tecnología</v>
      </c>
      <c r="F39" s="9" t="str">
        <f>IFERROR(__xludf.DUMMYFUNCTION("""COMPUTED_VALUE"""),"Inversión")</f>
        <v>Inversión</v>
      </c>
      <c r="G39" s="9" t="str">
        <f>IFERROR(__xludf.DUMMYFUNCTION("""COMPUTED_VALUE"""),"Socio de proyecto")</f>
        <v>Socio de proyecto</v>
      </c>
      <c r="H39" s="9" t="str">
        <f>IFERROR(__xludf.DUMMYFUNCTION("""COMPUTED_VALUE"""),"NO")</f>
        <v>NO</v>
      </c>
      <c r="I39" s="9">
        <f>IFERROR(__xludf.DUMMYFUNCTION("""COMPUTED_VALUE"""),4.0)</f>
        <v>4</v>
      </c>
      <c r="J39" s="9">
        <f>IFERROR(__xludf.DUMMYFUNCTION("""COMPUTED_VALUE"""),10.0)</f>
        <v>10</v>
      </c>
      <c r="K39" s="14">
        <f>IFERROR(__xludf.DUMMYFUNCTION("""COMPUTED_VALUE"""),1.0E7)</f>
        <v>10000000</v>
      </c>
      <c r="L39" s="14">
        <f>IFERROR(__xludf.DUMMYFUNCTION("""COMPUTED_VALUE"""),1.7991607E7)</f>
        <v>17991607</v>
      </c>
      <c r="M39" s="14">
        <f>IFERROR(__xludf.DUMMYFUNCTION("""COMPUTED_VALUE"""),0.0)</f>
        <v>0</v>
      </c>
      <c r="N39" s="14">
        <f>IFERROR(__xludf.DUMMYFUNCTION("""COMPUTED_VALUE"""),174626.0)</f>
        <v>174626</v>
      </c>
    </row>
    <row r="40">
      <c r="A40" s="9">
        <f>IFERROR(__xludf.DUMMYFUNCTION("""COMPUTED_VALUE"""),103.0)</f>
        <v>103</v>
      </c>
      <c r="B40" s="9" t="str">
        <f>IFERROR(__xludf.DUMMYFUNCTION("""COMPUTED_VALUE"""),"Deedee Hansel")</f>
        <v>Deedee Hansel</v>
      </c>
      <c r="C40" s="9" t="str">
        <f>IFERROR(__xludf.DUMMYFUNCTION("""COMPUTED_VALUE"""),"dhansel2u@is.gd")</f>
        <v>dhansel2u@is.gd</v>
      </c>
      <c r="D40" s="9" t="str">
        <f>IFERROR(__xludf.DUMMYFUNCTION("""COMPUTED_VALUE"""),"Ecuador")</f>
        <v>Ecuador</v>
      </c>
      <c r="E40" s="9" t="str">
        <f>IFERROR(__xludf.DUMMYFUNCTION("""COMPUTED_VALUE"""),"Tecnología")</f>
        <v>Tecnología</v>
      </c>
      <c r="F40" s="9" t="str">
        <f>IFERROR(__xludf.DUMMYFUNCTION("""COMPUTED_VALUE"""),"Inversión")</f>
        <v>Inversión</v>
      </c>
      <c r="G40" s="9" t="str">
        <f>IFERROR(__xludf.DUMMYFUNCTION("""COMPUTED_VALUE"""),"Socio de proyecto")</f>
        <v>Socio de proyecto</v>
      </c>
      <c r="H40" s="9" t="str">
        <f>IFERROR(__xludf.DUMMYFUNCTION("""COMPUTED_VALUE"""),"NO")</f>
        <v>NO</v>
      </c>
      <c r="I40" s="9">
        <f>IFERROR(__xludf.DUMMYFUNCTION("""COMPUTED_VALUE"""),5.0)</f>
        <v>5</v>
      </c>
      <c r="J40" s="9">
        <f>IFERROR(__xludf.DUMMYFUNCTION("""COMPUTED_VALUE"""),7.0)</f>
        <v>7</v>
      </c>
      <c r="K40" s="14">
        <f>IFERROR(__xludf.DUMMYFUNCTION("""COMPUTED_VALUE"""),1.0E7)</f>
        <v>10000000</v>
      </c>
      <c r="L40" s="14">
        <f>IFERROR(__xludf.DUMMYFUNCTION("""COMPUTED_VALUE"""),4.3538967E7)</f>
        <v>43538967</v>
      </c>
      <c r="M40" s="14">
        <f>IFERROR(__xludf.DUMMYFUNCTION("""COMPUTED_VALUE"""),5161300.0)</f>
        <v>5161300</v>
      </c>
      <c r="N40" s="14">
        <f>IFERROR(__xludf.DUMMYFUNCTION("""COMPUTED_VALUE"""),8.5417673E7)</f>
        <v>85417673</v>
      </c>
    </row>
    <row r="41">
      <c r="A41" s="9">
        <f>IFERROR(__xludf.DUMMYFUNCTION("""COMPUTED_VALUE"""),104.0)</f>
        <v>104</v>
      </c>
      <c r="B41" s="9" t="str">
        <f>IFERROR(__xludf.DUMMYFUNCTION("""COMPUTED_VALUE"""),"Lamond Sprague")</f>
        <v>Lamond Sprague</v>
      </c>
      <c r="C41" s="9" t="str">
        <f>IFERROR(__xludf.DUMMYFUNCTION("""COMPUTED_VALUE"""),"lsprague2v@cmu.edu")</f>
        <v>lsprague2v@cmu.edu</v>
      </c>
      <c r="D41" s="9" t="str">
        <f>IFERROR(__xludf.DUMMYFUNCTION("""COMPUTED_VALUE"""),"Perú")</f>
        <v>Perú</v>
      </c>
      <c r="E41" s="9" t="str">
        <f>IFERROR(__xludf.DUMMYFUNCTION("""COMPUTED_VALUE"""),"Tecnología")</f>
        <v>Tecnología</v>
      </c>
      <c r="F41" s="9" t="str">
        <f>IFERROR(__xludf.DUMMYFUNCTION("""COMPUTED_VALUE"""),"Inversión")</f>
        <v>Inversión</v>
      </c>
      <c r="G41" s="9" t="str">
        <f>IFERROR(__xludf.DUMMYFUNCTION("""COMPUTED_VALUE"""),"Socio de proyecto")</f>
        <v>Socio de proyecto</v>
      </c>
      <c r="H41" s="9" t="str">
        <f>IFERROR(__xludf.DUMMYFUNCTION("""COMPUTED_VALUE"""),"SI")</f>
        <v>SI</v>
      </c>
      <c r="I41" s="9">
        <f>IFERROR(__xludf.DUMMYFUNCTION("""COMPUTED_VALUE"""),6.0)</f>
        <v>6</v>
      </c>
      <c r="J41" s="9">
        <f>IFERROR(__xludf.DUMMYFUNCTION("""COMPUTED_VALUE"""),9.0)</f>
        <v>9</v>
      </c>
      <c r="K41" s="14">
        <f>IFERROR(__xludf.DUMMYFUNCTION("""COMPUTED_VALUE"""),1000000.0)</f>
        <v>1000000</v>
      </c>
      <c r="L41" s="14">
        <f>IFERROR(__xludf.DUMMYFUNCTION("""COMPUTED_VALUE"""),9.5899452E7)</f>
        <v>95899452</v>
      </c>
      <c r="M41" s="14">
        <f>IFERROR(__xludf.DUMMYFUNCTION("""COMPUTED_VALUE"""),2565664.0)</f>
        <v>2565664</v>
      </c>
      <c r="N41" s="14">
        <f>IFERROR(__xludf.DUMMYFUNCTION("""COMPUTED_VALUE"""),3.9602953E7)</f>
        <v>39602953</v>
      </c>
    </row>
    <row r="42">
      <c r="A42" s="9">
        <f>IFERROR(__xludf.DUMMYFUNCTION("""COMPUTED_VALUE"""),105.0)</f>
        <v>105</v>
      </c>
      <c r="B42" s="9" t="str">
        <f>IFERROR(__xludf.DUMMYFUNCTION("""COMPUTED_VALUE"""),"Skye Trill")</f>
        <v>Skye Trill</v>
      </c>
      <c r="C42" s="9" t="str">
        <f>IFERROR(__xludf.DUMMYFUNCTION("""COMPUTED_VALUE"""),"strill2w@amazon.de")</f>
        <v>strill2w@amazon.de</v>
      </c>
      <c r="D42" s="9" t="str">
        <f>IFERROR(__xludf.DUMMYFUNCTION("""COMPUTED_VALUE"""),"Paraguay")</f>
        <v>Paraguay</v>
      </c>
      <c r="E42" s="9" t="str">
        <f>IFERROR(__xludf.DUMMYFUNCTION("""COMPUTED_VALUE"""),"Tecnología")</f>
        <v>Tecnología</v>
      </c>
      <c r="F42" s="9" t="str">
        <f>IFERROR(__xludf.DUMMYFUNCTION("""COMPUTED_VALUE"""),"Inversión")</f>
        <v>Inversión</v>
      </c>
      <c r="G42" s="9" t="str">
        <f>IFERROR(__xludf.DUMMYFUNCTION("""COMPUTED_VALUE"""),"Socio de proyecto")</f>
        <v>Socio de proyecto</v>
      </c>
      <c r="H42" s="9" t="str">
        <f>IFERROR(__xludf.DUMMYFUNCTION("""COMPUTED_VALUE"""),"SI")</f>
        <v>SI</v>
      </c>
      <c r="I42" s="9">
        <f>IFERROR(__xludf.DUMMYFUNCTION("""COMPUTED_VALUE"""),6.0)</f>
        <v>6</v>
      </c>
      <c r="J42" s="9">
        <f>IFERROR(__xludf.DUMMYFUNCTION("""COMPUTED_VALUE"""),5.0)</f>
        <v>5</v>
      </c>
      <c r="K42" s="14">
        <f>IFERROR(__xludf.DUMMYFUNCTION("""COMPUTED_VALUE"""),1000000.0)</f>
        <v>1000000</v>
      </c>
      <c r="L42" s="14">
        <f>IFERROR(__xludf.DUMMYFUNCTION("""COMPUTED_VALUE"""),8.1347428E7)</f>
        <v>81347428</v>
      </c>
      <c r="M42" s="14">
        <f>IFERROR(__xludf.DUMMYFUNCTION("""COMPUTED_VALUE"""),1.0860215E7)</f>
        <v>10860215</v>
      </c>
      <c r="N42" s="14">
        <f>IFERROR(__xludf.DUMMYFUNCTION("""COMPUTED_VALUE"""),2.863729E7)</f>
        <v>28637290</v>
      </c>
    </row>
    <row r="43">
      <c r="A43" s="9">
        <f>IFERROR(__xludf.DUMMYFUNCTION("""COMPUTED_VALUE"""),107.0)</f>
        <v>107</v>
      </c>
      <c r="B43" s="9" t="str">
        <f>IFERROR(__xludf.DUMMYFUNCTION("""COMPUTED_VALUE"""),"Libby Adriaan")</f>
        <v>Libby Adriaan</v>
      </c>
      <c r="C43" s="9" t="str">
        <f>IFERROR(__xludf.DUMMYFUNCTION("""COMPUTED_VALUE"""),"ladriaan2y@tinypic.com")</f>
        <v>ladriaan2y@tinypic.com</v>
      </c>
      <c r="D43" s="9" t="str">
        <f>IFERROR(__xludf.DUMMYFUNCTION("""COMPUTED_VALUE"""),"Chile")</f>
        <v>Chile</v>
      </c>
      <c r="E43" s="9" t="str">
        <f>IFERROR(__xludf.DUMMYFUNCTION("""COMPUTED_VALUE"""),"Tecnología")</f>
        <v>Tecnología</v>
      </c>
      <c r="F43" s="9" t="str">
        <f>IFERROR(__xludf.DUMMYFUNCTION("""COMPUTED_VALUE"""),"Inversión")</f>
        <v>Inversión</v>
      </c>
      <c r="G43" s="9" t="str">
        <f>IFERROR(__xludf.DUMMYFUNCTION("""COMPUTED_VALUE"""),"Socio de proyecto")</f>
        <v>Socio de proyecto</v>
      </c>
      <c r="H43" s="9" t="str">
        <f>IFERROR(__xludf.DUMMYFUNCTION("""COMPUTED_VALUE"""),"SI")</f>
        <v>SI</v>
      </c>
      <c r="I43" s="9">
        <f>IFERROR(__xludf.DUMMYFUNCTION("""COMPUTED_VALUE"""),7.0)</f>
        <v>7</v>
      </c>
      <c r="J43" s="9">
        <f>IFERROR(__xludf.DUMMYFUNCTION("""COMPUTED_VALUE"""),8.0)</f>
        <v>8</v>
      </c>
      <c r="K43" s="14">
        <f>IFERROR(__xludf.DUMMYFUNCTION("""COMPUTED_VALUE"""),1.0E7)</f>
        <v>10000000</v>
      </c>
      <c r="L43" s="14">
        <f>IFERROR(__xludf.DUMMYFUNCTION("""COMPUTED_VALUE"""),9.6199053E7)</f>
        <v>96199053</v>
      </c>
      <c r="M43" s="14">
        <f>IFERROR(__xludf.DUMMYFUNCTION("""COMPUTED_VALUE"""),3.1746355E7)</f>
        <v>31746355</v>
      </c>
      <c r="N43" s="14">
        <f>IFERROR(__xludf.DUMMYFUNCTION("""COMPUTED_VALUE"""),8.0063468E7)</f>
        <v>80063468</v>
      </c>
    </row>
    <row r="44">
      <c r="A44" s="9">
        <f>IFERROR(__xludf.DUMMYFUNCTION("""COMPUTED_VALUE"""),108.0)</f>
        <v>108</v>
      </c>
      <c r="B44" s="9" t="str">
        <f>IFERROR(__xludf.DUMMYFUNCTION("""COMPUTED_VALUE"""),"Calhoun Sharram")</f>
        <v>Calhoun Sharram</v>
      </c>
      <c r="C44" s="9" t="str">
        <f>IFERROR(__xludf.DUMMYFUNCTION("""COMPUTED_VALUE"""),"csharram2z@php.net")</f>
        <v>csharram2z@php.net</v>
      </c>
      <c r="D44" s="9" t="str">
        <f>IFERROR(__xludf.DUMMYFUNCTION("""COMPUTED_VALUE"""),"Colombia")</f>
        <v>Colombia</v>
      </c>
      <c r="E44" s="9" t="str">
        <f>IFERROR(__xludf.DUMMYFUNCTION("""COMPUTED_VALUE"""),"Tecnología")</f>
        <v>Tecnología</v>
      </c>
      <c r="F44" s="9" t="str">
        <f>IFERROR(__xludf.DUMMYFUNCTION("""COMPUTED_VALUE"""),"Inversión")</f>
        <v>Inversión</v>
      </c>
      <c r="G44" s="9" t="str">
        <f>IFERROR(__xludf.DUMMYFUNCTION("""COMPUTED_VALUE"""),"Socio de proyecto")</f>
        <v>Socio de proyecto</v>
      </c>
      <c r="H44" s="9" t="str">
        <f>IFERROR(__xludf.DUMMYFUNCTION("""COMPUTED_VALUE"""),"NO")</f>
        <v>NO</v>
      </c>
      <c r="I44" s="9">
        <f>IFERROR(__xludf.DUMMYFUNCTION("""COMPUTED_VALUE"""),9.0)</f>
        <v>9</v>
      </c>
      <c r="J44" s="9">
        <f>IFERROR(__xludf.DUMMYFUNCTION("""COMPUTED_VALUE"""),10.0)</f>
        <v>10</v>
      </c>
      <c r="K44" s="14">
        <f>IFERROR(__xludf.DUMMYFUNCTION("""COMPUTED_VALUE"""),1000000.0)</f>
        <v>1000000</v>
      </c>
      <c r="L44" s="14">
        <f>IFERROR(__xludf.DUMMYFUNCTION("""COMPUTED_VALUE"""),7.1783742E7)</f>
        <v>71783742</v>
      </c>
      <c r="M44" s="14">
        <f>IFERROR(__xludf.DUMMYFUNCTION("""COMPUTED_VALUE"""),6.4667814E7)</f>
        <v>64667814</v>
      </c>
      <c r="N44" s="14">
        <f>IFERROR(__xludf.DUMMYFUNCTION("""COMPUTED_VALUE"""),7.065318E7)</f>
        <v>70653180</v>
      </c>
    </row>
    <row r="45">
      <c r="A45" s="9">
        <f>IFERROR(__xludf.DUMMYFUNCTION("""COMPUTED_VALUE"""),111.0)</f>
        <v>111</v>
      </c>
      <c r="B45" s="9" t="str">
        <f>IFERROR(__xludf.DUMMYFUNCTION("""COMPUTED_VALUE"""),"Erda Giff")</f>
        <v>Erda Giff</v>
      </c>
      <c r="C45" s="9" t="str">
        <f>IFERROR(__xludf.DUMMYFUNCTION("""COMPUTED_VALUE"""),"egiff32@cmu.edu")</f>
        <v>egiff32@cmu.edu</v>
      </c>
      <c r="D45" s="9" t="str">
        <f>IFERROR(__xludf.DUMMYFUNCTION("""COMPUTED_VALUE"""),"Perú")</f>
        <v>Perú</v>
      </c>
      <c r="E45" s="9" t="str">
        <f>IFERROR(__xludf.DUMMYFUNCTION("""COMPUTED_VALUE"""),"Tecnología")</f>
        <v>Tecnología</v>
      </c>
      <c r="F45" s="9" t="str">
        <f>IFERROR(__xludf.DUMMYFUNCTION("""COMPUTED_VALUE"""),"Inversión")</f>
        <v>Inversión</v>
      </c>
      <c r="G45" s="9" t="str">
        <f>IFERROR(__xludf.DUMMYFUNCTION("""COMPUTED_VALUE"""),"Socio de proyecto")</f>
        <v>Socio de proyecto</v>
      </c>
      <c r="H45" s="9" t="str">
        <f>IFERROR(__xludf.DUMMYFUNCTION("""COMPUTED_VALUE"""),"SI")</f>
        <v>SI</v>
      </c>
      <c r="I45" s="9">
        <f>IFERROR(__xludf.DUMMYFUNCTION("""COMPUTED_VALUE"""),9.0)</f>
        <v>9</v>
      </c>
      <c r="J45" s="9">
        <f>IFERROR(__xludf.DUMMYFUNCTION("""COMPUTED_VALUE"""),8.0)</f>
        <v>8</v>
      </c>
      <c r="K45" s="14">
        <f>IFERROR(__xludf.DUMMYFUNCTION("""COMPUTED_VALUE"""),3.0E7)</f>
        <v>30000000</v>
      </c>
      <c r="L45" s="14">
        <f>IFERROR(__xludf.DUMMYFUNCTION("""COMPUTED_VALUE"""),3.3477783E7)</f>
        <v>33477783</v>
      </c>
      <c r="M45" s="14">
        <f>IFERROR(__xludf.DUMMYFUNCTION("""COMPUTED_VALUE"""),0.0)</f>
        <v>0</v>
      </c>
      <c r="N45" s="14">
        <f>IFERROR(__xludf.DUMMYFUNCTION("""COMPUTED_VALUE"""),2.7651635E7)</f>
        <v>27651635</v>
      </c>
    </row>
    <row r="46">
      <c r="A46" s="9">
        <f>IFERROR(__xludf.DUMMYFUNCTION("""COMPUTED_VALUE"""),113.0)</f>
        <v>113</v>
      </c>
      <c r="B46" s="9" t="str">
        <f>IFERROR(__xludf.DUMMYFUNCTION("""COMPUTED_VALUE"""),"Gradey Meadows")</f>
        <v>Gradey Meadows</v>
      </c>
      <c r="C46" s="9" t="str">
        <f>IFERROR(__xludf.DUMMYFUNCTION("""COMPUTED_VALUE"""),"gmeadows34@list-manage.com")</f>
        <v>gmeadows34@list-manage.com</v>
      </c>
      <c r="D46" s="9" t="str">
        <f>IFERROR(__xludf.DUMMYFUNCTION("""COMPUTED_VALUE"""),"Argentina")</f>
        <v>Argentina</v>
      </c>
      <c r="E46" s="9" t="str">
        <f>IFERROR(__xludf.DUMMYFUNCTION("""COMPUTED_VALUE"""),"Tecnología")</f>
        <v>Tecnología</v>
      </c>
      <c r="F46" s="9" t="str">
        <f>IFERROR(__xludf.DUMMYFUNCTION("""COMPUTED_VALUE"""),"Inversión")</f>
        <v>Inversión</v>
      </c>
      <c r="G46" s="9" t="str">
        <f>IFERROR(__xludf.DUMMYFUNCTION("""COMPUTED_VALUE"""),"Socio capitalista")</f>
        <v>Socio capitalista</v>
      </c>
      <c r="H46" s="9" t="str">
        <f>IFERROR(__xludf.DUMMYFUNCTION("""COMPUTED_VALUE"""),"NO")</f>
        <v>NO</v>
      </c>
      <c r="I46" s="9">
        <f>IFERROR(__xludf.DUMMYFUNCTION("""COMPUTED_VALUE"""),8.0)</f>
        <v>8</v>
      </c>
      <c r="J46" s="9">
        <f>IFERROR(__xludf.DUMMYFUNCTION("""COMPUTED_VALUE"""),6.0)</f>
        <v>6</v>
      </c>
      <c r="K46" s="14">
        <f>IFERROR(__xludf.DUMMYFUNCTION("""COMPUTED_VALUE"""),5.0E7)</f>
        <v>50000000</v>
      </c>
      <c r="L46" s="14">
        <f>IFERROR(__xludf.DUMMYFUNCTION("""COMPUTED_VALUE"""),7.0787848E7)</f>
        <v>70787848</v>
      </c>
      <c r="M46" s="14">
        <f>IFERROR(__xludf.DUMMYFUNCTION("""COMPUTED_VALUE"""),3.3368202E7)</f>
        <v>33368202</v>
      </c>
      <c r="N46" s="14">
        <f>IFERROR(__xludf.DUMMYFUNCTION("""COMPUTED_VALUE"""),4.3277527E7)</f>
        <v>43277527</v>
      </c>
    </row>
    <row r="47">
      <c r="A47" s="9">
        <f>IFERROR(__xludf.DUMMYFUNCTION("""COMPUTED_VALUE"""),115.0)</f>
        <v>115</v>
      </c>
      <c r="B47" s="9" t="str">
        <f>IFERROR(__xludf.DUMMYFUNCTION("""COMPUTED_VALUE"""),"Neysa Raftery")</f>
        <v>Neysa Raftery</v>
      </c>
      <c r="C47" s="9" t="str">
        <f>IFERROR(__xludf.DUMMYFUNCTION("""COMPUTED_VALUE"""),"nraftery36@t-online.de")</f>
        <v>nraftery36@t-online.de</v>
      </c>
      <c r="D47" s="9" t="str">
        <f>IFERROR(__xludf.DUMMYFUNCTION("""COMPUTED_VALUE"""),"Colombia")</f>
        <v>Colombia</v>
      </c>
      <c r="E47" s="9" t="str">
        <f>IFERROR(__xludf.DUMMYFUNCTION("""COMPUTED_VALUE"""),"Tecnología")</f>
        <v>Tecnología</v>
      </c>
      <c r="F47" s="9" t="str">
        <f>IFERROR(__xludf.DUMMYFUNCTION("""COMPUTED_VALUE"""),"Inversión")</f>
        <v>Inversión</v>
      </c>
      <c r="G47" s="9" t="str">
        <f>IFERROR(__xludf.DUMMYFUNCTION("""COMPUTED_VALUE"""),"Socio capitalista")</f>
        <v>Socio capitalista</v>
      </c>
      <c r="H47" s="9" t="str">
        <f>IFERROR(__xludf.DUMMYFUNCTION("""COMPUTED_VALUE"""),"NO")</f>
        <v>NO</v>
      </c>
      <c r="I47" s="9">
        <f>IFERROR(__xludf.DUMMYFUNCTION("""COMPUTED_VALUE"""),3.0)</f>
        <v>3</v>
      </c>
      <c r="J47" s="9">
        <f>IFERROR(__xludf.DUMMYFUNCTION("""COMPUTED_VALUE"""),8.0)</f>
        <v>8</v>
      </c>
      <c r="K47" s="14">
        <f>IFERROR(__xludf.DUMMYFUNCTION("""COMPUTED_VALUE"""),2.0E7)</f>
        <v>20000000</v>
      </c>
      <c r="L47" s="14">
        <f>IFERROR(__xludf.DUMMYFUNCTION("""COMPUTED_VALUE"""),4.006462E7)</f>
        <v>40064620</v>
      </c>
      <c r="M47" s="14">
        <f>IFERROR(__xludf.DUMMYFUNCTION("""COMPUTED_VALUE"""),9.8137438E7)</f>
        <v>98137438</v>
      </c>
      <c r="N47" s="14">
        <f>IFERROR(__xludf.DUMMYFUNCTION("""COMPUTED_VALUE"""),0.0)</f>
        <v>0</v>
      </c>
    </row>
    <row r="48">
      <c r="A48" s="9">
        <f>IFERROR(__xludf.DUMMYFUNCTION("""COMPUTED_VALUE"""),116.0)</f>
        <v>116</v>
      </c>
      <c r="B48" s="9" t="str">
        <f>IFERROR(__xludf.DUMMYFUNCTION("""COMPUTED_VALUE"""),"Lanni Farquarson")</f>
        <v>Lanni Farquarson</v>
      </c>
      <c r="C48" s="9" t="str">
        <f>IFERROR(__xludf.DUMMYFUNCTION("""COMPUTED_VALUE"""),"lfarquarson37@shutterfly.com")</f>
        <v>lfarquarson37@shutterfly.com</v>
      </c>
      <c r="D48" s="9" t="str">
        <f>IFERROR(__xludf.DUMMYFUNCTION("""COMPUTED_VALUE"""),"Chile")</f>
        <v>Chile</v>
      </c>
      <c r="E48" s="9" t="str">
        <f>IFERROR(__xludf.DUMMYFUNCTION("""COMPUTED_VALUE"""),"Tecnología")</f>
        <v>Tecnología</v>
      </c>
      <c r="F48" s="9" t="str">
        <f>IFERROR(__xludf.DUMMYFUNCTION("""COMPUTED_VALUE"""),"Inversión")</f>
        <v>Inversión</v>
      </c>
      <c r="G48" s="9" t="str">
        <f>IFERROR(__xludf.DUMMYFUNCTION("""COMPUTED_VALUE"""),"Socio de proyecto")</f>
        <v>Socio de proyecto</v>
      </c>
      <c r="H48" s="9" t="str">
        <f>IFERROR(__xludf.DUMMYFUNCTION("""COMPUTED_VALUE"""),"NO")</f>
        <v>NO</v>
      </c>
      <c r="I48" s="9">
        <f>IFERROR(__xludf.DUMMYFUNCTION("""COMPUTED_VALUE"""),6.0)</f>
        <v>6</v>
      </c>
      <c r="J48" s="9">
        <f>IFERROR(__xludf.DUMMYFUNCTION("""COMPUTED_VALUE"""),5.0)</f>
        <v>5</v>
      </c>
      <c r="K48" s="14">
        <f>IFERROR(__xludf.DUMMYFUNCTION("""COMPUTED_VALUE"""),3.0E7)</f>
        <v>30000000</v>
      </c>
      <c r="L48" s="14">
        <f>IFERROR(__xludf.DUMMYFUNCTION("""COMPUTED_VALUE"""),4.528936E7)</f>
        <v>45289360</v>
      </c>
      <c r="M48" s="14">
        <f>IFERROR(__xludf.DUMMYFUNCTION("""COMPUTED_VALUE"""),0.0)</f>
        <v>0</v>
      </c>
      <c r="N48" s="14">
        <f>IFERROR(__xludf.DUMMYFUNCTION("""COMPUTED_VALUE"""),4.6980526E7)</f>
        <v>46980526</v>
      </c>
    </row>
    <row r="49">
      <c r="A49" s="9">
        <f>IFERROR(__xludf.DUMMYFUNCTION("""COMPUTED_VALUE"""),120.0)</f>
        <v>120</v>
      </c>
      <c r="B49" s="9" t="str">
        <f>IFERROR(__xludf.DUMMYFUNCTION("""COMPUTED_VALUE"""),"Roslyn Slingsby")</f>
        <v>Roslyn Slingsby</v>
      </c>
      <c r="C49" s="9" t="str">
        <f>IFERROR(__xludf.DUMMYFUNCTION("""COMPUTED_VALUE"""),"rslingsby3b@simplemachines.org")</f>
        <v>rslingsby3b@simplemachines.org</v>
      </c>
      <c r="D49" s="9" t="str">
        <f>IFERROR(__xludf.DUMMYFUNCTION("""COMPUTED_VALUE"""),"Paraguay")</f>
        <v>Paraguay</v>
      </c>
      <c r="E49" s="9" t="str">
        <f>IFERROR(__xludf.DUMMYFUNCTION("""COMPUTED_VALUE"""),"Tecnología")</f>
        <v>Tecnología</v>
      </c>
      <c r="F49" s="9" t="str">
        <f>IFERROR(__xludf.DUMMYFUNCTION("""COMPUTED_VALUE"""),"Inversión")</f>
        <v>Inversión</v>
      </c>
      <c r="G49" s="9" t="str">
        <f>IFERROR(__xludf.DUMMYFUNCTION("""COMPUTED_VALUE"""),"Socio capitalista")</f>
        <v>Socio capitalista</v>
      </c>
      <c r="H49" s="9" t="str">
        <f>IFERROR(__xludf.DUMMYFUNCTION("""COMPUTED_VALUE"""),"NO")</f>
        <v>NO</v>
      </c>
      <c r="I49" s="9">
        <f>IFERROR(__xludf.DUMMYFUNCTION("""COMPUTED_VALUE"""),9.0)</f>
        <v>9</v>
      </c>
      <c r="J49" s="9">
        <f>IFERROR(__xludf.DUMMYFUNCTION("""COMPUTED_VALUE"""),9.0)</f>
        <v>9</v>
      </c>
      <c r="K49" s="14">
        <f>IFERROR(__xludf.DUMMYFUNCTION("""COMPUTED_VALUE"""),1000000.0)</f>
        <v>1000000</v>
      </c>
      <c r="L49" s="14">
        <f>IFERROR(__xludf.DUMMYFUNCTION("""COMPUTED_VALUE"""),5.3008255E7)</f>
        <v>53008255</v>
      </c>
      <c r="M49" s="14">
        <f>IFERROR(__xludf.DUMMYFUNCTION("""COMPUTED_VALUE"""),4.691791E7)</f>
        <v>46917910</v>
      </c>
      <c r="N49" s="14">
        <f>IFERROR(__xludf.DUMMYFUNCTION("""COMPUTED_VALUE"""),4.7557281E7)</f>
        <v>47557281</v>
      </c>
    </row>
    <row r="50">
      <c r="A50" s="9">
        <f>IFERROR(__xludf.DUMMYFUNCTION("""COMPUTED_VALUE"""),122.0)</f>
        <v>122</v>
      </c>
      <c r="B50" s="9" t="str">
        <f>IFERROR(__xludf.DUMMYFUNCTION("""COMPUTED_VALUE"""),"Bunny Balassa")</f>
        <v>Bunny Balassa</v>
      </c>
      <c r="C50" s="9" t="str">
        <f>IFERROR(__xludf.DUMMYFUNCTION("""COMPUTED_VALUE"""),"bbalassa3d@scientificamerican.com")</f>
        <v>bbalassa3d@scientificamerican.com</v>
      </c>
      <c r="D50" s="9" t="str">
        <f>IFERROR(__xludf.DUMMYFUNCTION("""COMPUTED_VALUE"""),"Bolivia")</f>
        <v>Bolivia</v>
      </c>
      <c r="E50" s="9" t="str">
        <f>IFERROR(__xludf.DUMMYFUNCTION("""COMPUTED_VALUE"""),"Tecnología")</f>
        <v>Tecnología</v>
      </c>
      <c r="F50" s="9" t="str">
        <f>IFERROR(__xludf.DUMMYFUNCTION("""COMPUTED_VALUE"""),"Inversión")</f>
        <v>Inversión</v>
      </c>
      <c r="G50" s="9" t="str">
        <f>IFERROR(__xludf.DUMMYFUNCTION("""COMPUTED_VALUE"""),"Socio capitalista")</f>
        <v>Socio capitalista</v>
      </c>
      <c r="H50" s="9" t="str">
        <f>IFERROR(__xludf.DUMMYFUNCTION("""COMPUTED_VALUE"""),"NO")</f>
        <v>NO</v>
      </c>
      <c r="I50" s="9">
        <f>IFERROR(__xludf.DUMMYFUNCTION("""COMPUTED_VALUE"""),4.0)</f>
        <v>4</v>
      </c>
      <c r="J50" s="9">
        <f>IFERROR(__xludf.DUMMYFUNCTION("""COMPUTED_VALUE"""),10.0)</f>
        <v>10</v>
      </c>
      <c r="K50" s="14">
        <f>IFERROR(__xludf.DUMMYFUNCTION("""COMPUTED_VALUE"""),1.0E8)</f>
        <v>100000000</v>
      </c>
      <c r="L50" s="14">
        <f>IFERROR(__xludf.DUMMYFUNCTION("""COMPUTED_VALUE"""),9.468872E7)</f>
        <v>94688720</v>
      </c>
      <c r="M50" s="14">
        <f>IFERROR(__xludf.DUMMYFUNCTION("""COMPUTED_VALUE"""),8.6323763E7)</f>
        <v>86323763</v>
      </c>
      <c r="N50" s="14">
        <f>IFERROR(__xludf.DUMMYFUNCTION("""COMPUTED_VALUE"""),2.0929788E7)</f>
        <v>20929788</v>
      </c>
    </row>
    <row r="51">
      <c r="A51" s="9">
        <f>IFERROR(__xludf.DUMMYFUNCTION("""COMPUTED_VALUE"""),125.0)</f>
        <v>125</v>
      </c>
      <c r="B51" s="9" t="str">
        <f>IFERROR(__xludf.DUMMYFUNCTION("""COMPUTED_VALUE"""),"Demetris Bullimore")</f>
        <v>Demetris Bullimore</v>
      </c>
      <c r="C51" s="9" t="str">
        <f>IFERROR(__xludf.DUMMYFUNCTION("""COMPUTED_VALUE"""),"dbullimore3g@techcrunch.com")</f>
        <v>dbullimore3g@techcrunch.com</v>
      </c>
      <c r="D51" s="9" t="str">
        <f>IFERROR(__xludf.DUMMYFUNCTION("""COMPUTED_VALUE"""),"Argentina")</f>
        <v>Argentina</v>
      </c>
      <c r="E51" s="9" t="str">
        <f>IFERROR(__xludf.DUMMYFUNCTION("""COMPUTED_VALUE"""),"Tecnología")</f>
        <v>Tecnología</v>
      </c>
      <c r="F51" s="9" t="str">
        <f>IFERROR(__xludf.DUMMYFUNCTION("""COMPUTED_VALUE"""),"Inversión")</f>
        <v>Inversión</v>
      </c>
      <c r="G51" s="9" t="str">
        <f>IFERROR(__xludf.DUMMYFUNCTION("""COMPUTED_VALUE"""),"Socio de proyecto")</f>
        <v>Socio de proyecto</v>
      </c>
      <c r="H51" s="9" t="str">
        <f>IFERROR(__xludf.DUMMYFUNCTION("""COMPUTED_VALUE"""),"NO")</f>
        <v>NO</v>
      </c>
      <c r="I51" s="9">
        <f>IFERROR(__xludf.DUMMYFUNCTION("""COMPUTED_VALUE"""),8.0)</f>
        <v>8</v>
      </c>
      <c r="J51" s="9">
        <f>IFERROR(__xludf.DUMMYFUNCTION("""COMPUTED_VALUE"""),8.0)</f>
        <v>8</v>
      </c>
      <c r="K51" s="14">
        <f>IFERROR(__xludf.DUMMYFUNCTION("""COMPUTED_VALUE"""),3.0E7)</f>
        <v>30000000</v>
      </c>
      <c r="L51" s="14">
        <f>IFERROR(__xludf.DUMMYFUNCTION("""COMPUTED_VALUE"""),3.2890743E7)</f>
        <v>32890743</v>
      </c>
      <c r="M51" s="14">
        <f>IFERROR(__xludf.DUMMYFUNCTION("""COMPUTED_VALUE"""),0.0)</f>
        <v>0</v>
      </c>
      <c r="N51" s="14">
        <f>IFERROR(__xludf.DUMMYFUNCTION("""COMPUTED_VALUE"""),3.986462E7)</f>
        <v>39864620</v>
      </c>
    </row>
    <row r="52">
      <c r="A52" s="9">
        <f>IFERROR(__xludf.DUMMYFUNCTION("""COMPUTED_VALUE"""),128.0)</f>
        <v>128</v>
      </c>
      <c r="B52" s="9" t="str">
        <f>IFERROR(__xludf.DUMMYFUNCTION("""COMPUTED_VALUE"""),"Delmor Fancy")</f>
        <v>Delmor Fancy</v>
      </c>
      <c r="C52" s="9" t="str">
        <f>IFERROR(__xludf.DUMMYFUNCTION("""COMPUTED_VALUE"""),"dfancy3j@icq.com")</f>
        <v>dfancy3j@icq.com</v>
      </c>
      <c r="D52" s="9" t="str">
        <f>IFERROR(__xludf.DUMMYFUNCTION("""COMPUTED_VALUE"""),"Argentina")</f>
        <v>Argentina</v>
      </c>
      <c r="E52" s="9" t="str">
        <f>IFERROR(__xludf.DUMMYFUNCTION("""COMPUTED_VALUE"""),"Tecnología")</f>
        <v>Tecnología</v>
      </c>
      <c r="F52" s="9" t="str">
        <f>IFERROR(__xludf.DUMMYFUNCTION("""COMPUTED_VALUE"""),"Inversión")</f>
        <v>Inversión</v>
      </c>
      <c r="G52" s="9" t="str">
        <f>IFERROR(__xludf.DUMMYFUNCTION("""COMPUTED_VALUE"""),"Socio capitalista")</f>
        <v>Socio capitalista</v>
      </c>
      <c r="H52" s="9" t="str">
        <f>IFERROR(__xludf.DUMMYFUNCTION("""COMPUTED_VALUE"""),"SI")</f>
        <v>SI</v>
      </c>
      <c r="I52" s="9">
        <f>IFERROR(__xludf.DUMMYFUNCTION("""COMPUTED_VALUE"""),5.0)</f>
        <v>5</v>
      </c>
      <c r="J52" s="9">
        <f>IFERROR(__xludf.DUMMYFUNCTION("""COMPUTED_VALUE"""),10.0)</f>
        <v>10</v>
      </c>
      <c r="K52" s="14">
        <f>IFERROR(__xludf.DUMMYFUNCTION("""COMPUTED_VALUE"""),1.0E7)</f>
        <v>10000000</v>
      </c>
      <c r="L52" s="14">
        <f>IFERROR(__xludf.DUMMYFUNCTION("""COMPUTED_VALUE"""),3.1953589E7)</f>
        <v>31953589</v>
      </c>
      <c r="M52" s="14">
        <f>IFERROR(__xludf.DUMMYFUNCTION("""COMPUTED_VALUE"""),4.0068224E7)</f>
        <v>40068224</v>
      </c>
      <c r="N52" s="14">
        <f>IFERROR(__xludf.DUMMYFUNCTION("""COMPUTED_VALUE"""),8.0951038E7)</f>
        <v>80951038</v>
      </c>
    </row>
    <row r="53">
      <c r="A53" s="9">
        <f>IFERROR(__xludf.DUMMYFUNCTION("""COMPUTED_VALUE"""),129.0)</f>
        <v>129</v>
      </c>
      <c r="B53" s="9" t="str">
        <f>IFERROR(__xludf.DUMMYFUNCTION("""COMPUTED_VALUE"""),"Jefferson Kingswood")</f>
        <v>Jefferson Kingswood</v>
      </c>
      <c r="C53" s="9" t="str">
        <f>IFERROR(__xludf.DUMMYFUNCTION("""COMPUTED_VALUE"""),"jkingswood3k@feedburner.com")</f>
        <v>jkingswood3k@feedburner.com</v>
      </c>
      <c r="D53" s="9" t="str">
        <f>IFERROR(__xludf.DUMMYFUNCTION("""COMPUTED_VALUE"""),"Colombia")</f>
        <v>Colombia</v>
      </c>
      <c r="E53" s="9" t="str">
        <f>IFERROR(__xludf.DUMMYFUNCTION("""COMPUTED_VALUE"""),"Tecnología")</f>
        <v>Tecnología</v>
      </c>
      <c r="F53" s="9" t="str">
        <f>IFERROR(__xludf.DUMMYFUNCTION("""COMPUTED_VALUE"""),"Inversión")</f>
        <v>Inversión</v>
      </c>
      <c r="G53" s="9" t="str">
        <f>IFERROR(__xludf.DUMMYFUNCTION("""COMPUTED_VALUE"""),"Socio capitalista")</f>
        <v>Socio capitalista</v>
      </c>
      <c r="H53" s="9" t="str">
        <f>IFERROR(__xludf.DUMMYFUNCTION("""COMPUTED_VALUE"""),"NO")</f>
        <v>NO</v>
      </c>
      <c r="I53" s="9">
        <f>IFERROR(__xludf.DUMMYFUNCTION("""COMPUTED_VALUE"""),3.0)</f>
        <v>3</v>
      </c>
      <c r="J53" s="9">
        <f>IFERROR(__xludf.DUMMYFUNCTION("""COMPUTED_VALUE"""),5.0)</f>
        <v>5</v>
      </c>
      <c r="K53" s="14">
        <f>IFERROR(__xludf.DUMMYFUNCTION("""COMPUTED_VALUE"""),5.0E7)</f>
        <v>50000000</v>
      </c>
      <c r="L53" s="14">
        <f>IFERROR(__xludf.DUMMYFUNCTION("""COMPUTED_VALUE"""),7.8205651E7)</f>
        <v>78205651</v>
      </c>
      <c r="M53" s="14">
        <f>IFERROR(__xludf.DUMMYFUNCTION("""COMPUTED_VALUE"""),6.238118E7)</f>
        <v>62381180</v>
      </c>
      <c r="N53" s="14">
        <f>IFERROR(__xludf.DUMMYFUNCTION("""COMPUTED_VALUE"""),6508585.0)</f>
        <v>6508585</v>
      </c>
    </row>
    <row r="54">
      <c r="A54" s="9">
        <f>IFERROR(__xludf.DUMMYFUNCTION("""COMPUTED_VALUE"""),136.0)</f>
        <v>136</v>
      </c>
      <c r="B54" s="9" t="str">
        <f>IFERROR(__xludf.DUMMYFUNCTION("""COMPUTED_VALUE"""),"Leo Jancso")</f>
        <v>Leo Jancso</v>
      </c>
      <c r="C54" s="9" t="str">
        <f>IFERROR(__xludf.DUMMYFUNCTION("""COMPUTED_VALUE"""),"ljancso3r@java.com")</f>
        <v>ljancso3r@java.com</v>
      </c>
      <c r="D54" s="9" t="str">
        <f>IFERROR(__xludf.DUMMYFUNCTION("""COMPUTED_VALUE"""),"Brasil")</f>
        <v>Brasil</v>
      </c>
      <c r="E54" s="9" t="str">
        <f>IFERROR(__xludf.DUMMYFUNCTION("""COMPUTED_VALUE"""),"Tecnología")</f>
        <v>Tecnología</v>
      </c>
      <c r="F54" s="9" t="str">
        <f>IFERROR(__xludf.DUMMYFUNCTION("""COMPUTED_VALUE"""),"Inversión")</f>
        <v>Inversión</v>
      </c>
      <c r="G54" s="9" t="str">
        <f>IFERROR(__xludf.DUMMYFUNCTION("""COMPUTED_VALUE"""),"Socio de proyecto")</f>
        <v>Socio de proyecto</v>
      </c>
      <c r="H54" s="9" t="str">
        <f>IFERROR(__xludf.DUMMYFUNCTION("""COMPUTED_VALUE"""),"SI")</f>
        <v>SI</v>
      </c>
      <c r="I54" s="9">
        <f>IFERROR(__xludf.DUMMYFUNCTION("""COMPUTED_VALUE"""),4.0)</f>
        <v>4</v>
      </c>
      <c r="J54" s="9">
        <f>IFERROR(__xludf.DUMMYFUNCTION("""COMPUTED_VALUE"""),10.0)</f>
        <v>10</v>
      </c>
      <c r="K54" s="14">
        <f>IFERROR(__xludf.DUMMYFUNCTION("""COMPUTED_VALUE"""),1.0E7)</f>
        <v>10000000</v>
      </c>
      <c r="L54" s="14">
        <f>IFERROR(__xludf.DUMMYFUNCTION("""COMPUTED_VALUE"""),5.9890317E7)</f>
        <v>59890317</v>
      </c>
      <c r="M54" s="14">
        <f>IFERROR(__xludf.DUMMYFUNCTION("""COMPUTED_VALUE"""),4.2451842E7)</f>
        <v>42451842</v>
      </c>
      <c r="N54" s="14">
        <f>IFERROR(__xludf.DUMMYFUNCTION("""COMPUTED_VALUE"""),0.0)</f>
        <v>0</v>
      </c>
    </row>
    <row r="55">
      <c r="A55" s="9">
        <f>IFERROR(__xludf.DUMMYFUNCTION("""COMPUTED_VALUE"""),140.0)</f>
        <v>140</v>
      </c>
      <c r="B55" s="9" t="str">
        <f>IFERROR(__xludf.DUMMYFUNCTION("""COMPUTED_VALUE"""),"Milicent Bounde")</f>
        <v>Milicent Bounde</v>
      </c>
      <c r="C55" s="9" t="str">
        <f>IFERROR(__xludf.DUMMYFUNCTION("""COMPUTED_VALUE"""),"mbounde3v@nbcnews.com")</f>
        <v>mbounde3v@nbcnews.com</v>
      </c>
      <c r="D55" s="9" t="str">
        <f>IFERROR(__xludf.DUMMYFUNCTION("""COMPUTED_VALUE"""),"Paraguay")</f>
        <v>Paraguay</v>
      </c>
      <c r="E55" s="9" t="str">
        <f>IFERROR(__xludf.DUMMYFUNCTION("""COMPUTED_VALUE"""),"Tecnología")</f>
        <v>Tecnología</v>
      </c>
      <c r="F55" s="9" t="str">
        <f>IFERROR(__xludf.DUMMYFUNCTION("""COMPUTED_VALUE"""),"Inversión")</f>
        <v>Inversión</v>
      </c>
      <c r="G55" s="9" t="str">
        <f>IFERROR(__xludf.DUMMYFUNCTION("""COMPUTED_VALUE"""),"Socio capitalista")</f>
        <v>Socio capitalista</v>
      </c>
      <c r="H55" s="9" t="str">
        <f>IFERROR(__xludf.DUMMYFUNCTION("""COMPUTED_VALUE"""),"SI")</f>
        <v>SI</v>
      </c>
      <c r="I55" s="9">
        <f>IFERROR(__xludf.DUMMYFUNCTION("""COMPUTED_VALUE"""),7.0)</f>
        <v>7</v>
      </c>
      <c r="J55" s="9">
        <f>IFERROR(__xludf.DUMMYFUNCTION("""COMPUTED_VALUE"""),10.0)</f>
        <v>10</v>
      </c>
      <c r="K55" s="14">
        <f>IFERROR(__xludf.DUMMYFUNCTION("""COMPUTED_VALUE"""),1.0E7)</f>
        <v>10000000</v>
      </c>
      <c r="L55" s="14">
        <f>IFERROR(__xludf.DUMMYFUNCTION("""COMPUTED_VALUE"""),9.9989764E7)</f>
        <v>99989764</v>
      </c>
      <c r="M55" s="14">
        <f>IFERROR(__xludf.DUMMYFUNCTION("""COMPUTED_VALUE"""),8030175.0)</f>
        <v>8030175</v>
      </c>
      <c r="N55" s="14">
        <f>IFERROR(__xludf.DUMMYFUNCTION("""COMPUTED_VALUE"""),3.7676206E7)</f>
        <v>37676206</v>
      </c>
    </row>
    <row r="56">
      <c r="A56" s="9">
        <f>IFERROR(__xludf.DUMMYFUNCTION("""COMPUTED_VALUE"""),144.0)</f>
        <v>144</v>
      </c>
      <c r="B56" s="9" t="str">
        <f>IFERROR(__xludf.DUMMYFUNCTION("""COMPUTED_VALUE"""),"Cathrine Bradford")</f>
        <v>Cathrine Bradford</v>
      </c>
      <c r="C56" s="9" t="str">
        <f>IFERROR(__xludf.DUMMYFUNCTION("""COMPUTED_VALUE"""),"cbradford3z@cargocollective.com")</f>
        <v>cbradford3z@cargocollective.com</v>
      </c>
      <c r="D56" s="9" t="str">
        <f>IFERROR(__xludf.DUMMYFUNCTION("""COMPUTED_VALUE"""),"Paraguay")</f>
        <v>Paraguay</v>
      </c>
      <c r="E56" s="9" t="str">
        <f>IFERROR(__xludf.DUMMYFUNCTION("""COMPUTED_VALUE"""),"Tecnología")</f>
        <v>Tecnología</v>
      </c>
      <c r="F56" s="9" t="str">
        <f>IFERROR(__xludf.DUMMYFUNCTION("""COMPUTED_VALUE"""),"Inversión")</f>
        <v>Inversión</v>
      </c>
      <c r="G56" s="9" t="str">
        <f>IFERROR(__xludf.DUMMYFUNCTION("""COMPUTED_VALUE"""),"Socio capitalista")</f>
        <v>Socio capitalista</v>
      </c>
      <c r="H56" s="9" t="str">
        <f>IFERROR(__xludf.DUMMYFUNCTION("""COMPUTED_VALUE"""),"NO")</f>
        <v>NO</v>
      </c>
      <c r="I56" s="9">
        <f>IFERROR(__xludf.DUMMYFUNCTION("""COMPUTED_VALUE"""),5.0)</f>
        <v>5</v>
      </c>
      <c r="J56" s="9">
        <f>IFERROR(__xludf.DUMMYFUNCTION("""COMPUTED_VALUE"""),9.0)</f>
        <v>9</v>
      </c>
      <c r="K56" s="14">
        <f>IFERROR(__xludf.DUMMYFUNCTION("""COMPUTED_VALUE"""),5000000.0)</f>
        <v>5000000</v>
      </c>
      <c r="L56" s="14">
        <f>IFERROR(__xludf.DUMMYFUNCTION("""COMPUTED_VALUE"""),3.2915397E7)</f>
        <v>32915397</v>
      </c>
      <c r="M56" s="14">
        <f>IFERROR(__xludf.DUMMYFUNCTION("""COMPUTED_VALUE"""),7.4493461E7)</f>
        <v>74493461</v>
      </c>
      <c r="N56" s="14">
        <f>IFERROR(__xludf.DUMMYFUNCTION("""COMPUTED_VALUE"""),151779.0)</f>
        <v>151779</v>
      </c>
    </row>
    <row r="57">
      <c r="A57" s="9">
        <f>IFERROR(__xludf.DUMMYFUNCTION("""COMPUTED_VALUE"""),151.0)</f>
        <v>151</v>
      </c>
      <c r="B57" s="9" t="str">
        <f>IFERROR(__xludf.DUMMYFUNCTION("""COMPUTED_VALUE"""),"Adrea Dorset")</f>
        <v>Adrea Dorset</v>
      </c>
      <c r="C57" s="9" t="str">
        <f>IFERROR(__xludf.DUMMYFUNCTION("""COMPUTED_VALUE"""),"adorset46@pagesperso-orange.fr")</f>
        <v>adorset46@pagesperso-orange.fr</v>
      </c>
      <c r="D57" s="9" t="str">
        <f>IFERROR(__xludf.DUMMYFUNCTION("""COMPUTED_VALUE"""),"Colombia")</f>
        <v>Colombia</v>
      </c>
      <c r="E57" s="9" t="str">
        <f>IFERROR(__xludf.DUMMYFUNCTION("""COMPUTED_VALUE"""),"Tecnología")</f>
        <v>Tecnología</v>
      </c>
      <c r="F57" s="9" t="str">
        <f>IFERROR(__xludf.DUMMYFUNCTION("""COMPUTED_VALUE"""),"Inversión")</f>
        <v>Inversión</v>
      </c>
      <c r="G57" s="9" t="str">
        <f>IFERROR(__xludf.DUMMYFUNCTION("""COMPUTED_VALUE"""),"Socio capitalista")</f>
        <v>Socio capitalista</v>
      </c>
      <c r="H57" s="9" t="str">
        <f>IFERROR(__xludf.DUMMYFUNCTION("""COMPUTED_VALUE"""),"SI")</f>
        <v>SI</v>
      </c>
      <c r="I57" s="9">
        <f>IFERROR(__xludf.DUMMYFUNCTION("""COMPUTED_VALUE"""),7.0)</f>
        <v>7</v>
      </c>
      <c r="J57" s="9">
        <f>IFERROR(__xludf.DUMMYFUNCTION("""COMPUTED_VALUE"""),5.0)</f>
        <v>5</v>
      </c>
      <c r="K57" s="14">
        <f>IFERROR(__xludf.DUMMYFUNCTION("""COMPUTED_VALUE"""),1000000.0)</f>
        <v>1000000</v>
      </c>
      <c r="L57" s="14">
        <f>IFERROR(__xludf.DUMMYFUNCTION("""COMPUTED_VALUE"""),7.7159264E7)</f>
        <v>77159264</v>
      </c>
      <c r="M57" s="14">
        <f>IFERROR(__xludf.DUMMYFUNCTION("""COMPUTED_VALUE"""),0.0)</f>
        <v>0</v>
      </c>
      <c r="N57" s="14">
        <f>IFERROR(__xludf.DUMMYFUNCTION("""COMPUTED_VALUE"""),9.7234303E7)</f>
        <v>97234303</v>
      </c>
    </row>
    <row r="58">
      <c r="A58" s="9">
        <f>IFERROR(__xludf.DUMMYFUNCTION("""COMPUTED_VALUE"""),152.0)</f>
        <v>152</v>
      </c>
      <c r="B58" s="9" t="str">
        <f>IFERROR(__xludf.DUMMYFUNCTION("""COMPUTED_VALUE"""),"Vitia Skittrall")</f>
        <v>Vitia Skittrall</v>
      </c>
      <c r="C58" s="9" t="str">
        <f>IFERROR(__xludf.DUMMYFUNCTION("""COMPUTED_VALUE"""),"vskittrall47@163.com")</f>
        <v>vskittrall47@163.com</v>
      </c>
      <c r="D58" s="9" t="str">
        <f>IFERROR(__xludf.DUMMYFUNCTION("""COMPUTED_VALUE"""),"Paraguay")</f>
        <v>Paraguay</v>
      </c>
      <c r="E58" s="9" t="str">
        <f>IFERROR(__xludf.DUMMYFUNCTION("""COMPUTED_VALUE"""),"Tecnología")</f>
        <v>Tecnología</v>
      </c>
      <c r="F58" s="9" t="str">
        <f>IFERROR(__xludf.DUMMYFUNCTION("""COMPUTED_VALUE"""),"Inversión")</f>
        <v>Inversión</v>
      </c>
      <c r="G58" s="9" t="str">
        <f>IFERROR(__xludf.DUMMYFUNCTION("""COMPUTED_VALUE"""),"Socio capitalista")</f>
        <v>Socio capitalista</v>
      </c>
      <c r="H58" s="9" t="str">
        <f>IFERROR(__xludf.DUMMYFUNCTION("""COMPUTED_VALUE"""),"NO")</f>
        <v>NO</v>
      </c>
      <c r="I58" s="9">
        <f>IFERROR(__xludf.DUMMYFUNCTION("""COMPUTED_VALUE"""),8.0)</f>
        <v>8</v>
      </c>
      <c r="J58" s="9">
        <f>IFERROR(__xludf.DUMMYFUNCTION("""COMPUTED_VALUE"""),6.0)</f>
        <v>6</v>
      </c>
      <c r="K58" s="14">
        <f>IFERROR(__xludf.DUMMYFUNCTION("""COMPUTED_VALUE"""),1.0E8)</f>
        <v>100000000</v>
      </c>
      <c r="L58" s="14">
        <f>IFERROR(__xludf.DUMMYFUNCTION("""COMPUTED_VALUE"""),1.2451199E7)</f>
        <v>12451199</v>
      </c>
      <c r="M58" s="14">
        <f>IFERROR(__xludf.DUMMYFUNCTION("""COMPUTED_VALUE"""),7.4231711E7)</f>
        <v>74231711</v>
      </c>
      <c r="N58" s="14">
        <f>IFERROR(__xludf.DUMMYFUNCTION("""COMPUTED_VALUE"""),4.2951226E7)</f>
        <v>42951226</v>
      </c>
    </row>
    <row r="59">
      <c r="A59" s="9">
        <f>IFERROR(__xludf.DUMMYFUNCTION("""COMPUTED_VALUE"""),155.0)</f>
        <v>155</v>
      </c>
      <c r="B59" s="9" t="str">
        <f>IFERROR(__xludf.DUMMYFUNCTION("""COMPUTED_VALUE"""),"Cory McShane")</f>
        <v>Cory McShane</v>
      </c>
      <c r="C59" s="9" t="str">
        <f>IFERROR(__xludf.DUMMYFUNCTION("""COMPUTED_VALUE"""),"cmcshane4a@squidoo.com")</f>
        <v>cmcshane4a@squidoo.com</v>
      </c>
      <c r="D59" s="9" t="str">
        <f>IFERROR(__xludf.DUMMYFUNCTION("""COMPUTED_VALUE"""),"Ecuador")</f>
        <v>Ecuador</v>
      </c>
      <c r="E59" s="9" t="str">
        <f>IFERROR(__xludf.DUMMYFUNCTION("""COMPUTED_VALUE"""),"Tecnología")</f>
        <v>Tecnología</v>
      </c>
      <c r="F59" s="9" t="str">
        <f>IFERROR(__xludf.DUMMYFUNCTION("""COMPUTED_VALUE"""),"Inversión")</f>
        <v>Inversión</v>
      </c>
      <c r="G59" s="9" t="str">
        <f>IFERROR(__xludf.DUMMYFUNCTION("""COMPUTED_VALUE"""),"Socio capitalista")</f>
        <v>Socio capitalista</v>
      </c>
      <c r="H59" s="9" t="str">
        <f>IFERROR(__xludf.DUMMYFUNCTION("""COMPUTED_VALUE"""),"NO")</f>
        <v>NO</v>
      </c>
      <c r="I59" s="9">
        <f>IFERROR(__xludf.DUMMYFUNCTION("""COMPUTED_VALUE"""),5.0)</f>
        <v>5</v>
      </c>
      <c r="J59" s="9">
        <f>IFERROR(__xludf.DUMMYFUNCTION("""COMPUTED_VALUE"""),9.0)</f>
        <v>9</v>
      </c>
      <c r="K59" s="14">
        <f>IFERROR(__xludf.DUMMYFUNCTION("""COMPUTED_VALUE"""),5000000.0)</f>
        <v>5000000</v>
      </c>
      <c r="L59" s="14">
        <f>IFERROR(__xludf.DUMMYFUNCTION("""COMPUTED_VALUE"""),3.7959268E7)</f>
        <v>37959268</v>
      </c>
      <c r="M59" s="14">
        <f>IFERROR(__xludf.DUMMYFUNCTION("""COMPUTED_VALUE"""),6.9132389E7)</f>
        <v>69132389</v>
      </c>
      <c r="N59" s="14">
        <f>IFERROR(__xludf.DUMMYFUNCTION("""COMPUTED_VALUE"""),9.9564796E7)</f>
        <v>99564796</v>
      </c>
    </row>
    <row r="60">
      <c r="A60" s="9">
        <f>IFERROR(__xludf.DUMMYFUNCTION("""COMPUTED_VALUE"""),158.0)</f>
        <v>158</v>
      </c>
      <c r="B60" s="9" t="str">
        <f>IFERROR(__xludf.DUMMYFUNCTION("""COMPUTED_VALUE"""),"Chelsea Gerrill")</f>
        <v>Chelsea Gerrill</v>
      </c>
      <c r="C60" s="9" t="str">
        <f>IFERROR(__xludf.DUMMYFUNCTION("""COMPUTED_VALUE"""),"cgerrill4d@sohu.com")</f>
        <v>cgerrill4d@sohu.com</v>
      </c>
      <c r="D60" s="9" t="str">
        <f>IFERROR(__xludf.DUMMYFUNCTION("""COMPUTED_VALUE"""),"Uruguay")</f>
        <v>Uruguay</v>
      </c>
      <c r="E60" s="9" t="str">
        <f>IFERROR(__xludf.DUMMYFUNCTION("""COMPUTED_VALUE"""),"Tecnología")</f>
        <v>Tecnología</v>
      </c>
      <c r="F60" s="9" t="str">
        <f>IFERROR(__xludf.DUMMYFUNCTION("""COMPUTED_VALUE"""),"Inversión")</f>
        <v>Inversión</v>
      </c>
      <c r="G60" s="9" t="str">
        <f>IFERROR(__xludf.DUMMYFUNCTION("""COMPUTED_VALUE"""),"Socio de proyecto")</f>
        <v>Socio de proyecto</v>
      </c>
      <c r="H60" s="9" t="str">
        <f>IFERROR(__xludf.DUMMYFUNCTION("""COMPUTED_VALUE"""),"NO")</f>
        <v>NO</v>
      </c>
      <c r="I60" s="9">
        <f>IFERROR(__xludf.DUMMYFUNCTION("""COMPUTED_VALUE"""),8.0)</f>
        <v>8</v>
      </c>
      <c r="J60" s="9">
        <f>IFERROR(__xludf.DUMMYFUNCTION("""COMPUTED_VALUE"""),6.0)</f>
        <v>6</v>
      </c>
      <c r="K60" s="14">
        <f>IFERROR(__xludf.DUMMYFUNCTION("""COMPUTED_VALUE"""),9.0E7)</f>
        <v>90000000</v>
      </c>
      <c r="L60" s="14">
        <f>IFERROR(__xludf.DUMMYFUNCTION("""COMPUTED_VALUE"""),2.9991873E7)</f>
        <v>29991873</v>
      </c>
      <c r="M60" s="14">
        <f>IFERROR(__xludf.DUMMYFUNCTION("""COMPUTED_VALUE"""),3.9252741E7)</f>
        <v>39252741</v>
      </c>
      <c r="N60" s="14">
        <f>IFERROR(__xludf.DUMMYFUNCTION("""COMPUTED_VALUE"""),1.5542722E7)</f>
        <v>15542722</v>
      </c>
    </row>
    <row r="61">
      <c r="A61" s="9">
        <f>IFERROR(__xludf.DUMMYFUNCTION("""COMPUTED_VALUE"""),159.0)</f>
        <v>159</v>
      </c>
      <c r="B61" s="9" t="str">
        <f>IFERROR(__xludf.DUMMYFUNCTION("""COMPUTED_VALUE"""),"Marcile Seedhouse")</f>
        <v>Marcile Seedhouse</v>
      </c>
      <c r="C61" s="9" t="str">
        <f>IFERROR(__xludf.DUMMYFUNCTION("""COMPUTED_VALUE"""),"mseedhouse4e@infoseek.co.jp")</f>
        <v>mseedhouse4e@infoseek.co.jp</v>
      </c>
      <c r="D61" s="9" t="str">
        <f>IFERROR(__xludf.DUMMYFUNCTION("""COMPUTED_VALUE"""),"Colombia")</f>
        <v>Colombia</v>
      </c>
      <c r="E61" s="9" t="str">
        <f>IFERROR(__xludf.DUMMYFUNCTION("""COMPUTED_VALUE"""),"Tecnología")</f>
        <v>Tecnología</v>
      </c>
      <c r="F61" s="9" t="str">
        <f>IFERROR(__xludf.DUMMYFUNCTION("""COMPUTED_VALUE"""),"Inversión")</f>
        <v>Inversión</v>
      </c>
      <c r="G61" s="9" t="str">
        <f>IFERROR(__xludf.DUMMYFUNCTION("""COMPUTED_VALUE"""),"Socio de proyecto")</f>
        <v>Socio de proyecto</v>
      </c>
      <c r="H61" s="9" t="str">
        <f>IFERROR(__xludf.DUMMYFUNCTION("""COMPUTED_VALUE"""),"NO")</f>
        <v>NO</v>
      </c>
      <c r="I61" s="9">
        <f>IFERROR(__xludf.DUMMYFUNCTION("""COMPUTED_VALUE"""),5.0)</f>
        <v>5</v>
      </c>
      <c r="J61" s="9">
        <f>IFERROR(__xludf.DUMMYFUNCTION("""COMPUTED_VALUE"""),5.0)</f>
        <v>5</v>
      </c>
      <c r="K61" s="14">
        <f>IFERROR(__xludf.DUMMYFUNCTION("""COMPUTED_VALUE"""),1.0E7)</f>
        <v>10000000</v>
      </c>
      <c r="L61" s="14">
        <f>IFERROR(__xludf.DUMMYFUNCTION("""COMPUTED_VALUE"""),7303129.0)</f>
        <v>7303129</v>
      </c>
      <c r="M61" s="14">
        <f>IFERROR(__xludf.DUMMYFUNCTION("""COMPUTED_VALUE"""),3765621.0)</f>
        <v>3765621</v>
      </c>
      <c r="N61" s="14">
        <f>IFERROR(__xludf.DUMMYFUNCTION("""COMPUTED_VALUE"""),1.8125151E7)</f>
        <v>18125151</v>
      </c>
    </row>
    <row r="62">
      <c r="A62" s="9">
        <f>IFERROR(__xludf.DUMMYFUNCTION("""COMPUTED_VALUE"""),160.0)</f>
        <v>160</v>
      </c>
      <c r="B62" s="9" t="str">
        <f>IFERROR(__xludf.DUMMYFUNCTION("""COMPUTED_VALUE"""),"Bertha Penni")</f>
        <v>Bertha Penni</v>
      </c>
      <c r="C62" s="9" t="str">
        <f>IFERROR(__xludf.DUMMYFUNCTION("""COMPUTED_VALUE"""),"bpenni4f@state.tx.us")</f>
        <v>bpenni4f@state.tx.us</v>
      </c>
      <c r="D62" s="9" t="str">
        <f>IFERROR(__xludf.DUMMYFUNCTION("""COMPUTED_VALUE"""),"Perú")</f>
        <v>Perú</v>
      </c>
      <c r="E62" s="9" t="str">
        <f>IFERROR(__xludf.DUMMYFUNCTION("""COMPUTED_VALUE"""),"Tecnología")</f>
        <v>Tecnología</v>
      </c>
      <c r="F62" s="9" t="str">
        <f>IFERROR(__xludf.DUMMYFUNCTION("""COMPUTED_VALUE"""),"Inversión")</f>
        <v>Inversión</v>
      </c>
      <c r="G62" s="9" t="str">
        <f>IFERROR(__xludf.DUMMYFUNCTION("""COMPUTED_VALUE"""),"Socio de proyecto")</f>
        <v>Socio de proyecto</v>
      </c>
      <c r="H62" s="9" t="str">
        <f>IFERROR(__xludf.DUMMYFUNCTION("""COMPUTED_VALUE"""),"NO")</f>
        <v>NO</v>
      </c>
      <c r="I62" s="9">
        <f>IFERROR(__xludf.DUMMYFUNCTION("""COMPUTED_VALUE"""),8.0)</f>
        <v>8</v>
      </c>
      <c r="J62" s="9">
        <f>IFERROR(__xludf.DUMMYFUNCTION("""COMPUTED_VALUE"""),9.0)</f>
        <v>9</v>
      </c>
      <c r="K62" s="14">
        <f>IFERROR(__xludf.DUMMYFUNCTION("""COMPUTED_VALUE"""),3.0E7)</f>
        <v>30000000</v>
      </c>
      <c r="L62" s="14">
        <f>IFERROR(__xludf.DUMMYFUNCTION("""COMPUTED_VALUE"""),4.4457754E7)</f>
        <v>44457754</v>
      </c>
      <c r="M62" s="14">
        <f>IFERROR(__xludf.DUMMYFUNCTION("""COMPUTED_VALUE"""),0.0)</f>
        <v>0</v>
      </c>
      <c r="N62" s="14">
        <f>IFERROR(__xludf.DUMMYFUNCTION("""COMPUTED_VALUE"""),6.2249765E7)</f>
        <v>62249765</v>
      </c>
    </row>
    <row r="63">
      <c r="A63" s="9">
        <f>IFERROR(__xludf.DUMMYFUNCTION("""COMPUTED_VALUE"""),161.0)</f>
        <v>161</v>
      </c>
      <c r="B63" s="9" t="str">
        <f>IFERROR(__xludf.DUMMYFUNCTION("""COMPUTED_VALUE"""),"Bev Bartke")</f>
        <v>Bev Bartke</v>
      </c>
      <c r="C63" s="9" t="str">
        <f>IFERROR(__xludf.DUMMYFUNCTION("""COMPUTED_VALUE"""),"bbartke4g@mozilla.com")</f>
        <v>bbartke4g@mozilla.com</v>
      </c>
      <c r="D63" s="9" t="str">
        <f>IFERROR(__xludf.DUMMYFUNCTION("""COMPUTED_VALUE"""),"Paraguay")</f>
        <v>Paraguay</v>
      </c>
      <c r="E63" s="9" t="str">
        <f>IFERROR(__xludf.DUMMYFUNCTION("""COMPUTED_VALUE"""),"Tecnología")</f>
        <v>Tecnología</v>
      </c>
      <c r="F63" s="9" t="str">
        <f>IFERROR(__xludf.DUMMYFUNCTION("""COMPUTED_VALUE"""),"Inversión")</f>
        <v>Inversión</v>
      </c>
      <c r="G63" s="9" t="str">
        <f>IFERROR(__xludf.DUMMYFUNCTION("""COMPUTED_VALUE"""),"Socio capitalista")</f>
        <v>Socio capitalista</v>
      </c>
      <c r="H63" s="9" t="str">
        <f>IFERROR(__xludf.DUMMYFUNCTION("""COMPUTED_VALUE"""),"NO")</f>
        <v>NO</v>
      </c>
      <c r="I63" s="9">
        <f>IFERROR(__xludf.DUMMYFUNCTION("""COMPUTED_VALUE"""),4.0)</f>
        <v>4</v>
      </c>
      <c r="J63" s="9">
        <f>IFERROR(__xludf.DUMMYFUNCTION("""COMPUTED_VALUE"""),10.0)</f>
        <v>10</v>
      </c>
      <c r="K63" s="14">
        <f>IFERROR(__xludf.DUMMYFUNCTION("""COMPUTED_VALUE"""),1.0E7)</f>
        <v>10000000</v>
      </c>
      <c r="L63" s="14">
        <f>IFERROR(__xludf.DUMMYFUNCTION("""COMPUTED_VALUE"""),5.4467236E7)</f>
        <v>54467236</v>
      </c>
      <c r="M63" s="14">
        <f>IFERROR(__xludf.DUMMYFUNCTION("""COMPUTED_VALUE"""),0.0)</f>
        <v>0</v>
      </c>
      <c r="N63" s="14">
        <f>IFERROR(__xludf.DUMMYFUNCTION("""COMPUTED_VALUE"""),1234692.0)</f>
        <v>1234692</v>
      </c>
    </row>
    <row r="64">
      <c r="A64" s="9">
        <f>IFERROR(__xludf.DUMMYFUNCTION("""COMPUTED_VALUE"""),162.0)</f>
        <v>162</v>
      </c>
      <c r="B64" s="9" t="str">
        <f>IFERROR(__xludf.DUMMYFUNCTION("""COMPUTED_VALUE"""),"Lucky Breache")</f>
        <v>Lucky Breache</v>
      </c>
      <c r="C64" s="9" t="str">
        <f>IFERROR(__xludf.DUMMYFUNCTION("""COMPUTED_VALUE"""),"lbreache4h@hibu.com")</f>
        <v>lbreache4h@hibu.com</v>
      </c>
      <c r="D64" s="9" t="str">
        <f>IFERROR(__xludf.DUMMYFUNCTION("""COMPUTED_VALUE"""),"Colombia")</f>
        <v>Colombia</v>
      </c>
      <c r="E64" s="9" t="str">
        <f>IFERROR(__xludf.DUMMYFUNCTION("""COMPUTED_VALUE"""),"Tecnología")</f>
        <v>Tecnología</v>
      </c>
      <c r="F64" s="9" t="str">
        <f>IFERROR(__xludf.DUMMYFUNCTION("""COMPUTED_VALUE"""),"Inversión")</f>
        <v>Inversión</v>
      </c>
      <c r="G64" s="9" t="str">
        <f>IFERROR(__xludf.DUMMYFUNCTION("""COMPUTED_VALUE"""),"Socio de proyecto")</f>
        <v>Socio de proyecto</v>
      </c>
      <c r="H64" s="9" t="str">
        <f>IFERROR(__xludf.DUMMYFUNCTION("""COMPUTED_VALUE"""),"NO")</f>
        <v>NO</v>
      </c>
      <c r="I64" s="9">
        <f>IFERROR(__xludf.DUMMYFUNCTION("""COMPUTED_VALUE"""),9.0)</f>
        <v>9</v>
      </c>
      <c r="J64" s="9">
        <f>IFERROR(__xludf.DUMMYFUNCTION("""COMPUTED_VALUE"""),9.0)</f>
        <v>9</v>
      </c>
      <c r="K64" s="14">
        <f>IFERROR(__xludf.DUMMYFUNCTION("""COMPUTED_VALUE"""),1.0E7)</f>
        <v>10000000</v>
      </c>
      <c r="L64" s="14">
        <f>IFERROR(__xludf.DUMMYFUNCTION("""COMPUTED_VALUE"""),1.7991607E7)</f>
        <v>17991607</v>
      </c>
      <c r="M64" s="14">
        <f>IFERROR(__xludf.DUMMYFUNCTION("""COMPUTED_VALUE"""),0.0)</f>
        <v>0</v>
      </c>
      <c r="N64" s="14">
        <f>IFERROR(__xludf.DUMMYFUNCTION("""COMPUTED_VALUE"""),174626.0)</f>
        <v>174626</v>
      </c>
    </row>
    <row r="65">
      <c r="A65" s="9">
        <f>IFERROR(__xludf.DUMMYFUNCTION("""COMPUTED_VALUE"""),166.0)</f>
        <v>166</v>
      </c>
      <c r="B65" s="9" t="str">
        <f>IFERROR(__xludf.DUMMYFUNCTION("""COMPUTED_VALUE"""),"Adiana Etches")</f>
        <v>Adiana Etches</v>
      </c>
      <c r="C65" s="9" t="str">
        <f>IFERROR(__xludf.DUMMYFUNCTION("""COMPUTED_VALUE"""),"aetches4l@gravatar.com")</f>
        <v>aetches4l@gravatar.com</v>
      </c>
      <c r="D65" s="9" t="str">
        <f>IFERROR(__xludf.DUMMYFUNCTION("""COMPUTED_VALUE"""),"Brasil")</f>
        <v>Brasil</v>
      </c>
      <c r="E65" s="9" t="str">
        <f>IFERROR(__xludf.DUMMYFUNCTION("""COMPUTED_VALUE"""),"Tecnología")</f>
        <v>Tecnología</v>
      </c>
      <c r="F65" s="9" t="str">
        <f>IFERROR(__xludf.DUMMYFUNCTION("""COMPUTED_VALUE"""),"Inversión")</f>
        <v>Inversión</v>
      </c>
      <c r="G65" s="9" t="str">
        <f>IFERROR(__xludf.DUMMYFUNCTION("""COMPUTED_VALUE"""),"Socio de proyecto")</f>
        <v>Socio de proyecto</v>
      </c>
      <c r="H65" s="9" t="str">
        <f>IFERROR(__xludf.DUMMYFUNCTION("""COMPUTED_VALUE"""),"NO")</f>
        <v>NO</v>
      </c>
      <c r="I65" s="9">
        <f>IFERROR(__xludf.DUMMYFUNCTION("""COMPUTED_VALUE"""),7.0)</f>
        <v>7</v>
      </c>
      <c r="J65" s="9">
        <f>IFERROR(__xludf.DUMMYFUNCTION("""COMPUTED_VALUE"""),7.0)</f>
        <v>7</v>
      </c>
      <c r="K65" s="14">
        <f>IFERROR(__xludf.DUMMYFUNCTION("""COMPUTED_VALUE"""),1.0E7)</f>
        <v>10000000</v>
      </c>
      <c r="L65" s="14">
        <f>IFERROR(__xludf.DUMMYFUNCTION("""COMPUTED_VALUE"""),4.3538967E7)</f>
        <v>43538967</v>
      </c>
      <c r="M65" s="14">
        <f>IFERROR(__xludf.DUMMYFUNCTION("""COMPUTED_VALUE"""),5161300.0)</f>
        <v>5161300</v>
      </c>
      <c r="N65" s="14">
        <f>IFERROR(__xludf.DUMMYFUNCTION("""COMPUTED_VALUE"""),8.5417673E7)</f>
        <v>85417673</v>
      </c>
    </row>
    <row r="66">
      <c r="A66" s="9">
        <f>IFERROR(__xludf.DUMMYFUNCTION("""COMPUTED_VALUE"""),167.0)</f>
        <v>167</v>
      </c>
      <c r="B66" s="9" t="str">
        <f>IFERROR(__xludf.DUMMYFUNCTION("""COMPUTED_VALUE"""),"Constantine McGibbon")</f>
        <v>Constantine McGibbon</v>
      </c>
      <c r="C66" s="9" t="str">
        <f>IFERROR(__xludf.DUMMYFUNCTION("""COMPUTED_VALUE"""),"cmcgibbon4m@istockphoto.com")</f>
        <v>cmcgibbon4m@istockphoto.com</v>
      </c>
      <c r="D66" s="9" t="str">
        <f>IFERROR(__xludf.DUMMYFUNCTION("""COMPUTED_VALUE"""),"Uruguay")</f>
        <v>Uruguay</v>
      </c>
      <c r="E66" s="9" t="str">
        <f>IFERROR(__xludf.DUMMYFUNCTION("""COMPUTED_VALUE"""),"Tecnología")</f>
        <v>Tecnología</v>
      </c>
      <c r="F66" s="9" t="str">
        <f>IFERROR(__xludf.DUMMYFUNCTION("""COMPUTED_VALUE"""),"Inversión")</f>
        <v>Inversión</v>
      </c>
      <c r="G66" s="9" t="str">
        <f>IFERROR(__xludf.DUMMYFUNCTION("""COMPUTED_VALUE"""),"Socio de proyecto")</f>
        <v>Socio de proyecto</v>
      </c>
      <c r="H66" s="9" t="str">
        <f>IFERROR(__xludf.DUMMYFUNCTION("""COMPUTED_VALUE"""),"SI")</f>
        <v>SI</v>
      </c>
      <c r="I66" s="9">
        <f>IFERROR(__xludf.DUMMYFUNCTION("""COMPUTED_VALUE"""),3.0)</f>
        <v>3</v>
      </c>
      <c r="J66" s="9">
        <f>IFERROR(__xludf.DUMMYFUNCTION("""COMPUTED_VALUE"""),7.0)</f>
        <v>7</v>
      </c>
      <c r="K66" s="14">
        <f>IFERROR(__xludf.DUMMYFUNCTION("""COMPUTED_VALUE"""),1000000.0)</f>
        <v>1000000</v>
      </c>
      <c r="L66" s="14">
        <f>IFERROR(__xludf.DUMMYFUNCTION("""COMPUTED_VALUE"""),9.5899452E7)</f>
        <v>95899452</v>
      </c>
      <c r="M66" s="14">
        <f>IFERROR(__xludf.DUMMYFUNCTION("""COMPUTED_VALUE"""),2565664.0)</f>
        <v>2565664</v>
      </c>
      <c r="N66" s="14">
        <f>IFERROR(__xludf.DUMMYFUNCTION("""COMPUTED_VALUE"""),3.9602953E7)</f>
        <v>39602953</v>
      </c>
    </row>
    <row r="67">
      <c r="A67" s="9">
        <f>IFERROR(__xludf.DUMMYFUNCTION("""COMPUTED_VALUE"""),168.0)</f>
        <v>168</v>
      </c>
      <c r="B67" s="9" t="str">
        <f>IFERROR(__xludf.DUMMYFUNCTION("""COMPUTED_VALUE"""),"Hughie Dawltrey")</f>
        <v>Hughie Dawltrey</v>
      </c>
      <c r="C67" s="9" t="str">
        <f>IFERROR(__xludf.DUMMYFUNCTION("""COMPUTED_VALUE"""),"hdawltrey4n@hud.gov")</f>
        <v>hdawltrey4n@hud.gov</v>
      </c>
      <c r="D67" s="9" t="str">
        <f>IFERROR(__xludf.DUMMYFUNCTION("""COMPUTED_VALUE"""),"Paraguay")</f>
        <v>Paraguay</v>
      </c>
      <c r="E67" s="9" t="str">
        <f>IFERROR(__xludf.DUMMYFUNCTION("""COMPUTED_VALUE"""),"Tecnología")</f>
        <v>Tecnología</v>
      </c>
      <c r="F67" s="9" t="str">
        <f>IFERROR(__xludf.DUMMYFUNCTION("""COMPUTED_VALUE"""),"Inversión")</f>
        <v>Inversión</v>
      </c>
      <c r="G67" s="9" t="str">
        <f>IFERROR(__xludf.DUMMYFUNCTION("""COMPUTED_VALUE"""),"Socio de proyecto")</f>
        <v>Socio de proyecto</v>
      </c>
      <c r="H67" s="9" t="str">
        <f>IFERROR(__xludf.DUMMYFUNCTION("""COMPUTED_VALUE"""),"SI")</f>
        <v>SI</v>
      </c>
      <c r="I67" s="9">
        <f>IFERROR(__xludf.DUMMYFUNCTION("""COMPUTED_VALUE"""),7.0)</f>
        <v>7</v>
      </c>
      <c r="J67" s="9">
        <f>IFERROR(__xludf.DUMMYFUNCTION("""COMPUTED_VALUE"""),7.0)</f>
        <v>7</v>
      </c>
      <c r="K67" s="14">
        <f>IFERROR(__xludf.DUMMYFUNCTION("""COMPUTED_VALUE"""),1000000.0)</f>
        <v>1000000</v>
      </c>
      <c r="L67" s="14">
        <f>IFERROR(__xludf.DUMMYFUNCTION("""COMPUTED_VALUE"""),8.1347428E7)</f>
        <v>81347428</v>
      </c>
      <c r="M67" s="14">
        <f>IFERROR(__xludf.DUMMYFUNCTION("""COMPUTED_VALUE"""),1.0860215E7)</f>
        <v>10860215</v>
      </c>
      <c r="N67" s="14">
        <f>IFERROR(__xludf.DUMMYFUNCTION("""COMPUTED_VALUE"""),2.863729E7)</f>
        <v>28637290</v>
      </c>
    </row>
    <row r="68">
      <c r="A68" s="9">
        <f>IFERROR(__xludf.DUMMYFUNCTION("""COMPUTED_VALUE"""),170.0)</f>
        <v>170</v>
      </c>
      <c r="B68" s="9" t="str">
        <f>IFERROR(__xludf.DUMMYFUNCTION("""COMPUTED_VALUE"""),"William Parysowna")</f>
        <v>William Parysowna</v>
      </c>
      <c r="C68" s="9" t="str">
        <f>IFERROR(__xludf.DUMMYFUNCTION("""COMPUTED_VALUE"""),"wparysowna4p@purevolume.com")</f>
        <v>wparysowna4p@purevolume.com</v>
      </c>
      <c r="D68" s="9" t="str">
        <f>IFERROR(__xludf.DUMMYFUNCTION("""COMPUTED_VALUE"""),"Argentina")</f>
        <v>Argentina</v>
      </c>
      <c r="E68" s="9" t="str">
        <f>IFERROR(__xludf.DUMMYFUNCTION("""COMPUTED_VALUE"""),"Tecnología")</f>
        <v>Tecnología</v>
      </c>
      <c r="F68" s="9" t="str">
        <f>IFERROR(__xludf.DUMMYFUNCTION("""COMPUTED_VALUE"""),"Inversión")</f>
        <v>Inversión</v>
      </c>
      <c r="G68" s="9" t="str">
        <f>IFERROR(__xludf.DUMMYFUNCTION("""COMPUTED_VALUE"""),"Socio de proyecto")</f>
        <v>Socio de proyecto</v>
      </c>
      <c r="H68" s="9" t="str">
        <f>IFERROR(__xludf.DUMMYFUNCTION("""COMPUTED_VALUE"""),"SI")</f>
        <v>SI</v>
      </c>
      <c r="I68" s="9">
        <f>IFERROR(__xludf.DUMMYFUNCTION("""COMPUTED_VALUE"""),3.0)</f>
        <v>3</v>
      </c>
      <c r="J68" s="9">
        <f>IFERROR(__xludf.DUMMYFUNCTION("""COMPUTED_VALUE"""),5.0)</f>
        <v>5</v>
      </c>
      <c r="K68" s="14">
        <f>IFERROR(__xludf.DUMMYFUNCTION("""COMPUTED_VALUE"""),1.0E7)</f>
        <v>10000000</v>
      </c>
      <c r="L68" s="14">
        <f>IFERROR(__xludf.DUMMYFUNCTION("""COMPUTED_VALUE"""),9.6199053E7)</f>
        <v>96199053</v>
      </c>
      <c r="M68" s="14">
        <f>IFERROR(__xludf.DUMMYFUNCTION("""COMPUTED_VALUE"""),3.1746355E7)</f>
        <v>31746355</v>
      </c>
      <c r="N68" s="14">
        <f>IFERROR(__xludf.DUMMYFUNCTION("""COMPUTED_VALUE"""),8.0063468E7)</f>
        <v>80063468</v>
      </c>
    </row>
    <row r="69">
      <c r="A69" s="9">
        <f>IFERROR(__xludf.DUMMYFUNCTION("""COMPUTED_VALUE"""),171.0)</f>
        <v>171</v>
      </c>
      <c r="B69" s="9" t="str">
        <f>IFERROR(__xludf.DUMMYFUNCTION("""COMPUTED_VALUE"""),"Gav Davio")</f>
        <v>Gav Davio</v>
      </c>
      <c r="C69" s="9" t="str">
        <f>IFERROR(__xludf.DUMMYFUNCTION("""COMPUTED_VALUE"""),"gdavio4q@google.ru")</f>
        <v>gdavio4q@google.ru</v>
      </c>
      <c r="D69" s="9" t="str">
        <f>IFERROR(__xludf.DUMMYFUNCTION("""COMPUTED_VALUE"""),"Colombia")</f>
        <v>Colombia</v>
      </c>
      <c r="E69" s="9" t="str">
        <f>IFERROR(__xludf.DUMMYFUNCTION("""COMPUTED_VALUE"""),"Tecnología")</f>
        <v>Tecnología</v>
      </c>
      <c r="F69" s="9" t="str">
        <f>IFERROR(__xludf.DUMMYFUNCTION("""COMPUTED_VALUE"""),"Inversión")</f>
        <v>Inversión</v>
      </c>
      <c r="G69" s="9" t="str">
        <f>IFERROR(__xludf.DUMMYFUNCTION("""COMPUTED_VALUE"""),"Socio de proyecto")</f>
        <v>Socio de proyecto</v>
      </c>
      <c r="H69" s="9" t="str">
        <f>IFERROR(__xludf.DUMMYFUNCTION("""COMPUTED_VALUE"""),"NO")</f>
        <v>NO</v>
      </c>
      <c r="I69" s="9">
        <f>IFERROR(__xludf.DUMMYFUNCTION("""COMPUTED_VALUE"""),8.0)</f>
        <v>8</v>
      </c>
      <c r="J69" s="9">
        <f>IFERROR(__xludf.DUMMYFUNCTION("""COMPUTED_VALUE"""),10.0)</f>
        <v>10</v>
      </c>
      <c r="K69" s="14">
        <f>IFERROR(__xludf.DUMMYFUNCTION("""COMPUTED_VALUE"""),1000000.0)</f>
        <v>1000000</v>
      </c>
      <c r="L69" s="14">
        <f>IFERROR(__xludf.DUMMYFUNCTION("""COMPUTED_VALUE"""),7.1783742E7)</f>
        <v>71783742</v>
      </c>
      <c r="M69" s="14">
        <f>IFERROR(__xludf.DUMMYFUNCTION("""COMPUTED_VALUE"""),6.4667814E7)</f>
        <v>64667814</v>
      </c>
      <c r="N69" s="14">
        <f>IFERROR(__xludf.DUMMYFUNCTION("""COMPUTED_VALUE"""),7.065318E7)</f>
        <v>70653180</v>
      </c>
    </row>
    <row r="70">
      <c r="A70" s="9">
        <f>IFERROR(__xludf.DUMMYFUNCTION("""COMPUTED_VALUE"""),174.0)</f>
        <v>174</v>
      </c>
      <c r="B70" s="9" t="str">
        <f>IFERROR(__xludf.DUMMYFUNCTION("""COMPUTED_VALUE"""),"Rorie Loadman")</f>
        <v>Rorie Loadman</v>
      </c>
      <c r="C70" s="9" t="str">
        <f>IFERROR(__xludf.DUMMYFUNCTION("""COMPUTED_VALUE"""),"rloadman4t@studiopress.com")</f>
        <v>rloadman4t@studiopress.com</v>
      </c>
      <c r="D70" s="9" t="str">
        <f>IFERROR(__xludf.DUMMYFUNCTION("""COMPUTED_VALUE"""),"Perú")</f>
        <v>Perú</v>
      </c>
      <c r="E70" s="9" t="str">
        <f>IFERROR(__xludf.DUMMYFUNCTION("""COMPUTED_VALUE"""),"Tecnología")</f>
        <v>Tecnología</v>
      </c>
      <c r="F70" s="9" t="str">
        <f>IFERROR(__xludf.DUMMYFUNCTION("""COMPUTED_VALUE"""),"Inversión")</f>
        <v>Inversión</v>
      </c>
      <c r="G70" s="9" t="str">
        <f>IFERROR(__xludf.DUMMYFUNCTION("""COMPUTED_VALUE"""),"Socio de proyecto")</f>
        <v>Socio de proyecto</v>
      </c>
      <c r="H70" s="9" t="str">
        <f>IFERROR(__xludf.DUMMYFUNCTION("""COMPUTED_VALUE"""),"SI")</f>
        <v>SI</v>
      </c>
      <c r="I70" s="9">
        <f>IFERROR(__xludf.DUMMYFUNCTION("""COMPUTED_VALUE"""),6.0)</f>
        <v>6</v>
      </c>
      <c r="J70" s="9">
        <f>IFERROR(__xludf.DUMMYFUNCTION("""COMPUTED_VALUE"""),5.0)</f>
        <v>5</v>
      </c>
      <c r="K70" s="14">
        <f>IFERROR(__xludf.DUMMYFUNCTION("""COMPUTED_VALUE"""),3.0E7)</f>
        <v>30000000</v>
      </c>
      <c r="L70" s="14">
        <f>IFERROR(__xludf.DUMMYFUNCTION("""COMPUTED_VALUE"""),3.3477783E7)</f>
        <v>33477783</v>
      </c>
      <c r="M70" s="14">
        <f>IFERROR(__xludf.DUMMYFUNCTION("""COMPUTED_VALUE"""),0.0)</f>
        <v>0</v>
      </c>
      <c r="N70" s="14">
        <f>IFERROR(__xludf.DUMMYFUNCTION("""COMPUTED_VALUE"""),2.7651635E7)</f>
        <v>27651635</v>
      </c>
    </row>
    <row r="71">
      <c r="A71" s="9">
        <f>IFERROR(__xludf.DUMMYFUNCTION("""COMPUTED_VALUE"""),176.0)</f>
        <v>176</v>
      </c>
      <c r="B71" s="9" t="str">
        <f>IFERROR(__xludf.DUMMYFUNCTION("""COMPUTED_VALUE"""),"Moe Corkill")</f>
        <v>Moe Corkill</v>
      </c>
      <c r="C71" s="9" t="str">
        <f>IFERROR(__xludf.DUMMYFUNCTION("""COMPUTED_VALUE"""),"mcorkill4v@ucsd.edu")</f>
        <v>mcorkill4v@ucsd.edu</v>
      </c>
      <c r="D71" s="9" t="str">
        <f>IFERROR(__xludf.DUMMYFUNCTION("""COMPUTED_VALUE"""),"Colombia")</f>
        <v>Colombia</v>
      </c>
      <c r="E71" s="9" t="str">
        <f>IFERROR(__xludf.DUMMYFUNCTION("""COMPUTED_VALUE"""),"Tecnología")</f>
        <v>Tecnología</v>
      </c>
      <c r="F71" s="9" t="str">
        <f>IFERROR(__xludf.DUMMYFUNCTION("""COMPUTED_VALUE"""),"Inversión")</f>
        <v>Inversión</v>
      </c>
      <c r="G71" s="9" t="str">
        <f>IFERROR(__xludf.DUMMYFUNCTION("""COMPUTED_VALUE"""),"Socio capitalista")</f>
        <v>Socio capitalista</v>
      </c>
      <c r="H71" s="9" t="str">
        <f>IFERROR(__xludf.DUMMYFUNCTION("""COMPUTED_VALUE"""),"NO")</f>
        <v>NO</v>
      </c>
      <c r="I71" s="9">
        <f>IFERROR(__xludf.DUMMYFUNCTION("""COMPUTED_VALUE"""),3.0)</f>
        <v>3</v>
      </c>
      <c r="J71" s="9">
        <f>IFERROR(__xludf.DUMMYFUNCTION("""COMPUTED_VALUE"""),8.0)</f>
        <v>8</v>
      </c>
      <c r="K71" s="14">
        <f>IFERROR(__xludf.DUMMYFUNCTION("""COMPUTED_VALUE"""),5.0E7)</f>
        <v>50000000</v>
      </c>
      <c r="L71" s="14">
        <f>IFERROR(__xludf.DUMMYFUNCTION("""COMPUTED_VALUE"""),7.0787848E7)</f>
        <v>70787848</v>
      </c>
      <c r="M71" s="14">
        <f>IFERROR(__xludf.DUMMYFUNCTION("""COMPUTED_VALUE"""),3.3368202E7)</f>
        <v>33368202</v>
      </c>
      <c r="N71" s="14">
        <f>IFERROR(__xludf.DUMMYFUNCTION("""COMPUTED_VALUE"""),4.3277527E7)</f>
        <v>43277527</v>
      </c>
    </row>
    <row r="72">
      <c r="A72" s="9">
        <f>IFERROR(__xludf.DUMMYFUNCTION("""COMPUTED_VALUE"""),178.0)</f>
        <v>178</v>
      </c>
      <c r="B72" s="9" t="str">
        <f>IFERROR(__xludf.DUMMYFUNCTION("""COMPUTED_VALUE"""),"Rosemarie Kitchenman")</f>
        <v>Rosemarie Kitchenman</v>
      </c>
      <c r="C72" s="9" t="str">
        <f>IFERROR(__xludf.DUMMYFUNCTION("""COMPUTED_VALUE"""),"rkitchenman4x@ovh.net")</f>
        <v>rkitchenman4x@ovh.net</v>
      </c>
      <c r="D72" s="9" t="str">
        <f>IFERROR(__xludf.DUMMYFUNCTION("""COMPUTED_VALUE"""),"Perú")</f>
        <v>Perú</v>
      </c>
      <c r="E72" s="9" t="str">
        <f>IFERROR(__xludf.DUMMYFUNCTION("""COMPUTED_VALUE"""),"Tecnología")</f>
        <v>Tecnología</v>
      </c>
      <c r="F72" s="9" t="str">
        <f>IFERROR(__xludf.DUMMYFUNCTION("""COMPUTED_VALUE"""),"Inversión")</f>
        <v>Inversión</v>
      </c>
      <c r="G72" s="9" t="str">
        <f>IFERROR(__xludf.DUMMYFUNCTION("""COMPUTED_VALUE"""),"Socio capitalista")</f>
        <v>Socio capitalista</v>
      </c>
      <c r="H72" s="9" t="str">
        <f>IFERROR(__xludf.DUMMYFUNCTION("""COMPUTED_VALUE"""),"NO")</f>
        <v>NO</v>
      </c>
      <c r="I72" s="9">
        <f>IFERROR(__xludf.DUMMYFUNCTION("""COMPUTED_VALUE"""),7.0)</f>
        <v>7</v>
      </c>
      <c r="J72" s="9">
        <f>IFERROR(__xludf.DUMMYFUNCTION("""COMPUTED_VALUE"""),6.0)</f>
        <v>6</v>
      </c>
      <c r="K72" s="14">
        <f>IFERROR(__xludf.DUMMYFUNCTION("""COMPUTED_VALUE"""),2.0E7)</f>
        <v>20000000</v>
      </c>
      <c r="L72" s="14">
        <f>IFERROR(__xludf.DUMMYFUNCTION("""COMPUTED_VALUE"""),4.006462E7)</f>
        <v>40064620</v>
      </c>
      <c r="M72" s="14">
        <f>IFERROR(__xludf.DUMMYFUNCTION("""COMPUTED_VALUE"""),9.8137438E7)</f>
        <v>98137438</v>
      </c>
      <c r="N72" s="14">
        <f>IFERROR(__xludf.DUMMYFUNCTION("""COMPUTED_VALUE"""),0.0)</f>
        <v>0</v>
      </c>
    </row>
    <row r="73">
      <c r="A73" s="9">
        <f>IFERROR(__xludf.DUMMYFUNCTION("""COMPUTED_VALUE"""),179.0)</f>
        <v>179</v>
      </c>
      <c r="B73" s="9" t="str">
        <f>IFERROR(__xludf.DUMMYFUNCTION("""COMPUTED_VALUE"""),"Nefen Pert")</f>
        <v>Nefen Pert</v>
      </c>
      <c r="C73" s="9" t="str">
        <f>IFERROR(__xludf.DUMMYFUNCTION("""COMPUTED_VALUE"""),"npert4y@sfgate.com")</f>
        <v>npert4y@sfgate.com</v>
      </c>
      <c r="D73" s="9" t="str">
        <f>IFERROR(__xludf.DUMMYFUNCTION("""COMPUTED_VALUE"""),"Brasil")</f>
        <v>Brasil</v>
      </c>
      <c r="E73" s="9" t="str">
        <f>IFERROR(__xludf.DUMMYFUNCTION("""COMPUTED_VALUE"""),"Tecnología")</f>
        <v>Tecnología</v>
      </c>
      <c r="F73" s="9" t="str">
        <f>IFERROR(__xludf.DUMMYFUNCTION("""COMPUTED_VALUE"""),"Inversión")</f>
        <v>Inversión</v>
      </c>
      <c r="G73" s="9" t="str">
        <f>IFERROR(__xludf.DUMMYFUNCTION("""COMPUTED_VALUE"""),"Socio de proyecto")</f>
        <v>Socio de proyecto</v>
      </c>
      <c r="H73" s="9" t="str">
        <f>IFERROR(__xludf.DUMMYFUNCTION("""COMPUTED_VALUE"""),"NO")</f>
        <v>NO</v>
      </c>
      <c r="I73" s="9">
        <f>IFERROR(__xludf.DUMMYFUNCTION("""COMPUTED_VALUE"""),6.0)</f>
        <v>6</v>
      </c>
      <c r="J73" s="9">
        <f>IFERROR(__xludf.DUMMYFUNCTION("""COMPUTED_VALUE"""),9.0)</f>
        <v>9</v>
      </c>
      <c r="K73" s="14">
        <f>IFERROR(__xludf.DUMMYFUNCTION("""COMPUTED_VALUE"""),3.0E7)</f>
        <v>30000000</v>
      </c>
      <c r="L73" s="14">
        <f>IFERROR(__xludf.DUMMYFUNCTION("""COMPUTED_VALUE"""),4.528936E7)</f>
        <v>45289360</v>
      </c>
      <c r="M73" s="14">
        <f>IFERROR(__xludf.DUMMYFUNCTION("""COMPUTED_VALUE"""),0.0)</f>
        <v>0</v>
      </c>
      <c r="N73" s="14">
        <f>IFERROR(__xludf.DUMMYFUNCTION("""COMPUTED_VALUE"""),4.6980526E7)</f>
        <v>46980526</v>
      </c>
    </row>
    <row r="74">
      <c r="A74" s="9">
        <f>IFERROR(__xludf.DUMMYFUNCTION("""COMPUTED_VALUE"""),183.0)</f>
        <v>183</v>
      </c>
      <c r="B74" s="9" t="str">
        <f>IFERROR(__xludf.DUMMYFUNCTION("""COMPUTED_VALUE"""),"Brandais Matyukon")</f>
        <v>Brandais Matyukon</v>
      </c>
      <c r="C74" s="9" t="str">
        <f>IFERROR(__xludf.DUMMYFUNCTION("""COMPUTED_VALUE"""),"bmatyukon52@about.me")</f>
        <v>bmatyukon52@about.me</v>
      </c>
      <c r="D74" s="9" t="str">
        <f>IFERROR(__xludf.DUMMYFUNCTION("""COMPUTED_VALUE"""),"Argentina")</f>
        <v>Argentina</v>
      </c>
      <c r="E74" s="9" t="str">
        <f>IFERROR(__xludf.DUMMYFUNCTION("""COMPUTED_VALUE"""),"Tecnología")</f>
        <v>Tecnología</v>
      </c>
      <c r="F74" s="9" t="str">
        <f>IFERROR(__xludf.DUMMYFUNCTION("""COMPUTED_VALUE"""),"Inversión")</f>
        <v>Inversión</v>
      </c>
      <c r="G74" s="9" t="str">
        <f>IFERROR(__xludf.DUMMYFUNCTION("""COMPUTED_VALUE"""),"Socio capitalista")</f>
        <v>Socio capitalista</v>
      </c>
      <c r="H74" s="9" t="str">
        <f>IFERROR(__xludf.DUMMYFUNCTION("""COMPUTED_VALUE"""),"NO")</f>
        <v>NO</v>
      </c>
      <c r="I74" s="9">
        <f>IFERROR(__xludf.DUMMYFUNCTION("""COMPUTED_VALUE"""),5.0)</f>
        <v>5</v>
      </c>
      <c r="J74" s="9">
        <f>IFERROR(__xludf.DUMMYFUNCTION("""COMPUTED_VALUE"""),6.0)</f>
        <v>6</v>
      </c>
      <c r="K74" s="14">
        <f>IFERROR(__xludf.DUMMYFUNCTION("""COMPUTED_VALUE"""),1000000.0)</f>
        <v>1000000</v>
      </c>
      <c r="L74" s="14">
        <f>IFERROR(__xludf.DUMMYFUNCTION("""COMPUTED_VALUE"""),5.3008255E7)</f>
        <v>53008255</v>
      </c>
      <c r="M74" s="14">
        <f>IFERROR(__xludf.DUMMYFUNCTION("""COMPUTED_VALUE"""),4.691791E7)</f>
        <v>46917910</v>
      </c>
      <c r="N74" s="14">
        <f>IFERROR(__xludf.DUMMYFUNCTION("""COMPUTED_VALUE"""),4.7557281E7)</f>
        <v>47557281</v>
      </c>
    </row>
    <row r="75">
      <c r="A75" s="9">
        <f>IFERROR(__xludf.DUMMYFUNCTION("""COMPUTED_VALUE"""),185.0)</f>
        <v>185</v>
      </c>
      <c r="B75" s="9" t="str">
        <f>IFERROR(__xludf.DUMMYFUNCTION("""COMPUTED_VALUE"""),"Hansiain Charnley")</f>
        <v>Hansiain Charnley</v>
      </c>
      <c r="C75" s="9" t="str">
        <f>IFERROR(__xludf.DUMMYFUNCTION("""COMPUTED_VALUE"""),"hcharnley54@pen.io")</f>
        <v>hcharnley54@pen.io</v>
      </c>
      <c r="D75" s="9" t="str">
        <f>IFERROR(__xludf.DUMMYFUNCTION("""COMPUTED_VALUE"""),"Uruguay")</f>
        <v>Uruguay</v>
      </c>
      <c r="E75" s="9" t="str">
        <f>IFERROR(__xludf.DUMMYFUNCTION("""COMPUTED_VALUE"""),"Tecnología")</f>
        <v>Tecnología</v>
      </c>
      <c r="F75" s="9" t="str">
        <f>IFERROR(__xludf.DUMMYFUNCTION("""COMPUTED_VALUE"""),"Inversión")</f>
        <v>Inversión</v>
      </c>
      <c r="G75" s="9" t="str">
        <f>IFERROR(__xludf.DUMMYFUNCTION("""COMPUTED_VALUE"""),"Socio capitalista")</f>
        <v>Socio capitalista</v>
      </c>
      <c r="H75" s="9" t="str">
        <f>IFERROR(__xludf.DUMMYFUNCTION("""COMPUTED_VALUE"""),"NO")</f>
        <v>NO</v>
      </c>
      <c r="I75" s="9">
        <f>IFERROR(__xludf.DUMMYFUNCTION("""COMPUTED_VALUE"""),9.0)</f>
        <v>9</v>
      </c>
      <c r="J75" s="9">
        <f>IFERROR(__xludf.DUMMYFUNCTION("""COMPUTED_VALUE"""),9.0)</f>
        <v>9</v>
      </c>
      <c r="K75" s="14">
        <f>IFERROR(__xludf.DUMMYFUNCTION("""COMPUTED_VALUE"""),1.0E8)</f>
        <v>100000000</v>
      </c>
      <c r="L75" s="14">
        <f>IFERROR(__xludf.DUMMYFUNCTION("""COMPUTED_VALUE"""),9.468872E7)</f>
        <v>94688720</v>
      </c>
      <c r="M75" s="14">
        <f>IFERROR(__xludf.DUMMYFUNCTION("""COMPUTED_VALUE"""),8.6323763E7)</f>
        <v>86323763</v>
      </c>
      <c r="N75" s="14">
        <f>IFERROR(__xludf.DUMMYFUNCTION("""COMPUTED_VALUE"""),2.0929788E7)</f>
        <v>20929788</v>
      </c>
    </row>
    <row r="76">
      <c r="A76" s="9">
        <f>IFERROR(__xludf.DUMMYFUNCTION("""COMPUTED_VALUE"""),188.0)</f>
        <v>188</v>
      </c>
      <c r="B76" s="9" t="str">
        <f>IFERROR(__xludf.DUMMYFUNCTION("""COMPUTED_VALUE"""),"Mala Eastmead")</f>
        <v>Mala Eastmead</v>
      </c>
      <c r="C76" s="9" t="str">
        <f>IFERROR(__xludf.DUMMYFUNCTION("""COMPUTED_VALUE"""),"meastmead57@princeton.edu")</f>
        <v>meastmead57@princeton.edu</v>
      </c>
      <c r="D76" s="9" t="str">
        <f>IFERROR(__xludf.DUMMYFUNCTION("""COMPUTED_VALUE"""),"Paraguay")</f>
        <v>Paraguay</v>
      </c>
      <c r="E76" s="9" t="str">
        <f>IFERROR(__xludf.DUMMYFUNCTION("""COMPUTED_VALUE"""),"Tecnología")</f>
        <v>Tecnología</v>
      </c>
      <c r="F76" s="9" t="str">
        <f>IFERROR(__xludf.DUMMYFUNCTION("""COMPUTED_VALUE"""),"Inversión")</f>
        <v>Inversión</v>
      </c>
      <c r="G76" s="9" t="str">
        <f>IFERROR(__xludf.DUMMYFUNCTION("""COMPUTED_VALUE"""),"Socio de proyecto")</f>
        <v>Socio de proyecto</v>
      </c>
      <c r="H76" s="9" t="str">
        <f>IFERROR(__xludf.DUMMYFUNCTION("""COMPUTED_VALUE"""),"NO")</f>
        <v>NO</v>
      </c>
      <c r="I76" s="9">
        <f>IFERROR(__xludf.DUMMYFUNCTION("""COMPUTED_VALUE"""),6.0)</f>
        <v>6</v>
      </c>
      <c r="J76" s="9">
        <f>IFERROR(__xludf.DUMMYFUNCTION("""COMPUTED_VALUE"""),9.0)</f>
        <v>9</v>
      </c>
      <c r="K76" s="14">
        <f>IFERROR(__xludf.DUMMYFUNCTION("""COMPUTED_VALUE"""),3.0E7)</f>
        <v>30000000</v>
      </c>
      <c r="L76" s="14">
        <f>IFERROR(__xludf.DUMMYFUNCTION("""COMPUTED_VALUE"""),3.2890743E7)</f>
        <v>32890743</v>
      </c>
      <c r="M76" s="14">
        <f>IFERROR(__xludf.DUMMYFUNCTION("""COMPUTED_VALUE"""),0.0)</f>
        <v>0</v>
      </c>
      <c r="N76" s="14">
        <f>IFERROR(__xludf.DUMMYFUNCTION("""COMPUTED_VALUE"""),3.986462E7)</f>
        <v>39864620</v>
      </c>
    </row>
    <row r="77">
      <c r="A77" s="9">
        <f>IFERROR(__xludf.DUMMYFUNCTION("""COMPUTED_VALUE"""),191.0)</f>
        <v>191</v>
      </c>
      <c r="B77" s="9" t="str">
        <f>IFERROR(__xludf.DUMMYFUNCTION("""COMPUTED_VALUE"""),"Reynard Timmis")</f>
        <v>Reynard Timmis</v>
      </c>
      <c r="C77" s="9" t="str">
        <f>IFERROR(__xludf.DUMMYFUNCTION("""COMPUTED_VALUE"""),"rtimmis5a@behance.net")</f>
        <v>rtimmis5a@behance.net</v>
      </c>
      <c r="D77" s="9" t="str">
        <f>IFERROR(__xludf.DUMMYFUNCTION("""COMPUTED_VALUE"""),"Perú")</f>
        <v>Perú</v>
      </c>
      <c r="E77" s="9" t="str">
        <f>IFERROR(__xludf.DUMMYFUNCTION("""COMPUTED_VALUE"""),"Tecnología")</f>
        <v>Tecnología</v>
      </c>
      <c r="F77" s="9" t="str">
        <f>IFERROR(__xludf.DUMMYFUNCTION("""COMPUTED_VALUE"""),"Inversión")</f>
        <v>Inversión</v>
      </c>
      <c r="G77" s="9" t="str">
        <f>IFERROR(__xludf.DUMMYFUNCTION("""COMPUTED_VALUE"""),"Socio capitalista")</f>
        <v>Socio capitalista</v>
      </c>
      <c r="H77" s="9" t="str">
        <f>IFERROR(__xludf.DUMMYFUNCTION("""COMPUTED_VALUE"""),"SI")</f>
        <v>SI</v>
      </c>
      <c r="I77" s="9">
        <f>IFERROR(__xludf.DUMMYFUNCTION("""COMPUTED_VALUE"""),9.0)</f>
        <v>9</v>
      </c>
      <c r="J77" s="9">
        <f>IFERROR(__xludf.DUMMYFUNCTION("""COMPUTED_VALUE"""),10.0)</f>
        <v>10</v>
      </c>
      <c r="K77" s="14">
        <f>IFERROR(__xludf.DUMMYFUNCTION("""COMPUTED_VALUE"""),1.0E7)</f>
        <v>10000000</v>
      </c>
      <c r="L77" s="14">
        <f>IFERROR(__xludf.DUMMYFUNCTION("""COMPUTED_VALUE"""),3.1953589E7)</f>
        <v>31953589</v>
      </c>
      <c r="M77" s="14">
        <f>IFERROR(__xludf.DUMMYFUNCTION("""COMPUTED_VALUE"""),4.0068224E7)</f>
        <v>40068224</v>
      </c>
      <c r="N77" s="14">
        <f>IFERROR(__xludf.DUMMYFUNCTION("""COMPUTED_VALUE"""),8.0951038E7)</f>
        <v>80951038</v>
      </c>
    </row>
    <row r="78">
      <c r="A78" s="9">
        <f>IFERROR(__xludf.DUMMYFUNCTION("""COMPUTED_VALUE"""),192.0)</f>
        <v>192</v>
      </c>
      <c r="B78" s="9" t="str">
        <f>IFERROR(__xludf.DUMMYFUNCTION("""COMPUTED_VALUE"""),"Theda Dericot")</f>
        <v>Theda Dericot</v>
      </c>
      <c r="C78" s="9" t="str">
        <f>IFERROR(__xludf.DUMMYFUNCTION("""COMPUTED_VALUE"""),"tdericot5b@nationalgeographic.com")</f>
        <v>tdericot5b@nationalgeographic.com</v>
      </c>
      <c r="D78" s="9" t="str">
        <f>IFERROR(__xludf.DUMMYFUNCTION("""COMPUTED_VALUE"""),"Perú")</f>
        <v>Perú</v>
      </c>
      <c r="E78" s="9" t="str">
        <f>IFERROR(__xludf.DUMMYFUNCTION("""COMPUTED_VALUE"""),"Tecnología")</f>
        <v>Tecnología</v>
      </c>
      <c r="F78" s="9" t="str">
        <f>IFERROR(__xludf.DUMMYFUNCTION("""COMPUTED_VALUE"""),"Inversión")</f>
        <v>Inversión</v>
      </c>
      <c r="G78" s="9" t="str">
        <f>IFERROR(__xludf.DUMMYFUNCTION("""COMPUTED_VALUE"""),"Socio capitalista")</f>
        <v>Socio capitalista</v>
      </c>
      <c r="H78" s="9" t="str">
        <f>IFERROR(__xludf.DUMMYFUNCTION("""COMPUTED_VALUE"""),"NO")</f>
        <v>NO</v>
      </c>
      <c r="I78" s="9">
        <f>IFERROR(__xludf.DUMMYFUNCTION("""COMPUTED_VALUE"""),3.0)</f>
        <v>3</v>
      </c>
      <c r="J78" s="9">
        <f>IFERROR(__xludf.DUMMYFUNCTION("""COMPUTED_VALUE"""),10.0)</f>
        <v>10</v>
      </c>
      <c r="K78" s="14">
        <f>IFERROR(__xludf.DUMMYFUNCTION("""COMPUTED_VALUE"""),5.0E7)</f>
        <v>50000000</v>
      </c>
      <c r="L78" s="14">
        <f>IFERROR(__xludf.DUMMYFUNCTION("""COMPUTED_VALUE"""),7.8205651E7)</f>
        <v>78205651</v>
      </c>
      <c r="M78" s="14">
        <f>IFERROR(__xludf.DUMMYFUNCTION("""COMPUTED_VALUE"""),6.238118E7)</f>
        <v>62381180</v>
      </c>
      <c r="N78" s="14">
        <f>IFERROR(__xludf.DUMMYFUNCTION("""COMPUTED_VALUE"""),6508585.0)</f>
        <v>6508585</v>
      </c>
    </row>
    <row r="79">
      <c r="A79" s="9">
        <f>IFERROR(__xludf.DUMMYFUNCTION("""COMPUTED_VALUE"""),199.0)</f>
        <v>199</v>
      </c>
      <c r="B79" s="9" t="str">
        <f>IFERROR(__xludf.DUMMYFUNCTION("""COMPUTED_VALUE"""),"Nickie Rennebeck")</f>
        <v>Nickie Rennebeck</v>
      </c>
      <c r="C79" s="9" t="str">
        <f>IFERROR(__xludf.DUMMYFUNCTION("""COMPUTED_VALUE"""),"nrennebeck5i@adobe.com")</f>
        <v>nrennebeck5i@adobe.com</v>
      </c>
      <c r="D79" s="9" t="str">
        <f>IFERROR(__xludf.DUMMYFUNCTION("""COMPUTED_VALUE"""),"Bolivia")</f>
        <v>Bolivia</v>
      </c>
      <c r="E79" s="9" t="str">
        <f>IFERROR(__xludf.DUMMYFUNCTION("""COMPUTED_VALUE"""),"Tecnología")</f>
        <v>Tecnología</v>
      </c>
      <c r="F79" s="9" t="str">
        <f>IFERROR(__xludf.DUMMYFUNCTION("""COMPUTED_VALUE"""),"Inversión")</f>
        <v>Inversión</v>
      </c>
      <c r="G79" s="9" t="str">
        <f>IFERROR(__xludf.DUMMYFUNCTION("""COMPUTED_VALUE"""),"Socio de proyecto")</f>
        <v>Socio de proyecto</v>
      </c>
      <c r="H79" s="9" t="str">
        <f>IFERROR(__xludf.DUMMYFUNCTION("""COMPUTED_VALUE"""),"SI")</f>
        <v>SI</v>
      </c>
      <c r="I79" s="9">
        <f>IFERROR(__xludf.DUMMYFUNCTION("""COMPUTED_VALUE"""),6.0)</f>
        <v>6</v>
      </c>
      <c r="J79" s="9">
        <f>IFERROR(__xludf.DUMMYFUNCTION("""COMPUTED_VALUE"""),9.0)</f>
        <v>9</v>
      </c>
      <c r="K79" s="14">
        <f>IFERROR(__xludf.DUMMYFUNCTION("""COMPUTED_VALUE"""),1.0E7)</f>
        <v>10000000</v>
      </c>
      <c r="L79" s="14">
        <f>IFERROR(__xludf.DUMMYFUNCTION("""COMPUTED_VALUE"""),5.9890317E7)</f>
        <v>59890317</v>
      </c>
      <c r="M79" s="14">
        <f>IFERROR(__xludf.DUMMYFUNCTION("""COMPUTED_VALUE"""),4.2451842E7)</f>
        <v>42451842</v>
      </c>
      <c r="N79" s="14">
        <f>IFERROR(__xludf.DUMMYFUNCTION("""COMPUTED_VALUE"""),0.0)</f>
        <v>0</v>
      </c>
    </row>
    <row r="80">
      <c r="A80" s="9">
        <f>IFERROR(__xludf.DUMMYFUNCTION("""COMPUTED_VALUE"""),203.0)</f>
        <v>203</v>
      </c>
      <c r="B80" s="9" t="str">
        <f>IFERROR(__xludf.DUMMYFUNCTION("""COMPUTED_VALUE"""),"Angeline Bruhke")</f>
        <v>Angeline Bruhke</v>
      </c>
      <c r="C80" s="9" t="str">
        <f>IFERROR(__xludf.DUMMYFUNCTION("""COMPUTED_VALUE"""),"abruhke5m@arstechnica.com")</f>
        <v>abruhke5m@arstechnica.com</v>
      </c>
      <c r="D80" s="9" t="str">
        <f>IFERROR(__xludf.DUMMYFUNCTION("""COMPUTED_VALUE"""),"Perú")</f>
        <v>Perú</v>
      </c>
      <c r="E80" s="9" t="str">
        <f>IFERROR(__xludf.DUMMYFUNCTION("""COMPUTED_VALUE"""),"Tecnología")</f>
        <v>Tecnología</v>
      </c>
      <c r="F80" s="9" t="str">
        <f>IFERROR(__xludf.DUMMYFUNCTION("""COMPUTED_VALUE"""),"Inversión")</f>
        <v>Inversión</v>
      </c>
      <c r="G80" s="9" t="str">
        <f>IFERROR(__xludf.DUMMYFUNCTION("""COMPUTED_VALUE"""),"Socio capitalista")</f>
        <v>Socio capitalista</v>
      </c>
      <c r="H80" s="9" t="str">
        <f>IFERROR(__xludf.DUMMYFUNCTION("""COMPUTED_VALUE"""),"SI")</f>
        <v>SI</v>
      </c>
      <c r="I80" s="9">
        <f>IFERROR(__xludf.DUMMYFUNCTION("""COMPUTED_VALUE"""),9.0)</f>
        <v>9</v>
      </c>
      <c r="J80" s="9">
        <f>IFERROR(__xludf.DUMMYFUNCTION("""COMPUTED_VALUE"""),6.0)</f>
        <v>6</v>
      </c>
      <c r="K80" s="14">
        <f>IFERROR(__xludf.DUMMYFUNCTION("""COMPUTED_VALUE"""),1.0E7)</f>
        <v>10000000</v>
      </c>
      <c r="L80" s="14">
        <f>IFERROR(__xludf.DUMMYFUNCTION("""COMPUTED_VALUE"""),9.9989764E7)</f>
        <v>99989764</v>
      </c>
      <c r="M80" s="14">
        <f>IFERROR(__xludf.DUMMYFUNCTION("""COMPUTED_VALUE"""),8030175.0)</f>
        <v>8030175</v>
      </c>
      <c r="N80" s="14">
        <f>IFERROR(__xludf.DUMMYFUNCTION("""COMPUTED_VALUE"""),3.7676206E7)</f>
        <v>37676206</v>
      </c>
    </row>
    <row r="81">
      <c r="A81" s="9">
        <f>IFERROR(__xludf.DUMMYFUNCTION("""COMPUTED_VALUE"""),207.0)</f>
        <v>207</v>
      </c>
      <c r="B81" s="9" t="str">
        <f>IFERROR(__xludf.DUMMYFUNCTION("""COMPUTED_VALUE"""),"Lynnell Minet")</f>
        <v>Lynnell Minet</v>
      </c>
      <c r="C81" s="9" t="str">
        <f>IFERROR(__xludf.DUMMYFUNCTION("""COMPUTED_VALUE"""),"lminet5q@sitemeter.com")</f>
        <v>lminet5q@sitemeter.com</v>
      </c>
      <c r="D81" s="9" t="str">
        <f>IFERROR(__xludf.DUMMYFUNCTION("""COMPUTED_VALUE"""),"Chile")</f>
        <v>Chile</v>
      </c>
      <c r="E81" s="9" t="str">
        <f>IFERROR(__xludf.DUMMYFUNCTION("""COMPUTED_VALUE"""),"Tecnología")</f>
        <v>Tecnología</v>
      </c>
      <c r="F81" s="9" t="str">
        <f>IFERROR(__xludf.DUMMYFUNCTION("""COMPUTED_VALUE"""),"Inversión")</f>
        <v>Inversión</v>
      </c>
      <c r="G81" s="9" t="str">
        <f>IFERROR(__xludf.DUMMYFUNCTION("""COMPUTED_VALUE"""),"Socio capitalista")</f>
        <v>Socio capitalista</v>
      </c>
      <c r="H81" s="9" t="str">
        <f>IFERROR(__xludf.DUMMYFUNCTION("""COMPUTED_VALUE"""),"NO")</f>
        <v>NO</v>
      </c>
      <c r="I81" s="9">
        <f>IFERROR(__xludf.DUMMYFUNCTION("""COMPUTED_VALUE"""),6.0)</f>
        <v>6</v>
      </c>
      <c r="J81" s="9">
        <f>IFERROR(__xludf.DUMMYFUNCTION("""COMPUTED_VALUE"""),9.0)</f>
        <v>9</v>
      </c>
      <c r="K81" s="14">
        <f>IFERROR(__xludf.DUMMYFUNCTION("""COMPUTED_VALUE"""),5000000.0)</f>
        <v>5000000</v>
      </c>
      <c r="L81" s="14">
        <f>IFERROR(__xludf.DUMMYFUNCTION("""COMPUTED_VALUE"""),3.2915397E7)</f>
        <v>32915397</v>
      </c>
      <c r="M81" s="14">
        <f>IFERROR(__xludf.DUMMYFUNCTION("""COMPUTED_VALUE"""),7.4493461E7)</f>
        <v>74493461</v>
      </c>
      <c r="N81" s="14">
        <f>IFERROR(__xludf.DUMMYFUNCTION("""COMPUTED_VALUE"""),151779.0)</f>
        <v>151779</v>
      </c>
    </row>
    <row r="82">
      <c r="A82" s="9">
        <f>IFERROR(__xludf.DUMMYFUNCTION("""COMPUTED_VALUE"""),214.0)</f>
        <v>214</v>
      </c>
      <c r="B82" s="9" t="str">
        <f>IFERROR(__xludf.DUMMYFUNCTION("""COMPUTED_VALUE"""),"Maxi Tremmil")</f>
        <v>Maxi Tremmil</v>
      </c>
      <c r="C82" s="9" t="str">
        <f>IFERROR(__xludf.DUMMYFUNCTION("""COMPUTED_VALUE"""),"mtremmil5x@behance.net")</f>
        <v>mtremmil5x@behance.net</v>
      </c>
      <c r="D82" s="9" t="str">
        <f>IFERROR(__xludf.DUMMYFUNCTION("""COMPUTED_VALUE"""),"Venezuela")</f>
        <v>Venezuela</v>
      </c>
      <c r="E82" s="9" t="str">
        <f>IFERROR(__xludf.DUMMYFUNCTION("""COMPUTED_VALUE"""),"Tecnología")</f>
        <v>Tecnología</v>
      </c>
      <c r="F82" s="9" t="str">
        <f>IFERROR(__xludf.DUMMYFUNCTION("""COMPUTED_VALUE"""),"Inversión")</f>
        <v>Inversión</v>
      </c>
      <c r="G82" s="9" t="str">
        <f>IFERROR(__xludf.DUMMYFUNCTION("""COMPUTED_VALUE"""),"Socio capitalista")</f>
        <v>Socio capitalista</v>
      </c>
      <c r="H82" s="9" t="str">
        <f>IFERROR(__xludf.DUMMYFUNCTION("""COMPUTED_VALUE"""),"SI")</f>
        <v>SI</v>
      </c>
      <c r="I82" s="9">
        <f>IFERROR(__xludf.DUMMYFUNCTION("""COMPUTED_VALUE"""),5.0)</f>
        <v>5</v>
      </c>
      <c r="J82" s="9">
        <f>IFERROR(__xludf.DUMMYFUNCTION("""COMPUTED_VALUE"""),7.0)</f>
        <v>7</v>
      </c>
      <c r="K82" s="14">
        <f>IFERROR(__xludf.DUMMYFUNCTION("""COMPUTED_VALUE"""),1000000.0)</f>
        <v>1000000</v>
      </c>
      <c r="L82" s="14">
        <f>IFERROR(__xludf.DUMMYFUNCTION("""COMPUTED_VALUE"""),7.7159264E7)</f>
        <v>77159264</v>
      </c>
      <c r="M82" s="14">
        <f>IFERROR(__xludf.DUMMYFUNCTION("""COMPUTED_VALUE"""),0.0)</f>
        <v>0</v>
      </c>
      <c r="N82" s="14">
        <f>IFERROR(__xludf.DUMMYFUNCTION("""COMPUTED_VALUE"""),9.7234303E7)</f>
        <v>97234303</v>
      </c>
    </row>
    <row r="83">
      <c r="A83" s="9">
        <f>IFERROR(__xludf.DUMMYFUNCTION("""COMPUTED_VALUE"""),215.0)</f>
        <v>215</v>
      </c>
      <c r="B83" s="9" t="str">
        <f>IFERROR(__xludf.DUMMYFUNCTION("""COMPUTED_VALUE"""),"Colet Spikeings")</f>
        <v>Colet Spikeings</v>
      </c>
      <c r="C83" s="9" t="str">
        <f>IFERROR(__xludf.DUMMYFUNCTION("""COMPUTED_VALUE"""),"cspikeings5y@newsvine.com")</f>
        <v>cspikeings5y@newsvine.com</v>
      </c>
      <c r="D83" s="9" t="str">
        <f>IFERROR(__xludf.DUMMYFUNCTION("""COMPUTED_VALUE"""),"Venezuela")</f>
        <v>Venezuela</v>
      </c>
      <c r="E83" s="9" t="str">
        <f>IFERROR(__xludf.DUMMYFUNCTION("""COMPUTED_VALUE"""),"Tecnología")</f>
        <v>Tecnología</v>
      </c>
      <c r="F83" s="9" t="str">
        <f>IFERROR(__xludf.DUMMYFUNCTION("""COMPUTED_VALUE"""),"Inversión")</f>
        <v>Inversión</v>
      </c>
      <c r="G83" s="9" t="str">
        <f>IFERROR(__xludf.DUMMYFUNCTION("""COMPUTED_VALUE"""),"Socio capitalista")</f>
        <v>Socio capitalista</v>
      </c>
      <c r="H83" s="9" t="str">
        <f>IFERROR(__xludf.DUMMYFUNCTION("""COMPUTED_VALUE"""),"NO")</f>
        <v>NO</v>
      </c>
      <c r="I83" s="9">
        <f>IFERROR(__xludf.DUMMYFUNCTION("""COMPUTED_VALUE"""),9.0)</f>
        <v>9</v>
      </c>
      <c r="J83" s="9">
        <f>IFERROR(__xludf.DUMMYFUNCTION("""COMPUTED_VALUE"""),4.0)</f>
        <v>4</v>
      </c>
      <c r="K83" s="14">
        <f>IFERROR(__xludf.DUMMYFUNCTION("""COMPUTED_VALUE"""),1.0E8)</f>
        <v>100000000</v>
      </c>
      <c r="L83" s="14">
        <f>IFERROR(__xludf.DUMMYFUNCTION("""COMPUTED_VALUE"""),1.2451199E7)</f>
        <v>12451199</v>
      </c>
      <c r="M83" s="14">
        <f>IFERROR(__xludf.DUMMYFUNCTION("""COMPUTED_VALUE"""),7.4231711E7)</f>
        <v>74231711</v>
      </c>
      <c r="N83" s="14">
        <f>IFERROR(__xludf.DUMMYFUNCTION("""COMPUTED_VALUE"""),4.2951226E7)</f>
        <v>42951226</v>
      </c>
    </row>
    <row r="84">
      <c r="A84" s="9">
        <f>IFERROR(__xludf.DUMMYFUNCTION("""COMPUTED_VALUE"""),218.0)</f>
        <v>218</v>
      </c>
      <c r="B84" s="9" t="str">
        <f>IFERROR(__xludf.DUMMYFUNCTION("""COMPUTED_VALUE"""),"Lena Bolesma")</f>
        <v>Lena Bolesma</v>
      </c>
      <c r="C84" s="9" t="str">
        <f>IFERROR(__xludf.DUMMYFUNCTION("""COMPUTED_VALUE"""),"lbolesma61@weebly.com")</f>
        <v>lbolesma61@weebly.com</v>
      </c>
      <c r="D84" s="9" t="str">
        <f>IFERROR(__xludf.DUMMYFUNCTION("""COMPUTED_VALUE"""),"Ecuador")</f>
        <v>Ecuador</v>
      </c>
      <c r="E84" s="9" t="str">
        <f>IFERROR(__xludf.DUMMYFUNCTION("""COMPUTED_VALUE"""),"Tecnología")</f>
        <v>Tecnología</v>
      </c>
      <c r="F84" s="9" t="str">
        <f>IFERROR(__xludf.DUMMYFUNCTION("""COMPUTED_VALUE"""),"Inversión")</f>
        <v>Inversión</v>
      </c>
      <c r="G84" s="9" t="str">
        <f>IFERROR(__xludf.DUMMYFUNCTION("""COMPUTED_VALUE"""),"Socio capitalista")</f>
        <v>Socio capitalista</v>
      </c>
      <c r="H84" s="9" t="str">
        <f>IFERROR(__xludf.DUMMYFUNCTION("""COMPUTED_VALUE"""),"NO")</f>
        <v>NO</v>
      </c>
      <c r="I84" s="9">
        <f>IFERROR(__xludf.DUMMYFUNCTION("""COMPUTED_VALUE"""),5.0)</f>
        <v>5</v>
      </c>
      <c r="J84" s="9">
        <f>IFERROR(__xludf.DUMMYFUNCTION("""COMPUTED_VALUE"""),7.0)</f>
        <v>7</v>
      </c>
      <c r="K84" s="14">
        <f>IFERROR(__xludf.DUMMYFUNCTION("""COMPUTED_VALUE"""),5000000.0)</f>
        <v>5000000</v>
      </c>
      <c r="L84" s="14">
        <f>IFERROR(__xludf.DUMMYFUNCTION("""COMPUTED_VALUE"""),3.7959268E7)</f>
        <v>37959268</v>
      </c>
      <c r="M84" s="14">
        <f>IFERROR(__xludf.DUMMYFUNCTION("""COMPUTED_VALUE"""),6.9132389E7)</f>
        <v>69132389</v>
      </c>
      <c r="N84" s="14">
        <f>IFERROR(__xludf.DUMMYFUNCTION("""COMPUTED_VALUE"""),9.9564796E7)</f>
        <v>99564796</v>
      </c>
    </row>
    <row r="85">
      <c r="A85" s="9">
        <f>IFERROR(__xludf.DUMMYFUNCTION("""COMPUTED_VALUE"""),221.0)</f>
        <v>221</v>
      </c>
      <c r="B85" s="9" t="str">
        <f>IFERROR(__xludf.DUMMYFUNCTION("""COMPUTED_VALUE"""),"Rog Casbourne")</f>
        <v>Rog Casbourne</v>
      </c>
      <c r="C85" s="9" t="str">
        <f>IFERROR(__xludf.DUMMYFUNCTION("""COMPUTED_VALUE"""),"rcasbourne64@stumbleupon.com")</f>
        <v>rcasbourne64@stumbleupon.com</v>
      </c>
      <c r="D85" s="9" t="str">
        <f>IFERROR(__xludf.DUMMYFUNCTION("""COMPUTED_VALUE"""),"Uruguay")</f>
        <v>Uruguay</v>
      </c>
      <c r="E85" s="9" t="str">
        <f>IFERROR(__xludf.DUMMYFUNCTION("""COMPUTED_VALUE"""),"Tecnología")</f>
        <v>Tecnología</v>
      </c>
      <c r="F85" s="9" t="str">
        <f>IFERROR(__xludf.DUMMYFUNCTION("""COMPUTED_VALUE"""),"Inversión")</f>
        <v>Inversión</v>
      </c>
      <c r="G85" s="9" t="str">
        <f>IFERROR(__xludf.DUMMYFUNCTION("""COMPUTED_VALUE"""),"Socio de proyecto")</f>
        <v>Socio de proyecto</v>
      </c>
      <c r="H85" s="9" t="str">
        <f>IFERROR(__xludf.DUMMYFUNCTION("""COMPUTED_VALUE"""),"NO")</f>
        <v>NO</v>
      </c>
      <c r="I85" s="9">
        <f>IFERROR(__xludf.DUMMYFUNCTION("""COMPUTED_VALUE"""),3.0)</f>
        <v>3</v>
      </c>
      <c r="J85" s="9">
        <f>IFERROR(__xludf.DUMMYFUNCTION("""COMPUTED_VALUE"""),5.0)</f>
        <v>5</v>
      </c>
      <c r="K85" s="14">
        <f>IFERROR(__xludf.DUMMYFUNCTION("""COMPUTED_VALUE"""),9.0E7)</f>
        <v>90000000</v>
      </c>
      <c r="L85" s="14">
        <f>IFERROR(__xludf.DUMMYFUNCTION("""COMPUTED_VALUE"""),2.9991873E7)</f>
        <v>29991873</v>
      </c>
      <c r="M85" s="14">
        <f>IFERROR(__xludf.DUMMYFUNCTION("""COMPUTED_VALUE"""),3.9252741E7)</f>
        <v>39252741</v>
      </c>
      <c r="N85" s="14">
        <f>IFERROR(__xludf.DUMMYFUNCTION("""COMPUTED_VALUE"""),1.5542722E7)</f>
        <v>15542722</v>
      </c>
    </row>
    <row r="86">
      <c r="A86" s="9">
        <f>IFERROR(__xludf.DUMMYFUNCTION("""COMPUTED_VALUE"""),222.0)</f>
        <v>222</v>
      </c>
      <c r="B86" s="9" t="str">
        <f>IFERROR(__xludf.DUMMYFUNCTION("""COMPUTED_VALUE"""),"Valentino Aspinwall")</f>
        <v>Valentino Aspinwall</v>
      </c>
      <c r="C86" s="9" t="str">
        <f>IFERROR(__xludf.DUMMYFUNCTION("""COMPUTED_VALUE"""),"vaspinwall65@discovery.com")</f>
        <v>vaspinwall65@discovery.com</v>
      </c>
      <c r="D86" s="9" t="str">
        <f>IFERROR(__xludf.DUMMYFUNCTION("""COMPUTED_VALUE"""),"Colombia")</f>
        <v>Colombia</v>
      </c>
      <c r="E86" s="9" t="str">
        <f>IFERROR(__xludf.DUMMYFUNCTION("""COMPUTED_VALUE"""),"Tecnología")</f>
        <v>Tecnología</v>
      </c>
      <c r="F86" s="9" t="str">
        <f>IFERROR(__xludf.DUMMYFUNCTION("""COMPUTED_VALUE"""),"Inversión")</f>
        <v>Inversión</v>
      </c>
      <c r="G86" s="9" t="str">
        <f>IFERROR(__xludf.DUMMYFUNCTION("""COMPUTED_VALUE"""),"Socio de proyecto")</f>
        <v>Socio de proyecto</v>
      </c>
      <c r="H86" s="9" t="str">
        <f>IFERROR(__xludf.DUMMYFUNCTION("""COMPUTED_VALUE"""),"NO")</f>
        <v>NO</v>
      </c>
      <c r="I86" s="9">
        <f>IFERROR(__xludf.DUMMYFUNCTION("""COMPUTED_VALUE"""),3.0)</f>
        <v>3</v>
      </c>
      <c r="J86" s="9">
        <f>IFERROR(__xludf.DUMMYFUNCTION("""COMPUTED_VALUE"""),7.0)</f>
        <v>7</v>
      </c>
      <c r="K86" s="14">
        <f>IFERROR(__xludf.DUMMYFUNCTION("""COMPUTED_VALUE"""),1.0E7)</f>
        <v>10000000</v>
      </c>
      <c r="L86" s="14">
        <f>IFERROR(__xludf.DUMMYFUNCTION("""COMPUTED_VALUE"""),7303129.0)</f>
        <v>7303129</v>
      </c>
      <c r="M86" s="14">
        <f>IFERROR(__xludf.DUMMYFUNCTION("""COMPUTED_VALUE"""),3765621.0)</f>
        <v>3765621</v>
      </c>
      <c r="N86" s="14">
        <f>IFERROR(__xludf.DUMMYFUNCTION("""COMPUTED_VALUE"""),1.8125151E7)</f>
        <v>18125151</v>
      </c>
    </row>
    <row r="87">
      <c r="A87" s="9">
        <f>IFERROR(__xludf.DUMMYFUNCTION("""COMPUTED_VALUE"""),223.0)</f>
        <v>223</v>
      </c>
      <c r="B87" s="9" t="str">
        <f>IFERROR(__xludf.DUMMYFUNCTION("""COMPUTED_VALUE"""),"Shell Daskiewicz")</f>
        <v>Shell Daskiewicz</v>
      </c>
      <c r="C87" s="9" t="str">
        <f>IFERROR(__xludf.DUMMYFUNCTION("""COMPUTED_VALUE"""),"sdaskiewicz66@xing.com")</f>
        <v>sdaskiewicz66@xing.com</v>
      </c>
      <c r="D87" s="9" t="str">
        <f>IFERROR(__xludf.DUMMYFUNCTION("""COMPUTED_VALUE"""),"Chile")</f>
        <v>Chile</v>
      </c>
      <c r="E87" s="9" t="str">
        <f>IFERROR(__xludf.DUMMYFUNCTION("""COMPUTED_VALUE"""),"Tecnología")</f>
        <v>Tecnología</v>
      </c>
      <c r="F87" s="9" t="str">
        <f>IFERROR(__xludf.DUMMYFUNCTION("""COMPUTED_VALUE"""),"Inversión")</f>
        <v>Inversión</v>
      </c>
      <c r="G87" s="9" t="str">
        <f>IFERROR(__xludf.DUMMYFUNCTION("""COMPUTED_VALUE"""),"Socio de proyecto")</f>
        <v>Socio de proyecto</v>
      </c>
      <c r="H87" s="9" t="str">
        <f>IFERROR(__xludf.DUMMYFUNCTION("""COMPUTED_VALUE"""),"NO")</f>
        <v>NO</v>
      </c>
      <c r="I87" s="9">
        <f>IFERROR(__xludf.DUMMYFUNCTION("""COMPUTED_VALUE"""),7.0)</f>
        <v>7</v>
      </c>
      <c r="J87" s="9">
        <f>IFERROR(__xludf.DUMMYFUNCTION("""COMPUTED_VALUE"""),6.0)</f>
        <v>6</v>
      </c>
      <c r="K87" s="14">
        <f>IFERROR(__xludf.DUMMYFUNCTION("""COMPUTED_VALUE"""),3.0E7)</f>
        <v>30000000</v>
      </c>
      <c r="L87" s="14">
        <f>IFERROR(__xludf.DUMMYFUNCTION("""COMPUTED_VALUE"""),4.4457754E7)</f>
        <v>44457754</v>
      </c>
      <c r="M87" s="14">
        <f>IFERROR(__xludf.DUMMYFUNCTION("""COMPUTED_VALUE"""),0.0)</f>
        <v>0</v>
      </c>
      <c r="N87" s="14">
        <f>IFERROR(__xludf.DUMMYFUNCTION("""COMPUTED_VALUE"""),6.2249765E7)</f>
        <v>62249765</v>
      </c>
    </row>
    <row r="88">
      <c r="A88" s="9">
        <f>IFERROR(__xludf.DUMMYFUNCTION("""COMPUTED_VALUE"""),224.0)</f>
        <v>224</v>
      </c>
      <c r="B88" s="9" t="str">
        <f>IFERROR(__xludf.DUMMYFUNCTION("""COMPUTED_VALUE"""),"Nerissa Giddy")</f>
        <v>Nerissa Giddy</v>
      </c>
      <c r="C88" s="9" t="str">
        <f>IFERROR(__xludf.DUMMYFUNCTION("""COMPUTED_VALUE"""),"ngiddy67@examiner.com")</f>
        <v>ngiddy67@examiner.com</v>
      </c>
      <c r="D88" s="9" t="str">
        <f>IFERROR(__xludf.DUMMYFUNCTION("""COMPUTED_VALUE"""),"Perú")</f>
        <v>Perú</v>
      </c>
      <c r="E88" s="9" t="str">
        <f>IFERROR(__xludf.DUMMYFUNCTION("""COMPUTED_VALUE"""),"Tecnología")</f>
        <v>Tecnología</v>
      </c>
      <c r="F88" s="9" t="str">
        <f>IFERROR(__xludf.DUMMYFUNCTION("""COMPUTED_VALUE"""),"Inversión")</f>
        <v>Inversión</v>
      </c>
      <c r="G88" s="9" t="str">
        <f>IFERROR(__xludf.DUMMYFUNCTION("""COMPUTED_VALUE"""),"Socio capitalista")</f>
        <v>Socio capitalista</v>
      </c>
      <c r="H88" s="9" t="str">
        <f>IFERROR(__xludf.DUMMYFUNCTION("""COMPUTED_VALUE"""),"NO")</f>
        <v>NO</v>
      </c>
      <c r="I88" s="9">
        <f>IFERROR(__xludf.DUMMYFUNCTION("""COMPUTED_VALUE"""),5.0)</f>
        <v>5</v>
      </c>
      <c r="J88" s="9">
        <f>IFERROR(__xludf.DUMMYFUNCTION("""COMPUTED_VALUE"""),5.0)</f>
        <v>5</v>
      </c>
      <c r="K88" s="14">
        <f>IFERROR(__xludf.DUMMYFUNCTION("""COMPUTED_VALUE"""),1.0E7)</f>
        <v>10000000</v>
      </c>
      <c r="L88" s="14">
        <f>IFERROR(__xludf.DUMMYFUNCTION("""COMPUTED_VALUE"""),5.4467236E7)</f>
        <v>54467236</v>
      </c>
      <c r="M88" s="14">
        <f>IFERROR(__xludf.DUMMYFUNCTION("""COMPUTED_VALUE"""),0.0)</f>
        <v>0</v>
      </c>
      <c r="N88" s="14">
        <f>IFERROR(__xludf.DUMMYFUNCTION("""COMPUTED_VALUE"""),1234692.0)</f>
        <v>1234692</v>
      </c>
    </row>
    <row r="89">
      <c r="A89" s="9">
        <f>IFERROR(__xludf.DUMMYFUNCTION("""COMPUTED_VALUE"""),225.0)</f>
        <v>225</v>
      </c>
      <c r="B89" s="9" t="str">
        <f>IFERROR(__xludf.DUMMYFUNCTION("""COMPUTED_VALUE"""),"Brandice Leopold")</f>
        <v>Brandice Leopold</v>
      </c>
      <c r="C89" s="9" t="str">
        <f>IFERROR(__xludf.DUMMYFUNCTION("""COMPUTED_VALUE"""),"bleopold68@so-net.ne.jp")</f>
        <v>bleopold68@so-net.ne.jp</v>
      </c>
      <c r="D89" s="9" t="str">
        <f>IFERROR(__xludf.DUMMYFUNCTION("""COMPUTED_VALUE"""),"Ecuador")</f>
        <v>Ecuador</v>
      </c>
      <c r="E89" s="9" t="str">
        <f>IFERROR(__xludf.DUMMYFUNCTION("""COMPUTED_VALUE"""),"Tecnología")</f>
        <v>Tecnología</v>
      </c>
      <c r="F89" s="9" t="str">
        <f>IFERROR(__xludf.DUMMYFUNCTION("""COMPUTED_VALUE"""),"Inversión")</f>
        <v>Inversión</v>
      </c>
      <c r="G89" s="9" t="str">
        <f>IFERROR(__xludf.DUMMYFUNCTION("""COMPUTED_VALUE"""),"Socio de proyecto")</f>
        <v>Socio de proyecto</v>
      </c>
      <c r="H89" s="9" t="str">
        <f>IFERROR(__xludf.DUMMYFUNCTION("""COMPUTED_VALUE"""),"NO")</f>
        <v>NO</v>
      </c>
      <c r="I89" s="9">
        <f>IFERROR(__xludf.DUMMYFUNCTION("""COMPUTED_VALUE"""),9.0)</f>
        <v>9</v>
      </c>
      <c r="J89" s="9">
        <f>IFERROR(__xludf.DUMMYFUNCTION("""COMPUTED_VALUE"""),9.0)</f>
        <v>9</v>
      </c>
      <c r="K89" s="14">
        <f>IFERROR(__xludf.DUMMYFUNCTION("""COMPUTED_VALUE"""),1.0E7)</f>
        <v>10000000</v>
      </c>
      <c r="L89" s="14">
        <f>IFERROR(__xludf.DUMMYFUNCTION("""COMPUTED_VALUE"""),1.7991607E7)</f>
        <v>17991607</v>
      </c>
      <c r="M89" s="14">
        <f>IFERROR(__xludf.DUMMYFUNCTION("""COMPUTED_VALUE"""),0.0)</f>
        <v>0</v>
      </c>
      <c r="N89" s="14">
        <f>IFERROR(__xludf.DUMMYFUNCTION("""COMPUTED_VALUE"""),174626.0)</f>
        <v>174626</v>
      </c>
    </row>
    <row r="90">
      <c r="A90" s="9">
        <f>IFERROR(__xludf.DUMMYFUNCTION("""COMPUTED_VALUE"""),229.0)</f>
        <v>229</v>
      </c>
      <c r="B90" s="9" t="str">
        <f>IFERROR(__xludf.DUMMYFUNCTION("""COMPUTED_VALUE"""),"Dennet Dofty")</f>
        <v>Dennet Dofty</v>
      </c>
      <c r="C90" s="9" t="str">
        <f>IFERROR(__xludf.DUMMYFUNCTION("""COMPUTED_VALUE"""),"ddofty6c@boston.com")</f>
        <v>ddofty6c@boston.com</v>
      </c>
      <c r="D90" s="9" t="str">
        <f>IFERROR(__xludf.DUMMYFUNCTION("""COMPUTED_VALUE"""),"Colombia")</f>
        <v>Colombia</v>
      </c>
      <c r="E90" s="9" t="str">
        <f>IFERROR(__xludf.DUMMYFUNCTION("""COMPUTED_VALUE"""),"Tecnología")</f>
        <v>Tecnología</v>
      </c>
      <c r="F90" s="9" t="str">
        <f>IFERROR(__xludf.DUMMYFUNCTION("""COMPUTED_VALUE"""),"Inversión")</f>
        <v>Inversión</v>
      </c>
      <c r="G90" s="9" t="str">
        <f>IFERROR(__xludf.DUMMYFUNCTION("""COMPUTED_VALUE"""),"Socio de proyecto")</f>
        <v>Socio de proyecto</v>
      </c>
      <c r="H90" s="9" t="str">
        <f>IFERROR(__xludf.DUMMYFUNCTION("""COMPUTED_VALUE"""),"NO")</f>
        <v>NO</v>
      </c>
      <c r="I90" s="9">
        <f>IFERROR(__xludf.DUMMYFUNCTION("""COMPUTED_VALUE"""),3.0)</f>
        <v>3</v>
      </c>
      <c r="J90" s="9">
        <f>IFERROR(__xludf.DUMMYFUNCTION("""COMPUTED_VALUE"""),10.0)</f>
        <v>10</v>
      </c>
      <c r="K90" s="14">
        <f>IFERROR(__xludf.DUMMYFUNCTION("""COMPUTED_VALUE"""),1.0E7)</f>
        <v>10000000</v>
      </c>
      <c r="L90" s="14">
        <f>IFERROR(__xludf.DUMMYFUNCTION("""COMPUTED_VALUE"""),4.3538967E7)</f>
        <v>43538967</v>
      </c>
      <c r="M90" s="14">
        <f>IFERROR(__xludf.DUMMYFUNCTION("""COMPUTED_VALUE"""),5161300.0)</f>
        <v>5161300</v>
      </c>
      <c r="N90" s="14">
        <f>IFERROR(__xludf.DUMMYFUNCTION("""COMPUTED_VALUE"""),8.5417673E7)</f>
        <v>85417673</v>
      </c>
    </row>
    <row r="91">
      <c r="A91" s="9">
        <f>IFERROR(__xludf.DUMMYFUNCTION("""COMPUTED_VALUE"""),230.0)</f>
        <v>230</v>
      </c>
      <c r="B91" s="9" t="str">
        <f>IFERROR(__xludf.DUMMYFUNCTION("""COMPUTED_VALUE"""),"Tris McElhargy")</f>
        <v>Tris McElhargy</v>
      </c>
      <c r="C91" s="9" t="str">
        <f>IFERROR(__xludf.DUMMYFUNCTION("""COMPUTED_VALUE"""),"tmcelhargy6d@gizmodo.com")</f>
        <v>tmcelhargy6d@gizmodo.com</v>
      </c>
      <c r="D91" s="9" t="str">
        <f>IFERROR(__xludf.DUMMYFUNCTION("""COMPUTED_VALUE"""),"Venezuela")</f>
        <v>Venezuela</v>
      </c>
      <c r="E91" s="9" t="str">
        <f>IFERROR(__xludf.DUMMYFUNCTION("""COMPUTED_VALUE"""),"Tecnología")</f>
        <v>Tecnología</v>
      </c>
      <c r="F91" s="9" t="str">
        <f>IFERROR(__xludf.DUMMYFUNCTION("""COMPUTED_VALUE"""),"Inversión")</f>
        <v>Inversión</v>
      </c>
      <c r="G91" s="9" t="str">
        <f>IFERROR(__xludf.DUMMYFUNCTION("""COMPUTED_VALUE"""),"Socio de proyecto")</f>
        <v>Socio de proyecto</v>
      </c>
      <c r="H91" s="9" t="str">
        <f>IFERROR(__xludf.DUMMYFUNCTION("""COMPUTED_VALUE"""),"SI")</f>
        <v>SI</v>
      </c>
      <c r="I91" s="9">
        <f>IFERROR(__xludf.DUMMYFUNCTION("""COMPUTED_VALUE"""),5.0)</f>
        <v>5</v>
      </c>
      <c r="J91" s="9">
        <f>IFERROR(__xludf.DUMMYFUNCTION("""COMPUTED_VALUE"""),10.0)</f>
        <v>10</v>
      </c>
      <c r="K91" s="14">
        <f>IFERROR(__xludf.DUMMYFUNCTION("""COMPUTED_VALUE"""),1000000.0)</f>
        <v>1000000</v>
      </c>
      <c r="L91" s="14">
        <f>IFERROR(__xludf.DUMMYFUNCTION("""COMPUTED_VALUE"""),9.5899452E7)</f>
        <v>95899452</v>
      </c>
      <c r="M91" s="14">
        <f>IFERROR(__xludf.DUMMYFUNCTION("""COMPUTED_VALUE"""),2565664.0)</f>
        <v>2565664</v>
      </c>
      <c r="N91" s="14">
        <f>IFERROR(__xludf.DUMMYFUNCTION("""COMPUTED_VALUE"""),3.9602953E7)</f>
        <v>39602953</v>
      </c>
    </row>
    <row r="92">
      <c r="A92" s="9">
        <f>IFERROR(__xludf.DUMMYFUNCTION("""COMPUTED_VALUE"""),231.0)</f>
        <v>231</v>
      </c>
      <c r="B92" s="9" t="str">
        <f>IFERROR(__xludf.DUMMYFUNCTION("""COMPUTED_VALUE"""),"Damian Arlett")</f>
        <v>Damian Arlett</v>
      </c>
      <c r="C92" s="9" t="str">
        <f>IFERROR(__xludf.DUMMYFUNCTION("""COMPUTED_VALUE"""),"darlett6e@twitter.com")</f>
        <v>darlett6e@twitter.com</v>
      </c>
      <c r="D92" s="9" t="str">
        <f>IFERROR(__xludf.DUMMYFUNCTION("""COMPUTED_VALUE"""),"Venezuela")</f>
        <v>Venezuela</v>
      </c>
      <c r="E92" s="9" t="str">
        <f>IFERROR(__xludf.DUMMYFUNCTION("""COMPUTED_VALUE"""),"Tecnología")</f>
        <v>Tecnología</v>
      </c>
      <c r="F92" s="9" t="str">
        <f>IFERROR(__xludf.DUMMYFUNCTION("""COMPUTED_VALUE"""),"Inversión")</f>
        <v>Inversión</v>
      </c>
      <c r="G92" s="9" t="str">
        <f>IFERROR(__xludf.DUMMYFUNCTION("""COMPUTED_VALUE"""),"Socio de proyecto")</f>
        <v>Socio de proyecto</v>
      </c>
      <c r="H92" s="9" t="str">
        <f>IFERROR(__xludf.DUMMYFUNCTION("""COMPUTED_VALUE"""),"SI")</f>
        <v>SI</v>
      </c>
      <c r="I92" s="9">
        <f>IFERROR(__xludf.DUMMYFUNCTION("""COMPUTED_VALUE"""),7.0)</f>
        <v>7</v>
      </c>
      <c r="J92" s="9">
        <f>IFERROR(__xludf.DUMMYFUNCTION("""COMPUTED_VALUE"""),7.0)</f>
        <v>7</v>
      </c>
      <c r="K92" s="14">
        <f>IFERROR(__xludf.DUMMYFUNCTION("""COMPUTED_VALUE"""),1000000.0)</f>
        <v>1000000</v>
      </c>
      <c r="L92" s="14">
        <f>IFERROR(__xludf.DUMMYFUNCTION("""COMPUTED_VALUE"""),8.1347428E7)</f>
        <v>81347428</v>
      </c>
      <c r="M92" s="14">
        <f>IFERROR(__xludf.DUMMYFUNCTION("""COMPUTED_VALUE"""),1.0860215E7)</f>
        <v>10860215</v>
      </c>
      <c r="N92" s="14">
        <f>IFERROR(__xludf.DUMMYFUNCTION("""COMPUTED_VALUE"""),2.863729E7)</f>
        <v>28637290</v>
      </c>
    </row>
    <row r="93">
      <c r="A93" s="9">
        <f>IFERROR(__xludf.DUMMYFUNCTION("""COMPUTED_VALUE"""),233.0)</f>
        <v>233</v>
      </c>
      <c r="B93" s="9" t="str">
        <f>IFERROR(__xludf.DUMMYFUNCTION("""COMPUTED_VALUE"""),"Osbert Beig")</f>
        <v>Osbert Beig</v>
      </c>
      <c r="C93" s="9" t="str">
        <f>IFERROR(__xludf.DUMMYFUNCTION("""COMPUTED_VALUE"""),"obeig6g@de.vu")</f>
        <v>obeig6g@de.vu</v>
      </c>
      <c r="D93" s="9" t="str">
        <f>IFERROR(__xludf.DUMMYFUNCTION("""COMPUTED_VALUE"""),"Venezuela")</f>
        <v>Venezuela</v>
      </c>
      <c r="E93" s="9" t="str">
        <f>IFERROR(__xludf.DUMMYFUNCTION("""COMPUTED_VALUE"""),"Tecnología")</f>
        <v>Tecnología</v>
      </c>
      <c r="F93" s="9" t="str">
        <f>IFERROR(__xludf.DUMMYFUNCTION("""COMPUTED_VALUE"""),"Inversión")</f>
        <v>Inversión</v>
      </c>
      <c r="G93" s="9" t="str">
        <f>IFERROR(__xludf.DUMMYFUNCTION("""COMPUTED_VALUE"""),"Socio de proyecto")</f>
        <v>Socio de proyecto</v>
      </c>
      <c r="H93" s="9" t="str">
        <f>IFERROR(__xludf.DUMMYFUNCTION("""COMPUTED_VALUE"""),"SI")</f>
        <v>SI</v>
      </c>
      <c r="I93" s="9">
        <f>IFERROR(__xludf.DUMMYFUNCTION("""COMPUTED_VALUE"""),5.0)</f>
        <v>5</v>
      </c>
      <c r="J93" s="9">
        <f>IFERROR(__xludf.DUMMYFUNCTION("""COMPUTED_VALUE"""),7.0)</f>
        <v>7</v>
      </c>
      <c r="K93" s="14">
        <f>IFERROR(__xludf.DUMMYFUNCTION("""COMPUTED_VALUE"""),1.0E7)</f>
        <v>10000000</v>
      </c>
      <c r="L93" s="14">
        <f>IFERROR(__xludf.DUMMYFUNCTION("""COMPUTED_VALUE"""),9.6199053E7)</f>
        <v>96199053</v>
      </c>
      <c r="M93" s="14">
        <f>IFERROR(__xludf.DUMMYFUNCTION("""COMPUTED_VALUE"""),3.1746355E7)</f>
        <v>31746355</v>
      </c>
      <c r="N93" s="14">
        <f>IFERROR(__xludf.DUMMYFUNCTION("""COMPUTED_VALUE"""),8.0063468E7)</f>
        <v>80063468</v>
      </c>
    </row>
    <row r="94">
      <c r="A94" s="9">
        <f>IFERROR(__xludf.DUMMYFUNCTION("""COMPUTED_VALUE"""),234.0)</f>
        <v>234</v>
      </c>
      <c r="B94" s="9" t="str">
        <f>IFERROR(__xludf.DUMMYFUNCTION("""COMPUTED_VALUE"""),"Godard Hindge")</f>
        <v>Godard Hindge</v>
      </c>
      <c r="C94" s="9" t="str">
        <f>IFERROR(__xludf.DUMMYFUNCTION("""COMPUTED_VALUE"""),"ghindge6h@creativecommons.org")</f>
        <v>ghindge6h@creativecommons.org</v>
      </c>
      <c r="D94" s="9" t="str">
        <f>IFERROR(__xludf.DUMMYFUNCTION("""COMPUTED_VALUE"""),"Colombia")</f>
        <v>Colombia</v>
      </c>
      <c r="E94" s="9" t="str">
        <f>IFERROR(__xludf.DUMMYFUNCTION("""COMPUTED_VALUE"""),"Tecnología")</f>
        <v>Tecnología</v>
      </c>
      <c r="F94" s="9" t="str">
        <f>IFERROR(__xludf.DUMMYFUNCTION("""COMPUTED_VALUE"""),"Inversión")</f>
        <v>Inversión</v>
      </c>
      <c r="G94" s="9" t="str">
        <f>IFERROR(__xludf.DUMMYFUNCTION("""COMPUTED_VALUE"""),"Socio de proyecto")</f>
        <v>Socio de proyecto</v>
      </c>
      <c r="H94" s="9" t="str">
        <f>IFERROR(__xludf.DUMMYFUNCTION("""COMPUTED_VALUE"""),"NO")</f>
        <v>NO</v>
      </c>
      <c r="I94" s="9">
        <f>IFERROR(__xludf.DUMMYFUNCTION("""COMPUTED_VALUE"""),7.0)</f>
        <v>7</v>
      </c>
      <c r="J94" s="9">
        <f>IFERROR(__xludf.DUMMYFUNCTION("""COMPUTED_VALUE"""),9.0)</f>
        <v>9</v>
      </c>
      <c r="K94" s="14">
        <f>IFERROR(__xludf.DUMMYFUNCTION("""COMPUTED_VALUE"""),1000000.0)</f>
        <v>1000000</v>
      </c>
      <c r="L94" s="14">
        <f>IFERROR(__xludf.DUMMYFUNCTION("""COMPUTED_VALUE"""),7.1783742E7)</f>
        <v>71783742</v>
      </c>
      <c r="M94" s="14">
        <f>IFERROR(__xludf.DUMMYFUNCTION("""COMPUTED_VALUE"""),6.4667814E7)</f>
        <v>64667814</v>
      </c>
      <c r="N94" s="14">
        <f>IFERROR(__xludf.DUMMYFUNCTION("""COMPUTED_VALUE"""),7.065318E7)</f>
        <v>70653180</v>
      </c>
    </row>
    <row r="95">
      <c r="A95" s="9">
        <f>IFERROR(__xludf.DUMMYFUNCTION("""COMPUTED_VALUE"""),237.0)</f>
        <v>237</v>
      </c>
      <c r="B95" s="9" t="str">
        <f>IFERROR(__xludf.DUMMYFUNCTION("""COMPUTED_VALUE"""),"Regan Landrieu")</f>
        <v>Regan Landrieu</v>
      </c>
      <c r="C95" s="9" t="str">
        <f>IFERROR(__xludf.DUMMYFUNCTION("""COMPUTED_VALUE"""),"rlandrieu6k@sitemeter.com")</f>
        <v>rlandrieu6k@sitemeter.com</v>
      </c>
      <c r="D95" s="9" t="str">
        <f>IFERROR(__xludf.DUMMYFUNCTION("""COMPUTED_VALUE"""),"Ecuador")</f>
        <v>Ecuador</v>
      </c>
      <c r="E95" s="9" t="str">
        <f>IFERROR(__xludf.DUMMYFUNCTION("""COMPUTED_VALUE"""),"Tecnología")</f>
        <v>Tecnología</v>
      </c>
      <c r="F95" s="9" t="str">
        <f>IFERROR(__xludf.DUMMYFUNCTION("""COMPUTED_VALUE"""),"Inversión")</f>
        <v>Inversión</v>
      </c>
      <c r="G95" s="9" t="str">
        <f>IFERROR(__xludf.DUMMYFUNCTION("""COMPUTED_VALUE"""),"Socio de proyecto")</f>
        <v>Socio de proyecto</v>
      </c>
      <c r="H95" s="9" t="str">
        <f>IFERROR(__xludf.DUMMYFUNCTION("""COMPUTED_VALUE"""),"SI")</f>
        <v>SI</v>
      </c>
      <c r="I95" s="9">
        <f>IFERROR(__xludf.DUMMYFUNCTION("""COMPUTED_VALUE"""),8.0)</f>
        <v>8</v>
      </c>
      <c r="J95" s="9">
        <f>IFERROR(__xludf.DUMMYFUNCTION("""COMPUTED_VALUE"""),8.0)</f>
        <v>8</v>
      </c>
      <c r="K95" s="14">
        <f>IFERROR(__xludf.DUMMYFUNCTION("""COMPUTED_VALUE"""),3.0E7)</f>
        <v>30000000</v>
      </c>
      <c r="L95" s="14">
        <f>IFERROR(__xludf.DUMMYFUNCTION("""COMPUTED_VALUE"""),3.3477783E7)</f>
        <v>33477783</v>
      </c>
      <c r="M95" s="14">
        <f>IFERROR(__xludf.DUMMYFUNCTION("""COMPUTED_VALUE"""),0.0)</f>
        <v>0</v>
      </c>
      <c r="N95" s="14">
        <f>IFERROR(__xludf.DUMMYFUNCTION("""COMPUTED_VALUE"""),2.7651635E7)</f>
        <v>27651635</v>
      </c>
    </row>
    <row r="96">
      <c r="A96" s="9">
        <f>IFERROR(__xludf.DUMMYFUNCTION("""COMPUTED_VALUE"""),239.0)</f>
        <v>239</v>
      </c>
      <c r="B96" s="9" t="str">
        <f>IFERROR(__xludf.DUMMYFUNCTION("""COMPUTED_VALUE"""),"Maxi Lahy")</f>
        <v>Maxi Lahy</v>
      </c>
      <c r="C96" s="9" t="str">
        <f>IFERROR(__xludf.DUMMYFUNCTION("""COMPUTED_VALUE"""),"mlahy6m@4shared.com")</f>
        <v>mlahy6m@4shared.com</v>
      </c>
      <c r="D96" s="9" t="str">
        <f>IFERROR(__xludf.DUMMYFUNCTION("""COMPUTED_VALUE"""),"Perú")</f>
        <v>Perú</v>
      </c>
      <c r="E96" s="9" t="str">
        <f>IFERROR(__xludf.DUMMYFUNCTION("""COMPUTED_VALUE"""),"Tecnología")</f>
        <v>Tecnología</v>
      </c>
      <c r="F96" s="9" t="str">
        <f>IFERROR(__xludf.DUMMYFUNCTION("""COMPUTED_VALUE"""),"Inversión")</f>
        <v>Inversión</v>
      </c>
      <c r="G96" s="9" t="str">
        <f>IFERROR(__xludf.DUMMYFUNCTION("""COMPUTED_VALUE"""),"Socio capitalista")</f>
        <v>Socio capitalista</v>
      </c>
      <c r="H96" s="9" t="str">
        <f>IFERROR(__xludf.DUMMYFUNCTION("""COMPUTED_VALUE"""),"NO")</f>
        <v>NO</v>
      </c>
      <c r="I96" s="9">
        <f>IFERROR(__xludf.DUMMYFUNCTION("""COMPUTED_VALUE"""),6.0)</f>
        <v>6</v>
      </c>
      <c r="J96" s="9">
        <f>IFERROR(__xludf.DUMMYFUNCTION("""COMPUTED_VALUE"""),5.0)</f>
        <v>5</v>
      </c>
      <c r="K96" s="14">
        <f>IFERROR(__xludf.DUMMYFUNCTION("""COMPUTED_VALUE"""),5.0E7)</f>
        <v>50000000</v>
      </c>
      <c r="L96" s="14">
        <f>IFERROR(__xludf.DUMMYFUNCTION("""COMPUTED_VALUE"""),7.0787848E7)</f>
        <v>70787848</v>
      </c>
      <c r="M96" s="14">
        <f>IFERROR(__xludf.DUMMYFUNCTION("""COMPUTED_VALUE"""),3.3368202E7)</f>
        <v>33368202</v>
      </c>
      <c r="N96" s="14">
        <f>IFERROR(__xludf.DUMMYFUNCTION("""COMPUTED_VALUE"""),4.3277527E7)</f>
        <v>43277527</v>
      </c>
    </row>
    <row r="97">
      <c r="A97" s="9">
        <f>IFERROR(__xludf.DUMMYFUNCTION("""COMPUTED_VALUE"""),241.0)</f>
        <v>241</v>
      </c>
      <c r="B97" s="9" t="str">
        <f>IFERROR(__xludf.DUMMYFUNCTION("""COMPUTED_VALUE"""),"Tracy Prosh")</f>
        <v>Tracy Prosh</v>
      </c>
      <c r="C97" s="9" t="str">
        <f>IFERROR(__xludf.DUMMYFUNCTION("""COMPUTED_VALUE"""),"tprosh6o@ucsd.edu")</f>
        <v>tprosh6o@ucsd.edu</v>
      </c>
      <c r="D97" s="9" t="str">
        <f>IFERROR(__xludf.DUMMYFUNCTION("""COMPUTED_VALUE"""),"Paraguay")</f>
        <v>Paraguay</v>
      </c>
      <c r="E97" s="9" t="str">
        <f>IFERROR(__xludf.DUMMYFUNCTION("""COMPUTED_VALUE"""),"Tecnología")</f>
        <v>Tecnología</v>
      </c>
      <c r="F97" s="9" t="str">
        <f>IFERROR(__xludf.DUMMYFUNCTION("""COMPUTED_VALUE"""),"Inversión")</f>
        <v>Inversión</v>
      </c>
      <c r="G97" s="9" t="str">
        <f>IFERROR(__xludf.DUMMYFUNCTION("""COMPUTED_VALUE"""),"Socio capitalista")</f>
        <v>Socio capitalista</v>
      </c>
      <c r="H97" s="9" t="str">
        <f>IFERROR(__xludf.DUMMYFUNCTION("""COMPUTED_VALUE"""),"NO")</f>
        <v>NO</v>
      </c>
      <c r="I97" s="9">
        <f>IFERROR(__xludf.DUMMYFUNCTION("""COMPUTED_VALUE"""),8.0)</f>
        <v>8</v>
      </c>
      <c r="J97" s="9">
        <f>IFERROR(__xludf.DUMMYFUNCTION("""COMPUTED_VALUE"""),8.0)</f>
        <v>8</v>
      </c>
      <c r="K97" s="14">
        <f>IFERROR(__xludf.DUMMYFUNCTION("""COMPUTED_VALUE"""),2.0E7)</f>
        <v>20000000</v>
      </c>
      <c r="L97" s="14">
        <f>IFERROR(__xludf.DUMMYFUNCTION("""COMPUTED_VALUE"""),4.006462E7)</f>
        <v>40064620</v>
      </c>
      <c r="M97" s="14">
        <f>IFERROR(__xludf.DUMMYFUNCTION("""COMPUTED_VALUE"""),9.8137438E7)</f>
        <v>98137438</v>
      </c>
      <c r="N97" s="14">
        <f>IFERROR(__xludf.DUMMYFUNCTION("""COMPUTED_VALUE"""),0.0)</f>
        <v>0</v>
      </c>
    </row>
    <row r="98">
      <c r="A98" s="9">
        <f>IFERROR(__xludf.DUMMYFUNCTION("""COMPUTED_VALUE"""),242.0)</f>
        <v>242</v>
      </c>
      <c r="B98" s="9" t="str">
        <f>IFERROR(__xludf.DUMMYFUNCTION("""COMPUTED_VALUE"""),"Holly Brownstein")</f>
        <v>Holly Brownstein</v>
      </c>
      <c r="C98" s="9" t="str">
        <f>IFERROR(__xludf.DUMMYFUNCTION("""COMPUTED_VALUE"""),"hbrownstein6p@about.me")</f>
        <v>hbrownstein6p@about.me</v>
      </c>
      <c r="D98" s="9" t="str">
        <f>IFERROR(__xludf.DUMMYFUNCTION("""COMPUTED_VALUE"""),"Paraguay")</f>
        <v>Paraguay</v>
      </c>
      <c r="E98" s="9" t="str">
        <f>IFERROR(__xludf.DUMMYFUNCTION("""COMPUTED_VALUE"""),"Tecnología")</f>
        <v>Tecnología</v>
      </c>
      <c r="F98" s="9" t="str">
        <f>IFERROR(__xludf.DUMMYFUNCTION("""COMPUTED_VALUE"""),"Inversión")</f>
        <v>Inversión</v>
      </c>
      <c r="G98" s="9" t="str">
        <f>IFERROR(__xludf.DUMMYFUNCTION("""COMPUTED_VALUE"""),"Socio de proyecto")</f>
        <v>Socio de proyecto</v>
      </c>
      <c r="H98" s="9" t="str">
        <f>IFERROR(__xludf.DUMMYFUNCTION("""COMPUTED_VALUE"""),"NO")</f>
        <v>NO</v>
      </c>
      <c r="I98" s="9">
        <f>IFERROR(__xludf.DUMMYFUNCTION("""COMPUTED_VALUE"""),5.0)</f>
        <v>5</v>
      </c>
      <c r="J98" s="9">
        <f>IFERROR(__xludf.DUMMYFUNCTION("""COMPUTED_VALUE"""),9.0)</f>
        <v>9</v>
      </c>
      <c r="K98" s="14">
        <f>IFERROR(__xludf.DUMMYFUNCTION("""COMPUTED_VALUE"""),3.0E7)</f>
        <v>30000000</v>
      </c>
      <c r="L98" s="14">
        <f>IFERROR(__xludf.DUMMYFUNCTION("""COMPUTED_VALUE"""),4.528936E7)</f>
        <v>45289360</v>
      </c>
      <c r="M98" s="14">
        <f>IFERROR(__xludf.DUMMYFUNCTION("""COMPUTED_VALUE"""),0.0)</f>
        <v>0</v>
      </c>
      <c r="N98" s="14">
        <f>IFERROR(__xludf.DUMMYFUNCTION("""COMPUTED_VALUE"""),4.6980526E7)</f>
        <v>46980526</v>
      </c>
    </row>
    <row r="99">
      <c r="A99" s="9">
        <f>IFERROR(__xludf.DUMMYFUNCTION("""COMPUTED_VALUE"""),246.0)</f>
        <v>246</v>
      </c>
      <c r="B99" s="9" t="str">
        <f>IFERROR(__xludf.DUMMYFUNCTION("""COMPUTED_VALUE"""),"Ernesta Revance")</f>
        <v>Ernesta Revance</v>
      </c>
      <c r="C99" s="9" t="str">
        <f>IFERROR(__xludf.DUMMYFUNCTION("""COMPUTED_VALUE"""),"erevance6t@arstechnica.com")</f>
        <v>erevance6t@arstechnica.com</v>
      </c>
      <c r="D99" s="9" t="str">
        <f>IFERROR(__xludf.DUMMYFUNCTION("""COMPUTED_VALUE"""),"Uruguay")</f>
        <v>Uruguay</v>
      </c>
      <c r="E99" s="9" t="str">
        <f>IFERROR(__xludf.DUMMYFUNCTION("""COMPUTED_VALUE"""),"Tecnología")</f>
        <v>Tecnología</v>
      </c>
      <c r="F99" s="9" t="str">
        <f>IFERROR(__xludf.DUMMYFUNCTION("""COMPUTED_VALUE"""),"Inversión")</f>
        <v>Inversión</v>
      </c>
      <c r="G99" s="9" t="str">
        <f>IFERROR(__xludf.DUMMYFUNCTION("""COMPUTED_VALUE"""),"Socio capitalista")</f>
        <v>Socio capitalista</v>
      </c>
      <c r="H99" s="9" t="str">
        <f>IFERROR(__xludf.DUMMYFUNCTION("""COMPUTED_VALUE"""),"NO")</f>
        <v>NO</v>
      </c>
      <c r="I99" s="9">
        <f>IFERROR(__xludf.DUMMYFUNCTION("""COMPUTED_VALUE"""),6.0)</f>
        <v>6</v>
      </c>
      <c r="J99" s="9">
        <f>IFERROR(__xludf.DUMMYFUNCTION("""COMPUTED_VALUE"""),5.0)</f>
        <v>5</v>
      </c>
      <c r="K99" s="14">
        <f>IFERROR(__xludf.DUMMYFUNCTION("""COMPUTED_VALUE"""),1000000.0)</f>
        <v>1000000</v>
      </c>
      <c r="L99" s="14">
        <f>IFERROR(__xludf.DUMMYFUNCTION("""COMPUTED_VALUE"""),5.3008255E7)</f>
        <v>53008255</v>
      </c>
      <c r="M99" s="14">
        <f>IFERROR(__xludf.DUMMYFUNCTION("""COMPUTED_VALUE"""),4.691791E7)</f>
        <v>46917910</v>
      </c>
      <c r="N99" s="14">
        <f>IFERROR(__xludf.DUMMYFUNCTION("""COMPUTED_VALUE"""),4.7557281E7)</f>
        <v>47557281</v>
      </c>
    </row>
    <row r="100">
      <c r="A100" s="9">
        <f>IFERROR(__xludf.DUMMYFUNCTION("""COMPUTED_VALUE"""),248.0)</f>
        <v>248</v>
      </c>
      <c r="B100" s="9" t="str">
        <f>IFERROR(__xludf.DUMMYFUNCTION("""COMPUTED_VALUE"""),"Charmane Thying")</f>
        <v>Charmane Thying</v>
      </c>
      <c r="C100" s="9" t="str">
        <f>IFERROR(__xludf.DUMMYFUNCTION("""COMPUTED_VALUE"""),"cthying6v@wiley.com")</f>
        <v>cthying6v@wiley.com</v>
      </c>
      <c r="D100" s="9" t="str">
        <f>IFERROR(__xludf.DUMMYFUNCTION("""COMPUTED_VALUE"""),"Venezuela")</f>
        <v>Venezuela</v>
      </c>
      <c r="E100" s="9" t="str">
        <f>IFERROR(__xludf.DUMMYFUNCTION("""COMPUTED_VALUE"""),"Tecnología")</f>
        <v>Tecnología</v>
      </c>
      <c r="F100" s="9" t="str">
        <f>IFERROR(__xludf.DUMMYFUNCTION("""COMPUTED_VALUE"""),"Inversión")</f>
        <v>Inversión</v>
      </c>
      <c r="G100" s="9" t="str">
        <f>IFERROR(__xludf.DUMMYFUNCTION("""COMPUTED_VALUE"""),"Socio capitalista")</f>
        <v>Socio capitalista</v>
      </c>
      <c r="H100" s="9" t="str">
        <f>IFERROR(__xludf.DUMMYFUNCTION("""COMPUTED_VALUE"""),"NO")</f>
        <v>NO</v>
      </c>
      <c r="I100" s="9">
        <f>IFERROR(__xludf.DUMMYFUNCTION("""COMPUTED_VALUE"""),3.0)</f>
        <v>3</v>
      </c>
      <c r="J100" s="9">
        <f>IFERROR(__xludf.DUMMYFUNCTION("""COMPUTED_VALUE"""),6.0)</f>
        <v>6</v>
      </c>
      <c r="K100" s="14">
        <f>IFERROR(__xludf.DUMMYFUNCTION("""COMPUTED_VALUE"""),1.0E8)</f>
        <v>100000000</v>
      </c>
      <c r="L100" s="14">
        <f>IFERROR(__xludf.DUMMYFUNCTION("""COMPUTED_VALUE"""),9.468872E7)</f>
        <v>94688720</v>
      </c>
      <c r="M100" s="14">
        <f>IFERROR(__xludf.DUMMYFUNCTION("""COMPUTED_VALUE"""),8.6323763E7)</f>
        <v>86323763</v>
      </c>
      <c r="N100" s="14">
        <f>IFERROR(__xludf.DUMMYFUNCTION("""COMPUTED_VALUE"""),2.0929788E7)</f>
        <v>20929788</v>
      </c>
    </row>
    <row r="101">
      <c r="A101" s="9">
        <f>IFERROR(__xludf.DUMMYFUNCTION("""COMPUTED_VALUE"""),251.0)</f>
        <v>251</v>
      </c>
      <c r="B101" s="9" t="str">
        <f>IFERROR(__xludf.DUMMYFUNCTION("""COMPUTED_VALUE"""),"Eugen Buxton")</f>
        <v>Eugen Buxton</v>
      </c>
      <c r="C101" s="9" t="str">
        <f>IFERROR(__xludf.DUMMYFUNCTION("""COMPUTED_VALUE"""),"ebuxton6y@odnoklassniki.ru")</f>
        <v>ebuxton6y@odnoklassniki.ru</v>
      </c>
      <c r="D101" s="9" t="str">
        <f>IFERROR(__xludf.DUMMYFUNCTION("""COMPUTED_VALUE"""),"Ecuador")</f>
        <v>Ecuador</v>
      </c>
      <c r="E101" s="9" t="str">
        <f>IFERROR(__xludf.DUMMYFUNCTION("""COMPUTED_VALUE"""),"Tecnología")</f>
        <v>Tecnología</v>
      </c>
      <c r="F101" s="9" t="str">
        <f>IFERROR(__xludf.DUMMYFUNCTION("""COMPUTED_VALUE"""),"Inversión")</f>
        <v>Inversión</v>
      </c>
      <c r="G101" s="9" t="str">
        <f>IFERROR(__xludf.DUMMYFUNCTION("""COMPUTED_VALUE"""),"Socio de proyecto")</f>
        <v>Socio de proyecto</v>
      </c>
      <c r="H101" s="9" t="str">
        <f>IFERROR(__xludf.DUMMYFUNCTION("""COMPUTED_VALUE"""),"NO")</f>
        <v>NO</v>
      </c>
      <c r="I101" s="9">
        <f>IFERROR(__xludf.DUMMYFUNCTION("""COMPUTED_VALUE"""),7.0)</f>
        <v>7</v>
      </c>
      <c r="J101" s="9">
        <f>IFERROR(__xludf.DUMMYFUNCTION("""COMPUTED_VALUE"""),6.0)</f>
        <v>6</v>
      </c>
      <c r="K101" s="14">
        <f>IFERROR(__xludf.DUMMYFUNCTION("""COMPUTED_VALUE"""),3.0E7)</f>
        <v>30000000</v>
      </c>
      <c r="L101" s="14">
        <f>IFERROR(__xludf.DUMMYFUNCTION("""COMPUTED_VALUE"""),3.2890743E7)</f>
        <v>32890743</v>
      </c>
      <c r="M101" s="14">
        <f>IFERROR(__xludf.DUMMYFUNCTION("""COMPUTED_VALUE"""),0.0)</f>
        <v>0</v>
      </c>
      <c r="N101" s="14">
        <f>IFERROR(__xludf.DUMMYFUNCTION("""COMPUTED_VALUE"""),3.986462E7)</f>
        <v>39864620</v>
      </c>
    </row>
    <row r="102">
      <c r="A102" s="9">
        <f>IFERROR(__xludf.DUMMYFUNCTION("""COMPUTED_VALUE"""),254.0)</f>
        <v>254</v>
      </c>
      <c r="B102" s="9" t="str">
        <f>IFERROR(__xludf.DUMMYFUNCTION("""COMPUTED_VALUE"""),"Barbara Quinsee")</f>
        <v>Barbara Quinsee</v>
      </c>
      <c r="C102" s="9" t="str">
        <f>IFERROR(__xludf.DUMMYFUNCTION("""COMPUTED_VALUE"""),"bquinsee71@scientificamerican.com")</f>
        <v>bquinsee71@scientificamerican.com</v>
      </c>
      <c r="D102" s="9" t="str">
        <f>IFERROR(__xludf.DUMMYFUNCTION("""COMPUTED_VALUE"""),"Colombia")</f>
        <v>Colombia</v>
      </c>
      <c r="E102" s="9" t="str">
        <f>IFERROR(__xludf.DUMMYFUNCTION("""COMPUTED_VALUE"""),"Tecnología")</f>
        <v>Tecnología</v>
      </c>
      <c r="F102" s="9" t="str">
        <f>IFERROR(__xludf.DUMMYFUNCTION("""COMPUTED_VALUE"""),"Inversión")</f>
        <v>Inversión</v>
      </c>
      <c r="G102" s="9" t="str">
        <f>IFERROR(__xludf.DUMMYFUNCTION("""COMPUTED_VALUE"""),"Socio capitalista")</f>
        <v>Socio capitalista</v>
      </c>
      <c r="H102" s="9" t="str">
        <f>IFERROR(__xludf.DUMMYFUNCTION("""COMPUTED_VALUE"""),"SI")</f>
        <v>SI</v>
      </c>
      <c r="I102" s="9">
        <f>IFERROR(__xludf.DUMMYFUNCTION("""COMPUTED_VALUE"""),8.0)</f>
        <v>8</v>
      </c>
      <c r="J102" s="9">
        <f>IFERROR(__xludf.DUMMYFUNCTION("""COMPUTED_VALUE"""),5.0)</f>
        <v>5</v>
      </c>
      <c r="K102" s="14">
        <f>IFERROR(__xludf.DUMMYFUNCTION("""COMPUTED_VALUE"""),1.0E7)</f>
        <v>10000000</v>
      </c>
      <c r="L102" s="14">
        <f>IFERROR(__xludf.DUMMYFUNCTION("""COMPUTED_VALUE"""),3.1953589E7)</f>
        <v>31953589</v>
      </c>
      <c r="M102" s="14">
        <f>IFERROR(__xludf.DUMMYFUNCTION("""COMPUTED_VALUE"""),4.0068224E7)</f>
        <v>40068224</v>
      </c>
      <c r="N102" s="14">
        <f>IFERROR(__xludf.DUMMYFUNCTION("""COMPUTED_VALUE"""),8.0951038E7)</f>
        <v>80951038</v>
      </c>
    </row>
    <row r="103">
      <c r="A103" s="9">
        <f>IFERROR(__xludf.DUMMYFUNCTION("""COMPUTED_VALUE"""),255.0)</f>
        <v>255</v>
      </c>
      <c r="B103" s="9" t="str">
        <f>IFERROR(__xludf.DUMMYFUNCTION("""COMPUTED_VALUE"""),"Luciano Slemming")</f>
        <v>Luciano Slemming</v>
      </c>
      <c r="C103" s="9" t="str">
        <f>IFERROR(__xludf.DUMMYFUNCTION("""COMPUTED_VALUE"""),"lslemming72@msu.edu")</f>
        <v>lslemming72@msu.edu</v>
      </c>
      <c r="D103" s="9" t="str">
        <f>IFERROR(__xludf.DUMMYFUNCTION("""COMPUTED_VALUE"""),"Paraguay")</f>
        <v>Paraguay</v>
      </c>
      <c r="E103" s="9" t="str">
        <f>IFERROR(__xludf.DUMMYFUNCTION("""COMPUTED_VALUE"""),"Tecnología")</f>
        <v>Tecnología</v>
      </c>
      <c r="F103" s="9" t="str">
        <f>IFERROR(__xludf.DUMMYFUNCTION("""COMPUTED_VALUE"""),"Inversión")</f>
        <v>Inversión</v>
      </c>
      <c r="G103" s="9" t="str">
        <f>IFERROR(__xludf.DUMMYFUNCTION("""COMPUTED_VALUE"""),"Socio capitalista")</f>
        <v>Socio capitalista</v>
      </c>
      <c r="H103" s="9" t="str">
        <f>IFERROR(__xludf.DUMMYFUNCTION("""COMPUTED_VALUE"""),"NO")</f>
        <v>NO</v>
      </c>
      <c r="I103" s="9">
        <f>IFERROR(__xludf.DUMMYFUNCTION("""COMPUTED_VALUE"""),7.0)</f>
        <v>7</v>
      </c>
      <c r="J103" s="9">
        <f>IFERROR(__xludf.DUMMYFUNCTION("""COMPUTED_VALUE"""),8.0)</f>
        <v>8</v>
      </c>
      <c r="K103" s="14">
        <f>IFERROR(__xludf.DUMMYFUNCTION("""COMPUTED_VALUE"""),5.0E7)</f>
        <v>50000000</v>
      </c>
      <c r="L103" s="14">
        <f>IFERROR(__xludf.DUMMYFUNCTION("""COMPUTED_VALUE"""),7.8205651E7)</f>
        <v>78205651</v>
      </c>
      <c r="M103" s="14">
        <f>IFERROR(__xludf.DUMMYFUNCTION("""COMPUTED_VALUE"""),6.238118E7)</f>
        <v>62381180</v>
      </c>
      <c r="N103" s="14">
        <f>IFERROR(__xludf.DUMMYFUNCTION("""COMPUTED_VALUE"""),6508585.0)</f>
        <v>6508585</v>
      </c>
    </row>
    <row r="104">
      <c r="A104" s="9">
        <f>IFERROR(__xludf.DUMMYFUNCTION("""COMPUTED_VALUE"""),262.0)</f>
        <v>262</v>
      </c>
      <c r="B104" s="9" t="str">
        <f>IFERROR(__xludf.DUMMYFUNCTION("""COMPUTED_VALUE"""),"Regen Rabjohns")</f>
        <v>Regen Rabjohns</v>
      </c>
      <c r="C104" s="9" t="str">
        <f>IFERROR(__xludf.DUMMYFUNCTION("""COMPUTED_VALUE"""),"rrabjohns79@nature.com")</f>
        <v>rrabjohns79@nature.com</v>
      </c>
      <c r="D104" s="9" t="str">
        <f>IFERROR(__xludf.DUMMYFUNCTION("""COMPUTED_VALUE"""),"Paraguay")</f>
        <v>Paraguay</v>
      </c>
      <c r="E104" s="9" t="str">
        <f>IFERROR(__xludf.DUMMYFUNCTION("""COMPUTED_VALUE"""),"Tecnología")</f>
        <v>Tecnología</v>
      </c>
      <c r="F104" s="9" t="str">
        <f>IFERROR(__xludf.DUMMYFUNCTION("""COMPUTED_VALUE"""),"Inversión")</f>
        <v>Inversión</v>
      </c>
      <c r="G104" s="9" t="str">
        <f>IFERROR(__xludf.DUMMYFUNCTION("""COMPUTED_VALUE"""),"Socio de proyecto")</f>
        <v>Socio de proyecto</v>
      </c>
      <c r="H104" s="9" t="str">
        <f>IFERROR(__xludf.DUMMYFUNCTION("""COMPUTED_VALUE"""),"SI")</f>
        <v>SI</v>
      </c>
      <c r="I104" s="9">
        <f>IFERROR(__xludf.DUMMYFUNCTION("""COMPUTED_VALUE"""),6.0)</f>
        <v>6</v>
      </c>
      <c r="J104" s="9">
        <f>IFERROR(__xludf.DUMMYFUNCTION("""COMPUTED_VALUE"""),4.0)</f>
        <v>4</v>
      </c>
      <c r="K104" s="14">
        <f>IFERROR(__xludf.DUMMYFUNCTION("""COMPUTED_VALUE"""),1.0E7)</f>
        <v>10000000</v>
      </c>
      <c r="L104" s="14">
        <f>IFERROR(__xludf.DUMMYFUNCTION("""COMPUTED_VALUE"""),5.9890317E7)</f>
        <v>59890317</v>
      </c>
      <c r="M104" s="14">
        <f>IFERROR(__xludf.DUMMYFUNCTION("""COMPUTED_VALUE"""),4.2451842E7)</f>
        <v>42451842</v>
      </c>
      <c r="N104" s="14">
        <f>IFERROR(__xludf.DUMMYFUNCTION("""COMPUTED_VALUE"""),0.0)</f>
        <v>0</v>
      </c>
    </row>
    <row r="105">
      <c r="A105" s="9">
        <f>IFERROR(__xludf.DUMMYFUNCTION("""COMPUTED_VALUE"""),266.0)</f>
        <v>266</v>
      </c>
      <c r="B105" s="9" t="str">
        <f>IFERROR(__xludf.DUMMYFUNCTION("""COMPUTED_VALUE"""),"Karyl Farnham")</f>
        <v>Karyl Farnham</v>
      </c>
      <c r="C105" s="9" t="str">
        <f>IFERROR(__xludf.DUMMYFUNCTION("""COMPUTED_VALUE"""),"kfarnham7d@irs.gov")</f>
        <v>kfarnham7d@irs.gov</v>
      </c>
      <c r="D105" s="9" t="str">
        <f>IFERROR(__xludf.DUMMYFUNCTION("""COMPUTED_VALUE"""),"Paraguay")</f>
        <v>Paraguay</v>
      </c>
      <c r="E105" s="9" t="str">
        <f>IFERROR(__xludf.DUMMYFUNCTION("""COMPUTED_VALUE"""),"Tecnología")</f>
        <v>Tecnología</v>
      </c>
      <c r="F105" s="9" t="str">
        <f>IFERROR(__xludf.DUMMYFUNCTION("""COMPUTED_VALUE"""),"Inversión")</f>
        <v>Inversión</v>
      </c>
      <c r="G105" s="9" t="str">
        <f>IFERROR(__xludf.DUMMYFUNCTION("""COMPUTED_VALUE"""),"Socio capitalista")</f>
        <v>Socio capitalista</v>
      </c>
      <c r="H105" s="9" t="str">
        <f>IFERROR(__xludf.DUMMYFUNCTION("""COMPUTED_VALUE"""),"SI")</f>
        <v>SI</v>
      </c>
      <c r="I105" s="9">
        <f>IFERROR(__xludf.DUMMYFUNCTION("""COMPUTED_VALUE"""),5.0)</f>
        <v>5</v>
      </c>
      <c r="J105" s="9">
        <f>IFERROR(__xludf.DUMMYFUNCTION("""COMPUTED_VALUE"""),10.0)</f>
        <v>10</v>
      </c>
      <c r="K105" s="14">
        <f>IFERROR(__xludf.DUMMYFUNCTION("""COMPUTED_VALUE"""),1.0E7)</f>
        <v>10000000</v>
      </c>
      <c r="L105" s="14">
        <f>IFERROR(__xludf.DUMMYFUNCTION("""COMPUTED_VALUE"""),9.9989764E7)</f>
        <v>99989764</v>
      </c>
      <c r="M105" s="14">
        <f>IFERROR(__xludf.DUMMYFUNCTION("""COMPUTED_VALUE"""),8030175.0)</f>
        <v>8030175</v>
      </c>
      <c r="N105" s="14">
        <f>IFERROR(__xludf.DUMMYFUNCTION("""COMPUTED_VALUE"""),3.7676206E7)</f>
        <v>37676206</v>
      </c>
    </row>
    <row r="106">
      <c r="A106" s="9">
        <f>IFERROR(__xludf.DUMMYFUNCTION("""COMPUTED_VALUE"""),270.0)</f>
        <v>270</v>
      </c>
      <c r="B106" s="9" t="str">
        <f>IFERROR(__xludf.DUMMYFUNCTION("""COMPUTED_VALUE"""),"Clem Leaf")</f>
        <v>Clem Leaf</v>
      </c>
      <c r="C106" s="9" t="str">
        <f>IFERROR(__xludf.DUMMYFUNCTION("""COMPUTED_VALUE"""),"cleaf7h@ehow.com")</f>
        <v>cleaf7h@ehow.com</v>
      </c>
      <c r="D106" s="9" t="str">
        <f>IFERROR(__xludf.DUMMYFUNCTION("""COMPUTED_VALUE"""),"Ecuador")</f>
        <v>Ecuador</v>
      </c>
      <c r="E106" s="9" t="str">
        <f>IFERROR(__xludf.DUMMYFUNCTION("""COMPUTED_VALUE"""),"Tecnología")</f>
        <v>Tecnología</v>
      </c>
      <c r="F106" s="9" t="str">
        <f>IFERROR(__xludf.DUMMYFUNCTION("""COMPUTED_VALUE"""),"Inversión")</f>
        <v>Inversión</v>
      </c>
      <c r="G106" s="9" t="str">
        <f>IFERROR(__xludf.DUMMYFUNCTION("""COMPUTED_VALUE"""),"Socio capitalista")</f>
        <v>Socio capitalista</v>
      </c>
      <c r="H106" s="9" t="str">
        <f>IFERROR(__xludf.DUMMYFUNCTION("""COMPUTED_VALUE"""),"NO")</f>
        <v>NO</v>
      </c>
      <c r="I106" s="9">
        <f>IFERROR(__xludf.DUMMYFUNCTION("""COMPUTED_VALUE"""),6.0)</f>
        <v>6</v>
      </c>
      <c r="J106" s="9">
        <f>IFERROR(__xludf.DUMMYFUNCTION("""COMPUTED_VALUE"""),10.0)</f>
        <v>10</v>
      </c>
      <c r="K106" s="14">
        <f>IFERROR(__xludf.DUMMYFUNCTION("""COMPUTED_VALUE"""),5000000.0)</f>
        <v>5000000</v>
      </c>
      <c r="L106" s="14">
        <f>IFERROR(__xludf.DUMMYFUNCTION("""COMPUTED_VALUE"""),3.2915397E7)</f>
        <v>32915397</v>
      </c>
      <c r="M106" s="14">
        <f>IFERROR(__xludf.DUMMYFUNCTION("""COMPUTED_VALUE"""),7.4493461E7)</f>
        <v>74493461</v>
      </c>
      <c r="N106" s="14">
        <f>IFERROR(__xludf.DUMMYFUNCTION("""COMPUTED_VALUE"""),151779.0)</f>
        <v>151779</v>
      </c>
    </row>
    <row r="107">
      <c r="A107" s="9">
        <f>IFERROR(__xludf.DUMMYFUNCTION("""COMPUTED_VALUE"""),277.0)</f>
        <v>277</v>
      </c>
      <c r="B107" s="9" t="str">
        <f>IFERROR(__xludf.DUMMYFUNCTION("""COMPUTED_VALUE"""),"Bay Jurn")</f>
        <v>Bay Jurn</v>
      </c>
      <c r="C107" s="9" t="str">
        <f>IFERROR(__xludf.DUMMYFUNCTION("""COMPUTED_VALUE"""),"bjurn7o@patch.com")</f>
        <v>bjurn7o@patch.com</v>
      </c>
      <c r="D107" s="9" t="str">
        <f>IFERROR(__xludf.DUMMYFUNCTION("""COMPUTED_VALUE"""),"Brasil")</f>
        <v>Brasil</v>
      </c>
      <c r="E107" s="9" t="str">
        <f>IFERROR(__xludf.DUMMYFUNCTION("""COMPUTED_VALUE"""),"Tecnología")</f>
        <v>Tecnología</v>
      </c>
      <c r="F107" s="9" t="str">
        <f>IFERROR(__xludf.DUMMYFUNCTION("""COMPUTED_VALUE"""),"Inversión")</f>
        <v>Inversión</v>
      </c>
      <c r="G107" s="9" t="str">
        <f>IFERROR(__xludf.DUMMYFUNCTION("""COMPUTED_VALUE"""),"Socio capitalista")</f>
        <v>Socio capitalista</v>
      </c>
      <c r="H107" s="9" t="str">
        <f>IFERROR(__xludf.DUMMYFUNCTION("""COMPUTED_VALUE"""),"SI")</f>
        <v>SI</v>
      </c>
      <c r="I107" s="9">
        <f>IFERROR(__xludf.DUMMYFUNCTION("""COMPUTED_VALUE"""),9.0)</f>
        <v>9</v>
      </c>
      <c r="J107" s="9">
        <f>IFERROR(__xludf.DUMMYFUNCTION("""COMPUTED_VALUE"""),7.0)</f>
        <v>7</v>
      </c>
      <c r="K107" s="14">
        <f>IFERROR(__xludf.DUMMYFUNCTION("""COMPUTED_VALUE"""),1000000.0)</f>
        <v>1000000</v>
      </c>
      <c r="L107" s="14">
        <f>IFERROR(__xludf.DUMMYFUNCTION("""COMPUTED_VALUE"""),7.7159264E7)</f>
        <v>77159264</v>
      </c>
      <c r="M107" s="14">
        <f>IFERROR(__xludf.DUMMYFUNCTION("""COMPUTED_VALUE"""),0.0)</f>
        <v>0</v>
      </c>
      <c r="N107" s="14">
        <f>IFERROR(__xludf.DUMMYFUNCTION("""COMPUTED_VALUE"""),9.7234303E7)</f>
        <v>97234303</v>
      </c>
    </row>
    <row r="108">
      <c r="A108" s="9">
        <f>IFERROR(__xludf.DUMMYFUNCTION("""COMPUTED_VALUE"""),278.0)</f>
        <v>278</v>
      </c>
      <c r="B108" s="9" t="str">
        <f>IFERROR(__xludf.DUMMYFUNCTION("""COMPUTED_VALUE"""),"Eryn Allwright")</f>
        <v>Eryn Allwright</v>
      </c>
      <c r="C108" s="9" t="str">
        <f>IFERROR(__xludf.DUMMYFUNCTION("""COMPUTED_VALUE"""),"eallwright7p@apple.com")</f>
        <v>eallwright7p@apple.com</v>
      </c>
      <c r="D108" s="9" t="str">
        <f>IFERROR(__xludf.DUMMYFUNCTION("""COMPUTED_VALUE"""),"Uruguay")</f>
        <v>Uruguay</v>
      </c>
      <c r="E108" s="9" t="str">
        <f>IFERROR(__xludf.DUMMYFUNCTION("""COMPUTED_VALUE"""),"Tecnología")</f>
        <v>Tecnología</v>
      </c>
      <c r="F108" s="9" t="str">
        <f>IFERROR(__xludf.DUMMYFUNCTION("""COMPUTED_VALUE"""),"Inversión")</f>
        <v>Inversión</v>
      </c>
      <c r="G108" s="9" t="str">
        <f>IFERROR(__xludf.DUMMYFUNCTION("""COMPUTED_VALUE"""),"Socio capitalista")</f>
        <v>Socio capitalista</v>
      </c>
      <c r="H108" s="9" t="str">
        <f>IFERROR(__xludf.DUMMYFUNCTION("""COMPUTED_VALUE"""),"NO")</f>
        <v>NO</v>
      </c>
      <c r="I108" s="9">
        <f>IFERROR(__xludf.DUMMYFUNCTION("""COMPUTED_VALUE"""),8.0)</f>
        <v>8</v>
      </c>
      <c r="J108" s="9">
        <f>IFERROR(__xludf.DUMMYFUNCTION("""COMPUTED_VALUE"""),10.0)</f>
        <v>10</v>
      </c>
      <c r="K108" s="14">
        <f>IFERROR(__xludf.DUMMYFUNCTION("""COMPUTED_VALUE"""),1.0E8)</f>
        <v>100000000</v>
      </c>
      <c r="L108" s="14">
        <f>IFERROR(__xludf.DUMMYFUNCTION("""COMPUTED_VALUE"""),1.2451199E7)</f>
        <v>12451199</v>
      </c>
      <c r="M108" s="14">
        <f>IFERROR(__xludf.DUMMYFUNCTION("""COMPUTED_VALUE"""),7.4231711E7)</f>
        <v>74231711</v>
      </c>
      <c r="N108" s="14">
        <f>IFERROR(__xludf.DUMMYFUNCTION("""COMPUTED_VALUE"""),4.2951226E7)</f>
        <v>42951226</v>
      </c>
    </row>
    <row r="109">
      <c r="A109" s="9">
        <f>IFERROR(__xludf.DUMMYFUNCTION("""COMPUTED_VALUE"""),281.0)</f>
        <v>281</v>
      </c>
      <c r="B109" s="9" t="str">
        <f>IFERROR(__xludf.DUMMYFUNCTION("""COMPUTED_VALUE"""),"Fonz Rookes")</f>
        <v>Fonz Rookes</v>
      </c>
      <c r="C109" s="9" t="str">
        <f>IFERROR(__xludf.DUMMYFUNCTION("""COMPUTED_VALUE"""),"frookes7s@smh.com.au")</f>
        <v>frookes7s@smh.com.au</v>
      </c>
      <c r="D109" s="9" t="str">
        <f>IFERROR(__xludf.DUMMYFUNCTION("""COMPUTED_VALUE"""),"Uruguay")</f>
        <v>Uruguay</v>
      </c>
      <c r="E109" s="9" t="str">
        <f>IFERROR(__xludf.DUMMYFUNCTION("""COMPUTED_VALUE"""),"Tecnología")</f>
        <v>Tecnología</v>
      </c>
      <c r="F109" s="9" t="str">
        <f>IFERROR(__xludf.DUMMYFUNCTION("""COMPUTED_VALUE"""),"Inversión")</f>
        <v>Inversión</v>
      </c>
      <c r="G109" s="9" t="str">
        <f>IFERROR(__xludf.DUMMYFUNCTION("""COMPUTED_VALUE"""),"Socio capitalista")</f>
        <v>Socio capitalista</v>
      </c>
      <c r="H109" s="9" t="str">
        <f>IFERROR(__xludf.DUMMYFUNCTION("""COMPUTED_VALUE"""),"NO")</f>
        <v>NO</v>
      </c>
      <c r="I109" s="9">
        <f>IFERROR(__xludf.DUMMYFUNCTION("""COMPUTED_VALUE"""),3.0)</f>
        <v>3</v>
      </c>
      <c r="J109" s="9">
        <f>IFERROR(__xludf.DUMMYFUNCTION("""COMPUTED_VALUE"""),5.0)</f>
        <v>5</v>
      </c>
      <c r="K109" s="14">
        <f>IFERROR(__xludf.DUMMYFUNCTION("""COMPUTED_VALUE"""),5000000.0)</f>
        <v>5000000</v>
      </c>
      <c r="L109" s="14">
        <f>IFERROR(__xludf.DUMMYFUNCTION("""COMPUTED_VALUE"""),3.7959268E7)</f>
        <v>37959268</v>
      </c>
      <c r="M109" s="14">
        <f>IFERROR(__xludf.DUMMYFUNCTION("""COMPUTED_VALUE"""),6.9132389E7)</f>
        <v>69132389</v>
      </c>
      <c r="N109" s="14">
        <f>IFERROR(__xludf.DUMMYFUNCTION("""COMPUTED_VALUE"""),9.9564796E7)</f>
        <v>99564796</v>
      </c>
    </row>
    <row r="110">
      <c r="A110" s="9">
        <f>IFERROR(__xludf.DUMMYFUNCTION("""COMPUTED_VALUE"""),284.0)</f>
        <v>284</v>
      </c>
      <c r="B110" s="9" t="str">
        <f>IFERROR(__xludf.DUMMYFUNCTION("""COMPUTED_VALUE"""),"Othelia Bernocchi")</f>
        <v>Othelia Bernocchi</v>
      </c>
      <c r="C110" s="9" t="str">
        <f>IFERROR(__xludf.DUMMYFUNCTION("""COMPUTED_VALUE"""),"obernocchi7v@1und1.de")</f>
        <v>obernocchi7v@1und1.de</v>
      </c>
      <c r="D110" s="9" t="str">
        <f>IFERROR(__xludf.DUMMYFUNCTION("""COMPUTED_VALUE"""),"Argentina")</f>
        <v>Argentina</v>
      </c>
      <c r="E110" s="9" t="str">
        <f>IFERROR(__xludf.DUMMYFUNCTION("""COMPUTED_VALUE"""),"Tecnología")</f>
        <v>Tecnología</v>
      </c>
      <c r="F110" s="9" t="str">
        <f>IFERROR(__xludf.DUMMYFUNCTION("""COMPUTED_VALUE"""),"Inversión")</f>
        <v>Inversión</v>
      </c>
      <c r="G110" s="9" t="str">
        <f>IFERROR(__xludf.DUMMYFUNCTION("""COMPUTED_VALUE"""),"Socio de proyecto")</f>
        <v>Socio de proyecto</v>
      </c>
      <c r="H110" s="9" t="str">
        <f>IFERROR(__xludf.DUMMYFUNCTION("""COMPUTED_VALUE"""),"NO")</f>
        <v>NO</v>
      </c>
      <c r="I110" s="9">
        <f>IFERROR(__xludf.DUMMYFUNCTION("""COMPUTED_VALUE"""),8.0)</f>
        <v>8</v>
      </c>
      <c r="J110" s="9">
        <f>IFERROR(__xludf.DUMMYFUNCTION("""COMPUTED_VALUE"""),10.0)</f>
        <v>10</v>
      </c>
      <c r="K110" s="14">
        <f>IFERROR(__xludf.DUMMYFUNCTION("""COMPUTED_VALUE"""),9.0E7)</f>
        <v>90000000</v>
      </c>
      <c r="L110" s="14">
        <f>IFERROR(__xludf.DUMMYFUNCTION("""COMPUTED_VALUE"""),2.9991873E7)</f>
        <v>29991873</v>
      </c>
      <c r="M110" s="14">
        <f>IFERROR(__xludf.DUMMYFUNCTION("""COMPUTED_VALUE"""),3.9252741E7)</f>
        <v>39252741</v>
      </c>
      <c r="N110" s="14">
        <f>IFERROR(__xludf.DUMMYFUNCTION("""COMPUTED_VALUE"""),1.5542722E7)</f>
        <v>15542722</v>
      </c>
    </row>
    <row r="111">
      <c r="A111" s="9">
        <f>IFERROR(__xludf.DUMMYFUNCTION("""COMPUTED_VALUE"""),285.0)</f>
        <v>285</v>
      </c>
      <c r="B111" s="9" t="str">
        <f>IFERROR(__xludf.DUMMYFUNCTION("""COMPUTED_VALUE"""),"Ardyce Abad")</f>
        <v>Ardyce Abad</v>
      </c>
      <c r="C111" s="9" t="str">
        <f>IFERROR(__xludf.DUMMYFUNCTION("""COMPUTED_VALUE"""),"aabad7w@nbcnews.com")</f>
        <v>aabad7w@nbcnews.com</v>
      </c>
      <c r="D111" s="9" t="str">
        <f>IFERROR(__xludf.DUMMYFUNCTION("""COMPUTED_VALUE"""),"Perú")</f>
        <v>Perú</v>
      </c>
      <c r="E111" s="9" t="str">
        <f>IFERROR(__xludf.DUMMYFUNCTION("""COMPUTED_VALUE"""),"Tecnología")</f>
        <v>Tecnología</v>
      </c>
      <c r="F111" s="9" t="str">
        <f>IFERROR(__xludf.DUMMYFUNCTION("""COMPUTED_VALUE"""),"Inversión")</f>
        <v>Inversión</v>
      </c>
      <c r="G111" s="9" t="str">
        <f>IFERROR(__xludf.DUMMYFUNCTION("""COMPUTED_VALUE"""),"Socio de proyecto")</f>
        <v>Socio de proyecto</v>
      </c>
      <c r="H111" s="9" t="str">
        <f>IFERROR(__xludf.DUMMYFUNCTION("""COMPUTED_VALUE"""),"NO")</f>
        <v>NO</v>
      </c>
      <c r="I111" s="9">
        <f>IFERROR(__xludf.DUMMYFUNCTION("""COMPUTED_VALUE"""),5.0)</f>
        <v>5</v>
      </c>
      <c r="J111" s="9">
        <f>IFERROR(__xludf.DUMMYFUNCTION("""COMPUTED_VALUE"""),9.0)</f>
        <v>9</v>
      </c>
      <c r="K111" s="14">
        <f>IFERROR(__xludf.DUMMYFUNCTION("""COMPUTED_VALUE"""),1.0E7)</f>
        <v>10000000</v>
      </c>
      <c r="L111" s="14">
        <f>IFERROR(__xludf.DUMMYFUNCTION("""COMPUTED_VALUE"""),7303129.0)</f>
        <v>7303129</v>
      </c>
      <c r="M111" s="14">
        <f>IFERROR(__xludf.DUMMYFUNCTION("""COMPUTED_VALUE"""),3765621.0)</f>
        <v>3765621</v>
      </c>
      <c r="N111" s="14">
        <f>IFERROR(__xludf.DUMMYFUNCTION("""COMPUTED_VALUE"""),1.8125151E7)</f>
        <v>18125151</v>
      </c>
    </row>
    <row r="112">
      <c r="A112" s="9">
        <f>IFERROR(__xludf.DUMMYFUNCTION("""COMPUTED_VALUE"""),286.0)</f>
        <v>286</v>
      </c>
      <c r="B112" s="9" t="str">
        <f>IFERROR(__xludf.DUMMYFUNCTION("""COMPUTED_VALUE"""),"Estell Westwood")</f>
        <v>Estell Westwood</v>
      </c>
      <c r="C112" s="9" t="str">
        <f>IFERROR(__xludf.DUMMYFUNCTION("""COMPUTED_VALUE"""),"ewestwood7x@youku.com")</f>
        <v>ewestwood7x@youku.com</v>
      </c>
      <c r="D112" s="9" t="str">
        <f>IFERROR(__xludf.DUMMYFUNCTION("""COMPUTED_VALUE"""),"Brasil")</f>
        <v>Brasil</v>
      </c>
      <c r="E112" s="9" t="str">
        <f>IFERROR(__xludf.DUMMYFUNCTION("""COMPUTED_VALUE"""),"Tecnología")</f>
        <v>Tecnología</v>
      </c>
      <c r="F112" s="9" t="str">
        <f>IFERROR(__xludf.DUMMYFUNCTION("""COMPUTED_VALUE"""),"Inversión")</f>
        <v>Inversión</v>
      </c>
      <c r="G112" s="9" t="str">
        <f>IFERROR(__xludf.DUMMYFUNCTION("""COMPUTED_VALUE"""),"Socio de proyecto")</f>
        <v>Socio de proyecto</v>
      </c>
      <c r="H112" s="9" t="str">
        <f>IFERROR(__xludf.DUMMYFUNCTION("""COMPUTED_VALUE"""),"NO")</f>
        <v>NO</v>
      </c>
      <c r="I112" s="9">
        <f>IFERROR(__xludf.DUMMYFUNCTION("""COMPUTED_VALUE"""),9.0)</f>
        <v>9</v>
      </c>
      <c r="J112" s="9">
        <f>IFERROR(__xludf.DUMMYFUNCTION("""COMPUTED_VALUE"""),5.0)</f>
        <v>5</v>
      </c>
      <c r="K112" s="14">
        <f>IFERROR(__xludf.DUMMYFUNCTION("""COMPUTED_VALUE"""),3.0E7)</f>
        <v>30000000</v>
      </c>
      <c r="L112" s="14">
        <f>IFERROR(__xludf.DUMMYFUNCTION("""COMPUTED_VALUE"""),4.4457754E7)</f>
        <v>44457754</v>
      </c>
      <c r="M112" s="14">
        <f>IFERROR(__xludf.DUMMYFUNCTION("""COMPUTED_VALUE"""),0.0)</f>
        <v>0</v>
      </c>
      <c r="N112" s="14">
        <f>IFERROR(__xludf.DUMMYFUNCTION("""COMPUTED_VALUE"""),6.2249765E7)</f>
        <v>62249765</v>
      </c>
    </row>
    <row r="113">
      <c r="A113" s="9">
        <f>IFERROR(__xludf.DUMMYFUNCTION("""COMPUTED_VALUE"""),287.0)</f>
        <v>287</v>
      </c>
      <c r="B113" s="9" t="str">
        <f>IFERROR(__xludf.DUMMYFUNCTION("""COMPUTED_VALUE"""),"Leisha Takis")</f>
        <v>Leisha Takis</v>
      </c>
      <c r="C113" s="9" t="str">
        <f>IFERROR(__xludf.DUMMYFUNCTION("""COMPUTED_VALUE"""),"ltakis7y@t-online.de")</f>
        <v>ltakis7y@t-online.de</v>
      </c>
      <c r="D113" s="9" t="str">
        <f>IFERROR(__xludf.DUMMYFUNCTION("""COMPUTED_VALUE"""),"Ecuador")</f>
        <v>Ecuador</v>
      </c>
      <c r="E113" s="9" t="str">
        <f>IFERROR(__xludf.DUMMYFUNCTION("""COMPUTED_VALUE"""),"Tecnología")</f>
        <v>Tecnología</v>
      </c>
      <c r="F113" s="9" t="str">
        <f>IFERROR(__xludf.DUMMYFUNCTION("""COMPUTED_VALUE"""),"Inversión")</f>
        <v>Inversión</v>
      </c>
      <c r="G113" s="9" t="str">
        <f>IFERROR(__xludf.DUMMYFUNCTION("""COMPUTED_VALUE"""),"Socio capitalista")</f>
        <v>Socio capitalista</v>
      </c>
      <c r="H113" s="9" t="str">
        <f>IFERROR(__xludf.DUMMYFUNCTION("""COMPUTED_VALUE"""),"NO")</f>
        <v>NO</v>
      </c>
      <c r="I113" s="9">
        <f>IFERROR(__xludf.DUMMYFUNCTION("""COMPUTED_VALUE"""),4.0)</f>
        <v>4</v>
      </c>
      <c r="J113" s="9">
        <f>IFERROR(__xludf.DUMMYFUNCTION("""COMPUTED_VALUE"""),7.0)</f>
        <v>7</v>
      </c>
      <c r="K113" s="14">
        <f>IFERROR(__xludf.DUMMYFUNCTION("""COMPUTED_VALUE"""),1.0E7)</f>
        <v>10000000</v>
      </c>
      <c r="L113" s="14">
        <f>IFERROR(__xludf.DUMMYFUNCTION("""COMPUTED_VALUE"""),5.4467236E7)</f>
        <v>54467236</v>
      </c>
      <c r="M113" s="14">
        <f>IFERROR(__xludf.DUMMYFUNCTION("""COMPUTED_VALUE"""),0.0)</f>
        <v>0</v>
      </c>
      <c r="N113" s="14">
        <f>IFERROR(__xludf.DUMMYFUNCTION("""COMPUTED_VALUE"""),1234692.0)</f>
        <v>1234692</v>
      </c>
    </row>
    <row r="114">
      <c r="A114" s="9">
        <f>IFERROR(__xludf.DUMMYFUNCTION("""COMPUTED_VALUE"""),288.0)</f>
        <v>288</v>
      </c>
      <c r="B114" s="9" t="str">
        <f>IFERROR(__xludf.DUMMYFUNCTION("""COMPUTED_VALUE"""),"Travus Cannavan")</f>
        <v>Travus Cannavan</v>
      </c>
      <c r="C114" s="9" t="str">
        <f>IFERROR(__xludf.DUMMYFUNCTION("""COMPUTED_VALUE"""),"tcannavan7z@goodreads.com")</f>
        <v>tcannavan7z@goodreads.com</v>
      </c>
      <c r="D114" s="9" t="str">
        <f>IFERROR(__xludf.DUMMYFUNCTION("""COMPUTED_VALUE"""),"Brasil")</f>
        <v>Brasil</v>
      </c>
      <c r="E114" s="9" t="str">
        <f>IFERROR(__xludf.DUMMYFUNCTION("""COMPUTED_VALUE"""),"Tecnología")</f>
        <v>Tecnología</v>
      </c>
      <c r="F114" s="9" t="str">
        <f>IFERROR(__xludf.DUMMYFUNCTION("""COMPUTED_VALUE"""),"Inversión")</f>
        <v>Inversión</v>
      </c>
      <c r="G114" s="9" t="str">
        <f>IFERROR(__xludf.DUMMYFUNCTION("""COMPUTED_VALUE"""),"Socio de proyecto")</f>
        <v>Socio de proyecto</v>
      </c>
      <c r="H114" s="9" t="str">
        <f>IFERROR(__xludf.DUMMYFUNCTION("""COMPUTED_VALUE"""),"NO")</f>
        <v>NO</v>
      </c>
      <c r="I114" s="9">
        <f>IFERROR(__xludf.DUMMYFUNCTION("""COMPUTED_VALUE"""),4.0)</f>
        <v>4</v>
      </c>
      <c r="J114" s="9">
        <f>IFERROR(__xludf.DUMMYFUNCTION("""COMPUTED_VALUE"""),6.0)</f>
        <v>6</v>
      </c>
      <c r="K114" s="14">
        <f>IFERROR(__xludf.DUMMYFUNCTION("""COMPUTED_VALUE"""),1.0E7)</f>
        <v>10000000</v>
      </c>
      <c r="L114" s="14">
        <f>IFERROR(__xludf.DUMMYFUNCTION("""COMPUTED_VALUE"""),1.7991607E7)</f>
        <v>17991607</v>
      </c>
      <c r="M114" s="14">
        <f>IFERROR(__xludf.DUMMYFUNCTION("""COMPUTED_VALUE"""),0.0)</f>
        <v>0</v>
      </c>
      <c r="N114" s="14">
        <f>IFERROR(__xludf.DUMMYFUNCTION("""COMPUTED_VALUE"""),174626.0)</f>
        <v>174626</v>
      </c>
    </row>
    <row r="115">
      <c r="A115" s="9">
        <f>IFERROR(__xludf.DUMMYFUNCTION("""COMPUTED_VALUE"""),292.0)</f>
        <v>292</v>
      </c>
      <c r="B115" s="9" t="str">
        <f>IFERROR(__xludf.DUMMYFUNCTION("""COMPUTED_VALUE"""),"Ursala Durban")</f>
        <v>Ursala Durban</v>
      </c>
      <c r="C115" s="9" t="str">
        <f>IFERROR(__xludf.DUMMYFUNCTION("""COMPUTED_VALUE"""),"udurban83@mac.com")</f>
        <v>udurban83@mac.com</v>
      </c>
      <c r="D115" s="9" t="str">
        <f>IFERROR(__xludf.DUMMYFUNCTION("""COMPUTED_VALUE"""),"Venezuela")</f>
        <v>Venezuela</v>
      </c>
      <c r="E115" s="9" t="str">
        <f>IFERROR(__xludf.DUMMYFUNCTION("""COMPUTED_VALUE"""),"Tecnología")</f>
        <v>Tecnología</v>
      </c>
      <c r="F115" s="9" t="str">
        <f>IFERROR(__xludf.DUMMYFUNCTION("""COMPUTED_VALUE"""),"Inversión")</f>
        <v>Inversión</v>
      </c>
      <c r="G115" s="9" t="str">
        <f>IFERROR(__xludf.DUMMYFUNCTION("""COMPUTED_VALUE"""),"Socio de proyecto")</f>
        <v>Socio de proyecto</v>
      </c>
      <c r="H115" s="9" t="str">
        <f>IFERROR(__xludf.DUMMYFUNCTION("""COMPUTED_VALUE"""),"NO")</f>
        <v>NO</v>
      </c>
      <c r="I115" s="9">
        <f>IFERROR(__xludf.DUMMYFUNCTION("""COMPUTED_VALUE"""),6.0)</f>
        <v>6</v>
      </c>
      <c r="J115" s="9">
        <f>IFERROR(__xludf.DUMMYFUNCTION("""COMPUTED_VALUE"""),9.0)</f>
        <v>9</v>
      </c>
      <c r="K115" s="14">
        <f>IFERROR(__xludf.DUMMYFUNCTION("""COMPUTED_VALUE"""),1.0E7)</f>
        <v>10000000</v>
      </c>
      <c r="L115" s="14">
        <f>IFERROR(__xludf.DUMMYFUNCTION("""COMPUTED_VALUE"""),4.3538967E7)</f>
        <v>43538967</v>
      </c>
      <c r="M115" s="14">
        <f>IFERROR(__xludf.DUMMYFUNCTION("""COMPUTED_VALUE"""),5161300.0)</f>
        <v>5161300</v>
      </c>
      <c r="N115" s="14">
        <f>IFERROR(__xludf.DUMMYFUNCTION("""COMPUTED_VALUE"""),8.5417673E7)</f>
        <v>85417673</v>
      </c>
    </row>
    <row r="116">
      <c r="A116" s="9">
        <f>IFERROR(__xludf.DUMMYFUNCTION("""COMPUTED_VALUE"""),293.0)</f>
        <v>293</v>
      </c>
      <c r="B116" s="9" t="str">
        <f>IFERROR(__xludf.DUMMYFUNCTION("""COMPUTED_VALUE"""),"Hadley Fearnley")</f>
        <v>Hadley Fearnley</v>
      </c>
      <c r="C116" s="9" t="str">
        <f>IFERROR(__xludf.DUMMYFUNCTION("""COMPUTED_VALUE"""),"hfearnley84@admin.ch")</f>
        <v>hfearnley84@admin.ch</v>
      </c>
      <c r="D116" s="9" t="str">
        <f>IFERROR(__xludf.DUMMYFUNCTION("""COMPUTED_VALUE"""),"Perú")</f>
        <v>Perú</v>
      </c>
      <c r="E116" s="9" t="str">
        <f>IFERROR(__xludf.DUMMYFUNCTION("""COMPUTED_VALUE"""),"Tecnología")</f>
        <v>Tecnología</v>
      </c>
      <c r="F116" s="9" t="str">
        <f>IFERROR(__xludf.DUMMYFUNCTION("""COMPUTED_VALUE"""),"Inversión")</f>
        <v>Inversión</v>
      </c>
      <c r="G116" s="9" t="str">
        <f>IFERROR(__xludf.DUMMYFUNCTION("""COMPUTED_VALUE"""),"Socio de proyecto")</f>
        <v>Socio de proyecto</v>
      </c>
      <c r="H116" s="9" t="str">
        <f>IFERROR(__xludf.DUMMYFUNCTION("""COMPUTED_VALUE"""),"SI")</f>
        <v>SI</v>
      </c>
      <c r="I116" s="9">
        <f>IFERROR(__xludf.DUMMYFUNCTION("""COMPUTED_VALUE"""),7.0)</f>
        <v>7</v>
      </c>
      <c r="J116" s="9">
        <f>IFERROR(__xludf.DUMMYFUNCTION("""COMPUTED_VALUE"""),10.0)</f>
        <v>10</v>
      </c>
      <c r="K116" s="14">
        <f>IFERROR(__xludf.DUMMYFUNCTION("""COMPUTED_VALUE"""),1000000.0)</f>
        <v>1000000</v>
      </c>
      <c r="L116" s="14">
        <f>IFERROR(__xludf.DUMMYFUNCTION("""COMPUTED_VALUE"""),9.5899452E7)</f>
        <v>95899452</v>
      </c>
      <c r="M116" s="14">
        <f>IFERROR(__xludf.DUMMYFUNCTION("""COMPUTED_VALUE"""),2565664.0)</f>
        <v>2565664</v>
      </c>
      <c r="N116" s="14">
        <f>IFERROR(__xludf.DUMMYFUNCTION("""COMPUTED_VALUE"""),3.9602953E7)</f>
        <v>39602953</v>
      </c>
    </row>
    <row r="117">
      <c r="A117" s="9">
        <f>IFERROR(__xludf.DUMMYFUNCTION("""COMPUTED_VALUE"""),294.0)</f>
        <v>294</v>
      </c>
      <c r="B117" s="9" t="str">
        <f>IFERROR(__xludf.DUMMYFUNCTION("""COMPUTED_VALUE"""),"Myrwyn Argente")</f>
        <v>Myrwyn Argente</v>
      </c>
      <c r="C117" s="9" t="str">
        <f>IFERROR(__xludf.DUMMYFUNCTION("""COMPUTED_VALUE"""),"margente85@oakley.com")</f>
        <v>margente85@oakley.com</v>
      </c>
      <c r="D117" s="9" t="str">
        <f>IFERROR(__xludf.DUMMYFUNCTION("""COMPUTED_VALUE"""),"Argentina")</f>
        <v>Argentina</v>
      </c>
      <c r="E117" s="9" t="str">
        <f>IFERROR(__xludf.DUMMYFUNCTION("""COMPUTED_VALUE"""),"Tecnología")</f>
        <v>Tecnología</v>
      </c>
      <c r="F117" s="9" t="str">
        <f>IFERROR(__xludf.DUMMYFUNCTION("""COMPUTED_VALUE"""),"Inversión")</f>
        <v>Inversión</v>
      </c>
      <c r="G117" s="9" t="str">
        <f>IFERROR(__xludf.DUMMYFUNCTION("""COMPUTED_VALUE"""),"Socio de proyecto")</f>
        <v>Socio de proyecto</v>
      </c>
      <c r="H117" s="9" t="str">
        <f>IFERROR(__xludf.DUMMYFUNCTION("""COMPUTED_VALUE"""),"SI")</f>
        <v>SI</v>
      </c>
      <c r="I117" s="9">
        <f>IFERROR(__xludf.DUMMYFUNCTION("""COMPUTED_VALUE"""),5.0)</f>
        <v>5</v>
      </c>
      <c r="J117" s="9">
        <f>IFERROR(__xludf.DUMMYFUNCTION("""COMPUTED_VALUE"""),10.0)</f>
        <v>10</v>
      </c>
      <c r="K117" s="14">
        <f>IFERROR(__xludf.DUMMYFUNCTION("""COMPUTED_VALUE"""),1000000.0)</f>
        <v>1000000</v>
      </c>
      <c r="L117" s="14">
        <f>IFERROR(__xludf.DUMMYFUNCTION("""COMPUTED_VALUE"""),8.1347428E7)</f>
        <v>81347428</v>
      </c>
      <c r="M117" s="14">
        <f>IFERROR(__xludf.DUMMYFUNCTION("""COMPUTED_VALUE"""),1.0860215E7)</f>
        <v>10860215</v>
      </c>
      <c r="N117" s="14">
        <f>IFERROR(__xludf.DUMMYFUNCTION("""COMPUTED_VALUE"""),2.863729E7)</f>
        <v>28637290</v>
      </c>
    </row>
    <row r="118">
      <c r="A118" s="9">
        <f>IFERROR(__xludf.DUMMYFUNCTION("""COMPUTED_VALUE"""),296.0)</f>
        <v>296</v>
      </c>
      <c r="B118" s="9" t="str">
        <f>IFERROR(__xludf.DUMMYFUNCTION("""COMPUTED_VALUE"""),"Roderigo Huguet")</f>
        <v>Roderigo Huguet</v>
      </c>
      <c r="C118" s="9" t="str">
        <f>IFERROR(__xludf.DUMMYFUNCTION("""COMPUTED_VALUE"""),"rhuguet87@tmall.com")</f>
        <v>rhuguet87@tmall.com</v>
      </c>
      <c r="D118" s="9" t="str">
        <f>IFERROR(__xludf.DUMMYFUNCTION("""COMPUTED_VALUE"""),"Paraguay")</f>
        <v>Paraguay</v>
      </c>
      <c r="E118" s="9" t="str">
        <f>IFERROR(__xludf.DUMMYFUNCTION("""COMPUTED_VALUE"""),"Tecnología")</f>
        <v>Tecnología</v>
      </c>
      <c r="F118" s="9" t="str">
        <f>IFERROR(__xludf.DUMMYFUNCTION("""COMPUTED_VALUE"""),"Inversión")</f>
        <v>Inversión</v>
      </c>
      <c r="G118" s="9" t="str">
        <f>IFERROR(__xludf.DUMMYFUNCTION("""COMPUTED_VALUE"""),"Socio de proyecto")</f>
        <v>Socio de proyecto</v>
      </c>
      <c r="H118" s="9" t="str">
        <f>IFERROR(__xludf.DUMMYFUNCTION("""COMPUTED_VALUE"""),"SI")</f>
        <v>SI</v>
      </c>
      <c r="I118" s="9">
        <f>IFERROR(__xludf.DUMMYFUNCTION("""COMPUTED_VALUE"""),7.0)</f>
        <v>7</v>
      </c>
      <c r="J118" s="9">
        <f>IFERROR(__xludf.DUMMYFUNCTION("""COMPUTED_VALUE"""),7.0)</f>
        <v>7</v>
      </c>
      <c r="K118" s="14">
        <f>IFERROR(__xludf.DUMMYFUNCTION("""COMPUTED_VALUE"""),1.0E7)</f>
        <v>10000000</v>
      </c>
      <c r="L118" s="14">
        <f>IFERROR(__xludf.DUMMYFUNCTION("""COMPUTED_VALUE"""),9.6199053E7)</f>
        <v>96199053</v>
      </c>
      <c r="M118" s="14">
        <f>IFERROR(__xludf.DUMMYFUNCTION("""COMPUTED_VALUE"""),3.1746355E7)</f>
        <v>31746355</v>
      </c>
      <c r="N118" s="14">
        <f>IFERROR(__xludf.DUMMYFUNCTION("""COMPUTED_VALUE"""),8.0063468E7)</f>
        <v>80063468</v>
      </c>
    </row>
    <row r="119">
      <c r="A119" s="9">
        <f>IFERROR(__xludf.DUMMYFUNCTION("""COMPUTED_VALUE"""),297.0)</f>
        <v>297</v>
      </c>
      <c r="B119" s="9" t="str">
        <f>IFERROR(__xludf.DUMMYFUNCTION("""COMPUTED_VALUE"""),"Loella Dudliston")</f>
        <v>Loella Dudliston</v>
      </c>
      <c r="C119" s="9" t="str">
        <f>IFERROR(__xludf.DUMMYFUNCTION("""COMPUTED_VALUE"""),"ldudliston88@deviantart.com")</f>
        <v>ldudliston88@deviantart.com</v>
      </c>
      <c r="D119" s="9" t="str">
        <f>IFERROR(__xludf.DUMMYFUNCTION("""COMPUTED_VALUE"""),"Venezuela")</f>
        <v>Venezuela</v>
      </c>
      <c r="E119" s="9" t="str">
        <f>IFERROR(__xludf.DUMMYFUNCTION("""COMPUTED_VALUE"""),"Tecnología")</f>
        <v>Tecnología</v>
      </c>
      <c r="F119" s="9" t="str">
        <f>IFERROR(__xludf.DUMMYFUNCTION("""COMPUTED_VALUE"""),"Inversión")</f>
        <v>Inversión</v>
      </c>
      <c r="G119" s="9" t="str">
        <f>IFERROR(__xludf.DUMMYFUNCTION("""COMPUTED_VALUE"""),"Socio de proyecto")</f>
        <v>Socio de proyecto</v>
      </c>
      <c r="H119" s="9" t="str">
        <f>IFERROR(__xludf.DUMMYFUNCTION("""COMPUTED_VALUE"""),"NO")</f>
        <v>NO</v>
      </c>
      <c r="I119" s="9">
        <f>IFERROR(__xludf.DUMMYFUNCTION("""COMPUTED_VALUE"""),5.0)</f>
        <v>5</v>
      </c>
      <c r="J119" s="9">
        <f>IFERROR(__xludf.DUMMYFUNCTION("""COMPUTED_VALUE"""),7.0)</f>
        <v>7</v>
      </c>
      <c r="K119" s="14">
        <f>IFERROR(__xludf.DUMMYFUNCTION("""COMPUTED_VALUE"""),1000000.0)</f>
        <v>1000000</v>
      </c>
      <c r="L119" s="14">
        <f>IFERROR(__xludf.DUMMYFUNCTION("""COMPUTED_VALUE"""),7.1783742E7)</f>
        <v>71783742</v>
      </c>
      <c r="M119" s="14">
        <f>IFERROR(__xludf.DUMMYFUNCTION("""COMPUTED_VALUE"""),6.4667814E7)</f>
        <v>64667814</v>
      </c>
      <c r="N119" s="14">
        <f>IFERROR(__xludf.DUMMYFUNCTION("""COMPUTED_VALUE"""),7.065318E7)</f>
        <v>70653180</v>
      </c>
    </row>
    <row r="120">
      <c r="A120" s="9">
        <f>IFERROR(__xludf.DUMMYFUNCTION("""COMPUTED_VALUE"""),300.0)</f>
        <v>300</v>
      </c>
      <c r="B120" s="9" t="str">
        <f>IFERROR(__xludf.DUMMYFUNCTION("""COMPUTED_VALUE"""),"Joyce McColgan")</f>
        <v>Joyce McColgan</v>
      </c>
      <c r="C120" s="9" t="str">
        <f>IFERROR(__xludf.DUMMYFUNCTION("""COMPUTED_VALUE"""),"jmccolgan8b@miitbeian.gov.cn")</f>
        <v>jmccolgan8b@miitbeian.gov.cn</v>
      </c>
      <c r="D120" s="9" t="str">
        <f>IFERROR(__xludf.DUMMYFUNCTION("""COMPUTED_VALUE"""),"Paraguay")</f>
        <v>Paraguay</v>
      </c>
      <c r="E120" s="9" t="str">
        <f>IFERROR(__xludf.DUMMYFUNCTION("""COMPUTED_VALUE"""),"Tecnología")</f>
        <v>Tecnología</v>
      </c>
      <c r="F120" s="9" t="str">
        <f>IFERROR(__xludf.DUMMYFUNCTION("""COMPUTED_VALUE"""),"Inversión")</f>
        <v>Inversión</v>
      </c>
      <c r="G120" s="9" t="str">
        <f>IFERROR(__xludf.DUMMYFUNCTION("""COMPUTED_VALUE"""),"Socio de proyecto")</f>
        <v>Socio de proyecto</v>
      </c>
      <c r="H120" s="9" t="str">
        <f>IFERROR(__xludf.DUMMYFUNCTION("""COMPUTED_VALUE"""),"SI")</f>
        <v>SI</v>
      </c>
      <c r="I120" s="9">
        <f>IFERROR(__xludf.DUMMYFUNCTION("""COMPUTED_VALUE"""),7.0)</f>
        <v>7</v>
      </c>
      <c r="J120" s="9">
        <f>IFERROR(__xludf.DUMMYFUNCTION("""COMPUTED_VALUE"""),5.0)</f>
        <v>5</v>
      </c>
      <c r="K120" s="14">
        <f>IFERROR(__xludf.DUMMYFUNCTION("""COMPUTED_VALUE"""),3.0E7)</f>
        <v>30000000</v>
      </c>
      <c r="L120" s="14">
        <f>IFERROR(__xludf.DUMMYFUNCTION("""COMPUTED_VALUE"""),3.3477783E7)</f>
        <v>33477783</v>
      </c>
      <c r="M120" s="14">
        <f>IFERROR(__xludf.DUMMYFUNCTION("""COMPUTED_VALUE"""),0.0)</f>
        <v>0</v>
      </c>
      <c r="N120" s="14">
        <f>IFERROR(__xludf.DUMMYFUNCTION("""COMPUTED_VALUE"""),2.7651635E7)</f>
        <v>27651635</v>
      </c>
    </row>
    <row r="121">
      <c r="A121" s="9">
        <f>IFERROR(__xludf.DUMMYFUNCTION("""COMPUTED_VALUE"""),302.0)</f>
        <v>302</v>
      </c>
      <c r="B121" s="9" t="str">
        <f>IFERROR(__xludf.DUMMYFUNCTION("""COMPUTED_VALUE"""),"Bart Arnison")</f>
        <v>Bart Arnison</v>
      </c>
      <c r="C121" s="9" t="str">
        <f>IFERROR(__xludf.DUMMYFUNCTION("""COMPUTED_VALUE"""),"barnison8d@mit.edu")</f>
        <v>barnison8d@mit.edu</v>
      </c>
      <c r="D121" s="9" t="str">
        <f>IFERROR(__xludf.DUMMYFUNCTION("""COMPUTED_VALUE"""),"Argentina")</f>
        <v>Argentina</v>
      </c>
      <c r="E121" s="9" t="str">
        <f>IFERROR(__xludf.DUMMYFUNCTION("""COMPUTED_VALUE"""),"Tecnología")</f>
        <v>Tecnología</v>
      </c>
      <c r="F121" s="9" t="str">
        <f>IFERROR(__xludf.DUMMYFUNCTION("""COMPUTED_VALUE"""),"Inversión")</f>
        <v>Inversión</v>
      </c>
      <c r="G121" s="9" t="str">
        <f>IFERROR(__xludf.DUMMYFUNCTION("""COMPUTED_VALUE"""),"Socio capitalista")</f>
        <v>Socio capitalista</v>
      </c>
      <c r="H121" s="9" t="str">
        <f>IFERROR(__xludf.DUMMYFUNCTION("""COMPUTED_VALUE"""),"NO")</f>
        <v>NO</v>
      </c>
      <c r="I121" s="9">
        <f>IFERROR(__xludf.DUMMYFUNCTION("""COMPUTED_VALUE"""),4.0)</f>
        <v>4</v>
      </c>
      <c r="J121" s="9">
        <f>IFERROR(__xludf.DUMMYFUNCTION("""COMPUTED_VALUE"""),8.0)</f>
        <v>8</v>
      </c>
      <c r="K121" s="14">
        <f>IFERROR(__xludf.DUMMYFUNCTION("""COMPUTED_VALUE"""),5.0E7)</f>
        <v>50000000</v>
      </c>
      <c r="L121" s="14">
        <f>IFERROR(__xludf.DUMMYFUNCTION("""COMPUTED_VALUE"""),7.0787848E7)</f>
        <v>70787848</v>
      </c>
      <c r="M121" s="14">
        <f>IFERROR(__xludf.DUMMYFUNCTION("""COMPUTED_VALUE"""),3.3368202E7)</f>
        <v>33368202</v>
      </c>
      <c r="N121" s="14">
        <f>IFERROR(__xludf.DUMMYFUNCTION("""COMPUTED_VALUE"""),4.3277527E7)</f>
        <v>43277527</v>
      </c>
    </row>
    <row r="122">
      <c r="A122" s="9">
        <f>IFERROR(__xludf.DUMMYFUNCTION("""COMPUTED_VALUE"""),304.0)</f>
        <v>304</v>
      </c>
      <c r="B122" s="9" t="str">
        <f>IFERROR(__xludf.DUMMYFUNCTION("""COMPUTED_VALUE"""),"Esdras Wennam")</f>
        <v>Esdras Wennam</v>
      </c>
      <c r="C122" s="9" t="str">
        <f>IFERROR(__xludf.DUMMYFUNCTION("""COMPUTED_VALUE"""),"ewennam8f@sina.com.cn")</f>
        <v>ewennam8f@sina.com.cn</v>
      </c>
      <c r="D122" s="9" t="str">
        <f>IFERROR(__xludf.DUMMYFUNCTION("""COMPUTED_VALUE"""),"Ecuador")</f>
        <v>Ecuador</v>
      </c>
      <c r="E122" s="9" t="str">
        <f>IFERROR(__xludf.DUMMYFUNCTION("""COMPUTED_VALUE"""),"Tecnología")</f>
        <v>Tecnología</v>
      </c>
      <c r="F122" s="9" t="str">
        <f>IFERROR(__xludf.DUMMYFUNCTION("""COMPUTED_VALUE"""),"Inversión")</f>
        <v>Inversión</v>
      </c>
      <c r="G122" s="9" t="str">
        <f>IFERROR(__xludf.DUMMYFUNCTION("""COMPUTED_VALUE"""),"Socio capitalista")</f>
        <v>Socio capitalista</v>
      </c>
      <c r="H122" s="9" t="str">
        <f>IFERROR(__xludf.DUMMYFUNCTION("""COMPUTED_VALUE"""),"NO")</f>
        <v>NO</v>
      </c>
      <c r="I122" s="9">
        <f>IFERROR(__xludf.DUMMYFUNCTION("""COMPUTED_VALUE"""),3.0)</f>
        <v>3</v>
      </c>
      <c r="J122" s="9">
        <f>IFERROR(__xludf.DUMMYFUNCTION("""COMPUTED_VALUE"""),5.0)</f>
        <v>5</v>
      </c>
      <c r="K122" s="14">
        <f>IFERROR(__xludf.DUMMYFUNCTION("""COMPUTED_VALUE"""),2.0E7)</f>
        <v>20000000</v>
      </c>
      <c r="L122" s="14">
        <f>IFERROR(__xludf.DUMMYFUNCTION("""COMPUTED_VALUE"""),4.006462E7)</f>
        <v>40064620</v>
      </c>
      <c r="M122" s="14">
        <f>IFERROR(__xludf.DUMMYFUNCTION("""COMPUTED_VALUE"""),9.8137438E7)</f>
        <v>98137438</v>
      </c>
      <c r="N122" s="14">
        <f>IFERROR(__xludf.DUMMYFUNCTION("""COMPUTED_VALUE"""),0.0)</f>
        <v>0</v>
      </c>
    </row>
    <row r="123">
      <c r="A123" s="9">
        <f>IFERROR(__xludf.DUMMYFUNCTION("""COMPUTED_VALUE"""),305.0)</f>
        <v>305</v>
      </c>
      <c r="B123" s="9" t="str">
        <f>IFERROR(__xludf.DUMMYFUNCTION("""COMPUTED_VALUE"""),"Emmalyn Viall")</f>
        <v>Emmalyn Viall</v>
      </c>
      <c r="C123" s="9" t="str">
        <f>IFERROR(__xludf.DUMMYFUNCTION("""COMPUTED_VALUE"""),"eviall8g@odnoklassniki.ru")</f>
        <v>eviall8g@odnoklassniki.ru</v>
      </c>
      <c r="D123" s="9" t="str">
        <f>IFERROR(__xludf.DUMMYFUNCTION("""COMPUTED_VALUE"""),"Brasil")</f>
        <v>Brasil</v>
      </c>
      <c r="E123" s="9" t="str">
        <f>IFERROR(__xludf.DUMMYFUNCTION("""COMPUTED_VALUE"""),"Tecnología")</f>
        <v>Tecnología</v>
      </c>
      <c r="F123" s="9" t="str">
        <f>IFERROR(__xludf.DUMMYFUNCTION("""COMPUTED_VALUE"""),"Inversión")</f>
        <v>Inversión</v>
      </c>
      <c r="G123" s="9" t="str">
        <f>IFERROR(__xludf.DUMMYFUNCTION("""COMPUTED_VALUE"""),"Socio de proyecto")</f>
        <v>Socio de proyecto</v>
      </c>
      <c r="H123" s="9" t="str">
        <f>IFERROR(__xludf.DUMMYFUNCTION("""COMPUTED_VALUE"""),"NO")</f>
        <v>NO</v>
      </c>
      <c r="I123" s="9">
        <f>IFERROR(__xludf.DUMMYFUNCTION("""COMPUTED_VALUE"""),3.0)</f>
        <v>3</v>
      </c>
      <c r="J123" s="9">
        <f>IFERROR(__xludf.DUMMYFUNCTION("""COMPUTED_VALUE"""),7.0)</f>
        <v>7</v>
      </c>
      <c r="K123" s="14">
        <f>IFERROR(__xludf.DUMMYFUNCTION("""COMPUTED_VALUE"""),3.0E7)</f>
        <v>30000000</v>
      </c>
      <c r="L123" s="14">
        <f>IFERROR(__xludf.DUMMYFUNCTION("""COMPUTED_VALUE"""),4.528936E7)</f>
        <v>45289360</v>
      </c>
      <c r="M123" s="14">
        <f>IFERROR(__xludf.DUMMYFUNCTION("""COMPUTED_VALUE"""),0.0)</f>
        <v>0</v>
      </c>
      <c r="N123" s="14">
        <f>IFERROR(__xludf.DUMMYFUNCTION("""COMPUTED_VALUE"""),4.6980526E7)</f>
        <v>46980526</v>
      </c>
    </row>
    <row r="124">
      <c r="A124" s="9">
        <f>IFERROR(__xludf.DUMMYFUNCTION("""COMPUTED_VALUE"""),309.0)</f>
        <v>309</v>
      </c>
      <c r="B124" s="9" t="str">
        <f>IFERROR(__xludf.DUMMYFUNCTION("""COMPUTED_VALUE"""),"Chico Coppock.")</f>
        <v>Chico Coppock.</v>
      </c>
      <c r="C124" s="9" t="str">
        <f>IFERROR(__xludf.DUMMYFUNCTION("""COMPUTED_VALUE"""),"ccoppock8k@usnews.com")</f>
        <v>ccoppock8k@usnews.com</v>
      </c>
      <c r="D124" s="9" t="str">
        <f>IFERROR(__xludf.DUMMYFUNCTION("""COMPUTED_VALUE"""),"Bolivia")</f>
        <v>Bolivia</v>
      </c>
      <c r="E124" s="9" t="str">
        <f>IFERROR(__xludf.DUMMYFUNCTION("""COMPUTED_VALUE"""),"Tecnología")</f>
        <v>Tecnología</v>
      </c>
      <c r="F124" s="9" t="str">
        <f>IFERROR(__xludf.DUMMYFUNCTION("""COMPUTED_VALUE"""),"Inversión")</f>
        <v>Inversión</v>
      </c>
      <c r="G124" s="9" t="str">
        <f>IFERROR(__xludf.DUMMYFUNCTION("""COMPUTED_VALUE"""),"Socio capitalista")</f>
        <v>Socio capitalista</v>
      </c>
      <c r="H124" s="9" t="str">
        <f>IFERROR(__xludf.DUMMYFUNCTION("""COMPUTED_VALUE"""),"NO")</f>
        <v>NO</v>
      </c>
      <c r="I124" s="9">
        <f>IFERROR(__xludf.DUMMYFUNCTION("""COMPUTED_VALUE"""),4.0)</f>
        <v>4</v>
      </c>
      <c r="J124" s="9">
        <f>IFERROR(__xludf.DUMMYFUNCTION("""COMPUTED_VALUE"""),9.0)</f>
        <v>9</v>
      </c>
      <c r="K124" s="14">
        <f>IFERROR(__xludf.DUMMYFUNCTION("""COMPUTED_VALUE"""),1000000.0)</f>
        <v>1000000</v>
      </c>
      <c r="L124" s="14">
        <f>IFERROR(__xludf.DUMMYFUNCTION("""COMPUTED_VALUE"""),5.3008255E7)</f>
        <v>53008255</v>
      </c>
      <c r="M124" s="14">
        <f>IFERROR(__xludf.DUMMYFUNCTION("""COMPUTED_VALUE"""),4.691791E7)</f>
        <v>46917910</v>
      </c>
      <c r="N124" s="14">
        <f>IFERROR(__xludf.DUMMYFUNCTION("""COMPUTED_VALUE"""),4.7557281E7)</f>
        <v>47557281</v>
      </c>
    </row>
    <row r="125">
      <c r="A125" s="9">
        <f>IFERROR(__xludf.DUMMYFUNCTION("""COMPUTED_VALUE"""),311.0)</f>
        <v>311</v>
      </c>
      <c r="B125" s="9" t="str">
        <f>IFERROR(__xludf.DUMMYFUNCTION("""COMPUTED_VALUE"""),"Monah Lindenstrauss")</f>
        <v>Monah Lindenstrauss</v>
      </c>
      <c r="C125" s="9" t="str">
        <f>IFERROR(__xludf.DUMMYFUNCTION("""COMPUTED_VALUE"""),"mlindenstrauss8m@yale.edu")</f>
        <v>mlindenstrauss8m@yale.edu</v>
      </c>
      <c r="D125" s="9" t="str">
        <f>IFERROR(__xludf.DUMMYFUNCTION("""COMPUTED_VALUE"""),"Paraguay")</f>
        <v>Paraguay</v>
      </c>
      <c r="E125" s="9" t="str">
        <f>IFERROR(__xludf.DUMMYFUNCTION("""COMPUTED_VALUE"""),"Tecnología")</f>
        <v>Tecnología</v>
      </c>
      <c r="F125" s="9" t="str">
        <f>IFERROR(__xludf.DUMMYFUNCTION("""COMPUTED_VALUE"""),"Inversión")</f>
        <v>Inversión</v>
      </c>
      <c r="G125" s="9" t="str">
        <f>IFERROR(__xludf.DUMMYFUNCTION("""COMPUTED_VALUE"""),"Socio capitalista")</f>
        <v>Socio capitalista</v>
      </c>
      <c r="H125" s="9" t="str">
        <f>IFERROR(__xludf.DUMMYFUNCTION("""COMPUTED_VALUE"""),"NO")</f>
        <v>NO</v>
      </c>
      <c r="I125" s="9">
        <f>IFERROR(__xludf.DUMMYFUNCTION("""COMPUTED_VALUE"""),3.0)</f>
        <v>3</v>
      </c>
      <c r="J125" s="9">
        <f>IFERROR(__xludf.DUMMYFUNCTION("""COMPUTED_VALUE"""),5.0)</f>
        <v>5</v>
      </c>
      <c r="K125" s="14">
        <f>IFERROR(__xludf.DUMMYFUNCTION("""COMPUTED_VALUE"""),1.0E8)</f>
        <v>100000000</v>
      </c>
      <c r="L125" s="14">
        <f>IFERROR(__xludf.DUMMYFUNCTION("""COMPUTED_VALUE"""),9.468872E7)</f>
        <v>94688720</v>
      </c>
      <c r="M125" s="14">
        <f>IFERROR(__xludf.DUMMYFUNCTION("""COMPUTED_VALUE"""),8.6323763E7)</f>
        <v>86323763</v>
      </c>
      <c r="N125" s="14">
        <f>IFERROR(__xludf.DUMMYFUNCTION("""COMPUTED_VALUE"""),2.0929788E7)</f>
        <v>20929788</v>
      </c>
    </row>
    <row r="126">
      <c r="A126" s="9">
        <f>IFERROR(__xludf.DUMMYFUNCTION("""COMPUTED_VALUE"""),314.0)</f>
        <v>314</v>
      </c>
      <c r="B126" s="9" t="str">
        <f>IFERROR(__xludf.DUMMYFUNCTION("""COMPUTED_VALUE"""),"Biddie Bellay")</f>
        <v>Biddie Bellay</v>
      </c>
      <c r="C126" s="9" t="str">
        <f>IFERROR(__xludf.DUMMYFUNCTION("""COMPUTED_VALUE"""),"bbellay8p@google.es")</f>
        <v>bbellay8p@google.es</v>
      </c>
      <c r="D126" s="9" t="str">
        <f>IFERROR(__xludf.DUMMYFUNCTION("""COMPUTED_VALUE"""),"Uruguay")</f>
        <v>Uruguay</v>
      </c>
      <c r="E126" s="9" t="str">
        <f>IFERROR(__xludf.DUMMYFUNCTION("""COMPUTED_VALUE"""),"Tecnología")</f>
        <v>Tecnología</v>
      </c>
      <c r="F126" s="9" t="str">
        <f>IFERROR(__xludf.DUMMYFUNCTION("""COMPUTED_VALUE"""),"Inversión")</f>
        <v>Inversión</v>
      </c>
      <c r="G126" s="9" t="str">
        <f>IFERROR(__xludf.DUMMYFUNCTION("""COMPUTED_VALUE"""),"Socio de proyecto")</f>
        <v>Socio de proyecto</v>
      </c>
      <c r="H126" s="9" t="str">
        <f>IFERROR(__xludf.DUMMYFUNCTION("""COMPUTED_VALUE"""),"NO")</f>
        <v>NO</v>
      </c>
      <c r="I126" s="9">
        <f>IFERROR(__xludf.DUMMYFUNCTION("""COMPUTED_VALUE"""),7.0)</f>
        <v>7</v>
      </c>
      <c r="J126" s="9">
        <f>IFERROR(__xludf.DUMMYFUNCTION("""COMPUTED_VALUE"""),5.0)</f>
        <v>5</v>
      </c>
      <c r="K126" s="14">
        <f>IFERROR(__xludf.DUMMYFUNCTION("""COMPUTED_VALUE"""),3.0E7)</f>
        <v>30000000</v>
      </c>
      <c r="L126" s="14">
        <f>IFERROR(__xludf.DUMMYFUNCTION("""COMPUTED_VALUE"""),3.2890743E7)</f>
        <v>32890743</v>
      </c>
      <c r="M126" s="14">
        <f>IFERROR(__xludf.DUMMYFUNCTION("""COMPUTED_VALUE"""),0.0)</f>
        <v>0</v>
      </c>
      <c r="N126" s="14">
        <f>IFERROR(__xludf.DUMMYFUNCTION("""COMPUTED_VALUE"""),3.986462E7)</f>
        <v>39864620</v>
      </c>
    </row>
    <row r="127">
      <c r="A127" s="9">
        <f>IFERROR(__xludf.DUMMYFUNCTION("""COMPUTED_VALUE"""),317.0)</f>
        <v>317</v>
      </c>
      <c r="B127" s="9" t="str">
        <f>IFERROR(__xludf.DUMMYFUNCTION("""COMPUTED_VALUE"""),"Reginauld Jackling")</f>
        <v>Reginauld Jackling</v>
      </c>
      <c r="C127" s="9" t="str">
        <f>IFERROR(__xludf.DUMMYFUNCTION("""COMPUTED_VALUE"""),"rjackling8s@archive.org")</f>
        <v>rjackling8s@archive.org</v>
      </c>
      <c r="D127" s="9" t="str">
        <f>IFERROR(__xludf.DUMMYFUNCTION("""COMPUTED_VALUE"""),"Uruguay")</f>
        <v>Uruguay</v>
      </c>
      <c r="E127" s="9" t="str">
        <f>IFERROR(__xludf.DUMMYFUNCTION("""COMPUTED_VALUE"""),"Tecnología")</f>
        <v>Tecnología</v>
      </c>
      <c r="F127" s="9" t="str">
        <f>IFERROR(__xludf.DUMMYFUNCTION("""COMPUTED_VALUE"""),"Inversión")</f>
        <v>Inversión</v>
      </c>
      <c r="G127" s="9" t="str">
        <f>IFERROR(__xludf.DUMMYFUNCTION("""COMPUTED_VALUE"""),"Socio capitalista")</f>
        <v>Socio capitalista</v>
      </c>
      <c r="H127" s="9" t="str">
        <f>IFERROR(__xludf.DUMMYFUNCTION("""COMPUTED_VALUE"""),"SI")</f>
        <v>SI</v>
      </c>
      <c r="I127" s="9">
        <f>IFERROR(__xludf.DUMMYFUNCTION("""COMPUTED_VALUE"""),7.0)</f>
        <v>7</v>
      </c>
      <c r="J127" s="9">
        <f>IFERROR(__xludf.DUMMYFUNCTION("""COMPUTED_VALUE"""),10.0)</f>
        <v>10</v>
      </c>
      <c r="K127" s="14">
        <f>IFERROR(__xludf.DUMMYFUNCTION("""COMPUTED_VALUE"""),1.0E7)</f>
        <v>10000000</v>
      </c>
      <c r="L127" s="14">
        <f>IFERROR(__xludf.DUMMYFUNCTION("""COMPUTED_VALUE"""),3.1953589E7)</f>
        <v>31953589</v>
      </c>
      <c r="M127" s="14">
        <f>IFERROR(__xludf.DUMMYFUNCTION("""COMPUTED_VALUE"""),4.0068224E7)</f>
        <v>40068224</v>
      </c>
      <c r="N127" s="14">
        <f>IFERROR(__xludf.DUMMYFUNCTION("""COMPUTED_VALUE"""),8.0951038E7)</f>
        <v>80951038</v>
      </c>
    </row>
    <row r="128">
      <c r="A128" s="9">
        <f>IFERROR(__xludf.DUMMYFUNCTION("""COMPUTED_VALUE"""),318.0)</f>
        <v>318</v>
      </c>
      <c r="B128" s="9" t="str">
        <f>IFERROR(__xludf.DUMMYFUNCTION("""COMPUTED_VALUE"""),"Harmonia Gorstidge")</f>
        <v>Harmonia Gorstidge</v>
      </c>
      <c r="C128" s="9" t="str">
        <f>IFERROR(__xludf.DUMMYFUNCTION("""COMPUTED_VALUE"""),"hgorstidge8t@storify.com")</f>
        <v>hgorstidge8t@storify.com</v>
      </c>
      <c r="D128" s="9" t="str">
        <f>IFERROR(__xludf.DUMMYFUNCTION("""COMPUTED_VALUE"""),"Ecuador")</f>
        <v>Ecuador</v>
      </c>
      <c r="E128" s="9" t="str">
        <f>IFERROR(__xludf.DUMMYFUNCTION("""COMPUTED_VALUE"""),"Tecnología")</f>
        <v>Tecnología</v>
      </c>
      <c r="F128" s="9" t="str">
        <f>IFERROR(__xludf.DUMMYFUNCTION("""COMPUTED_VALUE"""),"Inversión")</f>
        <v>Inversión</v>
      </c>
      <c r="G128" s="9" t="str">
        <f>IFERROR(__xludf.DUMMYFUNCTION("""COMPUTED_VALUE"""),"Socio capitalista")</f>
        <v>Socio capitalista</v>
      </c>
      <c r="H128" s="9" t="str">
        <f>IFERROR(__xludf.DUMMYFUNCTION("""COMPUTED_VALUE"""),"NO")</f>
        <v>NO</v>
      </c>
      <c r="I128" s="9">
        <f>IFERROR(__xludf.DUMMYFUNCTION("""COMPUTED_VALUE"""),8.0)</f>
        <v>8</v>
      </c>
      <c r="J128" s="9">
        <f>IFERROR(__xludf.DUMMYFUNCTION("""COMPUTED_VALUE"""),9.0)</f>
        <v>9</v>
      </c>
      <c r="K128" s="14">
        <f>IFERROR(__xludf.DUMMYFUNCTION("""COMPUTED_VALUE"""),5.0E7)</f>
        <v>50000000</v>
      </c>
      <c r="L128" s="14">
        <f>IFERROR(__xludf.DUMMYFUNCTION("""COMPUTED_VALUE"""),7.8205651E7)</f>
        <v>78205651</v>
      </c>
      <c r="M128" s="14">
        <f>IFERROR(__xludf.DUMMYFUNCTION("""COMPUTED_VALUE"""),6.238118E7)</f>
        <v>62381180</v>
      </c>
      <c r="N128" s="14">
        <f>IFERROR(__xludf.DUMMYFUNCTION("""COMPUTED_VALUE"""),6508585.0)</f>
        <v>6508585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9">
        <f>IFERROR(__xludf.DUMMYFUNCTION("FILTER(todos,sector=Menu!D4,intencion=Menu!D5,detalle=Menu!D6)"),4.0)</f>
        <v>4</v>
      </c>
      <c r="B2" s="9" t="str">
        <f>IFERROR(__xludf.DUMMYFUNCTION("""COMPUTED_VALUE"""),"Darnall Benedidick")</f>
        <v>Darnall Benedidick</v>
      </c>
      <c r="C2" s="9" t="str">
        <f>IFERROR(__xludf.DUMMYFUNCTION("""COMPUTED_VALUE"""),"dbenedidick3@deviantart.com")</f>
        <v>dbenedidick3@deviantart.com</v>
      </c>
      <c r="D2" s="9" t="str">
        <f>IFERROR(__xludf.DUMMYFUNCTION("""COMPUTED_VALUE"""),"Argentina")</f>
        <v>Argentina</v>
      </c>
      <c r="E2" s="9" t="str">
        <f>IFERROR(__xludf.DUMMYFUNCTION("""COMPUTED_VALUE"""),"Tecnología")</f>
        <v>Tecnología</v>
      </c>
      <c r="F2" s="9" t="str">
        <f>IFERROR(__xludf.DUMMYFUNCTION("""COMPUTED_VALUE"""),"Inversión")</f>
        <v>Inversión</v>
      </c>
      <c r="G2" s="9" t="str">
        <f>IFERROR(__xludf.DUMMYFUNCTION("""COMPUTED_VALUE"""),"Socio de proyecto")</f>
        <v>Socio de proyecto</v>
      </c>
      <c r="H2" s="9" t="str">
        <f>IFERROR(__xludf.DUMMYFUNCTION("""COMPUTED_VALUE"""),"NO")</f>
        <v>NO</v>
      </c>
      <c r="I2" s="9">
        <f>IFERROR(__xludf.DUMMYFUNCTION("""COMPUTED_VALUE"""),4.0)</f>
        <v>4</v>
      </c>
      <c r="J2" s="9">
        <f>IFERROR(__xludf.DUMMYFUNCTION("""COMPUTED_VALUE"""),8.0)</f>
        <v>8</v>
      </c>
      <c r="K2" s="14">
        <f>IFERROR(__xludf.DUMMYFUNCTION("""COMPUTED_VALUE"""),1.0E7)</f>
        <v>10000000</v>
      </c>
      <c r="L2" s="14">
        <f>IFERROR(__xludf.DUMMYFUNCTION("""COMPUTED_VALUE"""),7.830888E7)</f>
        <v>78308880</v>
      </c>
      <c r="M2" s="14">
        <f>IFERROR(__xludf.DUMMYFUNCTION("""COMPUTED_VALUE"""),3248026.0)</f>
        <v>3248026</v>
      </c>
      <c r="N2" s="14">
        <f>IFERROR(__xludf.DUMMYFUNCTION("""COMPUTED_VALUE"""),2.714327E7)</f>
        <v>27143270</v>
      </c>
    </row>
    <row r="3">
      <c r="A3" s="9">
        <f>IFERROR(__xludf.DUMMYFUNCTION("""COMPUTED_VALUE"""),6.0)</f>
        <v>6</v>
      </c>
      <c r="B3" s="9" t="str">
        <f>IFERROR(__xludf.DUMMYFUNCTION("""COMPUTED_VALUE"""),"Harcourt Spreckley")</f>
        <v>Harcourt Spreckley</v>
      </c>
      <c r="C3" s="9" t="str">
        <f>IFERROR(__xludf.DUMMYFUNCTION("""COMPUTED_VALUE"""),"hspreckley5@gnu.org")</f>
        <v>hspreckley5@gnu.org</v>
      </c>
      <c r="D3" s="9" t="str">
        <f>IFERROR(__xludf.DUMMYFUNCTION("""COMPUTED_VALUE"""),"Bolivia")</f>
        <v>Bolivia</v>
      </c>
      <c r="E3" s="9" t="str">
        <f>IFERROR(__xludf.DUMMYFUNCTION("""COMPUTED_VALUE"""),"Tecnología")</f>
        <v>Tecnología</v>
      </c>
      <c r="F3" s="9" t="str">
        <f>IFERROR(__xludf.DUMMYFUNCTION("""COMPUTED_VALUE"""),"Inversión")</f>
        <v>Inversión</v>
      </c>
      <c r="G3" s="9" t="str">
        <f>IFERROR(__xludf.DUMMYFUNCTION("""COMPUTED_VALUE"""),"Socio de proyecto")</f>
        <v>Socio de proyecto</v>
      </c>
      <c r="H3" s="9" t="str">
        <f>IFERROR(__xludf.DUMMYFUNCTION("""COMPUTED_VALUE"""),"NO")</f>
        <v>NO</v>
      </c>
      <c r="I3" s="9">
        <f>IFERROR(__xludf.DUMMYFUNCTION("""COMPUTED_VALUE"""),9.0)</f>
        <v>9</v>
      </c>
      <c r="J3" s="9">
        <f>IFERROR(__xludf.DUMMYFUNCTION("""COMPUTED_VALUE"""),7.0)</f>
        <v>7</v>
      </c>
      <c r="K3" s="14">
        <f>IFERROR(__xludf.DUMMYFUNCTION("""COMPUTED_VALUE"""),9.0E7)</f>
        <v>90000000</v>
      </c>
      <c r="L3" s="14">
        <f>IFERROR(__xludf.DUMMYFUNCTION("""COMPUTED_VALUE"""),5.0075523E7)</f>
        <v>50075523</v>
      </c>
      <c r="M3" s="14">
        <f>IFERROR(__xludf.DUMMYFUNCTION("""COMPUTED_VALUE"""),5.9142617E7)</f>
        <v>59142617</v>
      </c>
      <c r="N3" s="14">
        <f>IFERROR(__xludf.DUMMYFUNCTION("""COMPUTED_VALUE"""),9.5314026E7)</f>
        <v>95314026</v>
      </c>
    </row>
    <row r="4">
      <c r="A4" s="9">
        <f>IFERROR(__xludf.DUMMYFUNCTION("""COMPUTED_VALUE"""),11.0)</f>
        <v>11</v>
      </c>
      <c r="B4" s="9" t="str">
        <f>IFERROR(__xludf.DUMMYFUNCTION("""COMPUTED_VALUE"""),"Maje Blaschke")</f>
        <v>Maje Blaschke</v>
      </c>
      <c r="C4" s="9" t="str">
        <f>IFERROR(__xludf.DUMMYFUNCTION("""COMPUTED_VALUE"""),"mblaschkea@sfgate.com")</f>
        <v>mblaschkea@sfgate.com</v>
      </c>
      <c r="D4" s="9" t="str">
        <f>IFERROR(__xludf.DUMMYFUNCTION("""COMPUTED_VALUE"""),"Perú")</f>
        <v>Perú</v>
      </c>
      <c r="E4" s="9" t="str">
        <f>IFERROR(__xludf.DUMMYFUNCTION("""COMPUTED_VALUE"""),"Tecnología")</f>
        <v>Tecnología</v>
      </c>
      <c r="F4" s="9" t="str">
        <f>IFERROR(__xludf.DUMMYFUNCTION("""COMPUTED_VALUE"""),"Inversión")</f>
        <v>Inversión</v>
      </c>
      <c r="G4" s="9" t="str">
        <f>IFERROR(__xludf.DUMMYFUNCTION("""COMPUTED_VALUE"""),"Socio de proyecto")</f>
        <v>Socio de proyecto</v>
      </c>
      <c r="H4" s="9" t="str">
        <f>IFERROR(__xludf.DUMMYFUNCTION("""COMPUTED_VALUE"""),"NO")</f>
        <v>NO</v>
      </c>
      <c r="I4" s="9">
        <f>IFERROR(__xludf.DUMMYFUNCTION("""COMPUTED_VALUE"""),4.0)</f>
        <v>4</v>
      </c>
      <c r="J4" s="9">
        <f>IFERROR(__xludf.DUMMYFUNCTION("""COMPUTED_VALUE"""),5.0)</f>
        <v>5</v>
      </c>
      <c r="K4" s="14">
        <f>IFERROR(__xludf.DUMMYFUNCTION("""COMPUTED_VALUE"""),1000000.0)</f>
        <v>1000000</v>
      </c>
      <c r="L4" s="14">
        <f>IFERROR(__xludf.DUMMYFUNCTION("""COMPUTED_VALUE"""),2.8926771E7)</f>
        <v>28926771</v>
      </c>
      <c r="M4" s="14">
        <f>IFERROR(__xludf.DUMMYFUNCTION("""COMPUTED_VALUE"""),5.693961E7)</f>
        <v>56939610</v>
      </c>
      <c r="N4" s="14">
        <f>IFERROR(__xludf.DUMMYFUNCTION("""COMPUTED_VALUE"""),9.2726884E7)</f>
        <v>92726884</v>
      </c>
    </row>
    <row r="5">
      <c r="A5" s="9">
        <f>IFERROR(__xludf.DUMMYFUNCTION("""COMPUTED_VALUE"""),12.0)</f>
        <v>12</v>
      </c>
      <c r="B5" s="9" t="str">
        <f>IFERROR(__xludf.DUMMYFUNCTION("""COMPUTED_VALUE"""),"Dicky Marriot")</f>
        <v>Dicky Marriot</v>
      </c>
      <c r="C5" s="9" t="str">
        <f>IFERROR(__xludf.DUMMYFUNCTION("""COMPUTED_VALUE"""),"dmarriotb@pinterest.com")</f>
        <v>dmarriotb@pinterest.com</v>
      </c>
      <c r="D5" s="9" t="str">
        <f>IFERROR(__xludf.DUMMYFUNCTION("""COMPUTED_VALUE"""),"Perú")</f>
        <v>Perú</v>
      </c>
      <c r="E5" s="9" t="str">
        <f>IFERROR(__xludf.DUMMYFUNCTION("""COMPUTED_VALUE"""),"Tecnología")</f>
        <v>Tecnología</v>
      </c>
      <c r="F5" s="9" t="str">
        <f>IFERROR(__xludf.DUMMYFUNCTION("""COMPUTED_VALUE"""),"Inversión")</f>
        <v>Inversión</v>
      </c>
      <c r="G5" s="9" t="str">
        <f>IFERROR(__xludf.DUMMYFUNCTION("""COMPUTED_VALUE"""),"Socio de proyecto")</f>
        <v>Socio de proyecto</v>
      </c>
      <c r="H5" s="9" t="str">
        <f>IFERROR(__xludf.DUMMYFUNCTION("""COMPUTED_VALUE"""),"NO")</f>
        <v>NO</v>
      </c>
      <c r="I5" s="9">
        <f>IFERROR(__xludf.DUMMYFUNCTION("""COMPUTED_VALUE"""),3.0)</f>
        <v>3</v>
      </c>
      <c r="J5" s="9">
        <f>IFERROR(__xludf.DUMMYFUNCTION("""COMPUTED_VALUE"""),8.0)</f>
        <v>8</v>
      </c>
      <c r="K5" s="14">
        <f>IFERROR(__xludf.DUMMYFUNCTION("""COMPUTED_VALUE"""),1000000.0)</f>
        <v>1000000</v>
      </c>
      <c r="L5" s="14">
        <f>IFERROR(__xludf.DUMMYFUNCTION("""COMPUTED_VALUE"""),3.4252074E7)</f>
        <v>34252074</v>
      </c>
      <c r="M5" s="14">
        <f>IFERROR(__xludf.DUMMYFUNCTION("""COMPUTED_VALUE"""),0.0)</f>
        <v>0</v>
      </c>
      <c r="N5" s="14">
        <f>IFERROR(__xludf.DUMMYFUNCTION("""COMPUTED_VALUE"""),2.2994819E7)</f>
        <v>22994819</v>
      </c>
    </row>
    <row r="6">
      <c r="A6" s="9">
        <f>IFERROR(__xludf.DUMMYFUNCTION("""COMPUTED_VALUE"""),20.0)</f>
        <v>20</v>
      </c>
      <c r="B6" s="9" t="str">
        <f>IFERROR(__xludf.DUMMYFUNCTION("""COMPUTED_VALUE"""),"Cassaundra Fitton")</f>
        <v>Cassaundra Fitton</v>
      </c>
      <c r="C6" s="9" t="str">
        <f>IFERROR(__xludf.DUMMYFUNCTION("""COMPUTED_VALUE"""),"cfittonj@plala.or.jp")</f>
        <v>cfittonj@plala.or.jp</v>
      </c>
      <c r="D6" s="9" t="str">
        <f>IFERROR(__xludf.DUMMYFUNCTION("""COMPUTED_VALUE"""),"Colombia")</f>
        <v>Colombia</v>
      </c>
      <c r="E6" s="9" t="str">
        <f>IFERROR(__xludf.DUMMYFUNCTION("""COMPUTED_VALUE"""),"Tecnología")</f>
        <v>Tecnología</v>
      </c>
      <c r="F6" s="9" t="str">
        <f>IFERROR(__xludf.DUMMYFUNCTION("""COMPUTED_VALUE"""),"Inversión")</f>
        <v>Inversión</v>
      </c>
      <c r="G6" s="9" t="str">
        <f>IFERROR(__xludf.DUMMYFUNCTION("""COMPUTED_VALUE"""),"Socio de proyecto")</f>
        <v>Socio de proyecto</v>
      </c>
      <c r="H6" s="9" t="str">
        <f>IFERROR(__xludf.DUMMYFUNCTION("""COMPUTED_VALUE"""),"NO")</f>
        <v>NO</v>
      </c>
      <c r="I6" s="9">
        <f>IFERROR(__xludf.DUMMYFUNCTION("""COMPUTED_VALUE"""),5.0)</f>
        <v>5</v>
      </c>
      <c r="J6" s="9">
        <f>IFERROR(__xludf.DUMMYFUNCTION("""COMPUTED_VALUE"""),6.0)</f>
        <v>6</v>
      </c>
      <c r="K6" s="14">
        <f>IFERROR(__xludf.DUMMYFUNCTION("""COMPUTED_VALUE"""),1000000.0)</f>
        <v>1000000</v>
      </c>
      <c r="L6" s="14">
        <f>IFERROR(__xludf.DUMMYFUNCTION("""COMPUTED_VALUE"""),9.6696256E7)</f>
        <v>96696256</v>
      </c>
      <c r="M6" s="14">
        <f>IFERROR(__xludf.DUMMYFUNCTION("""COMPUTED_VALUE"""),6.2106884E7)</f>
        <v>62106884</v>
      </c>
      <c r="N6" s="14">
        <f>IFERROR(__xludf.DUMMYFUNCTION("""COMPUTED_VALUE"""),8.522819E7)</f>
        <v>85228190</v>
      </c>
    </row>
    <row r="7">
      <c r="A7" s="9">
        <f>IFERROR(__xludf.DUMMYFUNCTION("""COMPUTED_VALUE"""),21.0)</f>
        <v>21</v>
      </c>
      <c r="B7" s="9" t="str">
        <f>IFERROR(__xludf.DUMMYFUNCTION("""COMPUTED_VALUE"""),"Dilan Spuner")</f>
        <v>Dilan Spuner</v>
      </c>
      <c r="C7" s="9" t="str">
        <f>IFERROR(__xludf.DUMMYFUNCTION("""COMPUTED_VALUE"""),"dspunerk@slate.com")</f>
        <v>dspunerk@slate.com</v>
      </c>
      <c r="D7" s="9" t="str">
        <f>IFERROR(__xludf.DUMMYFUNCTION("""COMPUTED_VALUE"""),"Brasil")</f>
        <v>Brasil</v>
      </c>
      <c r="E7" s="9" t="str">
        <f>IFERROR(__xludf.DUMMYFUNCTION("""COMPUTED_VALUE"""),"Tecnología")</f>
        <v>Tecnología</v>
      </c>
      <c r="F7" s="9" t="str">
        <f>IFERROR(__xludf.DUMMYFUNCTION("""COMPUTED_VALUE"""),"Inversión")</f>
        <v>Inversión</v>
      </c>
      <c r="G7" s="9" t="str">
        <f>IFERROR(__xludf.DUMMYFUNCTION("""COMPUTED_VALUE"""),"Socio de proyecto")</f>
        <v>Socio de proyecto</v>
      </c>
      <c r="H7" s="9" t="str">
        <f>IFERROR(__xludf.DUMMYFUNCTION("""COMPUTED_VALUE"""),"NO")</f>
        <v>NO</v>
      </c>
      <c r="I7" s="9">
        <f>IFERROR(__xludf.DUMMYFUNCTION("""COMPUTED_VALUE"""),6.0)</f>
        <v>6</v>
      </c>
      <c r="J7" s="9">
        <f>IFERROR(__xludf.DUMMYFUNCTION("""COMPUTED_VALUE"""),7.0)</f>
        <v>7</v>
      </c>
      <c r="K7" s="14">
        <f>IFERROR(__xludf.DUMMYFUNCTION("""COMPUTED_VALUE"""),1.0E7)</f>
        <v>10000000</v>
      </c>
      <c r="L7" s="14">
        <f>IFERROR(__xludf.DUMMYFUNCTION("""COMPUTED_VALUE"""),5.1531809E7)</f>
        <v>51531809</v>
      </c>
      <c r="M7" s="14">
        <f>IFERROR(__xludf.DUMMYFUNCTION("""COMPUTED_VALUE"""),9.9819688E7)</f>
        <v>99819688</v>
      </c>
      <c r="N7" s="14">
        <f>IFERROR(__xludf.DUMMYFUNCTION("""COMPUTED_VALUE"""),2.4233431E7)</f>
        <v>24233431</v>
      </c>
    </row>
    <row r="8">
      <c r="A8" s="9">
        <f>IFERROR(__xludf.DUMMYFUNCTION("""COMPUTED_VALUE"""),29.0)</f>
        <v>29</v>
      </c>
      <c r="B8" s="9" t="str">
        <f>IFERROR(__xludf.DUMMYFUNCTION("""COMPUTED_VALUE"""),"Fredrika Djuricic")</f>
        <v>Fredrika Djuricic</v>
      </c>
      <c r="C8" s="9" t="str">
        <f>IFERROR(__xludf.DUMMYFUNCTION("""COMPUTED_VALUE"""),"fdjuricics@360.cn")</f>
        <v>fdjuricics@360.cn</v>
      </c>
      <c r="D8" s="9" t="str">
        <f>IFERROR(__xludf.DUMMYFUNCTION("""COMPUTED_VALUE"""),"Brasil")</f>
        <v>Brasil</v>
      </c>
      <c r="E8" s="9" t="str">
        <f>IFERROR(__xludf.DUMMYFUNCTION("""COMPUTED_VALUE"""),"Tecnología")</f>
        <v>Tecnología</v>
      </c>
      <c r="F8" s="9" t="str">
        <f>IFERROR(__xludf.DUMMYFUNCTION("""COMPUTED_VALUE"""),"Inversión")</f>
        <v>Inversión</v>
      </c>
      <c r="G8" s="9" t="str">
        <f>IFERROR(__xludf.DUMMYFUNCTION("""COMPUTED_VALUE"""),"Socio de proyecto")</f>
        <v>Socio de proyecto</v>
      </c>
      <c r="H8" s="9" t="str">
        <f>IFERROR(__xludf.DUMMYFUNCTION("""COMPUTED_VALUE"""),"NO")</f>
        <v>NO</v>
      </c>
      <c r="I8" s="9">
        <f>IFERROR(__xludf.DUMMYFUNCTION("""COMPUTED_VALUE"""),8.0)</f>
        <v>8</v>
      </c>
      <c r="J8" s="9">
        <f>IFERROR(__xludf.DUMMYFUNCTION("""COMPUTED_VALUE"""),7.0)</f>
        <v>7</v>
      </c>
      <c r="K8" s="14">
        <f>IFERROR(__xludf.DUMMYFUNCTION("""COMPUTED_VALUE"""),9.0E7)</f>
        <v>90000000</v>
      </c>
      <c r="L8" s="14">
        <f>IFERROR(__xludf.DUMMYFUNCTION("""COMPUTED_VALUE"""),2.3888885E7)</f>
        <v>23888885</v>
      </c>
      <c r="M8" s="14">
        <f>IFERROR(__xludf.DUMMYFUNCTION("""COMPUTED_VALUE"""),6.8725539E7)</f>
        <v>68725539</v>
      </c>
      <c r="N8" s="14">
        <f>IFERROR(__xludf.DUMMYFUNCTION("""COMPUTED_VALUE"""),7.8613526E7)</f>
        <v>78613526</v>
      </c>
    </row>
    <row r="9">
      <c r="A9" s="9">
        <f>IFERROR(__xludf.DUMMYFUNCTION("""COMPUTED_VALUE"""),40.0)</f>
        <v>40</v>
      </c>
      <c r="B9" s="9" t="str">
        <f>IFERROR(__xludf.DUMMYFUNCTION("""COMPUTED_VALUE"""),"Mollee Whithalgh")</f>
        <v>Mollee Whithalgh</v>
      </c>
      <c r="C9" s="9" t="str">
        <f>IFERROR(__xludf.DUMMYFUNCTION("""COMPUTED_VALUE"""),"mwhithalgh13@elegantthemes.com")</f>
        <v>mwhithalgh13@elegantthemes.com</v>
      </c>
      <c r="D9" s="9" t="str">
        <f>IFERROR(__xludf.DUMMYFUNCTION("""COMPUTED_VALUE"""),"Ecuador")</f>
        <v>Ecuador</v>
      </c>
      <c r="E9" s="9" t="str">
        <f>IFERROR(__xludf.DUMMYFUNCTION("""COMPUTED_VALUE"""),"Tecnología")</f>
        <v>Tecnología</v>
      </c>
      <c r="F9" s="9" t="str">
        <f>IFERROR(__xludf.DUMMYFUNCTION("""COMPUTED_VALUE"""),"Inversión")</f>
        <v>Inversión</v>
      </c>
      <c r="G9" s="9" t="str">
        <f>IFERROR(__xludf.DUMMYFUNCTION("""COMPUTED_VALUE"""),"Socio de proyecto")</f>
        <v>Socio de proyecto</v>
      </c>
      <c r="H9" s="9" t="str">
        <f>IFERROR(__xludf.DUMMYFUNCTION("""COMPUTED_VALUE"""),"NO")</f>
        <v>NO</v>
      </c>
      <c r="I9" s="9">
        <f>IFERROR(__xludf.DUMMYFUNCTION("""COMPUTED_VALUE"""),9.0)</f>
        <v>9</v>
      </c>
      <c r="J9" s="9">
        <f>IFERROR(__xludf.DUMMYFUNCTION("""COMPUTED_VALUE"""),5.0)</f>
        <v>5</v>
      </c>
      <c r="K9" s="14">
        <f>IFERROR(__xludf.DUMMYFUNCTION("""COMPUTED_VALUE"""),1.0E7)</f>
        <v>10000000</v>
      </c>
      <c r="L9" s="14">
        <f>IFERROR(__xludf.DUMMYFUNCTION("""COMPUTED_VALUE"""),4.3538967E7)</f>
        <v>43538967</v>
      </c>
      <c r="M9" s="14">
        <f>IFERROR(__xludf.DUMMYFUNCTION("""COMPUTED_VALUE"""),5161300.0)</f>
        <v>5161300</v>
      </c>
      <c r="N9" s="14">
        <f>IFERROR(__xludf.DUMMYFUNCTION("""COMPUTED_VALUE"""),8.5417673E7)</f>
        <v>85417673</v>
      </c>
    </row>
    <row r="10">
      <c r="A10" s="9">
        <f>IFERROR(__xludf.DUMMYFUNCTION("""COMPUTED_VALUE"""),41.0)</f>
        <v>41</v>
      </c>
      <c r="B10" s="9" t="str">
        <f>IFERROR(__xludf.DUMMYFUNCTION("""COMPUTED_VALUE"""),"Ralph McFaul")</f>
        <v>Ralph McFaul</v>
      </c>
      <c r="C10" s="9" t="str">
        <f>IFERROR(__xludf.DUMMYFUNCTION("""COMPUTED_VALUE"""),"rmcfaul14@1688.com")</f>
        <v>rmcfaul14@1688.com</v>
      </c>
      <c r="D10" s="9" t="str">
        <f>IFERROR(__xludf.DUMMYFUNCTION("""COMPUTED_VALUE"""),"Uruguay")</f>
        <v>Uruguay</v>
      </c>
      <c r="E10" s="9" t="str">
        <f>IFERROR(__xludf.DUMMYFUNCTION("""COMPUTED_VALUE"""),"Tecnología")</f>
        <v>Tecnología</v>
      </c>
      <c r="F10" s="9" t="str">
        <f>IFERROR(__xludf.DUMMYFUNCTION("""COMPUTED_VALUE"""),"Inversión")</f>
        <v>Inversión</v>
      </c>
      <c r="G10" s="9" t="str">
        <f>IFERROR(__xludf.DUMMYFUNCTION("""COMPUTED_VALUE"""),"Socio de proyecto")</f>
        <v>Socio de proyecto</v>
      </c>
      <c r="H10" s="9" t="str">
        <f>IFERROR(__xludf.DUMMYFUNCTION("""COMPUTED_VALUE"""),"SI")</f>
        <v>SI</v>
      </c>
      <c r="I10" s="9">
        <f>IFERROR(__xludf.DUMMYFUNCTION("""COMPUTED_VALUE"""),6.0)</f>
        <v>6</v>
      </c>
      <c r="J10" s="9">
        <f>IFERROR(__xludf.DUMMYFUNCTION("""COMPUTED_VALUE"""),10.0)</f>
        <v>10</v>
      </c>
      <c r="K10" s="14">
        <f>IFERROR(__xludf.DUMMYFUNCTION("""COMPUTED_VALUE"""),1000000.0)</f>
        <v>1000000</v>
      </c>
      <c r="L10" s="14">
        <f>IFERROR(__xludf.DUMMYFUNCTION("""COMPUTED_VALUE"""),9.5899452E7)</f>
        <v>95899452</v>
      </c>
      <c r="M10" s="14">
        <f>IFERROR(__xludf.DUMMYFUNCTION("""COMPUTED_VALUE"""),2565664.0)</f>
        <v>2565664</v>
      </c>
      <c r="N10" s="14">
        <f>IFERROR(__xludf.DUMMYFUNCTION("""COMPUTED_VALUE"""),3.9602953E7)</f>
        <v>39602953</v>
      </c>
    </row>
    <row r="11">
      <c r="A11" s="9">
        <f>IFERROR(__xludf.DUMMYFUNCTION("""COMPUTED_VALUE"""),42.0)</f>
        <v>42</v>
      </c>
      <c r="B11" s="9" t="str">
        <f>IFERROR(__xludf.DUMMYFUNCTION("""COMPUTED_VALUE"""),"Derward Glenfield")</f>
        <v>Derward Glenfield</v>
      </c>
      <c r="C11" s="9" t="str">
        <f>IFERROR(__xludf.DUMMYFUNCTION("""COMPUTED_VALUE"""),"dglenfield15@technorati.com")</f>
        <v>dglenfield15@technorati.com</v>
      </c>
      <c r="D11" s="9" t="str">
        <f>IFERROR(__xludf.DUMMYFUNCTION("""COMPUTED_VALUE"""),"Colombia")</f>
        <v>Colombia</v>
      </c>
      <c r="E11" s="9" t="str">
        <f>IFERROR(__xludf.DUMMYFUNCTION("""COMPUTED_VALUE"""),"Tecnología")</f>
        <v>Tecnología</v>
      </c>
      <c r="F11" s="9" t="str">
        <f>IFERROR(__xludf.DUMMYFUNCTION("""COMPUTED_VALUE"""),"Inversión")</f>
        <v>Inversión</v>
      </c>
      <c r="G11" s="9" t="str">
        <f>IFERROR(__xludf.DUMMYFUNCTION("""COMPUTED_VALUE"""),"Socio de proyecto")</f>
        <v>Socio de proyecto</v>
      </c>
      <c r="H11" s="9" t="str">
        <f>IFERROR(__xludf.DUMMYFUNCTION("""COMPUTED_VALUE"""),"SI")</f>
        <v>SI</v>
      </c>
      <c r="I11" s="9">
        <f>IFERROR(__xludf.DUMMYFUNCTION("""COMPUTED_VALUE"""),8.0)</f>
        <v>8</v>
      </c>
      <c r="J11" s="9">
        <f>IFERROR(__xludf.DUMMYFUNCTION("""COMPUTED_VALUE"""),8.0)</f>
        <v>8</v>
      </c>
      <c r="K11" s="14">
        <f>IFERROR(__xludf.DUMMYFUNCTION("""COMPUTED_VALUE"""),1000000.0)</f>
        <v>1000000</v>
      </c>
      <c r="L11" s="14">
        <f>IFERROR(__xludf.DUMMYFUNCTION("""COMPUTED_VALUE"""),8.1347428E7)</f>
        <v>81347428</v>
      </c>
      <c r="M11" s="14">
        <f>IFERROR(__xludf.DUMMYFUNCTION("""COMPUTED_VALUE"""),1.0860215E7)</f>
        <v>10860215</v>
      </c>
      <c r="N11" s="14">
        <f>IFERROR(__xludf.DUMMYFUNCTION("""COMPUTED_VALUE"""),2.863729E7)</f>
        <v>28637290</v>
      </c>
    </row>
    <row r="12">
      <c r="A12" s="9">
        <f>IFERROR(__xludf.DUMMYFUNCTION("""COMPUTED_VALUE"""),44.0)</f>
        <v>44</v>
      </c>
      <c r="B12" s="9" t="str">
        <f>IFERROR(__xludf.DUMMYFUNCTION("""COMPUTED_VALUE"""),"Janenna Pook")</f>
        <v>Janenna Pook</v>
      </c>
      <c r="C12" s="9" t="str">
        <f>IFERROR(__xludf.DUMMYFUNCTION("""COMPUTED_VALUE"""),"jpook17@weebly.com")</f>
        <v>jpook17@weebly.com</v>
      </c>
      <c r="D12" s="9" t="str">
        <f>IFERROR(__xludf.DUMMYFUNCTION("""COMPUTED_VALUE"""),"Argentina")</f>
        <v>Argentina</v>
      </c>
      <c r="E12" s="9" t="str">
        <f>IFERROR(__xludf.DUMMYFUNCTION("""COMPUTED_VALUE"""),"Tecnología")</f>
        <v>Tecnología</v>
      </c>
      <c r="F12" s="9" t="str">
        <f>IFERROR(__xludf.DUMMYFUNCTION("""COMPUTED_VALUE"""),"Inversión")</f>
        <v>Inversión</v>
      </c>
      <c r="G12" s="9" t="str">
        <f>IFERROR(__xludf.DUMMYFUNCTION("""COMPUTED_VALUE"""),"Socio de proyecto")</f>
        <v>Socio de proyecto</v>
      </c>
      <c r="H12" s="9" t="str">
        <f>IFERROR(__xludf.DUMMYFUNCTION("""COMPUTED_VALUE"""),"SI")</f>
        <v>SI</v>
      </c>
      <c r="I12" s="9">
        <f>IFERROR(__xludf.DUMMYFUNCTION("""COMPUTED_VALUE"""),7.0)</f>
        <v>7</v>
      </c>
      <c r="J12" s="9">
        <f>IFERROR(__xludf.DUMMYFUNCTION("""COMPUTED_VALUE"""),5.0)</f>
        <v>5</v>
      </c>
      <c r="K12" s="14">
        <f>IFERROR(__xludf.DUMMYFUNCTION("""COMPUTED_VALUE"""),1.0E7)</f>
        <v>10000000</v>
      </c>
      <c r="L12" s="14">
        <f>IFERROR(__xludf.DUMMYFUNCTION("""COMPUTED_VALUE"""),9.6199053E7)</f>
        <v>96199053</v>
      </c>
      <c r="M12" s="14">
        <f>IFERROR(__xludf.DUMMYFUNCTION("""COMPUTED_VALUE"""),3.1746355E7)</f>
        <v>31746355</v>
      </c>
      <c r="N12" s="14">
        <f>IFERROR(__xludf.DUMMYFUNCTION("""COMPUTED_VALUE"""),8.0063468E7)</f>
        <v>80063468</v>
      </c>
    </row>
    <row r="13">
      <c r="A13" s="9">
        <f>IFERROR(__xludf.DUMMYFUNCTION("""COMPUTED_VALUE"""),45.0)</f>
        <v>45</v>
      </c>
      <c r="B13" s="9" t="str">
        <f>IFERROR(__xludf.DUMMYFUNCTION("""COMPUTED_VALUE"""),"Minor Vasyukhnov")</f>
        <v>Minor Vasyukhnov</v>
      </c>
      <c r="C13" s="9" t="str">
        <f>IFERROR(__xludf.DUMMYFUNCTION("""COMPUTED_VALUE"""),"mvasyukhnov18@amazonaws.com")</f>
        <v>mvasyukhnov18@amazonaws.com</v>
      </c>
      <c r="D13" s="9" t="str">
        <f>IFERROR(__xludf.DUMMYFUNCTION("""COMPUTED_VALUE"""),"Uruguay")</f>
        <v>Uruguay</v>
      </c>
      <c r="E13" s="9" t="str">
        <f>IFERROR(__xludf.DUMMYFUNCTION("""COMPUTED_VALUE"""),"Tecnología")</f>
        <v>Tecnología</v>
      </c>
      <c r="F13" s="9" t="str">
        <f>IFERROR(__xludf.DUMMYFUNCTION("""COMPUTED_VALUE"""),"Inversión")</f>
        <v>Inversión</v>
      </c>
      <c r="G13" s="9" t="str">
        <f>IFERROR(__xludf.DUMMYFUNCTION("""COMPUTED_VALUE"""),"Socio de proyecto")</f>
        <v>Socio de proyecto</v>
      </c>
      <c r="H13" s="9" t="str">
        <f>IFERROR(__xludf.DUMMYFUNCTION("""COMPUTED_VALUE"""),"NO")</f>
        <v>NO</v>
      </c>
      <c r="I13" s="9">
        <f>IFERROR(__xludf.DUMMYFUNCTION("""COMPUTED_VALUE"""),5.0)</f>
        <v>5</v>
      </c>
      <c r="J13" s="9">
        <f>IFERROR(__xludf.DUMMYFUNCTION("""COMPUTED_VALUE"""),7.0)</f>
        <v>7</v>
      </c>
      <c r="K13" s="14">
        <f>IFERROR(__xludf.DUMMYFUNCTION("""COMPUTED_VALUE"""),1000000.0)</f>
        <v>1000000</v>
      </c>
      <c r="L13" s="14">
        <f>IFERROR(__xludf.DUMMYFUNCTION("""COMPUTED_VALUE"""),7.1783742E7)</f>
        <v>71783742</v>
      </c>
      <c r="M13" s="14">
        <f>IFERROR(__xludf.DUMMYFUNCTION("""COMPUTED_VALUE"""),6.4667814E7)</f>
        <v>64667814</v>
      </c>
      <c r="N13" s="14">
        <f>IFERROR(__xludf.DUMMYFUNCTION("""COMPUTED_VALUE"""),7.065318E7)</f>
        <v>70653180</v>
      </c>
    </row>
    <row r="14">
      <c r="A14" s="9">
        <f>IFERROR(__xludf.DUMMYFUNCTION("""COMPUTED_VALUE"""),48.0)</f>
        <v>48</v>
      </c>
      <c r="B14" s="9" t="str">
        <f>IFERROR(__xludf.DUMMYFUNCTION("""COMPUTED_VALUE"""),"Lila Oiseau")</f>
        <v>Lila Oiseau</v>
      </c>
      <c r="C14" s="9" t="str">
        <f>IFERROR(__xludf.DUMMYFUNCTION("""COMPUTED_VALUE"""),"loiseau1b@indiatimes.com")</f>
        <v>loiseau1b@indiatimes.com</v>
      </c>
      <c r="D14" s="9" t="str">
        <f>IFERROR(__xludf.DUMMYFUNCTION("""COMPUTED_VALUE"""),"Ecuador")</f>
        <v>Ecuador</v>
      </c>
      <c r="E14" s="9" t="str">
        <f>IFERROR(__xludf.DUMMYFUNCTION("""COMPUTED_VALUE"""),"Tecnología")</f>
        <v>Tecnología</v>
      </c>
      <c r="F14" s="9" t="str">
        <f>IFERROR(__xludf.DUMMYFUNCTION("""COMPUTED_VALUE"""),"Inversión")</f>
        <v>Inversión</v>
      </c>
      <c r="G14" s="9" t="str">
        <f>IFERROR(__xludf.DUMMYFUNCTION("""COMPUTED_VALUE"""),"Socio de proyecto")</f>
        <v>Socio de proyecto</v>
      </c>
      <c r="H14" s="9" t="str">
        <f>IFERROR(__xludf.DUMMYFUNCTION("""COMPUTED_VALUE"""),"SI")</f>
        <v>SI</v>
      </c>
      <c r="I14" s="9">
        <f>IFERROR(__xludf.DUMMYFUNCTION("""COMPUTED_VALUE"""),5.0)</f>
        <v>5</v>
      </c>
      <c r="J14" s="9">
        <f>IFERROR(__xludf.DUMMYFUNCTION("""COMPUTED_VALUE"""),6.0)</f>
        <v>6</v>
      </c>
      <c r="K14" s="14">
        <f>IFERROR(__xludf.DUMMYFUNCTION("""COMPUTED_VALUE"""),3.0E7)</f>
        <v>30000000</v>
      </c>
      <c r="L14" s="14">
        <f>IFERROR(__xludf.DUMMYFUNCTION("""COMPUTED_VALUE"""),3.3477783E7)</f>
        <v>33477783</v>
      </c>
      <c r="M14" s="14">
        <f>IFERROR(__xludf.DUMMYFUNCTION("""COMPUTED_VALUE"""),0.0)</f>
        <v>0</v>
      </c>
      <c r="N14" s="14">
        <f>IFERROR(__xludf.DUMMYFUNCTION("""COMPUTED_VALUE"""),2.7651635E7)</f>
        <v>27651635</v>
      </c>
    </row>
    <row r="15">
      <c r="A15" s="9">
        <f>IFERROR(__xludf.DUMMYFUNCTION("""COMPUTED_VALUE"""),53.0)</f>
        <v>53</v>
      </c>
      <c r="B15" s="9" t="str">
        <f>IFERROR(__xludf.DUMMYFUNCTION("""COMPUTED_VALUE"""),"Larine Markwelley")</f>
        <v>Larine Markwelley</v>
      </c>
      <c r="C15" s="9" t="str">
        <f>IFERROR(__xludf.DUMMYFUNCTION("""COMPUTED_VALUE"""),"lmarkwelley1g@blogger.com")</f>
        <v>lmarkwelley1g@blogger.com</v>
      </c>
      <c r="D15" s="9" t="str">
        <f>IFERROR(__xludf.DUMMYFUNCTION("""COMPUTED_VALUE"""),"Bolivia")</f>
        <v>Bolivia</v>
      </c>
      <c r="E15" s="9" t="str">
        <f>IFERROR(__xludf.DUMMYFUNCTION("""COMPUTED_VALUE"""),"Tecnología")</f>
        <v>Tecnología</v>
      </c>
      <c r="F15" s="9" t="str">
        <f>IFERROR(__xludf.DUMMYFUNCTION("""COMPUTED_VALUE"""),"Inversión")</f>
        <v>Inversión</v>
      </c>
      <c r="G15" s="9" t="str">
        <f>IFERROR(__xludf.DUMMYFUNCTION("""COMPUTED_VALUE"""),"Socio de proyecto")</f>
        <v>Socio de proyecto</v>
      </c>
      <c r="H15" s="9" t="str">
        <f>IFERROR(__xludf.DUMMYFUNCTION("""COMPUTED_VALUE"""),"NO")</f>
        <v>NO</v>
      </c>
      <c r="I15" s="9">
        <f>IFERROR(__xludf.DUMMYFUNCTION("""COMPUTED_VALUE"""),4.0)</f>
        <v>4</v>
      </c>
      <c r="J15" s="9">
        <f>IFERROR(__xludf.DUMMYFUNCTION("""COMPUTED_VALUE"""),6.0)</f>
        <v>6</v>
      </c>
      <c r="K15" s="14">
        <f>IFERROR(__xludf.DUMMYFUNCTION("""COMPUTED_VALUE"""),3.0E7)</f>
        <v>30000000</v>
      </c>
      <c r="L15" s="14">
        <f>IFERROR(__xludf.DUMMYFUNCTION("""COMPUTED_VALUE"""),4.528936E7)</f>
        <v>45289360</v>
      </c>
      <c r="M15" s="14">
        <f>IFERROR(__xludf.DUMMYFUNCTION("""COMPUTED_VALUE"""),0.0)</f>
        <v>0</v>
      </c>
      <c r="N15" s="14">
        <f>IFERROR(__xludf.DUMMYFUNCTION("""COMPUTED_VALUE"""),4.6980526E7)</f>
        <v>46980526</v>
      </c>
    </row>
    <row r="16">
      <c r="A16" s="9">
        <f>IFERROR(__xludf.DUMMYFUNCTION("""COMPUTED_VALUE"""),62.0)</f>
        <v>62</v>
      </c>
      <c r="B16" s="9" t="str">
        <f>IFERROR(__xludf.DUMMYFUNCTION("""COMPUTED_VALUE"""),"Bernardo Lamond")</f>
        <v>Bernardo Lamond</v>
      </c>
      <c r="C16" s="9" t="str">
        <f>IFERROR(__xludf.DUMMYFUNCTION("""COMPUTED_VALUE"""),"blamond1p@icio.us")</f>
        <v>blamond1p@icio.us</v>
      </c>
      <c r="D16" s="9" t="str">
        <f>IFERROR(__xludf.DUMMYFUNCTION("""COMPUTED_VALUE"""),"Argentina")</f>
        <v>Argentina</v>
      </c>
      <c r="E16" s="9" t="str">
        <f>IFERROR(__xludf.DUMMYFUNCTION("""COMPUTED_VALUE"""),"Tecnología")</f>
        <v>Tecnología</v>
      </c>
      <c r="F16" s="9" t="str">
        <f>IFERROR(__xludf.DUMMYFUNCTION("""COMPUTED_VALUE"""),"Inversión")</f>
        <v>Inversión</v>
      </c>
      <c r="G16" s="9" t="str">
        <f>IFERROR(__xludf.DUMMYFUNCTION("""COMPUTED_VALUE"""),"Socio de proyecto")</f>
        <v>Socio de proyecto</v>
      </c>
      <c r="H16" s="9" t="str">
        <f>IFERROR(__xludf.DUMMYFUNCTION("""COMPUTED_VALUE"""),"NO")</f>
        <v>NO</v>
      </c>
      <c r="I16" s="9">
        <f>IFERROR(__xludf.DUMMYFUNCTION("""COMPUTED_VALUE"""),3.0)</f>
        <v>3</v>
      </c>
      <c r="J16" s="9">
        <f>IFERROR(__xludf.DUMMYFUNCTION("""COMPUTED_VALUE"""),10.0)</f>
        <v>10</v>
      </c>
      <c r="K16" s="14">
        <f>IFERROR(__xludf.DUMMYFUNCTION("""COMPUTED_VALUE"""),3.0E7)</f>
        <v>30000000</v>
      </c>
      <c r="L16" s="14">
        <f>IFERROR(__xludf.DUMMYFUNCTION("""COMPUTED_VALUE"""),3.2890743E7)</f>
        <v>32890743</v>
      </c>
      <c r="M16" s="14">
        <f>IFERROR(__xludf.DUMMYFUNCTION("""COMPUTED_VALUE"""),0.0)</f>
        <v>0</v>
      </c>
      <c r="N16" s="14">
        <f>IFERROR(__xludf.DUMMYFUNCTION("""COMPUTED_VALUE"""),3.986462E7)</f>
        <v>39864620</v>
      </c>
    </row>
    <row r="17">
      <c r="A17" s="9">
        <f>IFERROR(__xludf.DUMMYFUNCTION("""COMPUTED_VALUE"""),73.0)</f>
        <v>73</v>
      </c>
      <c r="B17" s="9" t="str">
        <f>IFERROR(__xludf.DUMMYFUNCTION("""COMPUTED_VALUE"""),"Minda Eates")</f>
        <v>Minda Eates</v>
      </c>
      <c r="C17" s="9" t="str">
        <f>IFERROR(__xludf.DUMMYFUNCTION("""COMPUTED_VALUE"""),"meates20@photobucket.com")</f>
        <v>meates20@photobucket.com</v>
      </c>
      <c r="D17" s="9" t="str">
        <f>IFERROR(__xludf.DUMMYFUNCTION("""COMPUTED_VALUE"""),"Ecuador")</f>
        <v>Ecuador</v>
      </c>
      <c r="E17" s="9" t="str">
        <f>IFERROR(__xludf.DUMMYFUNCTION("""COMPUTED_VALUE"""),"Tecnología")</f>
        <v>Tecnología</v>
      </c>
      <c r="F17" s="9" t="str">
        <f>IFERROR(__xludf.DUMMYFUNCTION("""COMPUTED_VALUE"""),"Inversión")</f>
        <v>Inversión</v>
      </c>
      <c r="G17" s="9" t="str">
        <f>IFERROR(__xludf.DUMMYFUNCTION("""COMPUTED_VALUE"""),"Socio de proyecto")</f>
        <v>Socio de proyecto</v>
      </c>
      <c r="H17" s="9" t="str">
        <f>IFERROR(__xludf.DUMMYFUNCTION("""COMPUTED_VALUE"""),"SI")</f>
        <v>SI</v>
      </c>
      <c r="I17" s="9">
        <f>IFERROR(__xludf.DUMMYFUNCTION("""COMPUTED_VALUE"""),6.0)</f>
        <v>6</v>
      </c>
      <c r="J17" s="9">
        <f>IFERROR(__xludf.DUMMYFUNCTION("""COMPUTED_VALUE"""),6.0)</f>
        <v>6</v>
      </c>
      <c r="K17" s="14">
        <f>IFERROR(__xludf.DUMMYFUNCTION("""COMPUTED_VALUE"""),1.0E7)</f>
        <v>10000000</v>
      </c>
      <c r="L17" s="14">
        <f>IFERROR(__xludf.DUMMYFUNCTION("""COMPUTED_VALUE"""),5.9890317E7)</f>
        <v>59890317</v>
      </c>
      <c r="M17" s="14">
        <f>IFERROR(__xludf.DUMMYFUNCTION("""COMPUTED_VALUE"""),4.2451842E7)</f>
        <v>42451842</v>
      </c>
      <c r="N17" s="14">
        <f>IFERROR(__xludf.DUMMYFUNCTION("""COMPUTED_VALUE"""),0.0)</f>
        <v>0</v>
      </c>
    </row>
    <row r="18">
      <c r="A18" s="9">
        <f>IFERROR(__xludf.DUMMYFUNCTION("""COMPUTED_VALUE"""),95.0)</f>
        <v>95</v>
      </c>
      <c r="B18" s="9" t="str">
        <f>IFERROR(__xludf.DUMMYFUNCTION("""COMPUTED_VALUE"""),"Thekla Scocroft")</f>
        <v>Thekla Scocroft</v>
      </c>
      <c r="C18" s="9" t="str">
        <f>IFERROR(__xludf.DUMMYFUNCTION("""COMPUTED_VALUE"""),"tscocroft2m@usa.gov")</f>
        <v>tscocroft2m@usa.gov</v>
      </c>
      <c r="D18" s="9" t="str">
        <f>IFERROR(__xludf.DUMMYFUNCTION("""COMPUTED_VALUE"""),"Argentina")</f>
        <v>Argentina</v>
      </c>
      <c r="E18" s="9" t="str">
        <f>IFERROR(__xludf.DUMMYFUNCTION("""COMPUTED_VALUE"""),"Tecnología")</f>
        <v>Tecnología</v>
      </c>
      <c r="F18" s="9" t="str">
        <f>IFERROR(__xludf.DUMMYFUNCTION("""COMPUTED_VALUE"""),"Inversión")</f>
        <v>Inversión</v>
      </c>
      <c r="G18" s="9" t="str">
        <f>IFERROR(__xludf.DUMMYFUNCTION("""COMPUTED_VALUE"""),"Socio de proyecto")</f>
        <v>Socio de proyecto</v>
      </c>
      <c r="H18" s="9" t="str">
        <f>IFERROR(__xludf.DUMMYFUNCTION("""COMPUTED_VALUE"""),"NO")</f>
        <v>NO</v>
      </c>
      <c r="I18" s="9">
        <f>IFERROR(__xludf.DUMMYFUNCTION("""COMPUTED_VALUE"""),7.0)</f>
        <v>7</v>
      </c>
      <c r="J18" s="9">
        <f>IFERROR(__xludf.DUMMYFUNCTION("""COMPUTED_VALUE"""),9.0)</f>
        <v>9</v>
      </c>
      <c r="K18" s="14">
        <f>IFERROR(__xludf.DUMMYFUNCTION("""COMPUTED_VALUE"""),9.0E7)</f>
        <v>90000000</v>
      </c>
      <c r="L18" s="14">
        <f>IFERROR(__xludf.DUMMYFUNCTION("""COMPUTED_VALUE"""),2.9991873E7)</f>
        <v>29991873</v>
      </c>
      <c r="M18" s="14">
        <f>IFERROR(__xludf.DUMMYFUNCTION("""COMPUTED_VALUE"""),3.9252741E7)</f>
        <v>39252741</v>
      </c>
      <c r="N18" s="14">
        <f>IFERROR(__xludf.DUMMYFUNCTION("""COMPUTED_VALUE"""),1.5542722E7)</f>
        <v>15542722</v>
      </c>
    </row>
    <row r="19">
      <c r="A19" s="9">
        <f>IFERROR(__xludf.DUMMYFUNCTION("""COMPUTED_VALUE"""),96.0)</f>
        <v>96</v>
      </c>
      <c r="B19" s="9" t="str">
        <f>IFERROR(__xludf.DUMMYFUNCTION("""COMPUTED_VALUE"""),"Cody Jouhan")</f>
        <v>Cody Jouhan</v>
      </c>
      <c r="C19" s="9" t="str">
        <f>IFERROR(__xludf.DUMMYFUNCTION("""COMPUTED_VALUE"""),"cjouhan2n@oracle.com")</f>
        <v>cjouhan2n@oracle.com</v>
      </c>
      <c r="D19" s="9" t="str">
        <f>IFERROR(__xludf.DUMMYFUNCTION("""COMPUTED_VALUE"""),"Argentina")</f>
        <v>Argentina</v>
      </c>
      <c r="E19" s="9" t="str">
        <f>IFERROR(__xludf.DUMMYFUNCTION("""COMPUTED_VALUE"""),"Tecnología")</f>
        <v>Tecnología</v>
      </c>
      <c r="F19" s="9" t="str">
        <f>IFERROR(__xludf.DUMMYFUNCTION("""COMPUTED_VALUE"""),"Inversión")</f>
        <v>Inversión</v>
      </c>
      <c r="G19" s="9" t="str">
        <f>IFERROR(__xludf.DUMMYFUNCTION("""COMPUTED_VALUE"""),"Socio de proyecto")</f>
        <v>Socio de proyecto</v>
      </c>
      <c r="H19" s="9" t="str">
        <f>IFERROR(__xludf.DUMMYFUNCTION("""COMPUTED_VALUE"""),"NO")</f>
        <v>NO</v>
      </c>
      <c r="I19" s="9">
        <f>IFERROR(__xludf.DUMMYFUNCTION("""COMPUTED_VALUE"""),6.0)</f>
        <v>6</v>
      </c>
      <c r="J19" s="9">
        <f>IFERROR(__xludf.DUMMYFUNCTION("""COMPUTED_VALUE"""),10.0)</f>
        <v>10</v>
      </c>
      <c r="K19" s="14">
        <f>IFERROR(__xludf.DUMMYFUNCTION("""COMPUTED_VALUE"""),1.0E7)</f>
        <v>10000000</v>
      </c>
      <c r="L19" s="14">
        <f>IFERROR(__xludf.DUMMYFUNCTION("""COMPUTED_VALUE"""),7303129.0)</f>
        <v>7303129</v>
      </c>
      <c r="M19" s="14">
        <f>IFERROR(__xludf.DUMMYFUNCTION("""COMPUTED_VALUE"""),3765621.0)</f>
        <v>3765621</v>
      </c>
      <c r="N19" s="14">
        <f>IFERROR(__xludf.DUMMYFUNCTION("""COMPUTED_VALUE"""),1.8125151E7)</f>
        <v>18125151</v>
      </c>
    </row>
    <row r="20">
      <c r="A20" s="9">
        <f>IFERROR(__xludf.DUMMYFUNCTION("""COMPUTED_VALUE"""),97.0)</f>
        <v>97</v>
      </c>
      <c r="B20" s="9" t="str">
        <f>IFERROR(__xludf.DUMMYFUNCTION("""COMPUTED_VALUE"""),"Deena McIllroy")</f>
        <v>Deena McIllroy</v>
      </c>
      <c r="C20" s="9" t="str">
        <f>IFERROR(__xludf.DUMMYFUNCTION("""COMPUTED_VALUE"""),"dmcillroy2o@redcross.org")</f>
        <v>dmcillroy2o@redcross.org</v>
      </c>
      <c r="D20" s="9" t="str">
        <f>IFERROR(__xludf.DUMMYFUNCTION("""COMPUTED_VALUE"""),"Uruguay")</f>
        <v>Uruguay</v>
      </c>
      <c r="E20" s="9" t="str">
        <f>IFERROR(__xludf.DUMMYFUNCTION("""COMPUTED_VALUE"""),"Tecnología")</f>
        <v>Tecnología</v>
      </c>
      <c r="F20" s="9" t="str">
        <f>IFERROR(__xludf.DUMMYFUNCTION("""COMPUTED_VALUE"""),"Inversión")</f>
        <v>Inversión</v>
      </c>
      <c r="G20" s="9" t="str">
        <f>IFERROR(__xludf.DUMMYFUNCTION("""COMPUTED_VALUE"""),"Socio de proyecto")</f>
        <v>Socio de proyecto</v>
      </c>
      <c r="H20" s="9" t="str">
        <f>IFERROR(__xludf.DUMMYFUNCTION("""COMPUTED_VALUE"""),"NO")</f>
        <v>NO</v>
      </c>
      <c r="I20" s="9">
        <f>IFERROR(__xludf.DUMMYFUNCTION("""COMPUTED_VALUE"""),3.0)</f>
        <v>3</v>
      </c>
      <c r="J20" s="9">
        <f>IFERROR(__xludf.DUMMYFUNCTION("""COMPUTED_VALUE"""),9.0)</f>
        <v>9</v>
      </c>
      <c r="K20" s="14">
        <f>IFERROR(__xludf.DUMMYFUNCTION("""COMPUTED_VALUE"""),3.0E7)</f>
        <v>30000000</v>
      </c>
      <c r="L20" s="14">
        <f>IFERROR(__xludf.DUMMYFUNCTION("""COMPUTED_VALUE"""),4.4457754E7)</f>
        <v>44457754</v>
      </c>
      <c r="M20" s="14">
        <f>IFERROR(__xludf.DUMMYFUNCTION("""COMPUTED_VALUE"""),0.0)</f>
        <v>0</v>
      </c>
      <c r="N20" s="14">
        <f>IFERROR(__xludf.DUMMYFUNCTION("""COMPUTED_VALUE"""),6.2249765E7)</f>
        <v>62249765</v>
      </c>
    </row>
    <row r="21">
      <c r="A21" s="9">
        <f>IFERROR(__xludf.DUMMYFUNCTION("""COMPUTED_VALUE"""),99.0)</f>
        <v>99</v>
      </c>
      <c r="B21" s="9" t="str">
        <f>IFERROR(__xludf.DUMMYFUNCTION("""COMPUTED_VALUE"""),"Gustaf Jeffcoat")</f>
        <v>Gustaf Jeffcoat</v>
      </c>
      <c r="C21" s="9" t="str">
        <f>IFERROR(__xludf.DUMMYFUNCTION("""COMPUTED_VALUE"""),"gjeffcoat2q@tuttocitta.it")</f>
        <v>gjeffcoat2q@tuttocitta.it</v>
      </c>
      <c r="D21" s="9" t="str">
        <f>IFERROR(__xludf.DUMMYFUNCTION("""COMPUTED_VALUE"""),"Brasil")</f>
        <v>Brasil</v>
      </c>
      <c r="E21" s="9" t="str">
        <f>IFERROR(__xludf.DUMMYFUNCTION("""COMPUTED_VALUE"""),"Tecnología")</f>
        <v>Tecnología</v>
      </c>
      <c r="F21" s="9" t="str">
        <f>IFERROR(__xludf.DUMMYFUNCTION("""COMPUTED_VALUE"""),"Inversión")</f>
        <v>Inversión</v>
      </c>
      <c r="G21" s="9" t="str">
        <f>IFERROR(__xludf.DUMMYFUNCTION("""COMPUTED_VALUE"""),"Socio de proyecto")</f>
        <v>Socio de proyecto</v>
      </c>
      <c r="H21" s="9" t="str">
        <f>IFERROR(__xludf.DUMMYFUNCTION("""COMPUTED_VALUE"""),"NO")</f>
        <v>NO</v>
      </c>
      <c r="I21" s="9">
        <f>IFERROR(__xludf.DUMMYFUNCTION("""COMPUTED_VALUE"""),4.0)</f>
        <v>4</v>
      </c>
      <c r="J21" s="9">
        <f>IFERROR(__xludf.DUMMYFUNCTION("""COMPUTED_VALUE"""),10.0)</f>
        <v>10</v>
      </c>
      <c r="K21" s="14">
        <f>IFERROR(__xludf.DUMMYFUNCTION("""COMPUTED_VALUE"""),1.0E7)</f>
        <v>10000000</v>
      </c>
      <c r="L21" s="14">
        <f>IFERROR(__xludf.DUMMYFUNCTION("""COMPUTED_VALUE"""),1.7991607E7)</f>
        <v>17991607</v>
      </c>
      <c r="M21" s="14">
        <f>IFERROR(__xludf.DUMMYFUNCTION("""COMPUTED_VALUE"""),0.0)</f>
        <v>0</v>
      </c>
      <c r="N21" s="14">
        <f>IFERROR(__xludf.DUMMYFUNCTION("""COMPUTED_VALUE"""),174626.0)</f>
        <v>174626</v>
      </c>
    </row>
    <row r="22">
      <c r="A22" s="9">
        <f>IFERROR(__xludf.DUMMYFUNCTION("""COMPUTED_VALUE"""),103.0)</f>
        <v>103</v>
      </c>
      <c r="B22" s="9" t="str">
        <f>IFERROR(__xludf.DUMMYFUNCTION("""COMPUTED_VALUE"""),"Deedee Hansel")</f>
        <v>Deedee Hansel</v>
      </c>
      <c r="C22" s="9" t="str">
        <f>IFERROR(__xludf.DUMMYFUNCTION("""COMPUTED_VALUE"""),"dhansel2u@is.gd")</f>
        <v>dhansel2u@is.gd</v>
      </c>
      <c r="D22" s="9" t="str">
        <f>IFERROR(__xludf.DUMMYFUNCTION("""COMPUTED_VALUE"""),"Ecuador")</f>
        <v>Ecuador</v>
      </c>
      <c r="E22" s="9" t="str">
        <f>IFERROR(__xludf.DUMMYFUNCTION("""COMPUTED_VALUE"""),"Tecnología")</f>
        <v>Tecnología</v>
      </c>
      <c r="F22" s="9" t="str">
        <f>IFERROR(__xludf.DUMMYFUNCTION("""COMPUTED_VALUE"""),"Inversión")</f>
        <v>Inversión</v>
      </c>
      <c r="G22" s="9" t="str">
        <f>IFERROR(__xludf.DUMMYFUNCTION("""COMPUTED_VALUE"""),"Socio de proyecto")</f>
        <v>Socio de proyecto</v>
      </c>
      <c r="H22" s="9" t="str">
        <f>IFERROR(__xludf.DUMMYFUNCTION("""COMPUTED_VALUE"""),"NO")</f>
        <v>NO</v>
      </c>
      <c r="I22" s="9">
        <f>IFERROR(__xludf.DUMMYFUNCTION("""COMPUTED_VALUE"""),5.0)</f>
        <v>5</v>
      </c>
      <c r="J22" s="9">
        <f>IFERROR(__xludf.DUMMYFUNCTION("""COMPUTED_VALUE"""),7.0)</f>
        <v>7</v>
      </c>
      <c r="K22" s="14">
        <f>IFERROR(__xludf.DUMMYFUNCTION("""COMPUTED_VALUE"""),1.0E7)</f>
        <v>10000000</v>
      </c>
      <c r="L22" s="14">
        <f>IFERROR(__xludf.DUMMYFUNCTION("""COMPUTED_VALUE"""),4.3538967E7)</f>
        <v>43538967</v>
      </c>
      <c r="M22" s="14">
        <f>IFERROR(__xludf.DUMMYFUNCTION("""COMPUTED_VALUE"""),5161300.0)</f>
        <v>5161300</v>
      </c>
      <c r="N22" s="14">
        <f>IFERROR(__xludf.DUMMYFUNCTION("""COMPUTED_VALUE"""),8.5417673E7)</f>
        <v>85417673</v>
      </c>
    </row>
    <row r="23">
      <c r="A23" s="9">
        <f>IFERROR(__xludf.DUMMYFUNCTION("""COMPUTED_VALUE"""),104.0)</f>
        <v>104</v>
      </c>
      <c r="B23" s="9" t="str">
        <f>IFERROR(__xludf.DUMMYFUNCTION("""COMPUTED_VALUE"""),"Lamond Sprague")</f>
        <v>Lamond Sprague</v>
      </c>
      <c r="C23" s="9" t="str">
        <f>IFERROR(__xludf.DUMMYFUNCTION("""COMPUTED_VALUE"""),"lsprague2v@cmu.edu")</f>
        <v>lsprague2v@cmu.edu</v>
      </c>
      <c r="D23" s="9" t="str">
        <f>IFERROR(__xludf.DUMMYFUNCTION("""COMPUTED_VALUE"""),"Perú")</f>
        <v>Perú</v>
      </c>
      <c r="E23" s="9" t="str">
        <f>IFERROR(__xludf.DUMMYFUNCTION("""COMPUTED_VALUE"""),"Tecnología")</f>
        <v>Tecnología</v>
      </c>
      <c r="F23" s="9" t="str">
        <f>IFERROR(__xludf.DUMMYFUNCTION("""COMPUTED_VALUE"""),"Inversión")</f>
        <v>Inversión</v>
      </c>
      <c r="G23" s="9" t="str">
        <f>IFERROR(__xludf.DUMMYFUNCTION("""COMPUTED_VALUE"""),"Socio de proyecto")</f>
        <v>Socio de proyecto</v>
      </c>
      <c r="H23" s="9" t="str">
        <f>IFERROR(__xludf.DUMMYFUNCTION("""COMPUTED_VALUE"""),"SI")</f>
        <v>SI</v>
      </c>
      <c r="I23" s="9">
        <f>IFERROR(__xludf.DUMMYFUNCTION("""COMPUTED_VALUE"""),6.0)</f>
        <v>6</v>
      </c>
      <c r="J23" s="9">
        <f>IFERROR(__xludf.DUMMYFUNCTION("""COMPUTED_VALUE"""),9.0)</f>
        <v>9</v>
      </c>
      <c r="K23" s="14">
        <f>IFERROR(__xludf.DUMMYFUNCTION("""COMPUTED_VALUE"""),1000000.0)</f>
        <v>1000000</v>
      </c>
      <c r="L23" s="14">
        <f>IFERROR(__xludf.DUMMYFUNCTION("""COMPUTED_VALUE"""),9.5899452E7)</f>
        <v>95899452</v>
      </c>
      <c r="M23" s="14">
        <f>IFERROR(__xludf.DUMMYFUNCTION("""COMPUTED_VALUE"""),2565664.0)</f>
        <v>2565664</v>
      </c>
      <c r="N23" s="14">
        <f>IFERROR(__xludf.DUMMYFUNCTION("""COMPUTED_VALUE"""),3.9602953E7)</f>
        <v>39602953</v>
      </c>
    </row>
    <row r="24">
      <c r="A24" s="9">
        <f>IFERROR(__xludf.DUMMYFUNCTION("""COMPUTED_VALUE"""),105.0)</f>
        <v>105</v>
      </c>
      <c r="B24" s="9" t="str">
        <f>IFERROR(__xludf.DUMMYFUNCTION("""COMPUTED_VALUE"""),"Skye Trill")</f>
        <v>Skye Trill</v>
      </c>
      <c r="C24" s="9" t="str">
        <f>IFERROR(__xludf.DUMMYFUNCTION("""COMPUTED_VALUE"""),"strill2w@amazon.de")</f>
        <v>strill2w@amazon.de</v>
      </c>
      <c r="D24" s="9" t="str">
        <f>IFERROR(__xludf.DUMMYFUNCTION("""COMPUTED_VALUE"""),"Paraguay")</f>
        <v>Paraguay</v>
      </c>
      <c r="E24" s="9" t="str">
        <f>IFERROR(__xludf.DUMMYFUNCTION("""COMPUTED_VALUE"""),"Tecnología")</f>
        <v>Tecnología</v>
      </c>
      <c r="F24" s="9" t="str">
        <f>IFERROR(__xludf.DUMMYFUNCTION("""COMPUTED_VALUE"""),"Inversión")</f>
        <v>Inversión</v>
      </c>
      <c r="G24" s="9" t="str">
        <f>IFERROR(__xludf.DUMMYFUNCTION("""COMPUTED_VALUE"""),"Socio de proyecto")</f>
        <v>Socio de proyecto</v>
      </c>
      <c r="H24" s="9" t="str">
        <f>IFERROR(__xludf.DUMMYFUNCTION("""COMPUTED_VALUE"""),"SI")</f>
        <v>SI</v>
      </c>
      <c r="I24" s="9">
        <f>IFERROR(__xludf.DUMMYFUNCTION("""COMPUTED_VALUE"""),6.0)</f>
        <v>6</v>
      </c>
      <c r="J24" s="9">
        <f>IFERROR(__xludf.DUMMYFUNCTION("""COMPUTED_VALUE"""),5.0)</f>
        <v>5</v>
      </c>
      <c r="K24" s="14">
        <f>IFERROR(__xludf.DUMMYFUNCTION("""COMPUTED_VALUE"""),1000000.0)</f>
        <v>1000000</v>
      </c>
      <c r="L24" s="14">
        <f>IFERROR(__xludf.DUMMYFUNCTION("""COMPUTED_VALUE"""),8.1347428E7)</f>
        <v>81347428</v>
      </c>
      <c r="M24" s="14">
        <f>IFERROR(__xludf.DUMMYFUNCTION("""COMPUTED_VALUE"""),1.0860215E7)</f>
        <v>10860215</v>
      </c>
      <c r="N24" s="14">
        <f>IFERROR(__xludf.DUMMYFUNCTION("""COMPUTED_VALUE"""),2.863729E7)</f>
        <v>28637290</v>
      </c>
    </row>
    <row r="25">
      <c r="A25" s="9">
        <f>IFERROR(__xludf.DUMMYFUNCTION("""COMPUTED_VALUE"""),107.0)</f>
        <v>107</v>
      </c>
      <c r="B25" s="9" t="str">
        <f>IFERROR(__xludf.DUMMYFUNCTION("""COMPUTED_VALUE"""),"Libby Adriaan")</f>
        <v>Libby Adriaan</v>
      </c>
      <c r="C25" s="9" t="str">
        <f>IFERROR(__xludf.DUMMYFUNCTION("""COMPUTED_VALUE"""),"ladriaan2y@tinypic.com")</f>
        <v>ladriaan2y@tinypic.com</v>
      </c>
      <c r="D25" s="9" t="str">
        <f>IFERROR(__xludf.DUMMYFUNCTION("""COMPUTED_VALUE"""),"Chile")</f>
        <v>Chile</v>
      </c>
      <c r="E25" s="9" t="str">
        <f>IFERROR(__xludf.DUMMYFUNCTION("""COMPUTED_VALUE"""),"Tecnología")</f>
        <v>Tecnología</v>
      </c>
      <c r="F25" s="9" t="str">
        <f>IFERROR(__xludf.DUMMYFUNCTION("""COMPUTED_VALUE"""),"Inversión")</f>
        <v>Inversión</v>
      </c>
      <c r="G25" s="9" t="str">
        <f>IFERROR(__xludf.DUMMYFUNCTION("""COMPUTED_VALUE"""),"Socio de proyecto")</f>
        <v>Socio de proyecto</v>
      </c>
      <c r="H25" s="9" t="str">
        <f>IFERROR(__xludf.DUMMYFUNCTION("""COMPUTED_VALUE"""),"SI")</f>
        <v>SI</v>
      </c>
      <c r="I25" s="9">
        <f>IFERROR(__xludf.DUMMYFUNCTION("""COMPUTED_VALUE"""),7.0)</f>
        <v>7</v>
      </c>
      <c r="J25" s="9">
        <f>IFERROR(__xludf.DUMMYFUNCTION("""COMPUTED_VALUE"""),8.0)</f>
        <v>8</v>
      </c>
      <c r="K25" s="14">
        <f>IFERROR(__xludf.DUMMYFUNCTION("""COMPUTED_VALUE"""),1.0E7)</f>
        <v>10000000</v>
      </c>
      <c r="L25" s="14">
        <f>IFERROR(__xludf.DUMMYFUNCTION("""COMPUTED_VALUE"""),9.6199053E7)</f>
        <v>96199053</v>
      </c>
      <c r="M25" s="14">
        <f>IFERROR(__xludf.DUMMYFUNCTION("""COMPUTED_VALUE"""),3.1746355E7)</f>
        <v>31746355</v>
      </c>
      <c r="N25" s="14">
        <f>IFERROR(__xludf.DUMMYFUNCTION("""COMPUTED_VALUE"""),8.0063468E7)</f>
        <v>80063468</v>
      </c>
    </row>
    <row r="26">
      <c r="A26" s="9">
        <f>IFERROR(__xludf.DUMMYFUNCTION("""COMPUTED_VALUE"""),108.0)</f>
        <v>108</v>
      </c>
      <c r="B26" s="9" t="str">
        <f>IFERROR(__xludf.DUMMYFUNCTION("""COMPUTED_VALUE"""),"Calhoun Sharram")</f>
        <v>Calhoun Sharram</v>
      </c>
      <c r="C26" s="9" t="str">
        <f>IFERROR(__xludf.DUMMYFUNCTION("""COMPUTED_VALUE"""),"csharram2z@php.net")</f>
        <v>csharram2z@php.net</v>
      </c>
      <c r="D26" s="9" t="str">
        <f>IFERROR(__xludf.DUMMYFUNCTION("""COMPUTED_VALUE"""),"Colombia")</f>
        <v>Colombia</v>
      </c>
      <c r="E26" s="9" t="str">
        <f>IFERROR(__xludf.DUMMYFUNCTION("""COMPUTED_VALUE"""),"Tecnología")</f>
        <v>Tecnología</v>
      </c>
      <c r="F26" s="9" t="str">
        <f>IFERROR(__xludf.DUMMYFUNCTION("""COMPUTED_VALUE"""),"Inversión")</f>
        <v>Inversión</v>
      </c>
      <c r="G26" s="9" t="str">
        <f>IFERROR(__xludf.DUMMYFUNCTION("""COMPUTED_VALUE"""),"Socio de proyecto")</f>
        <v>Socio de proyecto</v>
      </c>
      <c r="H26" s="9" t="str">
        <f>IFERROR(__xludf.DUMMYFUNCTION("""COMPUTED_VALUE"""),"NO")</f>
        <v>NO</v>
      </c>
      <c r="I26" s="9">
        <f>IFERROR(__xludf.DUMMYFUNCTION("""COMPUTED_VALUE"""),9.0)</f>
        <v>9</v>
      </c>
      <c r="J26" s="9">
        <f>IFERROR(__xludf.DUMMYFUNCTION("""COMPUTED_VALUE"""),10.0)</f>
        <v>10</v>
      </c>
      <c r="K26" s="14">
        <f>IFERROR(__xludf.DUMMYFUNCTION("""COMPUTED_VALUE"""),1000000.0)</f>
        <v>1000000</v>
      </c>
      <c r="L26" s="14">
        <f>IFERROR(__xludf.DUMMYFUNCTION("""COMPUTED_VALUE"""),7.1783742E7)</f>
        <v>71783742</v>
      </c>
      <c r="M26" s="14">
        <f>IFERROR(__xludf.DUMMYFUNCTION("""COMPUTED_VALUE"""),6.4667814E7)</f>
        <v>64667814</v>
      </c>
      <c r="N26" s="14">
        <f>IFERROR(__xludf.DUMMYFUNCTION("""COMPUTED_VALUE"""),7.065318E7)</f>
        <v>70653180</v>
      </c>
    </row>
    <row r="27">
      <c r="A27" s="9">
        <f>IFERROR(__xludf.DUMMYFUNCTION("""COMPUTED_VALUE"""),111.0)</f>
        <v>111</v>
      </c>
      <c r="B27" s="9" t="str">
        <f>IFERROR(__xludf.DUMMYFUNCTION("""COMPUTED_VALUE"""),"Erda Giff")</f>
        <v>Erda Giff</v>
      </c>
      <c r="C27" s="9" t="str">
        <f>IFERROR(__xludf.DUMMYFUNCTION("""COMPUTED_VALUE"""),"egiff32@cmu.edu")</f>
        <v>egiff32@cmu.edu</v>
      </c>
      <c r="D27" s="9" t="str">
        <f>IFERROR(__xludf.DUMMYFUNCTION("""COMPUTED_VALUE"""),"Perú")</f>
        <v>Perú</v>
      </c>
      <c r="E27" s="9" t="str">
        <f>IFERROR(__xludf.DUMMYFUNCTION("""COMPUTED_VALUE"""),"Tecnología")</f>
        <v>Tecnología</v>
      </c>
      <c r="F27" s="9" t="str">
        <f>IFERROR(__xludf.DUMMYFUNCTION("""COMPUTED_VALUE"""),"Inversión")</f>
        <v>Inversión</v>
      </c>
      <c r="G27" s="9" t="str">
        <f>IFERROR(__xludf.DUMMYFUNCTION("""COMPUTED_VALUE"""),"Socio de proyecto")</f>
        <v>Socio de proyecto</v>
      </c>
      <c r="H27" s="9" t="str">
        <f>IFERROR(__xludf.DUMMYFUNCTION("""COMPUTED_VALUE"""),"SI")</f>
        <v>SI</v>
      </c>
      <c r="I27" s="9">
        <f>IFERROR(__xludf.DUMMYFUNCTION("""COMPUTED_VALUE"""),9.0)</f>
        <v>9</v>
      </c>
      <c r="J27" s="9">
        <f>IFERROR(__xludf.DUMMYFUNCTION("""COMPUTED_VALUE"""),8.0)</f>
        <v>8</v>
      </c>
      <c r="K27" s="14">
        <f>IFERROR(__xludf.DUMMYFUNCTION("""COMPUTED_VALUE"""),3.0E7)</f>
        <v>30000000</v>
      </c>
      <c r="L27" s="14">
        <f>IFERROR(__xludf.DUMMYFUNCTION("""COMPUTED_VALUE"""),3.3477783E7)</f>
        <v>33477783</v>
      </c>
      <c r="M27" s="14">
        <f>IFERROR(__xludf.DUMMYFUNCTION("""COMPUTED_VALUE"""),0.0)</f>
        <v>0</v>
      </c>
      <c r="N27" s="14">
        <f>IFERROR(__xludf.DUMMYFUNCTION("""COMPUTED_VALUE"""),2.7651635E7)</f>
        <v>27651635</v>
      </c>
    </row>
    <row r="28">
      <c r="A28" s="9">
        <f>IFERROR(__xludf.DUMMYFUNCTION("""COMPUTED_VALUE"""),116.0)</f>
        <v>116</v>
      </c>
      <c r="B28" s="9" t="str">
        <f>IFERROR(__xludf.DUMMYFUNCTION("""COMPUTED_VALUE"""),"Lanni Farquarson")</f>
        <v>Lanni Farquarson</v>
      </c>
      <c r="C28" s="9" t="str">
        <f>IFERROR(__xludf.DUMMYFUNCTION("""COMPUTED_VALUE"""),"lfarquarson37@shutterfly.com")</f>
        <v>lfarquarson37@shutterfly.com</v>
      </c>
      <c r="D28" s="9" t="str">
        <f>IFERROR(__xludf.DUMMYFUNCTION("""COMPUTED_VALUE"""),"Chile")</f>
        <v>Chile</v>
      </c>
      <c r="E28" s="9" t="str">
        <f>IFERROR(__xludf.DUMMYFUNCTION("""COMPUTED_VALUE"""),"Tecnología")</f>
        <v>Tecnología</v>
      </c>
      <c r="F28" s="9" t="str">
        <f>IFERROR(__xludf.DUMMYFUNCTION("""COMPUTED_VALUE"""),"Inversión")</f>
        <v>Inversión</v>
      </c>
      <c r="G28" s="9" t="str">
        <f>IFERROR(__xludf.DUMMYFUNCTION("""COMPUTED_VALUE"""),"Socio de proyecto")</f>
        <v>Socio de proyecto</v>
      </c>
      <c r="H28" s="9" t="str">
        <f>IFERROR(__xludf.DUMMYFUNCTION("""COMPUTED_VALUE"""),"NO")</f>
        <v>NO</v>
      </c>
      <c r="I28" s="9">
        <f>IFERROR(__xludf.DUMMYFUNCTION("""COMPUTED_VALUE"""),6.0)</f>
        <v>6</v>
      </c>
      <c r="J28" s="9">
        <f>IFERROR(__xludf.DUMMYFUNCTION("""COMPUTED_VALUE"""),5.0)</f>
        <v>5</v>
      </c>
      <c r="K28" s="14">
        <f>IFERROR(__xludf.DUMMYFUNCTION("""COMPUTED_VALUE"""),3.0E7)</f>
        <v>30000000</v>
      </c>
      <c r="L28" s="14">
        <f>IFERROR(__xludf.DUMMYFUNCTION("""COMPUTED_VALUE"""),4.528936E7)</f>
        <v>45289360</v>
      </c>
      <c r="M28" s="14">
        <f>IFERROR(__xludf.DUMMYFUNCTION("""COMPUTED_VALUE"""),0.0)</f>
        <v>0</v>
      </c>
      <c r="N28" s="14">
        <f>IFERROR(__xludf.DUMMYFUNCTION("""COMPUTED_VALUE"""),4.6980526E7)</f>
        <v>46980526</v>
      </c>
    </row>
    <row r="29">
      <c r="A29" s="9">
        <f>IFERROR(__xludf.DUMMYFUNCTION("""COMPUTED_VALUE"""),125.0)</f>
        <v>125</v>
      </c>
      <c r="B29" s="9" t="str">
        <f>IFERROR(__xludf.DUMMYFUNCTION("""COMPUTED_VALUE"""),"Demetris Bullimore")</f>
        <v>Demetris Bullimore</v>
      </c>
      <c r="C29" s="9" t="str">
        <f>IFERROR(__xludf.DUMMYFUNCTION("""COMPUTED_VALUE"""),"dbullimore3g@techcrunch.com")</f>
        <v>dbullimore3g@techcrunch.com</v>
      </c>
      <c r="D29" s="9" t="str">
        <f>IFERROR(__xludf.DUMMYFUNCTION("""COMPUTED_VALUE"""),"Argentina")</f>
        <v>Argentina</v>
      </c>
      <c r="E29" s="9" t="str">
        <f>IFERROR(__xludf.DUMMYFUNCTION("""COMPUTED_VALUE"""),"Tecnología")</f>
        <v>Tecnología</v>
      </c>
      <c r="F29" s="9" t="str">
        <f>IFERROR(__xludf.DUMMYFUNCTION("""COMPUTED_VALUE"""),"Inversión")</f>
        <v>Inversión</v>
      </c>
      <c r="G29" s="9" t="str">
        <f>IFERROR(__xludf.DUMMYFUNCTION("""COMPUTED_VALUE"""),"Socio de proyecto")</f>
        <v>Socio de proyecto</v>
      </c>
      <c r="H29" s="9" t="str">
        <f>IFERROR(__xludf.DUMMYFUNCTION("""COMPUTED_VALUE"""),"NO")</f>
        <v>NO</v>
      </c>
      <c r="I29" s="9">
        <f>IFERROR(__xludf.DUMMYFUNCTION("""COMPUTED_VALUE"""),8.0)</f>
        <v>8</v>
      </c>
      <c r="J29" s="9">
        <f>IFERROR(__xludf.DUMMYFUNCTION("""COMPUTED_VALUE"""),8.0)</f>
        <v>8</v>
      </c>
      <c r="K29" s="14">
        <f>IFERROR(__xludf.DUMMYFUNCTION("""COMPUTED_VALUE"""),3.0E7)</f>
        <v>30000000</v>
      </c>
      <c r="L29" s="14">
        <f>IFERROR(__xludf.DUMMYFUNCTION("""COMPUTED_VALUE"""),3.2890743E7)</f>
        <v>32890743</v>
      </c>
      <c r="M29" s="14">
        <f>IFERROR(__xludf.DUMMYFUNCTION("""COMPUTED_VALUE"""),0.0)</f>
        <v>0</v>
      </c>
      <c r="N29" s="14">
        <f>IFERROR(__xludf.DUMMYFUNCTION("""COMPUTED_VALUE"""),3.986462E7)</f>
        <v>39864620</v>
      </c>
    </row>
    <row r="30">
      <c r="A30" s="9">
        <f>IFERROR(__xludf.DUMMYFUNCTION("""COMPUTED_VALUE"""),136.0)</f>
        <v>136</v>
      </c>
      <c r="B30" s="9" t="str">
        <f>IFERROR(__xludf.DUMMYFUNCTION("""COMPUTED_VALUE"""),"Leo Jancso")</f>
        <v>Leo Jancso</v>
      </c>
      <c r="C30" s="9" t="str">
        <f>IFERROR(__xludf.DUMMYFUNCTION("""COMPUTED_VALUE"""),"ljancso3r@java.com")</f>
        <v>ljancso3r@java.com</v>
      </c>
      <c r="D30" s="9" t="str">
        <f>IFERROR(__xludf.DUMMYFUNCTION("""COMPUTED_VALUE"""),"Brasil")</f>
        <v>Brasil</v>
      </c>
      <c r="E30" s="9" t="str">
        <f>IFERROR(__xludf.DUMMYFUNCTION("""COMPUTED_VALUE"""),"Tecnología")</f>
        <v>Tecnología</v>
      </c>
      <c r="F30" s="9" t="str">
        <f>IFERROR(__xludf.DUMMYFUNCTION("""COMPUTED_VALUE"""),"Inversión")</f>
        <v>Inversión</v>
      </c>
      <c r="G30" s="9" t="str">
        <f>IFERROR(__xludf.DUMMYFUNCTION("""COMPUTED_VALUE"""),"Socio de proyecto")</f>
        <v>Socio de proyecto</v>
      </c>
      <c r="H30" s="9" t="str">
        <f>IFERROR(__xludf.DUMMYFUNCTION("""COMPUTED_VALUE"""),"SI")</f>
        <v>SI</v>
      </c>
      <c r="I30" s="9">
        <f>IFERROR(__xludf.DUMMYFUNCTION("""COMPUTED_VALUE"""),4.0)</f>
        <v>4</v>
      </c>
      <c r="J30" s="9">
        <f>IFERROR(__xludf.DUMMYFUNCTION("""COMPUTED_VALUE"""),10.0)</f>
        <v>10</v>
      </c>
      <c r="K30" s="14">
        <f>IFERROR(__xludf.DUMMYFUNCTION("""COMPUTED_VALUE"""),1.0E7)</f>
        <v>10000000</v>
      </c>
      <c r="L30" s="14">
        <f>IFERROR(__xludf.DUMMYFUNCTION("""COMPUTED_VALUE"""),5.9890317E7)</f>
        <v>59890317</v>
      </c>
      <c r="M30" s="14">
        <f>IFERROR(__xludf.DUMMYFUNCTION("""COMPUTED_VALUE"""),4.2451842E7)</f>
        <v>42451842</v>
      </c>
      <c r="N30" s="14">
        <f>IFERROR(__xludf.DUMMYFUNCTION("""COMPUTED_VALUE"""),0.0)</f>
        <v>0</v>
      </c>
    </row>
    <row r="31">
      <c r="A31" s="9">
        <f>IFERROR(__xludf.DUMMYFUNCTION("""COMPUTED_VALUE"""),158.0)</f>
        <v>158</v>
      </c>
      <c r="B31" s="9" t="str">
        <f>IFERROR(__xludf.DUMMYFUNCTION("""COMPUTED_VALUE"""),"Chelsea Gerrill")</f>
        <v>Chelsea Gerrill</v>
      </c>
      <c r="C31" s="9" t="str">
        <f>IFERROR(__xludf.DUMMYFUNCTION("""COMPUTED_VALUE"""),"cgerrill4d@sohu.com")</f>
        <v>cgerrill4d@sohu.com</v>
      </c>
      <c r="D31" s="9" t="str">
        <f>IFERROR(__xludf.DUMMYFUNCTION("""COMPUTED_VALUE"""),"Uruguay")</f>
        <v>Uruguay</v>
      </c>
      <c r="E31" s="9" t="str">
        <f>IFERROR(__xludf.DUMMYFUNCTION("""COMPUTED_VALUE"""),"Tecnología")</f>
        <v>Tecnología</v>
      </c>
      <c r="F31" s="9" t="str">
        <f>IFERROR(__xludf.DUMMYFUNCTION("""COMPUTED_VALUE"""),"Inversión")</f>
        <v>Inversión</v>
      </c>
      <c r="G31" s="9" t="str">
        <f>IFERROR(__xludf.DUMMYFUNCTION("""COMPUTED_VALUE"""),"Socio de proyecto")</f>
        <v>Socio de proyecto</v>
      </c>
      <c r="H31" s="9" t="str">
        <f>IFERROR(__xludf.DUMMYFUNCTION("""COMPUTED_VALUE"""),"NO")</f>
        <v>NO</v>
      </c>
      <c r="I31" s="9">
        <f>IFERROR(__xludf.DUMMYFUNCTION("""COMPUTED_VALUE"""),8.0)</f>
        <v>8</v>
      </c>
      <c r="J31" s="9">
        <f>IFERROR(__xludf.DUMMYFUNCTION("""COMPUTED_VALUE"""),6.0)</f>
        <v>6</v>
      </c>
      <c r="K31" s="14">
        <f>IFERROR(__xludf.DUMMYFUNCTION("""COMPUTED_VALUE"""),9.0E7)</f>
        <v>90000000</v>
      </c>
      <c r="L31" s="14">
        <f>IFERROR(__xludf.DUMMYFUNCTION("""COMPUTED_VALUE"""),2.9991873E7)</f>
        <v>29991873</v>
      </c>
      <c r="M31" s="14">
        <f>IFERROR(__xludf.DUMMYFUNCTION("""COMPUTED_VALUE"""),3.9252741E7)</f>
        <v>39252741</v>
      </c>
      <c r="N31" s="14">
        <f>IFERROR(__xludf.DUMMYFUNCTION("""COMPUTED_VALUE"""),1.5542722E7)</f>
        <v>15542722</v>
      </c>
    </row>
    <row r="32">
      <c r="A32" s="9">
        <f>IFERROR(__xludf.DUMMYFUNCTION("""COMPUTED_VALUE"""),159.0)</f>
        <v>159</v>
      </c>
      <c r="B32" s="9" t="str">
        <f>IFERROR(__xludf.DUMMYFUNCTION("""COMPUTED_VALUE"""),"Marcile Seedhouse")</f>
        <v>Marcile Seedhouse</v>
      </c>
      <c r="C32" s="9" t="str">
        <f>IFERROR(__xludf.DUMMYFUNCTION("""COMPUTED_VALUE"""),"mseedhouse4e@infoseek.co.jp")</f>
        <v>mseedhouse4e@infoseek.co.jp</v>
      </c>
      <c r="D32" s="9" t="str">
        <f>IFERROR(__xludf.DUMMYFUNCTION("""COMPUTED_VALUE"""),"Colombia")</f>
        <v>Colombia</v>
      </c>
      <c r="E32" s="9" t="str">
        <f>IFERROR(__xludf.DUMMYFUNCTION("""COMPUTED_VALUE"""),"Tecnología")</f>
        <v>Tecnología</v>
      </c>
      <c r="F32" s="9" t="str">
        <f>IFERROR(__xludf.DUMMYFUNCTION("""COMPUTED_VALUE"""),"Inversión")</f>
        <v>Inversión</v>
      </c>
      <c r="G32" s="9" t="str">
        <f>IFERROR(__xludf.DUMMYFUNCTION("""COMPUTED_VALUE"""),"Socio de proyecto")</f>
        <v>Socio de proyecto</v>
      </c>
      <c r="H32" s="9" t="str">
        <f>IFERROR(__xludf.DUMMYFUNCTION("""COMPUTED_VALUE"""),"NO")</f>
        <v>NO</v>
      </c>
      <c r="I32" s="9">
        <f>IFERROR(__xludf.DUMMYFUNCTION("""COMPUTED_VALUE"""),5.0)</f>
        <v>5</v>
      </c>
      <c r="J32" s="9">
        <f>IFERROR(__xludf.DUMMYFUNCTION("""COMPUTED_VALUE"""),5.0)</f>
        <v>5</v>
      </c>
      <c r="K32" s="14">
        <f>IFERROR(__xludf.DUMMYFUNCTION("""COMPUTED_VALUE"""),1.0E7)</f>
        <v>10000000</v>
      </c>
      <c r="L32" s="14">
        <f>IFERROR(__xludf.DUMMYFUNCTION("""COMPUTED_VALUE"""),7303129.0)</f>
        <v>7303129</v>
      </c>
      <c r="M32" s="14">
        <f>IFERROR(__xludf.DUMMYFUNCTION("""COMPUTED_VALUE"""),3765621.0)</f>
        <v>3765621</v>
      </c>
      <c r="N32" s="14">
        <f>IFERROR(__xludf.DUMMYFUNCTION("""COMPUTED_VALUE"""),1.8125151E7)</f>
        <v>18125151</v>
      </c>
    </row>
    <row r="33">
      <c r="A33" s="9">
        <f>IFERROR(__xludf.DUMMYFUNCTION("""COMPUTED_VALUE"""),160.0)</f>
        <v>160</v>
      </c>
      <c r="B33" s="9" t="str">
        <f>IFERROR(__xludf.DUMMYFUNCTION("""COMPUTED_VALUE"""),"Bertha Penni")</f>
        <v>Bertha Penni</v>
      </c>
      <c r="C33" s="9" t="str">
        <f>IFERROR(__xludf.DUMMYFUNCTION("""COMPUTED_VALUE"""),"bpenni4f@state.tx.us")</f>
        <v>bpenni4f@state.tx.us</v>
      </c>
      <c r="D33" s="9" t="str">
        <f>IFERROR(__xludf.DUMMYFUNCTION("""COMPUTED_VALUE"""),"Perú")</f>
        <v>Perú</v>
      </c>
      <c r="E33" s="9" t="str">
        <f>IFERROR(__xludf.DUMMYFUNCTION("""COMPUTED_VALUE"""),"Tecnología")</f>
        <v>Tecnología</v>
      </c>
      <c r="F33" s="9" t="str">
        <f>IFERROR(__xludf.DUMMYFUNCTION("""COMPUTED_VALUE"""),"Inversión")</f>
        <v>Inversión</v>
      </c>
      <c r="G33" s="9" t="str">
        <f>IFERROR(__xludf.DUMMYFUNCTION("""COMPUTED_VALUE"""),"Socio de proyecto")</f>
        <v>Socio de proyecto</v>
      </c>
      <c r="H33" s="9" t="str">
        <f>IFERROR(__xludf.DUMMYFUNCTION("""COMPUTED_VALUE"""),"NO")</f>
        <v>NO</v>
      </c>
      <c r="I33" s="9">
        <f>IFERROR(__xludf.DUMMYFUNCTION("""COMPUTED_VALUE"""),8.0)</f>
        <v>8</v>
      </c>
      <c r="J33" s="9">
        <f>IFERROR(__xludf.DUMMYFUNCTION("""COMPUTED_VALUE"""),9.0)</f>
        <v>9</v>
      </c>
      <c r="K33" s="14">
        <f>IFERROR(__xludf.DUMMYFUNCTION("""COMPUTED_VALUE"""),3.0E7)</f>
        <v>30000000</v>
      </c>
      <c r="L33" s="14">
        <f>IFERROR(__xludf.DUMMYFUNCTION("""COMPUTED_VALUE"""),4.4457754E7)</f>
        <v>44457754</v>
      </c>
      <c r="M33" s="14">
        <f>IFERROR(__xludf.DUMMYFUNCTION("""COMPUTED_VALUE"""),0.0)</f>
        <v>0</v>
      </c>
      <c r="N33" s="14">
        <f>IFERROR(__xludf.DUMMYFUNCTION("""COMPUTED_VALUE"""),6.2249765E7)</f>
        <v>62249765</v>
      </c>
    </row>
    <row r="34">
      <c r="A34" s="9">
        <f>IFERROR(__xludf.DUMMYFUNCTION("""COMPUTED_VALUE"""),162.0)</f>
        <v>162</v>
      </c>
      <c r="B34" s="9" t="str">
        <f>IFERROR(__xludf.DUMMYFUNCTION("""COMPUTED_VALUE"""),"Lucky Breache")</f>
        <v>Lucky Breache</v>
      </c>
      <c r="C34" s="9" t="str">
        <f>IFERROR(__xludf.DUMMYFUNCTION("""COMPUTED_VALUE"""),"lbreache4h@hibu.com")</f>
        <v>lbreache4h@hibu.com</v>
      </c>
      <c r="D34" s="9" t="str">
        <f>IFERROR(__xludf.DUMMYFUNCTION("""COMPUTED_VALUE"""),"Colombia")</f>
        <v>Colombia</v>
      </c>
      <c r="E34" s="9" t="str">
        <f>IFERROR(__xludf.DUMMYFUNCTION("""COMPUTED_VALUE"""),"Tecnología")</f>
        <v>Tecnología</v>
      </c>
      <c r="F34" s="9" t="str">
        <f>IFERROR(__xludf.DUMMYFUNCTION("""COMPUTED_VALUE"""),"Inversión")</f>
        <v>Inversión</v>
      </c>
      <c r="G34" s="9" t="str">
        <f>IFERROR(__xludf.DUMMYFUNCTION("""COMPUTED_VALUE"""),"Socio de proyecto")</f>
        <v>Socio de proyecto</v>
      </c>
      <c r="H34" s="9" t="str">
        <f>IFERROR(__xludf.DUMMYFUNCTION("""COMPUTED_VALUE"""),"NO")</f>
        <v>NO</v>
      </c>
      <c r="I34" s="9">
        <f>IFERROR(__xludf.DUMMYFUNCTION("""COMPUTED_VALUE"""),9.0)</f>
        <v>9</v>
      </c>
      <c r="J34" s="9">
        <f>IFERROR(__xludf.DUMMYFUNCTION("""COMPUTED_VALUE"""),9.0)</f>
        <v>9</v>
      </c>
      <c r="K34" s="14">
        <f>IFERROR(__xludf.DUMMYFUNCTION("""COMPUTED_VALUE"""),1.0E7)</f>
        <v>10000000</v>
      </c>
      <c r="L34" s="14">
        <f>IFERROR(__xludf.DUMMYFUNCTION("""COMPUTED_VALUE"""),1.7991607E7)</f>
        <v>17991607</v>
      </c>
      <c r="M34" s="14">
        <f>IFERROR(__xludf.DUMMYFUNCTION("""COMPUTED_VALUE"""),0.0)</f>
        <v>0</v>
      </c>
      <c r="N34" s="14">
        <f>IFERROR(__xludf.DUMMYFUNCTION("""COMPUTED_VALUE"""),174626.0)</f>
        <v>174626</v>
      </c>
    </row>
    <row r="35">
      <c r="A35" s="9">
        <f>IFERROR(__xludf.DUMMYFUNCTION("""COMPUTED_VALUE"""),166.0)</f>
        <v>166</v>
      </c>
      <c r="B35" s="9" t="str">
        <f>IFERROR(__xludf.DUMMYFUNCTION("""COMPUTED_VALUE"""),"Adiana Etches")</f>
        <v>Adiana Etches</v>
      </c>
      <c r="C35" s="9" t="str">
        <f>IFERROR(__xludf.DUMMYFUNCTION("""COMPUTED_VALUE"""),"aetches4l@gravatar.com")</f>
        <v>aetches4l@gravatar.com</v>
      </c>
      <c r="D35" s="9" t="str">
        <f>IFERROR(__xludf.DUMMYFUNCTION("""COMPUTED_VALUE"""),"Brasil")</f>
        <v>Brasil</v>
      </c>
      <c r="E35" s="9" t="str">
        <f>IFERROR(__xludf.DUMMYFUNCTION("""COMPUTED_VALUE"""),"Tecnología")</f>
        <v>Tecnología</v>
      </c>
      <c r="F35" s="9" t="str">
        <f>IFERROR(__xludf.DUMMYFUNCTION("""COMPUTED_VALUE"""),"Inversión")</f>
        <v>Inversión</v>
      </c>
      <c r="G35" s="9" t="str">
        <f>IFERROR(__xludf.DUMMYFUNCTION("""COMPUTED_VALUE"""),"Socio de proyecto")</f>
        <v>Socio de proyecto</v>
      </c>
      <c r="H35" s="9" t="str">
        <f>IFERROR(__xludf.DUMMYFUNCTION("""COMPUTED_VALUE"""),"NO")</f>
        <v>NO</v>
      </c>
      <c r="I35" s="9">
        <f>IFERROR(__xludf.DUMMYFUNCTION("""COMPUTED_VALUE"""),7.0)</f>
        <v>7</v>
      </c>
      <c r="J35" s="9">
        <f>IFERROR(__xludf.DUMMYFUNCTION("""COMPUTED_VALUE"""),7.0)</f>
        <v>7</v>
      </c>
      <c r="K35" s="14">
        <f>IFERROR(__xludf.DUMMYFUNCTION("""COMPUTED_VALUE"""),1.0E7)</f>
        <v>10000000</v>
      </c>
      <c r="L35" s="14">
        <f>IFERROR(__xludf.DUMMYFUNCTION("""COMPUTED_VALUE"""),4.3538967E7)</f>
        <v>43538967</v>
      </c>
      <c r="M35" s="14">
        <f>IFERROR(__xludf.DUMMYFUNCTION("""COMPUTED_VALUE"""),5161300.0)</f>
        <v>5161300</v>
      </c>
      <c r="N35" s="14">
        <f>IFERROR(__xludf.DUMMYFUNCTION("""COMPUTED_VALUE"""),8.5417673E7)</f>
        <v>85417673</v>
      </c>
    </row>
    <row r="36">
      <c r="A36" s="9">
        <f>IFERROR(__xludf.DUMMYFUNCTION("""COMPUTED_VALUE"""),167.0)</f>
        <v>167</v>
      </c>
      <c r="B36" s="9" t="str">
        <f>IFERROR(__xludf.DUMMYFUNCTION("""COMPUTED_VALUE"""),"Constantine McGibbon")</f>
        <v>Constantine McGibbon</v>
      </c>
      <c r="C36" s="9" t="str">
        <f>IFERROR(__xludf.DUMMYFUNCTION("""COMPUTED_VALUE"""),"cmcgibbon4m@istockphoto.com")</f>
        <v>cmcgibbon4m@istockphoto.com</v>
      </c>
      <c r="D36" s="9" t="str">
        <f>IFERROR(__xludf.DUMMYFUNCTION("""COMPUTED_VALUE"""),"Uruguay")</f>
        <v>Uruguay</v>
      </c>
      <c r="E36" s="9" t="str">
        <f>IFERROR(__xludf.DUMMYFUNCTION("""COMPUTED_VALUE"""),"Tecnología")</f>
        <v>Tecnología</v>
      </c>
      <c r="F36" s="9" t="str">
        <f>IFERROR(__xludf.DUMMYFUNCTION("""COMPUTED_VALUE"""),"Inversión")</f>
        <v>Inversión</v>
      </c>
      <c r="G36" s="9" t="str">
        <f>IFERROR(__xludf.DUMMYFUNCTION("""COMPUTED_VALUE"""),"Socio de proyecto")</f>
        <v>Socio de proyecto</v>
      </c>
      <c r="H36" s="9" t="str">
        <f>IFERROR(__xludf.DUMMYFUNCTION("""COMPUTED_VALUE"""),"SI")</f>
        <v>SI</v>
      </c>
      <c r="I36" s="9">
        <f>IFERROR(__xludf.DUMMYFUNCTION("""COMPUTED_VALUE"""),3.0)</f>
        <v>3</v>
      </c>
      <c r="J36" s="9">
        <f>IFERROR(__xludf.DUMMYFUNCTION("""COMPUTED_VALUE"""),7.0)</f>
        <v>7</v>
      </c>
      <c r="K36" s="14">
        <f>IFERROR(__xludf.DUMMYFUNCTION("""COMPUTED_VALUE"""),1000000.0)</f>
        <v>1000000</v>
      </c>
      <c r="L36" s="14">
        <f>IFERROR(__xludf.DUMMYFUNCTION("""COMPUTED_VALUE"""),9.5899452E7)</f>
        <v>95899452</v>
      </c>
      <c r="M36" s="14">
        <f>IFERROR(__xludf.DUMMYFUNCTION("""COMPUTED_VALUE"""),2565664.0)</f>
        <v>2565664</v>
      </c>
      <c r="N36" s="14">
        <f>IFERROR(__xludf.DUMMYFUNCTION("""COMPUTED_VALUE"""),3.9602953E7)</f>
        <v>39602953</v>
      </c>
    </row>
    <row r="37">
      <c r="A37" s="9">
        <f>IFERROR(__xludf.DUMMYFUNCTION("""COMPUTED_VALUE"""),168.0)</f>
        <v>168</v>
      </c>
      <c r="B37" s="9" t="str">
        <f>IFERROR(__xludf.DUMMYFUNCTION("""COMPUTED_VALUE"""),"Hughie Dawltrey")</f>
        <v>Hughie Dawltrey</v>
      </c>
      <c r="C37" s="9" t="str">
        <f>IFERROR(__xludf.DUMMYFUNCTION("""COMPUTED_VALUE"""),"hdawltrey4n@hud.gov")</f>
        <v>hdawltrey4n@hud.gov</v>
      </c>
      <c r="D37" s="9" t="str">
        <f>IFERROR(__xludf.DUMMYFUNCTION("""COMPUTED_VALUE"""),"Paraguay")</f>
        <v>Paraguay</v>
      </c>
      <c r="E37" s="9" t="str">
        <f>IFERROR(__xludf.DUMMYFUNCTION("""COMPUTED_VALUE"""),"Tecnología")</f>
        <v>Tecnología</v>
      </c>
      <c r="F37" s="9" t="str">
        <f>IFERROR(__xludf.DUMMYFUNCTION("""COMPUTED_VALUE"""),"Inversión")</f>
        <v>Inversión</v>
      </c>
      <c r="G37" s="9" t="str">
        <f>IFERROR(__xludf.DUMMYFUNCTION("""COMPUTED_VALUE"""),"Socio de proyecto")</f>
        <v>Socio de proyecto</v>
      </c>
      <c r="H37" s="9" t="str">
        <f>IFERROR(__xludf.DUMMYFUNCTION("""COMPUTED_VALUE"""),"SI")</f>
        <v>SI</v>
      </c>
      <c r="I37" s="9">
        <f>IFERROR(__xludf.DUMMYFUNCTION("""COMPUTED_VALUE"""),7.0)</f>
        <v>7</v>
      </c>
      <c r="J37" s="9">
        <f>IFERROR(__xludf.DUMMYFUNCTION("""COMPUTED_VALUE"""),7.0)</f>
        <v>7</v>
      </c>
      <c r="K37" s="14">
        <f>IFERROR(__xludf.DUMMYFUNCTION("""COMPUTED_VALUE"""),1000000.0)</f>
        <v>1000000</v>
      </c>
      <c r="L37" s="14">
        <f>IFERROR(__xludf.DUMMYFUNCTION("""COMPUTED_VALUE"""),8.1347428E7)</f>
        <v>81347428</v>
      </c>
      <c r="M37" s="14">
        <f>IFERROR(__xludf.DUMMYFUNCTION("""COMPUTED_VALUE"""),1.0860215E7)</f>
        <v>10860215</v>
      </c>
      <c r="N37" s="14">
        <f>IFERROR(__xludf.DUMMYFUNCTION("""COMPUTED_VALUE"""),2.863729E7)</f>
        <v>28637290</v>
      </c>
    </row>
    <row r="38">
      <c r="A38" s="9">
        <f>IFERROR(__xludf.DUMMYFUNCTION("""COMPUTED_VALUE"""),170.0)</f>
        <v>170</v>
      </c>
      <c r="B38" s="9" t="str">
        <f>IFERROR(__xludf.DUMMYFUNCTION("""COMPUTED_VALUE"""),"William Parysowna")</f>
        <v>William Parysowna</v>
      </c>
      <c r="C38" s="9" t="str">
        <f>IFERROR(__xludf.DUMMYFUNCTION("""COMPUTED_VALUE"""),"wparysowna4p@purevolume.com")</f>
        <v>wparysowna4p@purevolume.com</v>
      </c>
      <c r="D38" s="9" t="str">
        <f>IFERROR(__xludf.DUMMYFUNCTION("""COMPUTED_VALUE"""),"Argentina")</f>
        <v>Argentina</v>
      </c>
      <c r="E38" s="9" t="str">
        <f>IFERROR(__xludf.DUMMYFUNCTION("""COMPUTED_VALUE"""),"Tecnología")</f>
        <v>Tecnología</v>
      </c>
      <c r="F38" s="9" t="str">
        <f>IFERROR(__xludf.DUMMYFUNCTION("""COMPUTED_VALUE"""),"Inversión")</f>
        <v>Inversión</v>
      </c>
      <c r="G38" s="9" t="str">
        <f>IFERROR(__xludf.DUMMYFUNCTION("""COMPUTED_VALUE"""),"Socio de proyecto")</f>
        <v>Socio de proyecto</v>
      </c>
      <c r="H38" s="9" t="str">
        <f>IFERROR(__xludf.DUMMYFUNCTION("""COMPUTED_VALUE"""),"SI")</f>
        <v>SI</v>
      </c>
      <c r="I38" s="9">
        <f>IFERROR(__xludf.DUMMYFUNCTION("""COMPUTED_VALUE"""),3.0)</f>
        <v>3</v>
      </c>
      <c r="J38" s="9">
        <f>IFERROR(__xludf.DUMMYFUNCTION("""COMPUTED_VALUE"""),5.0)</f>
        <v>5</v>
      </c>
      <c r="K38" s="14">
        <f>IFERROR(__xludf.DUMMYFUNCTION("""COMPUTED_VALUE"""),1.0E7)</f>
        <v>10000000</v>
      </c>
      <c r="L38" s="14">
        <f>IFERROR(__xludf.DUMMYFUNCTION("""COMPUTED_VALUE"""),9.6199053E7)</f>
        <v>96199053</v>
      </c>
      <c r="M38" s="14">
        <f>IFERROR(__xludf.DUMMYFUNCTION("""COMPUTED_VALUE"""),3.1746355E7)</f>
        <v>31746355</v>
      </c>
      <c r="N38" s="14">
        <f>IFERROR(__xludf.DUMMYFUNCTION("""COMPUTED_VALUE"""),8.0063468E7)</f>
        <v>80063468</v>
      </c>
    </row>
    <row r="39">
      <c r="A39" s="9">
        <f>IFERROR(__xludf.DUMMYFUNCTION("""COMPUTED_VALUE"""),171.0)</f>
        <v>171</v>
      </c>
      <c r="B39" s="9" t="str">
        <f>IFERROR(__xludf.DUMMYFUNCTION("""COMPUTED_VALUE"""),"Gav Davio")</f>
        <v>Gav Davio</v>
      </c>
      <c r="C39" s="9" t="str">
        <f>IFERROR(__xludf.DUMMYFUNCTION("""COMPUTED_VALUE"""),"gdavio4q@google.ru")</f>
        <v>gdavio4q@google.ru</v>
      </c>
      <c r="D39" s="9" t="str">
        <f>IFERROR(__xludf.DUMMYFUNCTION("""COMPUTED_VALUE"""),"Colombia")</f>
        <v>Colombia</v>
      </c>
      <c r="E39" s="9" t="str">
        <f>IFERROR(__xludf.DUMMYFUNCTION("""COMPUTED_VALUE"""),"Tecnología")</f>
        <v>Tecnología</v>
      </c>
      <c r="F39" s="9" t="str">
        <f>IFERROR(__xludf.DUMMYFUNCTION("""COMPUTED_VALUE"""),"Inversión")</f>
        <v>Inversión</v>
      </c>
      <c r="G39" s="9" t="str">
        <f>IFERROR(__xludf.DUMMYFUNCTION("""COMPUTED_VALUE"""),"Socio de proyecto")</f>
        <v>Socio de proyecto</v>
      </c>
      <c r="H39" s="9" t="str">
        <f>IFERROR(__xludf.DUMMYFUNCTION("""COMPUTED_VALUE"""),"NO")</f>
        <v>NO</v>
      </c>
      <c r="I39" s="9">
        <f>IFERROR(__xludf.DUMMYFUNCTION("""COMPUTED_VALUE"""),8.0)</f>
        <v>8</v>
      </c>
      <c r="J39" s="9">
        <f>IFERROR(__xludf.DUMMYFUNCTION("""COMPUTED_VALUE"""),10.0)</f>
        <v>10</v>
      </c>
      <c r="K39" s="14">
        <f>IFERROR(__xludf.DUMMYFUNCTION("""COMPUTED_VALUE"""),1000000.0)</f>
        <v>1000000</v>
      </c>
      <c r="L39" s="14">
        <f>IFERROR(__xludf.DUMMYFUNCTION("""COMPUTED_VALUE"""),7.1783742E7)</f>
        <v>71783742</v>
      </c>
      <c r="M39" s="14">
        <f>IFERROR(__xludf.DUMMYFUNCTION("""COMPUTED_VALUE"""),6.4667814E7)</f>
        <v>64667814</v>
      </c>
      <c r="N39" s="14">
        <f>IFERROR(__xludf.DUMMYFUNCTION("""COMPUTED_VALUE"""),7.065318E7)</f>
        <v>70653180</v>
      </c>
    </row>
    <row r="40">
      <c r="A40" s="9">
        <f>IFERROR(__xludf.DUMMYFUNCTION("""COMPUTED_VALUE"""),174.0)</f>
        <v>174</v>
      </c>
      <c r="B40" s="9" t="str">
        <f>IFERROR(__xludf.DUMMYFUNCTION("""COMPUTED_VALUE"""),"Rorie Loadman")</f>
        <v>Rorie Loadman</v>
      </c>
      <c r="C40" s="9" t="str">
        <f>IFERROR(__xludf.DUMMYFUNCTION("""COMPUTED_VALUE"""),"rloadman4t@studiopress.com")</f>
        <v>rloadman4t@studiopress.com</v>
      </c>
      <c r="D40" s="9" t="str">
        <f>IFERROR(__xludf.DUMMYFUNCTION("""COMPUTED_VALUE"""),"Perú")</f>
        <v>Perú</v>
      </c>
      <c r="E40" s="9" t="str">
        <f>IFERROR(__xludf.DUMMYFUNCTION("""COMPUTED_VALUE"""),"Tecnología")</f>
        <v>Tecnología</v>
      </c>
      <c r="F40" s="9" t="str">
        <f>IFERROR(__xludf.DUMMYFUNCTION("""COMPUTED_VALUE"""),"Inversión")</f>
        <v>Inversión</v>
      </c>
      <c r="G40" s="9" t="str">
        <f>IFERROR(__xludf.DUMMYFUNCTION("""COMPUTED_VALUE"""),"Socio de proyecto")</f>
        <v>Socio de proyecto</v>
      </c>
      <c r="H40" s="9" t="str">
        <f>IFERROR(__xludf.DUMMYFUNCTION("""COMPUTED_VALUE"""),"SI")</f>
        <v>SI</v>
      </c>
      <c r="I40" s="9">
        <f>IFERROR(__xludf.DUMMYFUNCTION("""COMPUTED_VALUE"""),6.0)</f>
        <v>6</v>
      </c>
      <c r="J40" s="9">
        <f>IFERROR(__xludf.DUMMYFUNCTION("""COMPUTED_VALUE"""),5.0)</f>
        <v>5</v>
      </c>
      <c r="K40" s="14">
        <f>IFERROR(__xludf.DUMMYFUNCTION("""COMPUTED_VALUE"""),3.0E7)</f>
        <v>30000000</v>
      </c>
      <c r="L40" s="14">
        <f>IFERROR(__xludf.DUMMYFUNCTION("""COMPUTED_VALUE"""),3.3477783E7)</f>
        <v>33477783</v>
      </c>
      <c r="M40" s="14">
        <f>IFERROR(__xludf.DUMMYFUNCTION("""COMPUTED_VALUE"""),0.0)</f>
        <v>0</v>
      </c>
      <c r="N40" s="14">
        <f>IFERROR(__xludf.DUMMYFUNCTION("""COMPUTED_VALUE"""),2.7651635E7)</f>
        <v>27651635</v>
      </c>
    </row>
    <row r="41">
      <c r="A41" s="9">
        <f>IFERROR(__xludf.DUMMYFUNCTION("""COMPUTED_VALUE"""),179.0)</f>
        <v>179</v>
      </c>
      <c r="B41" s="9" t="str">
        <f>IFERROR(__xludf.DUMMYFUNCTION("""COMPUTED_VALUE"""),"Nefen Pert")</f>
        <v>Nefen Pert</v>
      </c>
      <c r="C41" s="9" t="str">
        <f>IFERROR(__xludf.DUMMYFUNCTION("""COMPUTED_VALUE"""),"npert4y@sfgate.com")</f>
        <v>npert4y@sfgate.com</v>
      </c>
      <c r="D41" s="9" t="str">
        <f>IFERROR(__xludf.DUMMYFUNCTION("""COMPUTED_VALUE"""),"Brasil")</f>
        <v>Brasil</v>
      </c>
      <c r="E41" s="9" t="str">
        <f>IFERROR(__xludf.DUMMYFUNCTION("""COMPUTED_VALUE"""),"Tecnología")</f>
        <v>Tecnología</v>
      </c>
      <c r="F41" s="9" t="str">
        <f>IFERROR(__xludf.DUMMYFUNCTION("""COMPUTED_VALUE"""),"Inversión")</f>
        <v>Inversión</v>
      </c>
      <c r="G41" s="9" t="str">
        <f>IFERROR(__xludf.DUMMYFUNCTION("""COMPUTED_VALUE"""),"Socio de proyecto")</f>
        <v>Socio de proyecto</v>
      </c>
      <c r="H41" s="9" t="str">
        <f>IFERROR(__xludf.DUMMYFUNCTION("""COMPUTED_VALUE"""),"NO")</f>
        <v>NO</v>
      </c>
      <c r="I41" s="9">
        <f>IFERROR(__xludf.DUMMYFUNCTION("""COMPUTED_VALUE"""),6.0)</f>
        <v>6</v>
      </c>
      <c r="J41" s="9">
        <f>IFERROR(__xludf.DUMMYFUNCTION("""COMPUTED_VALUE"""),9.0)</f>
        <v>9</v>
      </c>
      <c r="K41" s="14">
        <f>IFERROR(__xludf.DUMMYFUNCTION("""COMPUTED_VALUE"""),3.0E7)</f>
        <v>30000000</v>
      </c>
      <c r="L41" s="14">
        <f>IFERROR(__xludf.DUMMYFUNCTION("""COMPUTED_VALUE"""),4.528936E7)</f>
        <v>45289360</v>
      </c>
      <c r="M41" s="14">
        <f>IFERROR(__xludf.DUMMYFUNCTION("""COMPUTED_VALUE"""),0.0)</f>
        <v>0</v>
      </c>
      <c r="N41" s="14">
        <f>IFERROR(__xludf.DUMMYFUNCTION("""COMPUTED_VALUE"""),4.6980526E7)</f>
        <v>46980526</v>
      </c>
    </row>
    <row r="42">
      <c r="A42" s="9">
        <f>IFERROR(__xludf.DUMMYFUNCTION("""COMPUTED_VALUE"""),188.0)</f>
        <v>188</v>
      </c>
      <c r="B42" s="9" t="str">
        <f>IFERROR(__xludf.DUMMYFUNCTION("""COMPUTED_VALUE"""),"Mala Eastmead")</f>
        <v>Mala Eastmead</v>
      </c>
      <c r="C42" s="9" t="str">
        <f>IFERROR(__xludf.DUMMYFUNCTION("""COMPUTED_VALUE"""),"meastmead57@princeton.edu")</f>
        <v>meastmead57@princeton.edu</v>
      </c>
      <c r="D42" s="9" t="str">
        <f>IFERROR(__xludf.DUMMYFUNCTION("""COMPUTED_VALUE"""),"Paraguay")</f>
        <v>Paraguay</v>
      </c>
      <c r="E42" s="9" t="str">
        <f>IFERROR(__xludf.DUMMYFUNCTION("""COMPUTED_VALUE"""),"Tecnología")</f>
        <v>Tecnología</v>
      </c>
      <c r="F42" s="9" t="str">
        <f>IFERROR(__xludf.DUMMYFUNCTION("""COMPUTED_VALUE"""),"Inversión")</f>
        <v>Inversión</v>
      </c>
      <c r="G42" s="9" t="str">
        <f>IFERROR(__xludf.DUMMYFUNCTION("""COMPUTED_VALUE"""),"Socio de proyecto")</f>
        <v>Socio de proyecto</v>
      </c>
      <c r="H42" s="9" t="str">
        <f>IFERROR(__xludf.DUMMYFUNCTION("""COMPUTED_VALUE"""),"NO")</f>
        <v>NO</v>
      </c>
      <c r="I42" s="9">
        <f>IFERROR(__xludf.DUMMYFUNCTION("""COMPUTED_VALUE"""),6.0)</f>
        <v>6</v>
      </c>
      <c r="J42" s="9">
        <f>IFERROR(__xludf.DUMMYFUNCTION("""COMPUTED_VALUE"""),9.0)</f>
        <v>9</v>
      </c>
      <c r="K42" s="14">
        <f>IFERROR(__xludf.DUMMYFUNCTION("""COMPUTED_VALUE"""),3.0E7)</f>
        <v>30000000</v>
      </c>
      <c r="L42" s="14">
        <f>IFERROR(__xludf.DUMMYFUNCTION("""COMPUTED_VALUE"""),3.2890743E7)</f>
        <v>32890743</v>
      </c>
      <c r="M42" s="14">
        <f>IFERROR(__xludf.DUMMYFUNCTION("""COMPUTED_VALUE"""),0.0)</f>
        <v>0</v>
      </c>
      <c r="N42" s="14">
        <f>IFERROR(__xludf.DUMMYFUNCTION("""COMPUTED_VALUE"""),3.986462E7)</f>
        <v>39864620</v>
      </c>
    </row>
    <row r="43">
      <c r="A43" s="9">
        <f>IFERROR(__xludf.DUMMYFUNCTION("""COMPUTED_VALUE"""),199.0)</f>
        <v>199</v>
      </c>
      <c r="B43" s="9" t="str">
        <f>IFERROR(__xludf.DUMMYFUNCTION("""COMPUTED_VALUE"""),"Nickie Rennebeck")</f>
        <v>Nickie Rennebeck</v>
      </c>
      <c r="C43" s="9" t="str">
        <f>IFERROR(__xludf.DUMMYFUNCTION("""COMPUTED_VALUE"""),"nrennebeck5i@adobe.com")</f>
        <v>nrennebeck5i@adobe.com</v>
      </c>
      <c r="D43" s="9" t="str">
        <f>IFERROR(__xludf.DUMMYFUNCTION("""COMPUTED_VALUE"""),"Bolivia")</f>
        <v>Bolivia</v>
      </c>
      <c r="E43" s="9" t="str">
        <f>IFERROR(__xludf.DUMMYFUNCTION("""COMPUTED_VALUE"""),"Tecnología")</f>
        <v>Tecnología</v>
      </c>
      <c r="F43" s="9" t="str">
        <f>IFERROR(__xludf.DUMMYFUNCTION("""COMPUTED_VALUE"""),"Inversión")</f>
        <v>Inversión</v>
      </c>
      <c r="G43" s="9" t="str">
        <f>IFERROR(__xludf.DUMMYFUNCTION("""COMPUTED_VALUE"""),"Socio de proyecto")</f>
        <v>Socio de proyecto</v>
      </c>
      <c r="H43" s="9" t="str">
        <f>IFERROR(__xludf.DUMMYFUNCTION("""COMPUTED_VALUE"""),"SI")</f>
        <v>SI</v>
      </c>
      <c r="I43" s="9">
        <f>IFERROR(__xludf.DUMMYFUNCTION("""COMPUTED_VALUE"""),6.0)</f>
        <v>6</v>
      </c>
      <c r="J43" s="9">
        <f>IFERROR(__xludf.DUMMYFUNCTION("""COMPUTED_VALUE"""),9.0)</f>
        <v>9</v>
      </c>
      <c r="K43" s="14">
        <f>IFERROR(__xludf.DUMMYFUNCTION("""COMPUTED_VALUE"""),1.0E7)</f>
        <v>10000000</v>
      </c>
      <c r="L43" s="14">
        <f>IFERROR(__xludf.DUMMYFUNCTION("""COMPUTED_VALUE"""),5.9890317E7)</f>
        <v>59890317</v>
      </c>
      <c r="M43" s="14">
        <f>IFERROR(__xludf.DUMMYFUNCTION("""COMPUTED_VALUE"""),4.2451842E7)</f>
        <v>42451842</v>
      </c>
      <c r="N43" s="14">
        <f>IFERROR(__xludf.DUMMYFUNCTION("""COMPUTED_VALUE"""),0.0)</f>
        <v>0</v>
      </c>
    </row>
    <row r="44">
      <c r="A44" s="9">
        <f>IFERROR(__xludf.DUMMYFUNCTION("""COMPUTED_VALUE"""),221.0)</f>
        <v>221</v>
      </c>
      <c r="B44" s="9" t="str">
        <f>IFERROR(__xludf.DUMMYFUNCTION("""COMPUTED_VALUE"""),"Rog Casbourne")</f>
        <v>Rog Casbourne</v>
      </c>
      <c r="C44" s="9" t="str">
        <f>IFERROR(__xludf.DUMMYFUNCTION("""COMPUTED_VALUE"""),"rcasbourne64@stumbleupon.com")</f>
        <v>rcasbourne64@stumbleupon.com</v>
      </c>
      <c r="D44" s="9" t="str">
        <f>IFERROR(__xludf.DUMMYFUNCTION("""COMPUTED_VALUE"""),"Uruguay")</f>
        <v>Uruguay</v>
      </c>
      <c r="E44" s="9" t="str">
        <f>IFERROR(__xludf.DUMMYFUNCTION("""COMPUTED_VALUE"""),"Tecnología")</f>
        <v>Tecnología</v>
      </c>
      <c r="F44" s="9" t="str">
        <f>IFERROR(__xludf.DUMMYFUNCTION("""COMPUTED_VALUE"""),"Inversión")</f>
        <v>Inversión</v>
      </c>
      <c r="G44" s="9" t="str">
        <f>IFERROR(__xludf.DUMMYFUNCTION("""COMPUTED_VALUE"""),"Socio de proyecto")</f>
        <v>Socio de proyecto</v>
      </c>
      <c r="H44" s="9" t="str">
        <f>IFERROR(__xludf.DUMMYFUNCTION("""COMPUTED_VALUE"""),"NO")</f>
        <v>NO</v>
      </c>
      <c r="I44" s="9">
        <f>IFERROR(__xludf.DUMMYFUNCTION("""COMPUTED_VALUE"""),3.0)</f>
        <v>3</v>
      </c>
      <c r="J44" s="9">
        <f>IFERROR(__xludf.DUMMYFUNCTION("""COMPUTED_VALUE"""),5.0)</f>
        <v>5</v>
      </c>
      <c r="K44" s="14">
        <f>IFERROR(__xludf.DUMMYFUNCTION("""COMPUTED_VALUE"""),9.0E7)</f>
        <v>90000000</v>
      </c>
      <c r="L44" s="14">
        <f>IFERROR(__xludf.DUMMYFUNCTION("""COMPUTED_VALUE"""),2.9991873E7)</f>
        <v>29991873</v>
      </c>
      <c r="M44" s="14">
        <f>IFERROR(__xludf.DUMMYFUNCTION("""COMPUTED_VALUE"""),3.9252741E7)</f>
        <v>39252741</v>
      </c>
      <c r="N44" s="14">
        <f>IFERROR(__xludf.DUMMYFUNCTION("""COMPUTED_VALUE"""),1.5542722E7)</f>
        <v>15542722</v>
      </c>
    </row>
    <row r="45">
      <c r="A45" s="9">
        <f>IFERROR(__xludf.DUMMYFUNCTION("""COMPUTED_VALUE"""),222.0)</f>
        <v>222</v>
      </c>
      <c r="B45" s="9" t="str">
        <f>IFERROR(__xludf.DUMMYFUNCTION("""COMPUTED_VALUE"""),"Valentino Aspinwall")</f>
        <v>Valentino Aspinwall</v>
      </c>
      <c r="C45" s="9" t="str">
        <f>IFERROR(__xludf.DUMMYFUNCTION("""COMPUTED_VALUE"""),"vaspinwall65@discovery.com")</f>
        <v>vaspinwall65@discovery.com</v>
      </c>
      <c r="D45" s="9" t="str">
        <f>IFERROR(__xludf.DUMMYFUNCTION("""COMPUTED_VALUE"""),"Colombia")</f>
        <v>Colombia</v>
      </c>
      <c r="E45" s="9" t="str">
        <f>IFERROR(__xludf.DUMMYFUNCTION("""COMPUTED_VALUE"""),"Tecnología")</f>
        <v>Tecnología</v>
      </c>
      <c r="F45" s="9" t="str">
        <f>IFERROR(__xludf.DUMMYFUNCTION("""COMPUTED_VALUE"""),"Inversión")</f>
        <v>Inversión</v>
      </c>
      <c r="G45" s="9" t="str">
        <f>IFERROR(__xludf.DUMMYFUNCTION("""COMPUTED_VALUE"""),"Socio de proyecto")</f>
        <v>Socio de proyecto</v>
      </c>
      <c r="H45" s="9" t="str">
        <f>IFERROR(__xludf.DUMMYFUNCTION("""COMPUTED_VALUE"""),"NO")</f>
        <v>NO</v>
      </c>
      <c r="I45" s="9">
        <f>IFERROR(__xludf.DUMMYFUNCTION("""COMPUTED_VALUE"""),3.0)</f>
        <v>3</v>
      </c>
      <c r="J45" s="9">
        <f>IFERROR(__xludf.DUMMYFUNCTION("""COMPUTED_VALUE"""),7.0)</f>
        <v>7</v>
      </c>
      <c r="K45" s="14">
        <f>IFERROR(__xludf.DUMMYFUNCTION("""COMPUTED_VALUE"""),1.0E7)</f>
        <v>10000000</v>
      </c>
      <c r="L45" s="14">
        <f>IFERROR(__xludf.DUMMYFUNCTION("""COMPUTED_VALUE"""),7303129.0)</f>
        <v>7303129</v>
      </c>
      <c r="M45" s="14">
        <f>IFERROR(__xludf.DUMMYFUNCTION("""COMPUTED_VALUE"""),3765621.0)</f>
        <v>3765621</v>
      </c>
      <c r="N45" s="14">
        <f>IFERROR(__xludf.DUMMYFUNCTION("""COMPUTED_VALUE"""),1.8125151E7)</f>
        <v>18125151</v>
      </c>
    </row>
    <row r="46">
      <c r="A46" s="9">
        <f>IFERROR(__xludf.DUMMYFUNCTION("""COMPUTED_VALUE"""),223.0)</f>
        <v>223</v>
      </c>
      <c r="B46" s="9" t="str">
        <f>IFERROR(__xludf.DUMMYFUNCTION("""COMPUTED_VALUE"""),"Shell Daskiewicz")</f>
        <v>Shell Daskiewicz</v>
      </c>
      <c r="C46" s="9" t="str">
        <f>IFERROR(__xludf.DUMMYFUNCTION("""COMPUTED_VALUE"""),"sdaskiewicz66@xing.com")</f>
        <v>sdaskiewicz66@xing.com</v>
      </c>
      <c r="D46" s="9" t="str">
        <f>IFERROR(__xludf.DUMMYFUNCTION("""COMPUTED_VALUE"""),"Chile")</f>
        <v>Chile</v>
      </c>
      <c r="E46" s="9" t="str">
        <f>IFERROR(__xludf.DUMMYFUNCTION("""COMPUTED_VALUE"""),"Tecnología")</f>
        <v>Tecnología</v>
      </c>
      <c r="F46" s="9" t="str">
        <f>IFERROR(__xludf.DUMMYFUNCTION("""COMPUTED_VALUE"""),"Inversión")</f>
        <v>Inversión</v>
      </c>
      <c r="G46" s="9" t="str">
        <f>IFERROR(__xludf.DUMMYFUNCTION("""COMPUTED_VALUE"""),"Socio de proyecto")</f>
        <v>Socio de proyecto</v>
      </c>
      <c r="H46" s="9" t="str">
        <f>IFERROR(__xludf.DUMMYFUNCTION("""COMPUTED_VALUE"""),"NO")</f>
        <v>NO</v>
      </c>
      <c r="I46" s="9">
        <f>IFERROR(__xludf.DUMMYFUNCTION("""COMPUTED_VALUE"""),7.0)</f>
        <v>7</v>
      </c>
      <c r="J46" s="9">
        <f>IFERROR(__xludf.DUMMYFUNCTION("""COMPUTED_VALUE"""),6.0)</f>
        <v>6</v>
      </c>
      <c r="K46" s="14">
        <f>IFERROR(__xludf.DUMMYFUNCTION("""COMPUTED_VALUE"""),3.0E7)</f>
        <v>30000000</v>
      </c>
      <c r="L46" s="14">
        <f>IFERROR(__xludf.DUMMYFUNCTION("""COMPUTED_VALUE"""),4.4457754E7)</f>
        <v>44457754</v>
      </c>
      <c r="M46" s="14">
        <f>IFERROR(__xludf.DUMMYFUNCTION("""COMPUTED_VALUE"""),0.0)</f>
        <v>0</v>
      </c>
      <c r="N46" s="14">
        <f>IFERROR(__xludf.DUMMYFUNCTION("""COMPUTED_VALUE"""),6.2249765E7)</f>
        <v>62249765</v>
      </c>
    </row>
    <row r="47">
      <c r="A47" s="9">
        <f>IFERROR(__xludf.DUMMYFUNCTION("""COMPUTED_VALUE"""),225.0)</f>
        <v>225</v>
      </c>
      <c r="B47" s="9" t="str">
        <f>IFERROR(__xludf.DUMMYFUNCTION("""COMPUTED_VALUE"""),"Brandice Leopold")</f>
        <v>Brandice Leopold</v>
      </c>
      <c r="C47" s="9" t="str">
        <f>IFERROR(__xludf.DUMMYFUNCTION("""COMPUTED_VALUE"""),"bleopold68@so-net.ne.jp")</f>
        <v>bleopold68@so-net.ne.jp</v>
      </c>
      <c r="D47" s="9" t="str">
        <f>IFERROR(__xludf.DUMMYFUNCTION("""COMPUTED_VALUE"""),"Ecuador")</f>
        <v>Ecuador</v>
      </c>
      <c r="E47" s="9" t="str">
        <f>IFERROR(__xludf.DUMMYFUNCTION("""COMPUTED_VALUE"""),"Tecnología")</f>
        <v>Tecnología</v>
      </c>
      <c r="F47" s="9" t="str">
        <f>IFERROR(__xludf.DUMMYFUNCTION("""COMPUTED_VALUE"""),"Inversión")</f>
        <v>Inversión</v>
      </c>
      <c r="G47" s="9" t="str">
        <f>IFERROR(__xludf.DUMMYFUNCTION("""COMPUTED_VALUE"""),"Socio de proyecto")</f>
        <v>Socio de proyecto</v>
      </c>
      <c r="H47" s="9" t="str">
        <f>IFERROR(__xludf.DUMMYFUNCTION("""COMPUTED_VALUE"""),"NO")</f>
        <v>NO</v>
      </c>
      <c r="I47" s="9">
        <f>IFERROR(__xludf.DUMMYFUNCTION("""COMPUTED_VALUE"""),9.0)</f>
        <v>9</v>
      </c>
      <c r="J47" s="9">
        <f>IFERROR(__xludf.DUMMYFUNCTION("""COMPUTED_VALUE"""),9.0)</f>
        <v>9</v>
      </c>
      <c r="K47" s="14">
        <f>IFERROR(__xludf.DUMMYFUNCTION("""COMPUTED_VALUE"""),1.0E7)</f>
        <v>10000000</v>
      </c>
      <c r="L47" s="14">
        <f>IFERROR(__xludf.DUMMYFUNCTION("""COMPUTED_VALUE"""),1.7991607E7)</f>
        <v>17991607</v>
      </c>
      <c r="M47" s="14">
        <f>IFERROR(__xludf.DUMMYFUNCTION("""COMPUTED_VALUE"""),0.0)</f>
        <v>0</v>
      </c>
      <c r="N47" s="14">
        <f>IFERROR(__xludf.DUMMYFUNCTION("""COMPUTED_VALUE"""),174626.0)</f>
        <v>174626</v>
      </c>
    </row>
    <row r="48">
      <c r="A48" s="9">
        <f>IFERROR(__xludf.DUMMYFUNCTION("""COMPUTED_VALUE"""),229.0)</f>
        <v>229</v>
      </c>
      <c r="B48" s="9" t="str">
        <f>IFERROR(__xludf.DUMMYFUNCTION("""COMPUTED_VALUE"""),"Dennet Dofty")</f>
        <v>Dennet Dofty</v>
      </c>
      <c r="C48" s="9" t="str">
        <f>IFERROR(__xludf.DUMMYFUNCTION("""COMPUTED_VALUE"""),"ddofty6c@boston.com")</f>
        <v>ddofty6c@boston.com</v>
      </c>
      <c r="D48" s="9" t="str">
        <f>IFERROR(__xludf.DUMMYFUNCTION("""COMPUTED_VALUE"""),"Colombia")</f>
        <v>Colombia</v>
      </c>
      <c r="E48" s="9" t="str">
        <f>IFERROR(__xludf.DUMMYFUNCTION("""COMPUTED_VALUE"""),"Tecnología")</f>
        <v>Tecnología</v>
      </c>
      <c r="F48" s="9" t="str">
        <f>IFERROR(__xludf.DUMMYFUNCTION("""COMPUTED_VALUE"""),"Inversión")</f>
        <v>Inversión</v>
      </c>
      <c r="G48" s="9" t="str">
        <f>IFERROR(__xludf.DUMMYFUNCTION("""COMPUTED_VALUE"""),"Socio de proyecto")</f>
        <v>Socio de proyecto</v>
      </c>
      <c r="H48" s="9" t="str">
        <f>IFERROR(__xludf.DUMMYFUNCTION("""COMPUTED_VALUE"""),"NO")</f>
        <v>NO</v>
      </c>
      <c r="I48" s="9">
        <f>IFERROR(__xludf.DUMMYFUNCTION("""COMPUTED_VALUE"""),3.0)</f>
        <v>3</v>
      </c>
      <c r="J48" s="9">
        <f>IFERROR(__xludf.DUMMYFUNCTION("""COMPUTED_VALUE"""),10.0)</f>
        <v>10</v>
      </c>
      <c r="K48" s="14">
        <f>IFERROR(__xludf.DUMMYFUNCTION("""COMPUTED_VALUE"""),1.0E7)</f>
        <v>10000000</v>
      </c>
      <c r="L48" s="14">
        <f>IFERROR(__xludf.DUMMYFUNCTION("""COMPUTED_VALUE"""),4.3538967E7)</f>
        <v>43538967</v>
      </c>
      <c r="M48" s="14">
        <f>IFERROR(__xludf.DUMMYFUNCTION("""COMPUTED_VALUE"""),5161300.0)</f>
        <v>5161300</v>
      </c>
      <c r="N48" s="14">
        <f>IFERROR(__xludf.DUMMYFUNCTION("""COMPUTED_VALUE"""),8.5417673E7)</f>
        <v>85417673</v>
      </c>
    </row>
    <row r="49">
      <c r="A49" s="9">
        <f>IFERROR(__xludf.DUMMYFUNCTION("""COMPUTED_VALUE"""),230.0)</f>
        <v>230</v>
      </c>
      <c r="B49" s="9" t="str">
        <f>IFERROR(__xludf.DUMMYFUNCTION("""COMPUTED_VALUE"""),"Tris McElhargy")</f>
        <v>Tris McElhargy</v>
      </c>
      <c r="C49" s="9" t="str">
        <f>IFERROR(__xludf.DUMMYFUNCTION("""COMPUTED_VALUE"""),"tmcelhargy6d@gizmodo.com")</f>
        <v>tmcelhargy6d@gizmodo.com</v>
      </c>
      <c r="D49" s="9" t="str">
        <f>IFERROR(__xludf.DUMMYFUNCTION("""COMPUTED_VALUE"""),"Venezuela")</f>
        <v>Venezuela</v>
      </c>
      <c r="E49" s="9" t="str">
        <f>IFERROR(__xludf.DUMMYFUNCTION("""COMPUTED_VALUE"""),"Tecnología")</f>
        <v>Tecnología</v>
      </c>
      <c r="F49" s="9" t="str">
        <f>IFERROR(__xludf.DUMMYFUNCTION("""COMPUTED_VALUE"""),"Inversión")</f>
        <v>Inversión</v>
      </c>
      <c r="G49" s="9" t="str">
        <f>IFERROR(__xludf.DUMMYFUNCTION("""COMPUTED_VALUE"""),"Socio de proyecto")</f>
        <v>Socio de proyecto</v>
      </c>
      <c r="H49" s="9" t="str">
        <f>IFERROR(__xludf.DUMMYFUNCTION("""COMPUTED_VALUE"""),"SI")</f>
        <v>SI</v>
      </c>
      <c r="I49" s="9">
        <f>IFERROR(__xludf.DUMMYFUNCTION("""COMPUTED_VALUE"""),5.0)</f>
        <v>5</v>
      </c>
      <c r="J49" s="9">
        <f>IFERROR(__xludf.DUMMYFUNCTION("""COMPUTED_VALUE"""),10.0)</f>
        <v>10</v>
      </c>
      <c r="K49" s="14">
        <f>IFERROR(__xludf.DUMMYFUNCTION("""COMPUTED_VALUE"""),1000000.0)</f>
        <v>1000000</v>
      </c>
      <c r="L49" s="14">
        <f>IFERROR(__xludf.DUMMYFUNCTION("""COMPUTED_VALUE"""),9.5899452E7)</f>
        <v>95899452</v>
      </c>
      <c r="M49" s="14">
        <f>IFERROR(__xludf.DUMMYFUNCTION("""COMPUTED_VALUE"""),2565664.0)</f>
        <v>2565664</v>
      </c>
      <c r="N49" s="14">
        <f>IFERROR(__xludf.DUMMYFUNCTION("""COMPUTED_VALUE"""),3.9602953E7)</f>
        <v>39602953</v>
      </c>
    </row>
    <row r="50">
      <c r="A50" s="9">
        <f>IFERROR(__xludf.DUMMYFUNCTION("""COMPUTED_VALUE"""),231.0)</f>
        <v>231</v>
      </c>
      <c r="B50" s="9" t="str">
        <f>IFERROR(__xludf.DUMMYFUNCTION("""COMPUTED_VALUE"""),"Damian Arlett")</f>
        <v>Damian Arlett</v>
      </c>
      <c r="C50" s="9" t="str">
        <f>IFERROR(__xludf.DUMMYFUNCTION("""COMPUTED_VALUE"""),"darlett6e@twitter.com")</f>
        <v>darlett6e@twitter.com</v>
      </c>
      <c r="D50" s="9" t="str">
        <f>IFERROR(__xludf.DUMMYFUNCTION("""COMPUTED_VALUE"""),"Venezuela")</f>
        <v>Venezuela</v>
      </c>
      <c r="E50" s="9" t="str">
        <f>IFERROR(__xludf.DUMMYFUNCTION("""COMPUTED_VALUE"""),"Tecnología")</f>
        <v>Tecnología</v>
      </c>
      <c r="F50" s="9" t="str">
        <f>IFERROR(__xludf.DUMMYFUNCTION("""COMPUTED_VALUE"""),"Inversión")</f>
        <v>Inversión</v>
      </c>
      <c r="G50" s="9" t="str">
        <f>IFERROR(__xludf.DUMMYFUNCTION("""COMPUTED_VALUE"""),"Socio de proyecto")</f>
        <v>Socio de proyecto</v>
      </c>
      <c r="H50" s="9" t="str">
        <f>IFERROR(__xludf.DUMMYFUNCTION("""COMPUTED_VALUE"""),"SI")</f>
        <v>SI</v>
      </c>
      <c r="I50" s="9">
        <f>IFERROR(__xludf.DUMMYFUNCTION("""COMPUTED_VALUE"""),7.0)</f>
        <v>7</v>
      </c>
      <c r="J50" s="9">
        <f>IFERROR(__xludf.DUMMYFUNCTION("""COMPUTED_VALUE"""),7.0)</f>
        <v>7</v>
      </c>
      <c r="K50" s="14">
        <f>IFERROR(__xludf.DUMMYFUNCTION("""COMPUTED_VALUE"""),1000000.0)</f>
        <v>1000000</v>
      </c>
      <c r="L50" s="14">
        <f>IFERROR(__xludf.DUMMYFUNCTION("""COMPUTED_VALUE"""),8.1347428E7)</f>
        <v>81347428</v>
      </c>
      <c r="M50" s="14">
        <f>IFERROR(__xludf.DUMMYFUNCTION("""COMPUTED_VALUE"""),1.0860215E7)</f>
        <v>10860215</v>
      </c>
      <c r="N50" s="14">
        <f>IFERROR(__xludf.DUMMYFUNCTION("""COMPUTED_VALUE"""),2.863729E7)</f>
        <v>28637290</v>
      </c>
    </row>
    <row r="51">
      <c r="A51" s="9">
        <f>IFERROR(__xludf.DUMMYFUNCTION("""COMPUTED_VALUE"""),233.0)</f>
        <v>233</v>
      </c>
      <c r="B51" s="9" t="str">
        <f>IFERROR(__xludf.DUMMYFUNCTION("""COMPUTED_VALUE"""),"Osbert Beig")</f>
        <v>Osbert Beig</v>
      </c>
      <c r="C51" s="9" t="str">
        <f>IFERROR(__xludf.DUMMYFUNCTION("""COMPUTED_VALUE"""),"obeig6g@de.vu")</f>
        <v>obeig6g@de.vu</v>
      </c>
      <c r="D51" s="9" t="str">
        <f>IFERROR(__xludf.DUMMYFUNCTION("""COMPUTED_VALUE"""),"Venezuela")</f>
        <v>Venezuela</v>
      </c>
      <c r="E51" s="9" t="str">
        <f>IFERROR(__xludf.DUMMYFUNCTION("""COMPUTED_VALUE"""),"Tecnología")</f>
        <v>Tecnología</v>
      </c>
      <c r="F51" s="9" t="str">
        <f>IFERROR(__xludf.DUMMYFUNCTION("""COMPUTED_VALUE"""),"Inversión")</f>
        <v>Inversión</v>
      </c>
      <c r="G51" s="9" t="str">
        <f>IFERROR(__xludf.DUMMYFUNCTION("""COMPUTED_VALUE"""),"Socio de proyecto")</f>
        <v>Socio de proyecto</v>
      </c>
      <c r="H51" s="9" t="str">
        <f>IFERROR(__xludf.DUMMYFUNCTION("""COMPUTED_VALUE"""),"SI")</f>
        <v>SI</v>
      </c>
      <c r="I51" s="9">
        <f>IFERROR(__xludf.DUMMYFUNCTION("""COMPUTED_VALUE"""),5.0)</f>
        <v>5</v>
      </c>
      <c r="J51" s="9">
        <f>IFERROR(__xludf.DUMMYFUNCTION("""COMPUTED_VALUE"""),7.0)</f>
        <v>7</v>
      </c>
      <c r="K51" s="14">
        <f>IFERROR(__xludf.DUMMYFUNCTION("""COMPUTED_VALUE"""),1.0E7)</f>
        <v>10000000</v>
      </c>
      <c r="L51" s="14">
        <f>IFERROR(__xludf.DUMMYFUNCTION("""COMPUTED_VALUE"""),9.6199053E7)</f>
        <v>96199053</v>
      </c>
      <c r="M51" s="14">
        <f>IFERROR(__xludf.DUMMYFUNCTION("""COMPUTED_VALUE"""),3.1746355E7)</f>
        <v>31746355</v>
      </c>
      <c r="N51" s="14">
        <f>IFERROR(__xludf.DUMMYFUNCTION("""COMPUTED_VALUE"""),8.0063468E7)</f>
        <v>80063468</v>
      </c>
    </row>
    <row r="52">
      <c r="A52" s="9">
        <f>IFERROR(__xludf.DUMMYFUNCTION("""COMPUTED_VALUE"""),234.0)</f>
        <v>234</v>
      </c>
      <c r="B52" s="9" t="str">
        <f>IFERROR(__xludf.DUMMYFUNCTION("""COMPUTED_VALUE"""),"Godard Hindge")</f>
        <v>Godard Hindge</v>
      </c>
      <c r="C52" s="9" t="str">
        <f>IFERROR(__xludf.DUMMYFUNCTION("""COMPUTED_VALUE"""),"ghindge6h@creativecommons.org")</f>
        <v>ghindge6h@creativecommons.org</v>
      </c>
      <c r="D52" s="9" t="str">
        <f>IFERROR(__xludf.DUMMYFUNCTION("""COMPUTED_VALUE"""),"Colombia")</f>
        <v>Colombia</v>
      </c>
      <c r="E52" s="9" t="str">
        <f>IFERROR(__xludf.DUMMYFUNCTION("""COMPUTED_VALUE"""),"Tecnología")</f>
        <v>Tecnología</v>
      </c>
      <c r="F52" s="9" t="str">
        <f>IFERROR(__xludf.DUMMYFUNCTION("""COMPUTED_VALUE"""),"Inversión")</f>
        <v>Inversión</v>
      </c>
      <c r="G52" s="9" t="str">
        <f>IFERROR(__xludf.DUMMYFUNCTION("""COMPUTED_VALUE"""),"Socio de proyecto")</f>
        <v>Socio de proyecto</v>
      </c>
      <c r="H52" s="9" t="str">
        <f>IFERROR(__xludf.DUMMYFUNCTION("""COMPUTED_VALUE"""),"NO")</f>
        <v>NO</v>
      </c>
      <c r="I52" s="9">
        <f>IFERROR(__xludf.DUMMYFUNCTION("""COMPUTED_VALUE"""),7.0)</f>
        <v>7</v>
      </c>
      <c r="J52" s="9">
        <f>IFERROR(__xludf.DUMMYFUNCTION("""COMPUTED_VALUE"""),9.0)</f>
        <v>9</v>
      </c>
      <c r="K52" s="14">
        <f>IFERROR(__xludf.DUMMYFUNCTION("""COMPUTED_VALUE"""),1000000.0)</f>
        <v>1000000</v>
      </c>
      <c r="L52" s="14">
        <f>IFERROR(__xludf.DUMMYFUNCTION("""COMPUTED_VALUE"""),7.1783742E7)</f>
        <v>71783742</v>
      </c>
      <c r="M52" s="14">
        <f>IFERROR(__xludf.DUMMYFUNCTION("""COMPUTED_VALUE"""),6.4667814E7)</f>
        <v>64667814</v>
      </c>
      <c r="N52" s="14">
        <f>IFERROR(__xludf.DUMMYFUNCTION("""COMPUTED_VALUE"""),7.065318E7)</f>
        <v>70653180</v>
      </c>
    </row>
    <row r="53">
      <c r="A53" s="9">
        <f>IFERROR(__xludf.DUMMYFUNCTION("""COMPUTED_VALUE"""),237.0)</f>
        <v>237</v>
      </c>
      <c r="B53" s="9" t="str">
        <f>IFERROR(__xludf.DUMMYFUNCTION("""COMPUTED_VALUE"""),"Regan Landrieu")</f>
        <v>Regan Landrieu</v>
      </c>
      <c r="C53" s="9" t="str">
        <f>IFERROR(__xludf.DUMMYFUNCTION("""COMPUTED_VALUE"""),"rlandrieu6k@sitemeter.com")</f>
        <v>rlandrieu6k@sitemeter.com</v>
      </c>
      <c r="D53" s="9" t="str">
        <f>IFERROR(__xludf.DUMMYFUNCTION("""COMPUTED_VALUE"""),"Ecuador")</f>
        <v>Ecuador</v>
      </c>
      <c r="E53" s="9" t="str">
        <f>IFERROR(__xludf.DUMMYFUNCTION("""COMPUTED_VALUE"""),"Tecnología")</f>
        <v>Tecnología</v>
      </c>
      <c r="F53" s="9" t="str">
        <f>IFERROR(__xludf.DUMMYFUNCTION("""COMPUTED_VALUE"""),"Inversión")</f>
        <v>Inversión</v>
      </c>
      <c r="G53" s="9" t="str">
        <f>IFERROR(__xludf.DUMMYFUNCTION("""COMPUTED_VALUE"""),"Socio de proyecto")</f>
        <v>Socio de proyecto</v>
      </c>
      <c r="H53" s="9" t="str">
        <f>IFERROR(__xludf.DUMMYFUNCTION("""COMPUTED_VALUE"""),"SI")</f>
        <v>SI</v>
      </c>
      <c r="I53" s="9">
        <f>IFERROR(__xludf.DUMMYFUNCTION("""COMPUTED_VALUE"""),8.0)</f>
        <v>8</v>
      </c>
      <c r="J53" s="9">
        <f>IFERROR(__xludf.DUMMYFUNCTION("""COMPUTED_VALUE"""),8.0)</f>
        <v>8</v>
      </c>
      <c r="K53" s="14">
        <f>IFERROR(__xludf.DUMMYFUNCTION("""COMPUTED_VALUE"""),3.0E7)</f>
        <v>30000000</v>
      </c>
      <c r="L53" s="14">
        <f>IFERROR(__xludf.DUMMYFUNCTION("""COMPUTED_VALUE"""),3.3477783E7)</f>
        <v>33477783</v>
      </c>
      <c r="M53" s="14">
        <f>IFERROR(__xludf.DUMMYFUNCTION("""COMPUTED_VALUE"""),0.0)</f>
        <v>0</v>
      </c>
      <c r="N53" s="14">
        <f>IFERROR(__xludf.DUMMYFUNCTION("""COMPUTED_VALUE"""),2.7651635E7)</f>
        <v>27651635</v>
      </c>
    </row>
    <row r="54">
      <c r="A54" s="9">
        <f>IFERROR(__xludf.DUMMYFUNCTION("""COMPUTED_VALUE"""),242.0)</f>
        <v>242</v>
      </c>
      <c r="B54" s="9" t="str">
        <f>IFERROR(__xludf.DUMMYFUNCTION("""COMPUTED_VALUE"""),"Holly Brownstein")</f>
        <v>Holly Brownstein</v>
      </c>
      <c r="C54" s="9" t="str">
        <f>IFERROR(__xludf.DUMMYFUNCTION("""COMPUTED_VALUE"""),"hbrownstein6p@about.me")</f>
        <v>hbrownstein6p@about.me</v>
      </c>
      <c r="D54" s="9" t="str">
        <f>IFERROR(__xludf.DUMMYFUNCTION("""COMPUTED_VALUE"""),"Paraguay")</f>
        <v>Paraguay</v>
      </c>
      <c r="E54" s="9" t="str">
        <f>IFERROR(__xludf.DUMMYFUNCTION("""COMPUTED_VALUE"""),"Tecnología")</f>
        <v>Tecnología</v>
      </c>
      <c r="F54" s="9" t="str">
        <f>IFERROR(__xludf.DUMMYFUNCTION("""COMPUTED_VALUE"""),"Inversión")</f>
        <v>Inversión</v>
      </c>
      <c r="G54" s="9" t="str">
        <f>IFERROR(__xludf.DUMMYFUNCTION("""COMPUTED_VALUE"""),"Socio de proyecto")</f>
        <v>Socio de proyecto</v>
      </c>
      <c r="H54" s="9" t="str">
        <f>IFERROR(__xludf.DUMMYFUNCTION("""COMPUTED_VALUE"""),"NO")</f>
        <v>NO</v>
      </c>
      <c r="I54" s="9">
        <f>IFERROR(__xludf.DUMMYFUNCTION("""COMPUTED_VALUE"""),5.0)</f>
        <v>5</v>
      </c>
      <c r="J54" s="9">
        <f>IFERROR(__xludf.DUMMYFUNCTION("""COMPUTED_VALUE"""),9.0)</f>
        <v>9</v>
      </c>
      <c r="K54" s="14">
        <f>IFERROR(__xludf.DUMMYFUNCTION("""COMPUTED_VALUE"""),3.0E7)</f>
        <v>30000000</v>
      </c>
      <c r="L54" s="14">
        <f>IFERROR(__xludf.DUMMYFUNCTION("""COMPUTED_VALUE"""),4.528936E7)</f>
        <v>45289360</v>
      </c>
      <c r="M54" s="14">
        <f>IFERROR(__xludf.DUMMYFUNCTION("""COMPUTED_VALUE"""),0.0)</f>
        <v>0</v>
      </c>
      <c r="N54" s="14">
        <f>IFERROR(__xludf.DUMMYFUNCTION("""COMPUTED_VALUE"""),4.6980526E7)</f>
        <v>46980526</v>
      </c>
    </row>
    <row r="55">
      <c r="A55" s="9">
        <f>IFERROR(__xludf.DUMMYFUNCTION("""COMPUTED_VALUE"""),251.0)</f>
        <v>251</v>
      </c>
      <c r="B55" s="9" t="str">
        <f>IFERROR(__xludf.DUMMYFUNCTION("""COMPUTED_VALUE"""),"Eugen Buxton")</f>
        <v>Eugen Buxton</v>
      </c>
      <c r="C55" s="9" t="str">
        <f>IFERROR(__xludf.DUMMYFUNCTION("""COMPUTED_VALUE"""),"ebuxton6y@odnoklassniki.ru")</f>
        <v>ebuxton6y@odnoklassniki.ru</v>
      </c>
      <c r="D55" s="9" t="str">
        <f>IFERROR(__xludf.DUMMYFUNCTION("""COMPUTED_VALUE"""),"Ecuador")</f>
        <v>Ecuador</v>
      </c>
      <c r="E55" s="9" t="str">
        <f>IFERROR(__xludf.DUMMYFUNCTION("""COMPUTED_VALUE"""),"Tecnología")</f>
        <v>Tecnología</v>
      </c>
      <c r="F55" s="9" t="str">
        <f>IFERROR(__xludf.DUMMYFUNCTION("""COMPUTED_VALUE"""),"Inversión")</f>
        <v>Inversión</v>
      </c>
      <c r="G55" s="9" t="str">
        <f>IFERROR(__xludf.DUMMYFUNCTION("""COMPUTED_VALUE"""),"Socio de proyecto")</f>
        <v>Socio de proyecto</v>
      </c>
      <c r="H55" s="9" t="str">
        <f>IFERROR(__xludf.DUMMYFUNCTION("""COMPUTED_VALUE"""),"NO")</f>
        <v>NO</v>
      </c>
      <c r="I55" s="9">
        <f>IFERROR(__xludf.DUMMYFUNCTION("""COMPUTED_VALUE"""),7.0)</f>
        <v>7</v>
      </c>
      <c r="J55" s="9">
        <f>IFERROR(__xludf.DUMMYFUNCTION("""COMPUTED_VALUE"""),6.0)</f>
        <v>6</v>
      </c>
      <c r="K55" s="14">
        <f>IFERROR(__xludf.DUMMYFUNCTION("""COMPUTED_VALUE"""),3.0E7)</f>
        <v>30000000</v>
      </c>
      <c r="L55" s="14">
        <f>IFERROR(__xludf.DUMMYFUNCTION("""COMPUTED_VALUE"""),3.2890743E7)</f>
        <v>32890743</v>
      </c>
      <c r="M55" s="14">
        <f>IFERROR(__xludf.DUMMYFUNCTION("""COMPUTED_VALUE"""),0.0)</f>
        <v>0</v>
      </c>
      <c r="N55" s="14">
        <f>IFERROR(__xludf.DUMMYFUNCTION("""COMPUTED_VALUE"""),3.986462E7)</f>
        <v>39864620</v>
      </c>
    </row>
    <row r="56">
      <c r="A56" s="9">
        <f>IFERROR(__xludf.DUMMYFUNCTION("""COMPUTED_VALUE"""),262.0)</f>
        <v>262</v>
      </c>
      <c r="B56" s="9" t="str">
        <f>IFERROR(__xludf.DUMMYFUNCTION("""COMPUTED_VALUE"""),"Regen Rabjohns")</f>
        <v>Regen Rabjohns</v>
      </c>
      <c r="C56" s="9" t="str">
        <f>IFERROR(__xludf.DUMMYFUNCTION("""COMPUTED_VALUE"""),"rrabjohns79@nature.com")</f>
        <v>rrabjohns79@nature.com</v>
      </c>
      <c r="D56" s="9" t="str">
        <f>IFERROR(__xludf.DUMMYFUNCTION("""COMPUTED_VALUE"""),"Paraguay")</f>
        <v>Paraguay</v>
      </c>
      <c r="E56" s="9" t="str">
        <f>IFERROR(__xludf.DUMMYFUNCTION("""COMPUTED_VALUE"""),"Tecnología")</f>
        <v>Tecnología</v>
      </c>
      <c r="F56" s="9" t="str">
        <f>IFERROR(__xludf.DUMMYFUNCTION("""COMPUTED_VALUE"""),"Inversión")</f>
        <v>Inversión</v>
      </c>
      <c r="G56" s="9" t="str">
        <f>IFERROR(__xludf.DUMMYFUNCTION("""COMPUTED_VALUE"""),"Socio de proyecto")</f>
        <v>Socio de proyecto</v>
      </c>
      <c r="H56" s="9" t="str">
        <f>IFERROR(__xludf.DUMMYFUNCTION("""COMPUTED_VALUE"""),"SI")</f>
        <v>SI</v>
      </c>
      <c r="I56" s="9">
        <f>IFERROR(__xludf.DUMMYFUNCTION("""COMPUTED_VALUE"""),6.0)</f>
        <v>6</v>
      </c>
      <c r="J56" s="9">
        <f>IFERROR(__xludf.DUMMYFUNCTION("""COMPUTED_VALUE"""),4.0)</f>
        <v>4</v>
      </c>
      <c r="K56" s="14">
        <f>IFERROR(__xludf.DUMMYFUNCTION("""COMPUTED_VALUE"""),1.0E7)</f>
        <v>10000000</v>
      </c>
      <c r="L56" s="14">
        <f>IFERROR(__xludf.DUMMYFUNCTION("""COMPUTED_VALUE"""),5.9890317E7)</f>
        <v>59890317</v>
      </c>
      <c r="M56" s="14">
        <f>IFERROR(__xludf.DUMMYFUNCTION("""COMPUTED_VALUE"""),4.2451842E7)</f>
        <v>42451842</v>
      </c>
      <c r="N56" s="14">
        <f>IFERROR(__xludf.DUMMYFUNCTION("""COMPUTED_VALUE"""),0.0)</f>
        <v>0</v>
      </c>
    </row>
    <row r="57">
      <c r="A57" s="9">
        <f>IFERROR(__xludf.DUMMYFUNCTION("""COMPUTED_VALUE"""),284.0)</f>
        <v>284</v>
      </c>
      <c r="B57" s="9" t="str">
        <f>IFERROR(__xludf.DUMMYFUNCTION("""COMPUTED_VALUE"""),"Othelia Bernocchi")</f>
        <v>Othelia Bernocchi</v>
      </c>
      <c r="C57" s="9" t="str">
        <f>IFERROR(__xludf.DUMMYFUNCTION("""COMPUTED_VALUE"""),"obernocchi7v@1und1.de")</f>
        <v>obernocchi7v@1und1.de</v>
      </c>
      <c r="D57" s="9" t="str">
        <f>IFERROR(__xludf.DUMMYFUNCTION("""COMPUTED_VALUE"""),"Argentina")</f>
        <v>Argentina</v>
      </c>
      <c r="E57" s="9" t="str">
        <f>IFERROR(__xludf.DUMMYFUNCTION("""COMPUTED_VALUE"""),"Tecnología")</f>
        <v>Tecnología</v>
      </c>
      <c r="F57" s="9" t="str">
        <f>IFERROR(__xludf.DUMMYFUNCTION("""COMPUTED_VALUE"""),"Inversión")</f>
        <v>Inversión</v>
      </c>
      <c r="G57" s="9" t="str">
        <f>IFERROR(__xludf.DUMMYFUNCTION("""COMPUTED_VALUE"""),"Socio de proyecto")</f>
        <v>Socio de proyecto</v>
      </c>
      <c r="H57" s="9" t="str">
        <f>IFERROR(__xludf.DUMMYFUNCTION("""COMPUTED_VALUE"""),"NO")</f>
        <v>NO</v>
      </c>
      <c r="I57" s="9">
        <f>IFERROR(__xludf.DUMMYFUNCTION("""COMPUTED_VALUE"""),8.0)</f>
        <v>8</v>
      </c>
      <c r="J57" s="9">
        <f>IFERROR(__xludf.DUMMYFUNCTION("""COMPUTED_VALUE"""),10.0)</f>
        <v>10</v>
      </c>
      <c r="K57" s="14">
        <f>IFERROR(__xludf.DUMMYFUNCTION("""COMPUTED_VALUE"""),9.0E7)</f>
        <v>90000000</v>
      </c>
      <c r="L57" s="14">
        <f>IFERROR(__xludf.DUMMYFUNCTION("""COMPUTED_VALUE"""),2.9991873E7)</f>
        <v>29991873</v>
      </c>
      <c r="M57" s="14">
        <f>IFERROR(__xludf.DUMMYFUNCTION("""COMPUTED_VALUE"""),3.9252741E7)</f>
        <v>39252741</v>
      </c>
      <c r="N57" s="14">
        <f>IFERROR(__xludf.DUMMYFUNCTION("""COMPUTED_VALUE"""),1.5542722E7)</f>
        <v>15542722</v>
      </c>
    </row>
    <row r="58">
      <c r="A58" s="9">
        <f>IFERROR(__xludf.DUMMYFUNCTION("""COMPUTED_VALUE"""),285.0)</f>
        <v>285</v>
      </c>
      <c r="B58" s="9" t="str">
        <f>IFERROR(__xludf.DUMMYFUNCTION("""COMPUTED_VALUE"""),"Ardyce Abad")</f>
        <v>Ardyce Abad</v>
      </c>
      <c r="C58" s="9" t="str">
        <f>IFERROR(__xludf.DUMMYFUNCTION("""COMPUTED_VALUE"""),"aabad7w@nbcnews.com")</f>
        <v>aabad7w@nbcnews.com</v>
      </c>
      <c r="D58" s="9" t="str">
        <f>IFERROR(__xludf.DUMMYFUNCTION("""COMPUTED_VALUE"""),"Perú")</f>
        <v>Perú</v>
      </c>
      <c r="E58" s="9" t="str">
        <f>IFERROR(__xludf.DUMMYFUNCTION("""COMPUTED_VALUE"""),"Tecnología")</f>
        <v>Tecnología</v>
      </c>
      <c r="F58" s="9" t="str">
        <f>IFERROR(__xludf.DUMMYFUNCTION("""COMPUTED_VALUE"""),"Inversión")</f>
        <v>Inversión</v>
      </c>
      <c r="G58" s="9" t="str">
        <f>IFERROR(__xludf.DUMMYFUNCTION("""COMPUTED_VALUE"""),"Socio de proyecto")</f>
        <v>Socio de proyecto</v>
      </c>
      <c r="H58" s="9" t="str">
        <f>IFERROR(__xludf.DUMMYFUNCTION("""COMPUTED_VALUE"""),"NO")</f>
        <v>NO</v>
      </c>
      <c r="I58" s="9">
        <f>IFERROR(__xludf.DUMMYFUNCTION("""COMPUTED_VALUE"""),5.0)</f>
        <v>5</v>
      </c>
      <c r="J58" s="9">
        <f>IFERROR(__xludf.DUMMYFUNCTION("""COMPUTED_VALUE"""),9.0)</f>
        <v>9</v>
      </c>
      <c r="K58" s="14">
        <f>IFERROR(__xludf.DUMMYFUNCTION("""COMPUTED_VALUE"""),1.0E7)</f>
        <v>10000000</v>
      </c>
      <c r="L58" s="14">
        <f>IFERROR(__xludf.DUMMYFUNCTION("""COMPUTED_VALUE"""),7303129.0)</f>
        <v>7303129</v>
      </c>
      <c r="M58" s="14">
        <f>IFERROR(__xludf.DUMMYFUNCTION("""COMPUTED_VALUE"""),3765621.0)</f>
        <v>3765621</v>
      </c>
      <c r="N58" s="14">
        <f>IFERROR(__xludf.DUMMYFUNCTION("""COMPUTED_VALUE"""),1.8125151E7)</f>
        <v>18125151</v>
      </c>
    </row>
    <row r="59">
      <c r="A59" s="9">
        <f>IFERROR(__xludf.DUMMYFUNCTION("""COMPUTED_VALUE"""),286.0)</f>
        <v>286</v>
      </c>
      <c r="B59" s="9" t="str">
        <f>IFERROR(__xludf.DUMMYFUNCTION("""COMPUTED_VALUE"""),"Estell Westwood")</f>
        <v>Estell Westwood</v>
      </c>
      <c r="C59" s="9" t="str">
        <f>IFERROR(__xludf.DUMMYFUNCTION("""COMPUTED_VALUE"""),"ewestwood7x@youku.com")</f>
        <v>ewestwood7x@youku.com</v>
      </c>
      <c r="D59" s="9" t="str">
        <f>IFERROR(__xludf.DUMMYFUNCTION("""COMPUTED_VALUE"""),"Brasil")</f>
        <v>Brasil</v>
      </c>
      <c r="E59" s="9" t="str">
        <f>IFERROR(__xludf.DUMMYFUNCTION("""COMPUTED_VALUE"""),"Tecnología")</f>
        <v>Tecnología</v>
      </c>
      <c r="F59" s="9" t="str">
        <f>IFERROR(__xludf.DUMMYFUNCTION("""COMPUTED_VALUE"""),"Inversión")</f>
        <v>Inversión</v>
      </c>
      <c r="G59" s="9" t="str">
        <f>IFERROR(__xludf.DUMMYFUNCTION("""COMPUTED_VALUE"""),"Socio de proyecto")</f>
        <v>Socio de proyecto</v>
      </c>
      <c r="H59" s="9" t="str">
        <f>IFERROR(__xludf.DUMMYFUNCTION("""COMPUTED_VALUE"""),"NO")</f>
        <v>NO</v>
      </c>
      <c r="I59" s="9">
        <f>IFERROR(__xludf.DUMMYFUNCTION("""COMPUTED_VALUE"""),9.0)</f>
        <v>9</v>
      </c>
      <c r="J59" s="9">
        <f>IFERROR(__xludf.DUMMYFUNCTION("""COMPUTED_VALUE"""),5.0)</f>
        <v>5</v>
      </c>
      <c r="K59" s="14">
        <f>IFERROR(__xludf.DUMMYFUNCTION("""COMPUTED_VALUE"""),3.0E7)</f>
        <v>30000000</v>
      </c>
      <c r="L59" s="14">
        <f>IFERROR(__xludf.DUMMYFUNCTION("""COMPUTED_VALUE"""),4.4457754E7)</f>
        <v>44457754</v>
      </c>
      <c r="M59" s="14">
        <f>IFERROR(__xludf.DUMMYFUNCTION("""COMPUTED_VALUE"""),0.0)</f>
        <v>0</v>
      </c>
      <c r="N59" s="14">
        <f>IFERROR(__xludf.DUMMYFUNCTION("""COMPUTED_VALUE"""),6.2249765E7)</f>
        <v>62249765</v>
      </c>
    </row>
    <row r="60">
      <c r="A60" s="9">
        <f>IFERROR(__xludf.DUMMYFUNCTION("""COMPUTED_VALUE"""),288.0)</f>
        <v>288</v>
      </c>
      <c r="B60" s="9" t="str">
        <f>IFERROR(__xludf.DUMMYFUNCTION("""COMPUTED_VALUE"""),"Travus Cannavan")</f>
        <v>Travus Cannavan</v>
      </c>
      <c r="C60" s="9" t="str">
        <f>IFERROR(__xludf.DUMMYFUNCTION("""COMPUTED_VALUE"""),"tcannavan7z@goodreads.com")</f>
        <v>tcannavan7z@goodreads.com</v>
      </c>
      <c r="D60" s="9" t="str">
        <f>IFERROR(__xludf.DUMMYFUNCTION("""COMPUTED_VALUE"""),"Brasil")</f>
        <v>Brasil</v>
      </c>
      <c r="E60" s="9" t="str">
        <f>IFERROR(__xludf.DUMMYFUNCTION("""COMPUTED_VALUE"""),"Tecnología")</f>
        <v>Tecnología</v>
      </c>
      <c r="F60" s="9" t="str">
        <f>IFERROR(__xludf.DUMMYFUNCTION("""COMPUTED_VALUE"""),"Inversión")</f>
        <v>Inversión</v>
      </c>
      <c r="G60" s="9" t="str">
        <f>IFERROR(__xludf.DUMMYFUNCTION("""COMPUTED_VALUE"""),"Socio de proyecto")</f>
        <v>Socio de proyecto</v>
      </c>
      <c r="H60" s="9" t="str">
        <f>IFERROR(__xludf.DUMMYFUNCTION("""COMPUTED_VALUE"""),"NO")</f>
        <v>NO</v>
      </c>
      <c r="I60" s="9">
        <f>IFERROR(__xludf.DUMMYFUNCTION("""COMPUTED_VALUE"""),4.0)</f>
        <v>4</v>
      </c>
      <c r="J60" s="9">
        <f>IFERROR(__xludf.DUMMYFUNCTION("""COMPUTED_VALUE"""),6.0)</f>
        <v>6</v>
      </c>
      <c r="K60" s="14">
        <f>IFERROR(__xludf.DUMMYFUNCTION("""COMPUTED_VALUE"""),1.0E7)</f>
        <v>10000000</v>
      </c>
      <c r="L60" s="14">
        <f>IFERROR(__xludf.DUMMYFUNCTION("""COMPUTED_VALUE"""),1.7991607E7)</f>
        <v>17991607</v>
      </c>
      <c r="M60" s="14">
        <f>IFERROR(__xludf.DUMMYFUNCTION("""COMPUTED_VALUE"""),0.0)</f>
        <v>0</v>
      </c>
      <c r="N60" s="14">
        <f>IFERROR(__xludf.DUMMYFUNCTION("""COMPUTED_VALUE"""),174626.0)</f>
        <v>174626</v>
      </c>
    </row>
    <row r="61">
      <c r="A61" s="9">
        <f>IFERROR(__xludf.DUMMYFUNCTION("""COMPUTED_VALUE"""),292.0)</f>
        <v>292</v>
      </c>
      <c r="B61" s="9" t="str">
        <f>IFERROR(__xludf.DUMMYFUNCTION("""COMPUTED_VALUE"""),"Ursala Durban")</f>
        <v>Ursala Durban</v>
      </c>
      <c r="C61" s="9" t="str">
        <f>IFERROR(__xludf.DUMMYFUNCTION("""COMPUTED_VALUE"""),"udurban83@mac.com")</f>
        <v>udurban83@mac.com</v>
      </c>
      <c r="D61" s="9" t="str">
        <f>IFERROR(__xludf.DUMMYFUNCTION("""COMPUTED_VALUE"""),"Venezuela")</f>
        <v>Venezuela</v>
      </c>
      <c r="E61" s="9" t="str">
        <f>IFERROR(__xludf.DUMMYFUNCTION("""COMPUTED_VALUE"""),"Tecnología")</f>
        <v>Tecnología</v>
      </c>
      <c r="F61" s="9" t="str">
        <f>IFERROR(__xludf.DUMMYFUNCTION("""COMPUTED_VALUE"""),"Inversión")</f>
        <v>Inversión</v>
      </c>
      <c r="G61" s="9" t="str">
        <f>IFERROR(__xludf.DUMMYFUNCTION("""COMPUTED_VALUE"""),"Socio de proyecto")</f>
        <v>Socio de proyecto</v>
      </c>
      <c r="H61" s="9" t="str">
        <f>IFERROR(__xludf.DUMMYFUNCTION("""COMPUTED_VALUE"""),"NO")</f>
        <v>NO</v>
      </c>
      <c r="I61" s="9">
        <f>IFERROR(__xludf.DUMMYFUNCTION("""COMPUTED_VALUE"""),6.0)</f>
        <v>6</v>
      </c>
      <c r="J61" s="9">
        <f>IFERROR(__xludf.DUMMYFUNCTION("""COMPUTED_VALUE"""),9.0)</f>
        <v>9</v>
      </c>
      <c r="K61" s="14">
        <f>IFERROR(__xludf.DUMMYFUNCTION("""COMPUTED_VALUE"""),1.0E7)</f>
        <v>10000000</v>
      </c>
      <c r="L61" s="14">
        <f>IFERROR(__xludf.DUMMYFUNCTION("""COMPUTED_VALUE"""),4.3538967E7)</f>
        <v>43538967</v>
      </c>
      <c r="M61" s="14">
        <f>IFERROR(__xludf.DUMMYFUNCTION("""COMPUTED_VALUE"""),5161300.0)</f>
        <v>5161300</v>
      </c>
      <c r="N61" s="14">
        <f>IFERROR(__xludf.DUMMYFUNCTION("""COMPUTED_VALUE"""),8.5417673E7)</f>
        <v>85417673</v>
      </c>
    </row>
    <row r="62">
      <c r="A62" s="9">
        <f>IFERROR(__xludf.DUMMYFUNCTION("""COMPUTED_VALUE"""),293.0)</f>
        <v>293</v>
      </c>
      <c r="B62" s="9" t="str">
        <f>IFERROR(__xludf.DUMMYFUNCTION("""COMPUTED_VALUE"""),"Hadley Fearnley")</f>
        <v>Hadley Fearnley</v>
      </c>
      <c r="C62" s="9" t="str">
        <f>IFERROR(__xludf.DUMMYFUNCTION("""COMPUTED_VALUE"""),"hfearnley84@admin.ch")</f>
        <v>hfearnley84@admin.ch</v>
      </c>
      <c r="D62" s="9" t="str">
        <f>IFERROR(__xludf.DUMMYFUNCTION("""COMPUTED_VALUE"""),"Perú")</f>
        <v>Perú</v>
      </c>
      <c r="E62" s="9" t="str">
        <f>IFERROR(__xludf.DUMMYFUNCTION("""COMPUTED_VALUE"""),"Tecnología")</f>
        <v>Tecnología</v>
      </c>
      <c r="F62" s="9" t="str">
        <f>IFERROR(__xludf.DUMMYFUNCTION("""COMPUTED_VALUE"""),"Inversión")</f>
        <v>Inversión</v>
      </c>
      <c r="G62" s="9" t="str">
        <f>IFERROR(__xludf.DUMMYFUNCTION("""COMPUTED_VALUE"""),"Socio de proyecto")</f>
        <v>Socio de proyecto</v>
      </c>
      <c r="H62" s="9" t="str">
        <f>IFERROR(__xludf.DUMMYFUNCTION("""COMPUTED_VALUE"""),"SI")</f>
        <v>SI</v>
      </c>
      <c r="I62" s="9">
        <f>IFERROR(__xludf.DUMMYFUNCTION("""COMPUTED_VALUE"""),7.0)</f>
        <v>7</v>
      </c>
      <c r="J62" s="9">
        <f>IFERROR(__xludf.DUMMYFUNCTION("""COMPUTED_VALUE"""),10.0)</f>
        <v>10</v>
      </c>
      <c r="K62" s="14">
        <f>IFERROR(__xludf.DUMMYFUNCTION("""COMPUTED_VALUE"""),1000000.0)</f>
        <v>1000000</v>
      </c>
      <c r="L62" s="14">
        <f>IFERROR(__xludf.DUMMYFUNCTION("""COMPUTED_VALUE"""),9.5899452E7)</f>
        <v>95899452</v>
      </c>
      <c r="M62" s="14">
        <f>IFERROR(__xludf.DUMMYFUNCTION("""COMPUTED_VALUE"""),2565664.0)</f>
        <v>2565664</v>
      </c>
      <c r="N62" s="14">
        <f>IFERROR(__xludf.DUMMYFUNCTION("""COMPUTED_VALUE"""),3.9602953E7)</f>
        <v>39602953</v>
      </c>
    </row>
    <row r="63">
      <c r="A63" s="9">
        <f>IFERROR(__xludf.DUMMYFUNCTION("""COMPUTED_VALUE"""),294.0)</f>
        <v>294</v>
      </c>
      <c r="B63" s="9" t="str">
        <f>IFERROR(__xludf.DUMMYFUNCTION("""COMPUTED_VALUE"""),"Myrwyn Argente")</f>
        <v>Myrwyn Argente</v>
      </c>
      <c r="C63" s="9" t="str">
        <f>IFERROR(__xludf.DUMMYFUNCTION("""COMPUTED_VALUE"""),"margente85@oakley.com")</f>
        <v>margente85@oakley.com</v>
      </c>
      <c r="D63" s="9" t="str">
        <f>IFERROR(__xludf.DUMMYFUNCTION("""COMPUTED_VALUE"""),"Argentina")</f>
        <v>Argentina</v>
      </c>
      <c r="E63" s="9" t="str">
        <f>IFERROR(__xludf.DUMMYFUNCTION("""COMPUTED_VALUE"""),"Tecnología")</f>
        <v>Tecnología</v>
      </c>
      <c r="F63" s="9" t="str">
        <f>IFERROR(__xludf.DUMMYFUNCTION("""COMPUTED_VALUE"""),"Inversión")</f>
        <v>Inversión</v>
      </c>
      <c r="G63" s="9" t="str">
        <f>IFERROR(__xludf.DUMMYFUNCTION("""COMPUTED_VALUE"""),"Socio de proyecto")</f>
        <v>Socio de proyecto</v>
      </c>
      <c r="H63" s="9" t="str">
        <f>IFERROR(__xludf.DUMMYFUNCTION("""COMPUTED_VALUE"""),"SI")</f>
        <v>SI</v>
      </c>
      <c r="I63" s="9">
        <f>IFERROR(__xludf.DUMMYFUNCTION("""COMPUTED_VALUE"""),5.0)</f>
        <v>5</v>
      </c>
      <c r="J63" s="9">
        <f>IFERROR(__xludf.DUMMYFUNCTION("""COMPUTED_VALUE"""),10.0)</f>
        <v>10</v>
      </c>
      <c r="K63" s="14">
        <f>IFERROR(__xludf.DUMMYFUNCTION("""COMPUTED_VALUE"""),1000000.0)</f>
        <v>1000000</v>
      </c>
      <c r="L63" s="14">
        <f>IFERROR(__xludf.DUMMYFUNCTION("""COMPUTED_VALUE"""),8.1347428E7)</f>
        <v>81347428</v>
      </c>
      <c r="M63" s="14">
        <f>IFERROR(__xludf.DUMMYFUNCTION("""COMPUTED_VALUE"""),1.0860215E7)</f>
        <v>10860215</v>
      </c>
      <c r="N63" s="14">
        <f>IFERROR(__xludf.DUMMYFUNCTION("""COMPUTED_VALUE"""),2.863729E7)</f>
        <v>28637290</v>
      </c>
    </row>
    <row r="64">
      <c r="A64" s="9">
        <f>IFERROR(__xludf.DUMMYFUNCTION("""COMPUTED_VALUE"""),296.0)</f>
        <v>296</v>
      </c>
      <c r="B64" s="9" t="str">
        <f>IFERROR(__xludf.DUMMYFUNCTION("""COMPUTED_VALUE"""),"Roderigo Huguet")</f>
        <v>Roderigo Huguet</v>
      </c>
      <c r="C64" s="9" t="str">
        <f>IFERROR(__xludf.DUMMYFUNCTION("""COMPUTED_VALUE"""),"rhuguet87@tmall.com")</f>
        <v>rhuguet87@tmall.com</v>
      </c>
      <c r="D64" s="9" t="str">
        <f>IFERROR(__xludf.DUMMYFUNCTION("""COMPUTED_VALUE"""),"Paraguay")</f>
        <v>Paraguay</v>
      </c>
      <c r="E64" s="9" t="str">
        <f>IFERROR(__xludf.DUMMYFUNCTION("""COMPUTED_VALUE"""),"Tecnología")</f>
        <v>Tecnología</v>
      </c>
      <c r="F64" s="9" t="str">
        <f>IFERROR(__xludf.DUMMYFUNCTION("""COMPUTED_VALUE"""),"Inversión")</f>
        <v>Inversión</v>
      </c>
      <c r="G64" s="9" t="str">
        <f>IFERROR(__xludf.DUMMYFUNCTION("""COMPUTED_VALUE"""),"Socio de proyecto")</f>
        <v>Socio de proyecto</v>
      </c>
      <c r="H64" s="9" t="str">
        <f>IFERROR(__xludf.DUMMYFUNCTION("""COMPUTED_VALUE"""),"SI")</f>
        <v>SI</v>
      </c>
      <c r="I64" s="9">
        <f>IFERROR(__xludf.DUMMYFUNCTION("""COMPUTED_VALUE"""),7.0)</f>
        <v>7</v>
      </c>
      <c r="J64" s="9">
        <f>IFERROR(__xludf.DUMMYFUNCTION("""COMPUTED_VALUE"""),7.0)</f>
        <v>7</v>
      </c>
      <c r="K64" s="14">
        <f>IFERROR(__xludf.DUMMYFUNCTION("""COMPUTED_VALUE"""),1.0E7)</f>
        <v>10000000</v>
      </c>
      <c r="L64" s="14">
        <f>IFERROR(__xludf.DUMMYFUNCTION("""COMPUTED_VALUE"""),9.6199053E7)</f>
        <v>96199053</v>
      </c>
      <c r="M64" s="14">
        <f>IFERROR(__xludf.DUMMYFUNCTION("""COMPUTED_VALUE"""),3.1746355E7)</f>
        <v>31746355</v>
      </c>
      <c r="N64" s="14">
        <f>IFERROR(__xludf.DUMMYFUNCTION("""COMPUTED_VALUE"""),8.0063468E7)</f>
        <v>80063468</v>
      </c>
    </row>
    <row r="65">
      <c r="A65" s="9">
        <f>IFERROR(__xludf.DUMMYFUNCTION("""COMPUTED_VALUE"""),297.0)</f>
        <v>297</v>
      </c>
      <c r="B65" s="9" t="str">
        <f>IFERROR(__xludf.DUMMYFUNCTION("""COMPUTED_VALUE"""),"Loella Dudliston")</f>
        <v>Loella Dudliston</v>
      </c>
      <c r="C65" s="9" t="str">
        <f>IFERROR(__xludf.DUMMYFUNCTION("""COMPUTED_VALUE"""),"ldudliston88@deviantart.com")</f>
        <v>ldudliston88@deviantart.com</v>
      </c>
      <c r="D65" s="9" t="str">
        <f>IFERROR(__xludf.DUMMYFUNCTION("""COMPUTED_VALUE"""),"Venezuela")</f>
        <v>Venezuela</v>
      </c>
      <c r="E65" s="9" t="str">
        <f>IFERROR(__xludf.DUMMYFUNCTION("""COMPUTED_VALUE"""),"Tecnología")</f>
        <v>Tecnología</v>
      </c>
      <c r="F65" s="9" t="str">
        <f>IFERROR(__xludf.DUMMYFUNCTION("""COMPUTED_VALUE"""),"Inversión")</f>
        <v>Inversión</v>
      </c>
      <c r="G65" s="9" t="str">
        <f>IFERROR(__xludf.DUMMYFUNCTION("""COMPUTED_VALUE"""),"Socio de proyecto")</f>
        <v>Socio de proyecto</v>
      </c>
      <c r="H65" s="9" t="str">
        <f>IFERROR(__xludf.DUMMYFUNCTION("""COMPUTED_VALUE"""),"NO")</f>
        <v>NO</v>
      </c>
      <c r="I65" s="9">
        <f>IFERROR(__xludf.DUMMYFUNCTION("""COMPUTED_VALUE"""),5.0)</f>
        <v>5</v>
      </c>
      <c r="J65" s="9">
        <f>IFERROR(__xludf.DUMMYFUNCTION("""COMPUTED_VALUE"""),7.0)</f>
        <v>7</v>
      </c>
      <c r="K65" s="14">
        <f>IFERROR(__xludf.DUMMYFUNCTION("""COMPUTED_VALUE"""),1000000.0)</f>
        <v>1000000</v>
      </c>
      <c r="L65" s="14">
        <f>IFERROR(__xludf.DUMMYFUNCTION("""COMPUTED_VALUE"""),7.1783742E7)</f>
        <v>71783742</v>
      </c>
      <c r="M65" s="14">
        <f>IFERROR(__xludf.DUMMYFUNCTION("""COMPUTED_VALUE"""),6.4667814E7)</f>
        <v>64667814</v>
      </c>
      <c r="N65" s="14">
        <f>IFERROR(__xludf.DUMMYFUNCTION("""COMPUTED_VALUE"""),7.065318E7)</f>
        <v>70653180</v>
      </c>
    </row>
    <row r="66">
      <c r="A66" s="9">
        <f>IFERROR(__xludf.DUMMYFUNCTION("""COMPUTED_VALUE"""),300.0)</f>
        <v>300</v>
      </c>
      <c r="B66" s="9" t="str">
        <f>IFERROR(__xludf.DUMMYFUNCTION("""COMPUTED_VALUE"""),"Joyce McColgan")</f>
        <v>Joyce McColgan</v>
      </c>
      <c r="C66" s="9" t="str">
        <f>IFERROR(__xludf.DUMMYFUNCTION("""COMPUTED_VALUE"""),"jmccolgan8b@miitbeian.gov.cn")</f>
        <v>jmccolgan8b@miitbeian.gov.cn</v>
      </c>
      <c r="D66" s="9" t="str">
        <f>IFERROR(__xludf.DUMMYFUNCTION("""COMPUTED_VALUE"""),"Paraguay")</f>
        <v>Paraguay</v>
      </c>
      <c r="E66" s="9" t="str">
        <f>IFERROR(__xludf.DUMMYFUNCTION("""COMPUTED_VALUE"""),"Tecnología")</f>
        <v>Tecnología</v>
      </c>
      <c r="F66" s="9" t="str">
        <f>IFERROR(__xludf.DUMMYFUNCTION("""COMPUTED_VALUE"""),"Inversión")</f>
        <v>Inversión</v>
      </c>
      <c r="G66" s="9" t="str">
        <f>IFERROR(__xludf.DUMMYFUNCTION("""COMPUTED_VALUE"""),"Socio de proyecto")</f>
        <v>Socio de proyecto</v>
      </c>
      <c r="H66" s="9" t="str">
        <f>IFERROR(__xludf.DUMMYFUNCTION("""COMPUTED_VALUE"""),"SI")</f>
        <v>SI</v>
      </c>
      <c r="I66" s="9">
        <f>IFERROR(__xludf.DUMMYFUNCTION("""COMPUTED_VALUE"""),7.0)</f>
        <v>7</v>
      </c>
      <c r="J66" s="9">
        <f>IFERROR(__xludf.DUMMYFUNCTION("""COMPUTED_VALUE"""),5.0)</f>
        <v>5</v>
      </c>
      <c r="K66" s="14">
        <f>IFERROR(__xludf.DUMMYFUNCTION("""COMPUTED_VALUE"""),3.0E7)</f>
        <v>30000000</v>
      </c>
      <c r="L66" s="14">
        <f>IFERROR(__xludf.DUMMYFUNCTION("""COMPUTED_VALUE"""),3.3477783E7)</f>
        <v>33477783</v>
      </c>
      <c r="M66" s="14">
        <f>IFERROR(__xludf.DUMMYFUNCTION("""COMPUTED_VALUE"""),0.0)</f>
        <v>0</v>
      </c>
      <c r="N66" s="14">
        <f>IFERROR(__xludf.DUMMYFUNCTION("""COMPUTED_VALUE"""),2.7651635E7)</f>
        <v>27651635</v>
      </c>
    </row>
    <row r="67">
      <c r="A67" s="9">
        <f>IFERROR(__xludf.DUMMYFUNCTION("""COMPUTED_VALUE"""),305.0)</f>
        <v>305</v>
      </c>
      <c r="B67" s="9" t="str">
        <f>IFERROR(__xludf.DUMMYFUNCTION("""COMPUTED_VALUE"""),"Emmalyn Viall")</f>
        <v>Emmalyn Viall</v>
      </c>
      <c r="C67" s="9" t="str">
        <f>IFERROR(__xludf.DUMMYFUNCTION("""COMPUTED_VALUE"""),"eviall8g@odnoklassniki.ru")</f>
        <v>eviall8g@odnoklassniki.ru</v>
      </c>
      <c r="D67" s="9" t="str">
        <f>IFERROR(__xludf.DUMMYFUNCTION("""COMPUTED_VALUE"""),"Brasil")</f>
        <v>Brasil</v>
      </c>
      <c r="E67" s="9" t="str">
        <f>IFERROR(__xludf.DUMMYFUNCTION("""COMPUTED_VALUE"""),"Tecnología")</f>
        <v>Tecnología</v>
      </c>
      <c r="F67" s="9" t="str">
        <f>IFERROR(__xludf.DUMMYFUNCTION("""COMPUTED_VALUE"""),"Inversión")</f>
        <v>Inversión</v>
      </c>
      <c r="G67" s="9" t="str">
        <f>IFERROR(__xludf.DUMMYFUNCTION("""COMPUTED_VALUE"""),"Socio de proyecto")</f>
        <v>Socio de proyecto</v>
      </c>
      <c r="H67" s="9" t="str">
        <f>IFERROR(__xludf.DUMMYFUNCTION("""COMPUTED_VALUE"""),"NO")</f>
        <v>NO</v>
      </c>
      <c r="I67" s="9">
        <f>IFERROR(__xludf.DUMMYFUNCTION("""COMPUTED_VALUE"""),3.0)</f>
        <v>3</v>
      </c>
      <c r="J67" s="9">
        <f>IFERROR(__xludf.DUMMYFUNCTION("""COMPUTED_VALUE"""),7.0)</f>
        <v>7</v>
      </c>
      <c r="K67" s="14">
        <f>IFERROR(__xludf.DUMMYFUNCTION("""COMPUTED_VALUE"""),3.0E7)</f>
        <v>30000000</v>
      </c>
      <c r="L67" s="14">
        <f>IFERROR(__xludf.DUMMYFUNCTION("""COMPUTED_VALUE"""),4.528936E7)</f>
        <v>45289360</v>
      </c>
      <c r="M67" s="14">
        <f>IFERROR(__xludf.DUMMYFUNCTION("""COMPUTED_VALUE"""),0.0)</f>
        <v>0</v>
      </c>
      <c r="N67" s="14">
        <f>IFERROR(__xludf.DUMMYFUNCTION("""COMPUTED_VALUE"""),4.6980526E7)</f>
        <v>46980526</v>
      </c>
    </row>
    <row r="68">
      <c r="A68" s="9">
        <f>IFERROR(__xludf.DUMMYFUNCTION("""COMPUTED_VALUE"""),314.0)</f>
        <v>314</v>
      </c>
      <c r="B68" s="9" t="str">
        <f>IFERROR(__xludf.DUMMYFUNCTION("""COMPUTED_VALUE"""),"Biddie Bellay")</f>
        <v>Biddie Bellay</v>
      </c>
      <c r="C68" s="9" t="str">
        <f>IFERROR(__xludf.DUMMYFUNCTION("""COMPUTED_VALUE"""),"bbellay8p@google.es")</f>
        <v>bbellay8p@google.es</v>
      </c>
      <c r="D68" s="9" t="str">
        <f>IFERROR(__xludf.DUMMYFUNCTION("""COMPUTED_VALUE"""),"Uruguay")</f>
        <v>Uruguay</v>
      </c>
      <c r="E68" s="9" t="str">
        <f>IFERROR(__xludf.DUMMYFUNCTION("""COMPUTED_VALUE"""),"Tecnología")</f>
        <v>Tecnología</v>
      </c>
      <c r="F68" s="9" t="str">
        <f>IFERROR(__xludf.DUMMYFUNCTION("""COMPUTED_VALUE"""),"Inversión")</f>
        <v>Inversión</v>
      </c>
      <c r="G68" s="9" t="str">
        <f>IFERROR(__xludf.DUMMYFUNCTION("""COMPUTED_VALUE"""),"Socio de proyecto")</f>
        <v>Socio de proyecto</v>
      </c>
      <c r="H68" s="9" t="str">
        <f>IFERROR(__xludf.DUMMYFUNCTION("""COMPUTED_VALUE"""),"NO")</f>
        <v>NO</v>
      </c>
      <c r="I68" s="9">
        <f>IFERROR(__xludf.DUMMYFUNCTION("""COMPUTED_VALUE"""),7.0)</f>
        <v>7</v>
      </c>
      <c r="J68" s="9">
        <f>IFERROR(__xludf.DUMMYFUNCTION("""COMPUTED_VALUE"""),5.0)</f>
        <v>5</v>
      </c>
      <c r="K68" s="14">
        <f>IFERROR(__xludf.DUMMYFUNCTION("""COMPUTED_VALUE"""),3.0E7)</f>
        <v>30000000</v>
      </c>
      <c r="L68" s="14">
        <f>IFERROR(__xludf.DUMMYFUNCTION("""COMPUTED_VALUE"""),3.2890743E7)</f>
        <v>32890743</v>
      </c>
      <c r="M68" s="14">
        <f>IFERROR(__xludf.DUMMYFUNCTION("""COMPUTED_VALUE"""),0.0)</f>
        <v>0</v>
      </c>
      <c r="N68" s="14">
        <f>IFERROR(__xludf.DUMMYFUNCTION("""COMPUTED_VALUE"""),3.986462E7)</f>
        <v>39864620</v>
      </c>
    </row>
  </sheetData>
  <drawing r:id="rId1"/>
</worksheet>
</file>